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orine\Downloads\"/>
    </mc:Choice>
  </mc:AlternateContent>
  <xr:revisionPtr revIDLastSave="0" documentId="13_ncr:1_{E1661283-F248-4095-A445-266581A4F822}" xr6:coauthVersionLast="36" xr6:coauthVersionMax="47" xr10:uidLastSave="{00000000-0000-0000-0000-000000000000}"/>
  <bookViews>
    <workbookView xWindow="28680" yWindow="-120" windowWidth="29040" windowHeight="15720" xr2:uid="{96766BF8-2732-4464-A35E-729849EF2DF5}"/>
  </bookViews>
  <sheets>
    <sheet name="KPI для заполнения" sheetId="1" r:id="rId1"/>
    <sheet name="Реестр событий" sheetId="2" r:id="rId2"/>
    <sheet name="KPI Описание" sheetId="6" r:id="rId3"/>
    <sheet name="Инструкция" sheetId="7" r:id="rId4"/>
    <sheet name="Тех_Лист" sheetId="4" state="hidden" r:id="rId5"/>
  </sheets>
  <definedNames>
    <definedName name="_xlnm._FilterDatabase" localSheetId="0" hidden="1">'KPI для заполнения'!$A$1:$BK$197</definedName>
    <definedName name="_xlnm._FilterDatabase" localSheetId="2" hidden="1">'KPI Описание'!$A$1:$T$49</definedName>
    <definedName name="_xlnm._FilterDatabase" localSheetId="1" hidden="1">'Реестр событий'!$A$1:$G$1</definedName>
  </definedNames>
  <calcPr calcId="191028"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A168" i="1" l="1"/>
  <c r="BA174" i="1"/>
  <c r="BA173" i="1"/>
  <c r="BA172" i="1"/>
  <c r="BA171" i="1"/>
  <c r="BA170" i="1"/>
  <c r="BA169" i="1"/>
  <c r="BA156" i="1"/>
  <c r="BA162" i="1"/>
  <c r="BA167" i="1"/>
  <c r="BA166" i="1"/>
  <c r="BA158" i="1"/>
  <c r="BA164" i="1"/>
  <c r="BA163" i="1"/>
  <c r="BA161" i="1"/>
  <c r="BA160" i="1"/>
  <c r="BA157" i="1"/>
  <c r="BA149" i="1"/>
  <c r="BA155" i="1"/>
  <c r="BA154" i="1"/>
  <c r="BA153" i="1"/>
  <c r="BA152" i="1"/>
  <c r="BA151" i="1"/>
  <c r="BA150" i="1"/>
  <c r="A440" i="2"/>
  <c r="E440" i="2"/>
  <c r="BA188" i="1"/>
  <c r="BA187" i="1"/>
  <c r="BA186" i="1"/>
  <c r="BA185" i="1"/>
  <c r="BA184" i="1"/>
  <c r="BA183" i="1"/>
  <c r="BA182" i="1"/>
  <c r="BA95" i="1"/>
  <c r="BA94" i="1"/>
  <c r="BA93" i="1"/>
  <c r="BA92" i="1"/>
  <c r="BA91" i="1"/>
  <c r="BA90" i="1"/>
  <c r="A439" i="2"/>
  <c r="E439" i="2"/>
  <c r="A438" i="2"/>
  <c r="E438" i="2"/>
  <c r="E437" i="2"/>
  <c r="A437" i="2"/>
  <c r="E436" i="2"/>
  <c r="A436" i="2"/>
  <c r="E435" i="2"/>
  <c r="A435" i="2"/>
  <c r="E434" i="2"/>
  <c r="A434" i="2"/>
  <c r="E433" i="2"/>
  <c r="A433" i="2"/>
  <c r="E432" i="2"/>
  <c r="A432" i="2"/>
  <c r="A431" i="2"/>
  <c r="E431" i="2"/>
  <c r="BA44" i="1"/>
  <c r="AZ44" i="1"/>
  <c r="AZ157" i="1"/>
  <c r="AZ158" i="1"/>
  <c r="AZ151" i="1"/>
  <c r="AZ165" i="1"/>
  <c r="E430" i="2"/>
  <c r="A430" i="2"/>
  <c r="AZ168" i="1"/>
  <c r="AZ174" i="1"/>
  <c r="AZ173" i="1"/>
  <c r="AZ172" i="1"/>
  <c r="AZ171" i="1"/>
  <c r="AZ170" i="1"/>
  <c r="AZ169" i="1"/>
  <c r="AZ167" i="1"/>
  <c r="AZ166" i="1"/>
  <c r="AZ164" i="1"/>
  <c r="AZ163" i="1"/>
  <c r="AZ162" i="1"/>
  <c r="A429" i="2"/>
  <c r="E429" i="2"/>
  <c r="AZ149" i="1"/>
  <c r="AZ155" i="1"/>
  <c r="AZ154" i="1"/>
  <c r="AZ153" i="1"/>
  <c r="AZ152" i="1"/>
  <c r="AZ150" i="1"/>
  <c r="AZ156" i="1"/>
  <c r="AZ161" i="1"/>
  <c r="AZ160" i="1"/>
  <c r="A428" i="2"/>
  <c r="E428" i="2"/>
  <c r="AZ23" i="1"/>
  <c r="AZ22" i="1"/>
  <c r="AZ21" i="1"/>
  <c r="AZ20" i="1"/>
  <c r="AZ19" i="1"/>
  <c r="AZ18" i="1"/>
  <c r="A427" i="2"/>
  <c r="E427" i="2"/>
  <c r="A426" i="2"/>
  <c r="E426" i="2"/>
  <c r="A425" i="2"/>
  <c r="E425" i="2"/>
  <c r="A424" i="2"/>
  <c r="E424" i="2"/>
  <c r="A423" i="2"/>
  <c r="E423" i="2"/>
  <c r="A422" i="2"/>
  <c r="E422" i="2"/>
  <c r="AZ115" i="1"/>
  <c r="AZ188" i="1"/>
  <c r="AZ187" i="1"/>
  <c r="AZ186" i="1"/>
  <c r="AZ185" i="1"/>
  <c r="AZ184" i="1"/>
  <c r="AZ183" i="1"/>
  <c r="AZ182" i="1"/>
  <c r="AZ95" i="1"/>
  <c r="AZ94" i="1"/>
  <c r="AZ93" i="1"/>
  <c r="AZ92" i="1"/>
  <c r="AZ91" i="1"/>
  <c r="AZ90" i="1"/>
  <c r="A421" i="2"/>
  <c r="E421" i="2"/>
  <c r="A420" i="2"/>
  <c r="E420" i="2"/>
  <c r="A419" i="2"/>
  <c r="E419" i="2"/>
  <c r="AY168" i="1"/>
  <c r="AY169" i="1"/>
  <c r="AY164" i="1"/>
  <c r="AY170" i="1"/>
  <c r="AY150" i="1"/>
  <c r="AX168" i="1"/>
  <c r="AY174" i="1"/>
  <c r="AY173" i="1"/>
  <c r="AY172" i="1"/>
  <c r="AY171" i="1"/>
  <c r="AY155" i="1"/>
  <c r="AY154" i="1"/>
  <c r="AY153" i="1"/>
  <c r="AY152" i="1"/>
  <c r="AY151" i="1"/>
  <c r="AY149" i="1"/>
  <c r="AY167" i="1"/>
  <c r="AY166" i="1"/>
  <c r="AY163" i="1"/>
  <c r="AY162" i="1"/>
  <c r="AY156" i="1"/>
  <c r="AY161" i="1"/>
  <c r="AY160" i="1"/>
  <c r="AY158" i="1"/>
  <c r="AY157" i="1"/>
  <c r="A418" i="2"/>
  <c r="E418" i="2"/>
  <c r="A417" i="2"/>
  <c r="E417" i="2"/>
  <c r="AY44" i="1"/>
  <c r="A416" i="2"/>
  <c r="E416" i="2"/>
  <c r="AY18" i="1"/>
  <c r="A415" i="2"/>
  <c r="E415" i="2"/>
  <c r="A414" i="2"/>
  <c r="E414" i="2"/>
  <c r="A413" i="2"/>
  <c r="E413" i="2"/>
  <c r="A412" i="2"/>
  <c r="E412" i="2"/>
  <c r="A411" i="2"/>
  <c r="E411" i="2"/>
  <c r="A410" i="2"/>
  <c r="E410" i="2"/>
  <c r="A409" i="2"/>
  <c r="E409" i="2"/>
  <c r="AY115" i="1"/>
  <c r="AX115" i="1"/>
  <c r="AY188" i="1"/>
  <c r="AY187" i="1"/>
  <c r="AY186" i="1"/>
  <c r="AY185" i="1"/>
  <c r="AY184" i="1"/>
  <c r="AY183" i="1"/>
  <c r="AY182" i="1"/>
  <c r="AY95" i="1"/>
  <c r="AY94" i="1"/>
  <c r="AY93" i="1"/>
  <c r="AY92" i="1"/>
  <c r="AY91" i="1"/>
  <c r="AY90" i="1"/>
  <c r="AX162" i="1"/>
  <c r="AX163" i="1"/>
  <c r="AX156" i="1"/>
  <c r="AX149" i="1"/>
  <c r="AX174" i="1"/>
  <c r="AX173" i="1"/>
  <c r="AX172" i="1"/>
  <c r="AX171" i="1"/>
  <c r="AX170" i="1"/>
  <c r="AX169" i="1"/>
  <c r="AX167" i="1"/>
  <c r="AX166" i="1"/>
  <c r="AX164" i="1"/>
  <c r="AX161" i="1"/>
  <c r="AX160" i="1"/>
  <c r="AX158" i="1"/>
  <c r="AX157" i="1"/>
  <c r="AX155" i="1"/>
  <c r="AX154" i="1"/>
  <c r="AX153" i="1"/>
  <c r="AX152" i="1"/>
  <c r="AX151" i="1"/>
  <c r="AX150" i="1"/>
  <c r="A408" i="2"/>
  <c r="E408" i="2"/>
  <c r="A407" i="2"/>
  <c r="E407" i="2"/>
  <c r="A406" i="2"/>
  <c r="E406" i="2"/>
  <c r="A405" i="2"/>
  <c r="E405" i="2"/>
  <c r="A404" i="2"/>
  <c r="E404" i="2"/>
  <c r="A403" i="2"/>
  <c r="E403" i="2"/>
  <c r="A402" i="2"/>
  <c r="E402" i="2"/>
  <c r="A401" i="2"/>
  <c r="E401" i="2"/>
  <c r="AX182" i="1"/>
  <c r="AX188" i="1"/>
  <c r="AX187" i="1"/>
  <c r="AX186" i="1"/>
  <c r="AX185" i="1"/>
  <c r="AX184" i="1"/>
  <c r="AX183" i="1"/>
  <c r="AX95" i="1"/>
  <c r="AX94" i="1"/>
  <c r="AX93" i="1"/>
  <c r="AX92" i="1"/>
  <c r="AX91" i="1"/>
  <c r="AX90" i="1"/>
  <c r="AW149" i="1"/>
  <c r="AW168" i="1"/>
  <c r="AW174" i="1"/>
  <c r="AW173" i="1"/>
  <c r="AW172" i="1"/>
  <c r="AW171" i="1"/>
  <c r="AW170" i="1"/>
  <c r="AW169" i="1"/>
  <c r="AW162" i="1"/>
  <c r="AW167" i="1"/>
  <c r="AW166" i="1"/>
  <c r="AW165" i="1"/>
  <c r="AW164" i="1"/>
  <c r="AW163" i="1"/>
  <c r="AW160" i="1"/>
  <c r="AW156" i="1"/>
  <c r="AW161" i="1"/>
  <c r="AW159" i="1"/>
  <c r="AW158" i="1"/>
  <c r="AW157" i="1"/>
  <c r="AW155" i="1"/>
  <c r="AW154" i="1"/>
  <c r="AW153" i="1"/>
  <c r="AW152" i="1"/>
  <c r="AW151" i="1"/>
  <c r="AW150" i="1"/>
  <c r="A400" i="2"/>
  <c r="E400" i="2"/>
  <c r="A399" i="2"/>
  <c r="AW18" i="1"/>
  <c r="E399" i="2"/>
  <c r="AW23" i="1"/>
  <c r="AW22" i="1"/>
  <c r="A398" i="2"/>
  <c r="AW115" i="1"/>
  <c r="E398" i="2"/>
  <c r="A397" i="2"/>
  <c r="E397" i="2"/>
  <c r="A396" i="2"/>
  <c r="E396" i="2"/>
  <c r="A395" i="2"/>
  <c r="E395" i="2"/>
  <c r="A394" i="2"/>
  <c r="E394" i="2"/>
  <c r="A393" i="2"/>
  <c r="E393" i="2"/>
  <c r="A392" i="2"/>
  <c r="E392" i="2"/>
  <c r="A391" i="2"/>
  <c r="E391" i="2"/>
  <c r="AW188" i="1"/>
  <c r="AW187" i="1"/>
  <c r="AW186" i="1"/>
  <c r="AW185" i="1"/>
  <c r="AW184" i="1"/>
  <c r="AW183" i="1"/>
  <c r="AW182" i="1"/>
  <c r="AW95" i="1"/>
  <c r="AW94" i="1"/>
  <c r="AW93" i="1"/>
  <c r="AW92" i="1"/>
  <c r="AW91" i="1"/>
  <c r="AW90" i="1"/>
  <c r="AV90" i="1"/>
  <c r="AV175" i="1"/>
  <c r="A390" i="2"/>
  <c r="AV188" i="1"/>
  <c r="AV187" i="1"/>
  <c r="AV186" i="1"/>
  <c r="AV185" i="1"/>
  <c r="AV184" i="1"/>
  <c r="AV183" i="1"/>
  <c r="AV182" i="1"/>
  <c r="AV95" i="1"/>
  <c r="AV94" i="1"/>
  <c r="AV93" i="1"/>
  <c r="AV92" i="1"/>
  <c r="AV91" i="1"/>
  <c r="A389" i="2"/>
  <c r="AV168" i="1"/>
  <c r="E389" i="2"/>
  <c r="AV174" i="1"/>
  <c r="AV173" i="1"/>
  <c r="AV172" i="1"/>
  <c r="AV171" i="1"/>
  <c r="AV170" i="1"/>
  <c r="AV169" i="1"/>
  <c r="AV162" i="1"/>
  <c r="AV167" i="1"/>
  <c r="AV163" i="1"/>
  <c r="AV156" i="1"/>
  <c r="AV149" i="1"/>
  <c r="AV155" i="1"/>
  <c r="AV154" i="1"/>
  <c r="AV153" i="1"/>
  <c r="AV152" i="1"/>
  <c r="AV151" i="1"/>
  <c r="AV150" i="1"/>
  <c r="AV161" i="1"/>
  <c r="AV157" i="1"/>
  <c r="A388" i="2"/>
  <c r="AV44" i="1"/>
  <c r="E388" i="2"/>
  <c r="A387" i="2"/>
  <c r="AV18" i="1"/>
  <c r="E387" i="2"/>
  <c r="AV22" i="1"/>
  <c r="A386" i="2"/>
  <c r="AV115" i="1"/>
  <c r="E386" i="2"/>
  <c r="A385" i="2"/>
  <c r="E385" i="2"/>
  <c r="A384" i="2"/>
  <c r="E384" i="2"/>
  <c r="A383" i="2"/>
  <c r="E383" i="2"/>
  <c r="A382" i="2"/>
  <c r="E382" i="2"/>
  <c r="A381" i="2"/>
  <c r="E381" i="2"/>
  <c r="A380" i="2"/>
  <c r="E380" i="2"/>
  <c r="A379" i="2"/>
  <c r="E379" i="2"/>
  <c r="E378" i="2"/>
  <c r="A378" i="2"/>
  <c r="E377" i="2"/>
  <c r="E376" i="2"/>
  <c r="E375" i="2"/>
  <c r="E374" i="2"/>
  <c r="A377" i="2"/>
  <c r="A376" i="2"/>
  <c r="A375" i="2"/>
  <c r="A374" i="2"/>
  <c r="E373" i="2"/>
  <c r="A373" i="2"/>
  <c r="E372" i="2"/>
  <c r="A372" i="2"/>
  <c r="A371" i="2"/>
  <c r="AU175" i="1"/>
  <c r="E371" i="2"/>
  <c r="AU188" i="1"/>
  <c r="AU187" i="1"/>
  <c r="AU186" i="1"/>
  <c r="AU185" i="1"/>
  <c r="AU184" i="1"/>
  <c r="AU183" i="1"/>
  <c r="AU182" i="1"/>
  <c r="AU95" i="1"/>
  <c r="AU94" i="1"/>
  <c r="AU93" i="1"/>
  <c r="AU92" i="1"/>
  <c r="AU91" i="1"/>
  <c r="AU90" i="1"/>
  <c r="AU162" i="1"/>
  <c r="AU163" i="1"/>
  <c r="AU167" i="1"/>
  <c r="AU166" i="1"/>
  <c r="AU165" i="1"/>
  <c r="AU164" i="1"/>
  <c r="A370" i="2"/>
  <c r="AU168" i="1"/>
  <c r="E370" i="2"/>
  <c r="A369" i="2"/>
  <c r="AU156" i="1"/>
  <c r="E369" i="2"/>
  <c r="A368" i="2"/>
  <c r="AU115" i="1"/>
  <c r="E368" i="2"/>
  <c r="A367" i="2"/>
  <c r="E367" i="2"/>
  <c r="A366" i="2"/>
  <c r="E366" i="2"/>
  <c r="A365" i="2"/>
  <c r="AU44" i="1"/>
  <c r="E365" i="2"/>
  <c r="A364" i="2"/>
  <c r="E364" i="2"/>
  <c r="A363" i="2"/>
  <c r="AU18" i="1"/>
  <c r="E363" i="2"/>
  <c r="A362" i="2"/>
  <c r="E362" i="2"/>
  <c r="A361" i="2"/>
  <c r="E361" i="2"/>
  <c r="AU174" i="1"/>
  <c r="AU173" i="1"/>
  <c r="AU172" i="1"/>
  <c r="AU171" i="1"/>
  <c r="AU170" i="1"/>
  <c r="AU169" i="1"/>
  <c r="AU161" i="1"/>
  <c r="AU160" i="1"/>
  <c r="AU159" i="1"/>
  <c r="AU158" i="1"/>
  <c r="AU157" i="1"/>
  <c r="AU155" i="1"/>
  <c r="AU154" i="1"/>
  <c r="AU153" i="1"/>
  <c r="AU152" i="1"/>
  <c r="AU151" i="1"/>
  <c r="AU150" i="1"/>
  <c r="AU149" i="1"/>
  <c r="AT115" i="1"/>
  <c r="AT44" i="1"/>
  <c r="AT22" i="1"/>
  <c r="AU22" i="1"/>
  <c r="AU20" i="1"/>
  <c r="AT18" i="1"/>
  <c r="AT188" i="1"/>
  <c r="AT187" i="1"/>
  <c r="AT186" i="1"/>
  <c r="AT185" i="1"/>
  <c r="AT184" i="1"/>
  <c r="AT183" i="1"/>
  <c r="AT182" i="1"/>
  <c r="AT92" i="1"/>
  <c r="AT95" i="1"/>
  <c r="AT94" i="1"/>
  <c r="AT93" i="1"/>
  <c r="AT91" i="1"/>
  <c r="AT90" i="1"/>
  <c r="AT180" i="1"/>
  <c r="AT179" i="1"/>
  <c r="AT178" i="1"/>
  <c r="AT177" i="1"/>
  <c r="AT176" i="1"/>
  <c r="AT175" i="1"/>
  <c r="A360" i="2"/>
  <c r="E360" i="2"/>
  <c r="A359" i="2"/>
  <c r="E359" i="2"/>
  <c r="A358" i="2"/>
  <c r="E358" i="2"/>
  <c r="A357" i="2"/>
  <c r="E357" i="2"/>
  <c r="A356" i="2"/>
  <c r="E356" i="2"/>
  <c r="A355" i="2"/>
  <c r="E355" i="2"/>
  <c r="A354" i="2"/>
  <c r="E354" i="2"/>
  <c r="E353" i="2"/>
  <c r="A353" i="2"/>
  <c r="A352" i="2"/>
  <c r="AT66" i="1"/>
  <c r="AT67" i="1"/>
  <c r="A351" i="2"/>
  <c r="E351" i="2"/>
  <c r="G97" i="1"/>
  <c r="G98" i="1"/>
  <c r="G99" i="1"/>
  <c r="G100" i="1"/>
  <c r="G101" i="1"/>
  <c r="G102" i="1"/>
  <c r="G96" i="1"/>
  <c r="AS90" i="1"/>
  <c r="AT23" i="1"/>
  <c r="AS18" i="1"/>
  <c r="AT168" i="1"/>
  <c r="AT156" i="1"/>
  <c r="AT172" i="1"/>
  <c r="AT174" i="1"/>
  <c r="AT162" i="1"/>
  <c r="AT149" i="1"/>
  <c r="AT173" i="1"/>
  <c r="AT171" i="1"/>
  <c r="AT170" i="1"/>
  <c r="AT169" i="1"/>
  <c r="AT167" i="1"/>
  <c r="AT165" i="1"/>
  <c r="AT164" i="1"/>
  <c r="AT163" i="1"/>
  <c r="AT161" i="1"/>
  <c r="AT159" i="1"/>
  <c r="AT158" i="1"/>
  <c r="AT157" i="1"/>
  <c r="AT155" i="1"/>
  <c r="AT154" i="1"/>
  <c r="AT153" i="1"/>
  <c r="AT152" i="1"/>
  <c r="AT151" i="1"/>
  <c r="AT150" i="1"/>
  <c r="E59" i="2"/>
  <c r="E4" i="2"/>
  <c r="E13" i="2"/>
  <c r="E15" i="2"/>
  <c r="E6" i="2"/>
  <c r="E5" i="2"/>
  <c r="E26" i="2"/>
  <c r="E43" i="2"/>
  <c r="E38" i="2"/>
  <c r="E39" i="2"/>
  <c r="S175" i="1"/>
  <c r="E49" i="2"/>
  <c r="E51" i="2"/>
  <c r="Q175" i="1"/>
  <c r="E34" i="2"/>
  <c r="S150" i="1"/>
  <c r="S151" i="1"/>
  <c r="S152" i="1"/>
  <c r="S153" i="1"/>
  <c r="S154" i="1"/>
  <c r="S155" i="1"/>
  <c r="S149" i="1"/>
  <c r="E47" i="2"/>
  <c r="E52" i="2"/>
  <c r="E62" i="2"/>
  <c r="E48" i="2"/>
  <c r="E60" i="2"/>
  <c r="E24" i="2"/>
  <c r="E63" i="2"/>
  <c r="U158" i="1"/>
  <c r="U160" i="1"/>
  <c r="U156" i="1"/>
  <c r="E72" i="2"/>
  <c r="E85" i="2"/>
  <c r="E89" i="2"/>
  <c r="E90" i="2"/>
  <c r="E108" i="2"/>
  <c r="E109" i="2"/>
  <c r="E110" i="2"/>
  <c r="Y150" i="1"/>
  <c r="Y151" i="1"/>
  <c r="Y152" i="1"/>
  <c r="Y153" i="1"/>
  <c r="Y154" i="1"/>
  <c r="Y155" i="1"/>
  <c r="Y149" i="1"/>
  <c r="E121" i="2"/>
  <c r="Y175" i="1"/>
  <c r="E127" i="2"/>
  <c r="E128" i="2"/>
  <c r="E100" i="2"/>
  <c r="E75" i="2"/>
  <c r="E129" i="2"/>
  <c r="E122" i="2"/>
  <c r="E140" i="2"/>
  <c r="E130" i="2"/>
  <c r="E131" i="2"/>
  <c r="E132" i="2"/>
  <c r="E147" i="2"/>
  <c r="E148" i="2"/>
  <c r="E86" i="2"/>
  <c r="E99" i="2"/>
  <c r="AC150" i="1"/>
  <c r="AC151" i="1"/>
  <c r="AC152" i="1"/>
  <c r="AC153" i="1"/>
  <c r="AC154" i="1"/>
  <c r="AC155" i="1"/>
  <c r="AC149" i="1"/>
  <c r="E173" i="2"/>
  <c r="E174" i="2"/>
  <c r="E91" i="2"/>
  <c r="E44" i="2"/>
  <c r="E190" i="2"/>
  <c r="E204" i="2"/>
  <c r="E205" i="2"/>
  <c r="AF150" i="1"/>
  <c r="AF151" i="1"/>
  <c r="AF152" i="1"/>
  <c r="AF153" i="1"/>
  <c r="AF154" i="1"/>
  <c r="AF155" i="1"/>
  <c r="AF149" i="1"/>
  <c r="E221" i="2"/>
  <c r="E222" i="2"/>
  <c r="E157" i="2"/>
  <c r="AJ175" i="1"/>
  <c r="E250" i="2"/>
  <c r="E251" i="2"/>
  <c r="E241" i="2"/>
  <c r="E263" i="2"/>
  <c r="E264" i="2"/>
  <c r="E296" i="2"/>
  <c r="E297" i="2"/>
  <c r="E313" i="2"/>
  <c r="AQ156" i="1"/>
  <c r="E311" i="2"/>
  <c r="E314" i="2"/>
  <c r="AR149" i="1"/>
  <c r="E325" i="2"/>
  <c r="E331" i="2"/>
  <c r="E326" i="2"/>
  <c r="E327" i="2"/>
  <c r="E315" i="2"/>
  <c r="E332" i="2"/>
  <c r="E316" i="2"/>
  <c r="E347" i="2"/>
  <c r="L150" i="1"/>
  <c r="L151" i="1"/>
  <c r="L152" i="1"/>
  <c r="L153" i="1"/>
  <c r="L154" i="1"/>
  <c r="L155" i="1"/>
  <c r="L149" i="1"/>
  <c r="E7" i="2"/>
  <c r="E2" i="2"/>
  <c r="E8" i="2"/>
  <c r="E9" i="2"/>
  <c r="E10" i="2"/>
  <c r="N175" i="1"/>
  <c r="E16" i="2"/>
  <c r="E17" i="2"/>
  <c r="E18" i="2"/>
  <c r="E19" i="2"/>
  <c r="E20" i="2"/>
  <c r="E11" i="2"/>
  <c r="E22" i="2"/>
  <c r="E21" i="2"/>
  <c r="O175" i="1"/>
  <c r="E23" i="2"/>
  <c r="K150" i="1"/>
  <c r="K152" i="1"/>
  <c r="K154" i="1"/>
  <c r="K149" i="1"/>
  <c r="E3" i="2"/>
  <c r="E14" i="2"/>
  <c r="E12" i="2"/>
  <c r="P150" i="1"/>
  <c r="P151" i="1"/>
  <c r="P152" i="1"/>
  <c r="P153" i="1"/>
  <c r="P154" i="1"/>
  <c r="P155" i="1"/>
  <c r="P149" i="1"/>
  <c r="E28" i="2"/>
  <c r="E29" i="2"/>
  <c r="E27" i="2"/>
  <c r="Q150" i="1"/>
  <c r="Q151" i="1"/>
  <c r="Q152" i="1"/>
  <c r="Q153" i="1"/>
  <c r="Q154" i="1"/>
  <c r="Q155" i="1"/>
  <c r="Q149" i="1"/>
  <c r="E31" i="2"/>
  <c r="E32" i="2"/>
  <c r="E35" i="2"/>
  <c r="R150" i="1"/>
  <c r="R151" i="1"/>
  <c r="R152" i="1"/>
  <c r="R153" i="1"/>
  <c r="R154" i="1"/>
  <c r="R155" i="1"/>
  <c r="R149" i="1"/>
  <c r="E40" i="2"/>
  <c r="E36" i="2"/>
  <c r="E41" i="2"/>
  <c r="E42" i="2"/>
  <c r="E37" i="2"/>
  <c r="E50" i="2"/>
  <c r="E64" i="2"/>
  <c r="E68" i="2"/>
  <c r="E69" i="2"/>
  <c r="T175" i="1"/>
  <c r="E61" i="2"/>
  <c r="E70" i="2"/>
  <c r="E33" i="2"/>
  <c r="U150" i="1"/>
  <c r="U151" i="1"/>
  <c r="U152" i="1"/>
  <c r="U153" i="1"/>
  <c r="U154" i="1"/>
  <c r="U155" i="1"/>
  <c r="U149" i="1"/>
  <c r="E71" i="2"/>
  <c r="U175" i="1"/>
  <c r="E73" i="2"/>
  <c r="E84" i="2"/>
  <c r="E76" i="2"/>
  <c r="E87" i="2"/>
  <c r="E101" i="2"/>
  <c r="X175" i="1"/>
  <c r="E115" i="2"/>
  <c r="X150" i="1"/>
  <c r="X151" i="1"/>
  <c r="X152" i="1"/>
  <c r="X153" i="1"/>
  <c r="X154" i="1"/>
  <c r="X155" i="1"/>
  <c r="X149" i="1"/>
  <c r="E112" i="2"/>
  <c r="E141" i="2"/>
  <c r="E74" i="2"/>
  <c r="Z175" i="1"/>
  <c r="E146" i="2"/>
  <c r="AA150" i="1"/>
  <c r="AA151" i="1"/>
  <c r="AA152" i="1"/>
  <c r="AA153" i="1"/>
  <c r="AA154" i="1"/>
  <c r="AA149" i="1"/>
  <c r="E156" i="2"/>
  <c r="Z157" i="1"/>
  <c r="Z158" i="1"/>
  <c r="Z160" i="1"/>
  <c r="Z161" i="1"/>
  <c r="Z156" i="1"/>
  <c r="E144" i="2"/>
  <c r="AB150" i="1"/>
  <c r="AB151" i="1"/>
  <c r="AB152" i="1"/>
  <c r="AB153" i="1"/>
  <c r="AB154" i="1"/>
  <c r="AB155" i="1"/>
  <c r="AB149" i="1"/>
  <c r="E163" i="2"/>
  <c r="E164" i="2"/>
  <c r="Z150" i="1"/>
  <c r="Z151" i="1"/>
  <c r="Z152" i="1"/>
  <c r="Z153" i="1"/>
  <c r="Z154" i="1"/>
  <c r="Z155" i="1"/>
  <c r="Z149" i="1"/>
  <c r="E142" i="2"/>
  <c r="AC157" i="1"/>
  <c r="AC161" i="1"/>
  <c r="AC156" i="1"/>
  <c r="E176" i="2"/>
  <c r="E123" i="2"/>
  <c r="E189" i="2"/>
  <c r="E124" i="2"/>
  <c r="E165" i="2"/>
  <c r="E203" i="2"/>
  <c r="E175" i="2"/>
  <c r="E223" i="2"/>
  <c r="E234" i="2"/>
  <c r="AH175" i="1"/>
  <c r="E233" i="2"/>
  <c r="E239" i="2"/>
  <c r="E247" i="2"/>
  <c r="AJ163" i="1"/>
  <c r="AJ165" i="1"/>
  <c r="AJ166" i="1"/>
  <c r="AJ167" i="1"/>
  <c r="AJ162" i="1"/>
  <c r="E249" i="2"/>
  <c r="AH150" i="1"/>
  <c r="AH151" i="1"/>
  <c r="AH152" i="1"/>
  <c r="AH153" i="1"/>
  <c r="AH154" i="1"/>
  <c r="AH155" i="1"/>
  <c r="AH149" i="1"/>
  <c r="E232" i="2"/>
  <c r="AK150" i="1"/>
  <c r="AK151" i="1"/>
  <c r="AK152" i="1"/>
  <c r="AK153" i="1"/>
  <c r="AK154" i="1"/>
  <c r="AK155" i="1"/>
  <c r="AK149" i="1"/>
  <c r="E253" i="2"/>
  <c r="AM150" i="1"/>
  <c r="AM151" i="1"/>
  <c r="AM152" i="1"/>
  <c r="AM153" i="1"/>
  <c r="AM154" i="1"/>
  <c r="AM155" i="1"/>
  <c r="AM149" i="1"/>
  <c r="E265" i="2"/>
  <c r="E268" i="2"/>
  <c r="E269" i="2"/>
  <c r="AM175" i="1"/>
  <c r="E266" i="2"/>
  <c r="AN175" i="1"/>
  <c r="E276" i="2"/>
  <c r="E267" i="2"/>
  <c r="E280" i="2"/>
  <c r="E348" i="2"/>
  <c r="A348" i="2"/>
  <c r="A280" i="2"/>
  <c r="A267" i="2"/>
  <c r="A276" i="2"/>
  <c r="A266" i="2"/>
  <c r="A269" i="2"/>
  <c r="A268" i="2"/>
  <c r="A265" i="2"/>
  <c r="A253" i="2"/>
  <c r="A232" i="2"/>
  <c r="A249" i="2"/>
  <c r="A247" i="2"/>
  <c r="A239" i="2"/>
  <c r="A233" i="2"/>
  <c r="A234" i="2"/>
  <c r="A223" i="2"/>
  <c r="A175" i="2"/>
  <c r="A203" i="2"/>
  <c r="A165" i="2"/>
  <c r="A124" i="2"/>
  <c r="A189" i="2"/>
  <c r="A123" i="2"/>
  <c r="A176" i="2"/>
  <c r="A142" i="2"/>
  <c r="A164" i="2"/>
  <c r="A163" i="2"/>
  <c r="A144" i="2"/>
  <c r="A156" i="2"/>
  <c r="A146" i="2"/>
  <c r="A74" i="2"/>
  <c r="A141" i="2"/>
  <c r="A112" i="2"/>
  <c r="A115" i="2"/>
  <c r="A101" i="2"/>
  <c r="A87" i="2"/>
  <c r="A76" i="2"/>
  <c r="A84" i="2"/>
  <c r="A73" i="2"/>
  <c r="A71" i="2"/>
  <c r="A33" i="2"/>
  <c r="A70" i="2"/>
  <c r="A61" i="2"/>
  <c r="A69" i="2"/>
  <c r="A68" i="2"/>
  <c r="A64" i="2"/>
  <c r="A50" i="2"/>
  <c r="A37" i="2"/>
  <c r="A42" i="2"/>
  <c r="A41" i="2"/>
  <c r="A36" i="2"/>
  <c r="A40" i="2"/>
  <c r="A35" i="2"/>
  <c r="A32" i="2"/>
  <c r="A31" i="2"/>
  <c r="A27" i="2"/>
  <c r="A29" i="2"/>
  <c r="A28" i="2"/>
  <c r="A12" i="2"/>
  <c r="A14" i="2"/>
  <c r="A3" i="2"/>
  <c r="A23" i="2"/>
  <c r="A21" i="2"/>
  <c r="A22" i="2"/>
  <c r="A11" i="2"/>
  <c r="A20" i="2"/>
  <c r="A19" i="2"/>
  <c r="A18" i="2"/>
  <c r="A17" i="2"/>
  <c r="A16" i="2"/>
  <c r="A10" i="2"/>
  <c r="A9" i="2"/>
  <c r="A8" i="2"/>
  <c r="A2" i="2"/>
  <c r="A7" i="2"/>
  <c r="A347" i="2"/>
  <c r="A316" i="2"/>
  <c r="A332" i="2"/>
  <c r="A315" i="2"/>
  <c r="A327" i="2"/>
  <c r="A326" i="2"/>
  <c r="A331" i="2"/>
  <c r="A325" i="2"/>
  <c r="A314" i="2"/>
  <c r="A311" i="2"/>
  <c r="A313" i="2"/>
  <c r="A297" i="2"/>
  <c r="A296" i="2"/>
  <c r="A264" i="2"/>
  <c r="A263" i="2"/>
  <c r="A241" i="2"/>
  <c r="A251" i="2"/>
  <c r="A250" i="2"/>
  <c r="A157" i="2"/>
  <c r="A222" i="2"/>
  <c r="A221" i="2"/>
  <c r="A205" i="2"/>
  <c r="A204" i="2"/>
  <c r="A190" i="2"/>
  <c r="A44" i="2"/>
  <c r="A91" i="2"/>
  <c r="A174" i="2"/>
  <c r="A173" i="2"/>
  <c r="A99" i="2"/>
  <c r="A86" i="2"/>
  <c r="A148" i="2"/>
  <c r="A147" i="2"/>
  <c r="A132" i="2"/>
  <c r="A131" i="2"/>
  <c r="A130" i="2"/>
  <c r="A140" i="2"/>
  <c r="A122" i="2"/>
  <c r="A129" i="2"/>
  <c r="A75" i="2"/>
  <c r="A100" i="2"/>
  <c r="A128" i="2"/>
  <c r="A127" i="2"/>
  <c r="A121" i="2"/>
  <c r="A110" i="2"/>
  <c r="A109" i="2"/>
  <c r="A108" i="2"/>
  <c r="A90" i="2"/>
  <c r="A89" i="2"/>
  <c r="A85" i="2"/>
  <c r="A72" i="2"/>
  <c r="A63" i="2"/>
  <c r="A24" i="2"/>
  <c r="A60" i="2"/>
  <c r="A48" i="2"/>
  <c r="A62" i="2"/>
  <c r="A52" i="2"/>
  <c r="A47" i="2"/>
  <c r="A34" i="2"/>
  <c r="A51" i="2"/>
  <c r="A49" i="2"/>
  <c r="A39" i="2"/>
  <c r="A38" i="2"/>
  <c r="A43" i="2"/>
  <c r="A26" i="2"/>
  <c r="A5" i="2"/>
  <c r="A6" i="2"/>
  <c r="A15" i="2"/>
  <c r="A13" i="2"/>
  <c r="A4" i="2"/>
  <c r="L197" i="1"/>
  <c r="M197" i="1"/>
  <c r="N197" i="1"/>
  <c r="O197" i="1"/>
  <c r="P197" i="1"/>
  <c r="Q197" i="1"/>
  <c r="R197" i="1"/>
  <c r="S197" i="1"/>
  <c r="T197" i="1"/>
  <c r="U197" i="1"/>
  <c r="V197" i="1"/>
  <c r="W197" i="1"/>
  <c r="X197" i="1"/>
  <c r="Y197" i="1"/>
  <c r="Z197" i="1"/>
  <c r="AA197" i="1"/>
  <c r="AB197" i="1"/>
  <c r="AC197" i="1"/>
  <c r="AD197" i="1"/>
  <c r="AE197" i="1"/>
  <c r="AF197" i="1"/>
  <c r="AG197" i="1"/>
  <c r="AH197" i="1"/>
  <c r="AI197" i="1"/>
  <c r="AJ197" i="1"/>
  <c r="AK197" i="1"/>
  <c r="AL197" i="1"/>
  <c r="AM197" i="1"/>
  <c r="AN197" i="1"/>
  <c r="AO197" i="1"/>
  <c r="AP197" i="1"/>
  <c r="AQ197" i="1"/>
  <c r="AR197" i="1"/>
  <c r="AS197" i="1"/>
  <c r="K197" i="1"/>
  <c r="G203" i="1"/>
  <c r="G202" i="1"/>
  <c r="G201" i="1"/>
  <c r="G200" i="1"/>
  <c r="G199" i="1"/>
  <c r="G198" i="1"/>
  <c r="J197" i="1"/>
  <c r="I197" i="1"/>
  <c r="G197" i="1"/>
  <c r="A59" i="2"/>
  <c r="AD115" i="1"/>
  <c r="E188" i="2"/>
  <c r="G3" i="1"/>
  <c r="G4" i="1"/>
  <c r="G190" i="1"/>
  <c r="G191" i="1"/>
  <c r="G192" i="1"/>
  <c r="G193" i="1"/>
  <c r="G194" i="1"/>
  <c r="G195" i="1"/>
  <c r="G196"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2" i="1"/>
  <c r="AG18" i="1"/>
  <c r="AF18" i="1"/>
  <c r="J189" i="1"/>
  <c r="J182" i="1"/>
  <c r="J181" i="1"/>
  <c r="J175" i="1"/>
  <c r="J168" i="1"/>
  <c r="J162" i="1"/>
  <c r="J156" i="1"/>
  <c r="J149" i="1"/>
  <c r="J142" i="1"/>
  <c r="J135" i="1"/>
  <c r="J134" i="1"/>
  <c r="J128" i="1"/>
  <c r="J121" i="1"/>
  <c r="J115" i="1"/>
  <c r="J109" i="1"/>
  <c r="J103" i="1"/>
  <c r="J97" i="1"/>
  <c r="J96" i="1"/>
  <c r="J90" i="1"/>
  <c r="J84" i="1"/>
  <c r="J78" i="1"/>
  <c r="J72" i="1"/>
  <c r="J66" i="1"/>
  <c r="J60" i="1"/>
  <c r="J59" i="1"/>
  <c r="J58" i="1"/>
  <c r="J52" i="1"/>
  <c r="J46" i="1"/>
  <c r="J45" i="1"/>
  <c r="J44" i="1"/>
  <c r="J38" i="1"/>
  <c r="J32" i="1"/>
  <c r="J31" i="1"/>
  <c r="J30" i="1"/>
  <c r="J24" i="1"/>
  <c r="J18" i="1"/>
  <c r="J17" i="1"/>
  <c r="J11" i="1"/>
  <c r="J5" i="1"/>
  <c r="J191" i="1"/>
  <c r="J190" i="1"/>
  <c r="J4" i="1"/>
  <c r="J3" i="1"/>
  <c r="J2" i="1"/>
  <c r="I189" i="1"/>
  <c r="I182" i="1"/>
  <c r="I181" i="1"/>
  <c r="I175" i="1"/>
  <c r="I168" i="1"/>
  <c r="I162" i="1"/>
  <c r="I156" i="1"/>
  <c r="I149" i="1"/>
  <c r="I142" i="1"/>
  <c r="I135" i="1"/>
  <c r="I134" i="1"/>
  <c r="I128" i="1"/>
  <c r="I121" i="1"/>
  <c r="I115" i="1"/>
  <c r="I109" i="1"/>
  <c r="I103" i="1"/>
  <c r="I97" i="1"/>
  <c r="I96" i="1"/>
  <c r="I90" i="1"/>
  <c r="I84" i="1"/>
  <c r="I78" i="1"/>
  <c r="I72" i="1"/>
  <c r="I66" i="1"/>
  <c r="I60" i="1"/>
  <c r="I59" i="1"/>
  <c r="I58" i="1"/>
  <c r="I52" i="1"/>
  <c r="I46" i="1"/>
  <c r="I45" i="1"/>
  <c r="I44" i="1"/>
  <c r="I38" i="1"/>
  <c r="I32" i="1"/>
  <c r="I31" i="1"/>
  <c r="I30" i="1"/>
  <c r="I24" i="1"/>
  <c r="I18" i="1"/>
  <c r="I17" i="1"/>
  <c r="I11" i="1"/>
  <c r="I5" i="1"/>
  <c r="I191" i="1"/>
  <c r="I190" i="1"/>
  <c r="I4" i="1"/>
  <c r="I3" i="1"/>
  <c r="I2" i="1"/>
  <c r="AS188" i="1"/>
  <c r="A346" i="2"/>
  <c r="E346" i="2"/>
  <c r="E338" i="2"/>
  <c r="A338" i="2"/>
  <c r="AS187" i="1"/>
  <c r="AS186" i="1"/>
  <c r="AS185" i="1"/>
  <c r="AS184" i="1"/>
  <c r="AS183" i="1"/>
  <c r="AS182" i="1"/>
  <c r="AS91" i="1"/>
  <c r="AS92" i="1"/>
  <c r="AS93" i="1"/>
  <c r="AS95" i="1"/>
  <c r="AS94" i="1"/>
  <c r="A345" i="2"/>
  <c r="AS174" i="1"/>
  <c r="AS168" i="1"/>
  <c r="E345" i="2"/>
  <c r="AS162" i="1"/>
  <c r="AS156" i="1"/>
  <c r="AS161" i="1"/>
  <c r="AS160" i="1"/>
  <c r="AS159" i="1"/>
  <c r="AS158" i="1"/>
  <c r="AS157" i="1"/>
  <c r="AS149" i="1"/>
  <c r="AS155" i="1"/>
  <c r="AS154" i="1"/>
  <c r="AS153" i="1"/>
  <c r="AS152" i="1"/>
  <c r="AS151" i="1"/>
  <c r="AS150" i="1"/>
  <c r="AS173" i="1"/>
  <c r="AS172" i="1"/>
  <c r="AS171" i="1"/>
  <c r="AS170" i="1"/>
  <c r="AS169" i="1"/>
  <c r="AS167" i="1"/>
  <c r="AS166" i="1"/>
  <c r="AS165" i="1"/>
  <c r="AS164" i="1"/>
  <c r="AS163" i="1"/>
  <c r="AS175" i="1"/>
  <c r="AS176" i="1"/>
  <c r="AS180" i="1"/>
  <c r="AS179" i="1"/>
  <c r="AS178" i="1"/>
  <c r="AS177" i="1"/>
  <c r="A344" i="2"/>
  <c r="AS115" i="1"/>
  <c r="E344" i="2"/>
  <c r="A342" i="2"/>
  <c r="E342" i="2"/>
  <c r="A337" i="2"/>
  <c r="E337" i="2"/>
  <c r="A341" i="2"/>
  <c r="AS44" i="1"/>
  <c r="E341" i="2"/>
  <c r="A339" i="2"/>
  <c r="E339" i="2"/>
  <c r="AS19" i="1"/>
  <c r="AS23" i="1"/>
  <c r="A343" i="2"/>
  <c r="E343" i="2"/>
  <c r="A340" i="2"/>
  <c r="E340" i="2"/>
  <c r="A336" i="2"/>
  <c r="E336" i="2"/>
  <c r="K2" i="1"/>
  <c r="AR188" i="1"/>
  <c r="AR187" i="1"/>
  <c r="AR186" i="1"/>
  <c r="AR185" i="1"/>
  <c r="AR184" i="1"/>
  <c r="AR183" i="1"/>
  <c r="AR182" i="1"/>
  <c r="AR95" i="1"/>
  <c r="AR94" i="1"/>
  <c r="AR93" i="1"/>
  <c r="AR92" i="1"/>
  <c r="AR91" i="1"/>
  <c r="AR90" i="1"/>
  <c r="A322" i="2"/>
  <c r="E322" i="2"/>
  <c r="AR64" i="1"/>
  <c r="AR63" i="1"/>
  <c r="AR61" i="1"/>
  <c r="AR71" i="1"/>
  <c r="A324" i="2"/>
  <c r="E324" i="2"/>
  <c r="AR44" i="1"/>
  <c r="E323" i="2"/>
  <c r="A323" i="2"/>
  <c r="A321" i="2"/>
  <c r="AR23" i="1"/>
  <c r="AR18" i="1"/>
  <c r="E321" i="2"/>
  <c r="AQ18" i="1"/>
  <c r="AQ115" i="1"/>
  <c r="E319" i="2"/>
  <c r="A319" i="2"/>
  <c r="A318" i="2"/>
  <c r="E318" i="2"/>
  <c r="A335" i="2"/>
  <c r="E335" i="2"/>
  <c r="A334" i="2"/>
  <c r="E334" i="2"/>
  <c r="A333" i="2"/>
  <c r="E333" i="2"/>
  <c r="A320" i="2"/>
  <c r="E320" i="2"/>
  <c r="A329" i="2"/>
  <c r="AR156" i="1"/>
  <c r="E328" i="2"/>
  <c r="A328" i="2"/>
  <c r="A330" i="2"/>
  <c r="AR168" i="1"/>
  <c r="E330" i="2"/>
  <c r="AR174" i="1"/>
  <c r="AR173" i="1"/>
  <c r="AR172" i="1"/>
  <c r="AR171" i="1"/>
  <c r="AR170" i="1"/>
  <c r="AR169" i="1"/>
  <c r="AR162" i="1"/>
  <c r="AR157" i="1"/>
  <c r="AR167" i="1"/>
  <c r="AR166" i="1"/>
  <c r="AR165" i="1"/>
  <c r="AR164" i="1"/>
  <c r="AR163" i="1"/>
  <c r="AR159" i="1"/>
  <c r="AR161" i="1"/>
  <c r="AR160" i="1"/>
  <c r="AR158" i="1"/>
  <c r="AR155" i="1"/>
  <c r="AR154" i="1"/>
  <c r="AR153" i="1"/>
  <c r="AR152" i="1"/>
  <c r="AR151" i="1"/>
  <c r="AR150" i="1"/>
  <c r="AQ150" i="1"/>
  <c r="AQ168" i="1"/>
  <c r="E312" i="2"/>
  <c r="E307" i="2"/>
  <c r="AQ149" i="1"/>
  <c r="AQ162" i="1"/>
  <c r="A303" i="2"/>
  <c r="E303" i="2"/>
  <c r="A312" i="2"/>
  <c r="A310" i="2"/>
  <c r="A309" i="2"/>
  <c r="A308" i="2"/>
  <c r="E308" i="2"/>
  <c r="A307" i="2"/>
  <c r="A306" i="2"/>
  <c r="E306" i="2"/>
  <c r="A305" i="2"/>
  <c r="AQ174" i="1"/>
  <c r="AQ173" i="1"/>
  <c r="AQ172" i="1"/>
  <c r="AQ171" i="1"/>
  <c r="AQ170" i="1"/>
  <c r="AQ169" i="1"/>
  <c r="AQ157" i="1"/>
  <c r="AQ182" i="1"/>
  <c r="AQ183" i="1"/>
  <c r="AQ188" i="1"/>
  <c r="AQ187" i="1"/>
  <c r="AQ186" i="1"/>
  <c r="AQ185" i="1"/>
  <c r="AQ184" i="1"/>
  <c r="AQ95" i="1"/>
  <c r="AQ94" i="1"/>
  <c r="AQ93" i="1"/>
  <c r="AQ92" i="1"/>
  <c r="AQ91" i="1"/>
  <c r="AQ90" i="1"/>
  <c r="A304" i="2"/>
  <c r="E304" i="2"/>
  <c r="A302" i="2"/>
  <c r="AQ44" i="1"/>
  <c r="E302" i="2"/>
  <c r="A300" i="2"/>
  <c r="E300" i="2"/>
  <c r="AQ22" i="1"/>
  <c r="AQ21" i="1"/>
  <c r="AQ155" i="1"/>
  <c r="AQ151" i="1"/>
  <c r="AQ152" i="1"/>
  <c r="AQ153" i="1"/>
  <c r="AQ154" i="1"/>
  <c r="AQ167" i="1"/>
  <c r="AQ166" i="1"/>
  <c r="AQ165" i="1"/>
  <c r="AQ163" i="1"/>
  <c r="AQ161" i="1"/>
  <c r="AQ160" i="1"/>
  <c r="AQ159" i="1"/>
  <c r="A301" i="2"/>
  <c r="E301" i="2"/>
  <c r="A317" i="2"/>
  <c r="E317" i="2"/>
  <c r="A292" i="2"/>
  <c r="AP150" i="1"/>
  <c r="AP151" i="1"/>
  <c r="AP152" i="1"/>
  <c r="AP153" i="1"/>
  <c r="AP154" i="1"/>
  <c r="AP155" i="1"/>
  <c r="AP149" i="1"/>
  <c r="AP162" i="1"/>
  <c r="AP167" i="1"/>
  <c r="AP165" i="1"/>
  <c r="AP164" i="1"/>
  <c r="AP163" i="1"/>
  <c r="AP157" i="1"/>
  <c r="AP158" i="1"/>
  <c r="AP159" i="1"/>
  <c r="AP161" i="1"/>
  <c r="AP156" i="1"/>
  <c r="A298" i="2"/>
  <c r="E298" i="2"/>
  <c r="A290" i="2"/>
  <c r="E290" i="2"/>
  <c r="A289" i="2"/>
  <c r="E289" i="2"/>
  <c r="A294" i="2"/>
  <c r="AP169" i="1"/>
  <c r="AP170" i="1"/>
  <c r="AP171" i="1"/>
  <c r="AP172" i="1"/>
  <c r="AP173" i="1"/>
  <c r="AP174" i="1"/>
  <c r="AP168" i="1"/>
  <c r="E295" i="2"/>
  <c r="A295" i="2"/>
  <c r="A293" i="2"/>
  <c r="A291" i="2"/>
  <c r="AO169" i="1"/>
  <c r="AO170" i="1"/>
  <c r="AO171" i="1"/>
  <c r="AO172" i="1"/>
  <c r="AO173" i="1"/>
  <c r="AO174" i="1"/>
  <c r="AO168" i="1"/>
  <c r="AO163" i="1"/>
  <c r="AO165" i="1"/>
  <c r="AO166" i="1"/>
  <c r="AO167" i="1"/>
  <c r="AO162" i="1"/>
  <c r="AO157" i="1"/>
  <c r="AO159" i="1"/>
  <c r="AO160" i="1"/>
  <c r="AO161" i="1"/>
  <c r="AO156" i="1"/>
  <c r="AO150" i="1"/>
  <c r="AO151" i="1"/>
  <c r="AO152" i="1"/>
  <c r="AO153" i="1"/>
  <c r="AO154" i="1"/>
  <c r="AO155" i="1"/>
  <c r="AO149" i="1"/>
  <c r="AP66" i="1"/>
  <c r="E287" i="2"/>
  <c r="AP71" i="1"/>
  <c r="AP69" i="1"/>
  <c r="AP70" i="1"/>
  <c r="AP67" i="1"/>
  <c r="A283" i="2"/>
  <c r="AP18" i="1"/>
  <c r="E283" i="2"/>
  <c r="AP22" i="1"/>
  <c r="AP21" i="1"/>
  <c r="A285" i="2"/>
  <c r="AP44" i="1"/>
  <c r="E285" i="2"/>
  <c r="A287" i="2"/>
  <c r="A286" i="2"/>
  <c r="E286" i="2"/>
  <c r="A284" i="2"/>
  <c r="E284" i="2"/>
  <c r="A299" i="2"/>
  <c r="E299" i="2"/>
  <c r="A282" i="2"/>
  <c r="E282" i="2"/>
  <c r="AP115" i="1"/>
  <c r="E288" i="2"/>
  <c r="AP182" i="1"/>
  <c r="AP188" i="1"/>
  <c r="AP187" i="1"/>
  <c r="AP186" i="1"/>
  <c r="AP185" i="1"/>
  <c r="AP184" i="1"/>
  <c r="AP183" i="1"/>
  <c r="AP95" i="1"/>
  <c r="AP94" i="1"/>
  <c r="AP93" i="1"/>
  <c r="AP92" i="1"/>
  <c r="AP91" i="1"/>
  <c r="AP90" i="1"/>
  <c r="A288" i="2"/>
  <c r="AO175" i="1"/>
  <c r="AL175" i="1"/>
  <c r="AK175" i="1"/>
  <c r="AI175" i="1"/>
  <c r="AG175" i="1"/>
  <c r="AF175" i="1"/>
  <c r="AE175" i="1"/>
  <c r="AD175" i="1"/>
  <c r="AC175" i="1"/>
  <c r="AB175" i="1"/>
  <c r="AA175" i="1"/>
  <c r="W175" i="1"/>
  <c r="V175" i="1"/>
  <c r="R175" i="1"/>
  <c r="K103" i="1"/>
  <c r="L103" i="1"/>
  <c r="M103" i="1"/>
  <c r="N103" i="1"/>
  <c r="O103" i="1"/>
  <c r="P103" i="1"/>
  <c r="A279" i="2"/>
  <c r="E278" i="2"/>
  <c r="E279" i="2"/>
  <c r="A278" i="2"/>
  <c r="A277" i="2"/>
  <c r="AO60" i="1"/>
  <c r="E277" i="2"/>
  <c r="A281" i="2"/>
  <c r="AO190" i="1"/>
  <c r="E281" i="2"/>
  <c r="AN90" i="1"/>
  <c r="AO188" i="1"/>
  <c r="AO187" i="1"/>
  <c r="AO186" i="1"/>
  <c r="AO185" i="1"/>
  <c r="AO184" i="1"/>
  <c r="AO183" i="1"/>
  <c r="AO182" i="1"/>
  <c r="AO95" i="1"/>
  <c r="AO94" i="1"/>
  <c r="AO93" i="1"/>
  <c r="AO92" i="1"/>
  <c r="AO91" i="1"/>
  <c r="AO90" i="1"/>
  <c r="AO18" i="1"/>
  <c r="AO44" i="1"/>
  <c r="AO191" i="1"/>
  <c r="AO114" i="1"/>
  <c r="AO113" i="1"/>
  <c r="AO112" i="1"/>
  <c r="AO111" i="1"/>
  <c r="AO110" i="1"/>
  <c r="AO89" i="1"/>
  <c r="AO88" i="1"/>
  <c r="AO87" i="1"/>
  <c r="AO86" i="1"/>
  <c r="AO85" i="1"/>
  <c r="AO69" i="1"/>
  <c r="AO70" i="1"/>
  <c r="AO71" i="1"/>
  <c r="AO67" i="1"/>
  <c r="AO66" i="1"/>
  <c r="AO65" i="1"/>
  <c r="AO64" i="1"/>
  <c r="AO63" i="1"/>
  <c r="AO61" i="1"/>
  <c r="AO43" i="1"/>
  <c r="AO42" i="1"/>
  <c r="AO41" i="1"/>
  <c r="AO40" i="1"/>
  <c r="AO39" i="1"/>
  <c r="AO38" i="1"/>
  <c r="AO37" i="1"/>
  <c r="AO36" i="1"/>
  <c r="AO35" i="1"/>
  <c r="AO34" i="1"/>
  <c r="AO33" i="1"/>
  <c r="AO32" i="1"/>
  <c r="AO3" i="1"/>
  <c r="AO2" i="1"/>
  <c r="AN2" i="1"/>
  <c r="AL188" i="1"/>
  <c r="AL187" i="1"/>
  <c r="AL186" i="1"/>
  <c r="AL185" i="1"/>
  <c r="AL184" i="1"/>
  <c r="AL183" i="1"/>
  <c r="AL182" i="1"/>
  <c r="AM188" i="1"/>
  <c r="AM187" i="1"/>
  <c r="AM186" i="1"/>
  <c r="AM185" i="1"/>
  <c r="AM184" i="1"/>
  <c r="AM183" i="1"/>
  <c r="AM182" i="1"/>
  <c r="AN182" i="1"/>
  <c r="AN188" i="1"/>
  <c r="AN187" i="1"/>
  <c r="AN186" i="1"/>
  <c r="AN185" i="1"/>
  <c r="AN184" i="1"/>
  <c r="AN183" i="1"/>
  <c r="AN95" i="1"/>
  <c r="AN94" i="1"/>
  <c r="AN93" i="1"/>
  <c r="AN92" i="1"/>
  <c r="AN91" i="1"/>
  <c r="AN167" i="1"/>
  <c r="AN165" i="1"/>
  <c r="AN164" i="1"/>
  <c r="AN163" i="1"/>
  <c r="AN162" i="1"/>
  <c r="AN174" i="1"/>
  <c r="AN173" i="1"/>
  <c r="AN172" i="1"/>
  <c r="AN171" i="1"/>
  <c r="AN170" i="1"/>
  <c r="AN169" i="1"/>
  <c r="AN157" i="1"/>
  <c r="AN158" i="1"/>
  <c r="AN159" i="1"/>
  <c r="AN161" i="1"/>
  <c r="AN156" i="1"/>
  <c r="AN150" i="1"/>
  <c r="AN151" i="1"/>
  <c r="AN152" i="1"/>
  <c r="AN153" i="1"/>
  <c r="AN154" i="1"/>
  <c r="AN155" i="1"/>
  <c r="AN149" i="1"/>
  <c r="A273" i="2"/>
  <c r="AN44" i="1"/>
  <c r="E273" i="2"/>
  <c r="A272" i="2"/>
  <c r="E272" i="2"/>
  <c r="A275" i="2"/>
  <c r="E275" i="2"/>
  <c r="A274" i="2"/>
  <c r="E274" i="2"/>
  <c r="A271" i="2"/>
  <c r="E271" i="2"/>
  <c r="AN115" i="1"/>
  <c r="AN190" i="1"/>
  <c r="AN3" i="1"/>
  <c r="E242" i="2"/>
  <c r="AM95" i="1"/>
  <c r="AM94" i="1"/>
  <c r="AM93" i="1"/>
  <c r="AM92" i="1"/>
  <c r="AM91" i="1"/>
  <c r="AM90" i="1"/>
  <c r="AM5" i="1"/>
  <c r="E260" i="2"/>
  <c r="AM78" i="1"/>
  <c r="AL72" i="1"/>
  <c r="AM66" i="1"/>
  <c r="AM69" i="1"/>
  <c r="AL70" i="1"/>
  <c r="AL69" i="1"/>
  <c r="AL67" i="1"/>
  <c r="AL66" i="1"/>
  <c r="AM71" i="1"/>
  <c r="AM60" i="1"/>
  <c r="AL60" i="1"/>
  <c r="A270" i="2"/>
  <c r="AM190" i="1"/>
  <c r="E270" i="2"/>
  <c r="AM65" i="1"/>
  <c r="A261" i="2"/>
  <c r="E261" i="2"/>
  <c r="AM63" i="1"/>
  <c r="AL63" i="1"/>
  <c r="AL61" i="1"/>
  <c r="A260" i="2"/>
  <c r="AM52" i="1"/>
  <c r="E262" i="2"/>
  <c r="AL46" i="1"/>
  <c r="AM44" i="1"/>
  <c r="AM174" i="1"/>
  <c r="AM173" i="1"/>
  <c r="AM172" i="1"/>
  <c r="AM171" i="1"/>
  <c r="AM170" i="1"/>
  <c r="AM169" i="1"/>
  <c r="AM163" i="1"/>
  <c r="AM164" i="1"/>
  <c r="AM165" i="1"/>
  <c r="AM166" i="1"/>
  <c r="AM167" i="1"/>
  <c r="AM162" i="1"/>
  <c r="AL163" i="1"/>
  <c r="AL165" i="1"/>
  <c r="AL166" i="1"/>
  <c r="AL162" i="1"/>
  <c r="AL150" i="1"/>
  <c r="AL151" i="1"/>
  <c r="AL152" i="1"/>
  <c r="AL153" i="1"/>
  <c r="AL154" i="1"/>
  <c r="AL155" i="1"/>
  <c r="AL149" i="1"/>
  <c r="AM157" i="1"/>
  <c r="AM158" i="1"/>
  <c r="AM159" i="1"/>
  <c r="AM160" i="1"/>
  <c r="AM161" i="1"/>
  <c r="AM156" i="1"/>
  <c r="AL157" i="1"/>
  <c r="AL159" i="1"/>
  <c r="AL160" i="1"/>
  <c r="AL156" i="1"/>
  <c r="AL44" i="1"/>
  <c r="E257" i="2"/>
  <c r="AM38" i="1"/>
  <c r="AM43" i="1"/>
  <c r="AM42" i="1"/>
  <c r="AM41" i="1"/>
  <c r="AM40" i="1"/>
  <c r="AM39" i="1"/>
  <c r="AM32" i="1"/>
  <c r="AL32" i="1"/>
  <c r="AM37" i="1"/>
  <c r="AM36" i="1"/>
  <c r="AM35" i="1"/>
  <c r="AM34" i="1"/>
  <c r="AM33" i="1"/>
  <c r="AM24" i="1"/>
  <c r="AL24" i="1"/>
  <c r="AM115" i="1"/>
  <c r="AL18" i="1"/>
  <c r="E255" i="2"/>
  <c r="AL5" i="1"/>
  <c r="E254" i="2"/>
  <c r="AM191" i="1"/>
  <c r="AL191" i="1"/>
  <c r="AM3" i="1"/>
  <c r="AM2" i="1"/>
  <c r="AK188" i="1"/>
  <c r="AK187" i="1"/>
  <c r="AK186" i="1"/>
  <c r="AK185" i="1"/>
  <c r="AK184" i="1"/>
  <c r="AK183" i="1"/>
  <c r="AK182" i="1"/>
  <c r="AL95" i="1"/>
  <c r="AL94" i="1"/>
  <c r="AL93" i="1"/>
  <c r="AL92" i="1"/>
  <c r="AL91" i="1"/>
  <c r="AL90" i="1"/>
  <c r="A256" i="2"/>
  <c r="E256" i="2"/>
  <c r="AK167" i="1"/>
  <c r="AK166" i="1"/>
  <c r="AK163" i="1"/>
  <c r="AK162" i="1"/>
  <c r="AK169" i="1"/>
  <c r="AK170" i="1"/>
  <c r="AK171" i="1"/>
  <c r="AK172" i="1"/>
  <c r="AK173" i="1"/>
  <c r="AK174" i="1"/>
  <c r="AK168" i="1"/>
  <c r="AK157" i="1"/>
  <c r="AK160" i="1"/>
  <c r="AK161" i="1"/>
  <c r="AK156" i="1"/>
  <c r="E258" i="2"/>
  <c r="E259" i="2"/>
  <c r="AL115" i="1"/>
  <c r="AL71" i="1"/>
  <c r="AL65" i="1"/>
  <c r="AL64" i="1"/>
  <c r="AL43" i="1"/>
  <c r="AL42" i="1"/>
  <c r="AL41" i="1"/>
  <c r="AL40" i="1"/>
  <c r="AL39" i="1"/>
  <c r="AL37" i="1"/>
  <c r="AL36" i="1"/>
  <c r="AL35" i="1"/>
  <c r="AL34" i="1"/>
  <c r="AL33" i="1"/>
  <c r="AL22" i="1"/>
  <c r="AL23" i="1"/>
  <c r="AL169" i="1"/>
  <c r="AL170" i="1"/>
  <c r="AL171" i="1"/>
  <c r="AL172" i="1"/>
  <c r="AL173" i="1"/>
  <c r="AL174" i="1"/>
  <c r="AL168" i="1"/>
  <c r="AJ182" i="1"/>
  <c r="AK78" i="1"/>
  <c r="AK65" i="1"/>
  <c r="AK64" i="1"/>
  <c r="AK63" i="1"/>
  <c r="AK61" i="1"/>
  <c r="AK60" i="1"/>
  <c r="AK44" i="1"/>
  <c r="AK115" i="1"/>
  <c r="AK18" i="1"/>
  <c r="AJ157" i="1"/>
  <c r="AJ159" i="1"/>
  <c r="AJ160" i="1"/>
  <c r="AJ161" i="1"/>
  <c r="AJ156" i="1"/>
  <c r="E248" i="2"/>
  <c r="A238" i="2"/>
  <c r="E238" i="2"/>
  <c r="A245" i="2"/>
  <c r="E245" i="2"/>
  <c r="A243" i="2"/>
  <c r="E243" i="2"/>
  <c r="A25" i="2"/>
  <c r="A30" i="2"/>
  <c r="A54" i="2"/>
  <c r="A45" i="2"/>
  <c r="A53" i="2"/>
  <c r="A46" i="2"/>
  <c r="A66" i="2"/>
  <c r="A55" i="2"/>
  <c r="A56" i="2"/>
  <c r="A57" i="2"/>
  <c r="A58" i="2"/>
  <c r="A65" i="2"/>
  <c r="A67" i="2"/>
  <c r="A77" i="2"/>
  <c r="A83" i="2"/>
  <c r="A93" i="2"/>
  <c r="A92" i="2"/>
  <c r="A79" i="2"/>
  <c r="A80" i="2"/>
  <c r="A81" i="2"/>
  <c r="A82" i="2"/>
  <c r="A88" i="2"/>
  <c r="A78" i="2"/>
  <c r="A102" i="2"/>
  <c r="A95" i="2"/>
  <c r="A96" i="2"/>
  <c r="A97" i="2"/>
  <c r="A98" i="2"/>
  <c r="A94" i="2"/>
  <c r="A116" i="2"/>
  <c r="A104" i="2"/>
  <c r="A105" i="2"/>
  <c r="A103" i="2"/>
  <c r="A106" i="2"/>
  <c r="A111" i="2"/>
  <c r="A107" i="2"/>
  <c r="A113" i="2"/>
  <c r="A114" i="2"/>
  <c r="A120" i="2"/>
  <c r="A119" i="2"/>
  <c r="A118" i="2"/>
  <c r="A133" i="2"/>
  <c r="A117" i="2"/>
  <c r="A125" i="2"/>
  <c r="A126" i="2"/>
  <c r="A138" i="2"/>
  <c r="A139" i="2"/>
  <c r="A137" i="2"/>
  <c r="A136" i="2"/>
  <c r="A143" i="2"/>
  <c r="A145" i="2"/>
  <c r="A149" i="2"/>
  <c r="A134" i="2"/>
  <c r="A135" i="2"/>
  <c r="A158" i="2"/>
  <c r="A151" i="2"/>
  <c r="A150" i="2"/>
  <c r="A153" i="2"/>
  <c r="A152" i="2"/>
  <c r="A155" i="2"/>
  <c r="A154" i="2"/>
  <c r="A159" i="2"/>
  <c r="A160" i="2"/>
  <c r="A161" i="2"/>
  <c r="A162" i="2"/>
  <c r="A179" i="2"/>
  <c r="A166" i="2"/>
  <c r="A178" i="2"/>
  <c r="A167" i="2"/>
  <c r="A168" i="2"/>
  <c r="A169" i="2"/>
  <c r="A172" i="2"/>
  <c r="A177" i="2"/>
  <c r="A170" i="2"/>
  <c r="A171" i="2"/>
  <c r="A192" i="2"/>
  <c r="A193" i="2"/>
  <c r="A194" i="2"/>
  <c r="A180" i="2"/>
  <c r="A191" i="2"/>
  <c r="A184" i="2"/>
  <c r="A185" i="2"/>
  <c r="A186" i="2"/>
  <c r="A181" i="2"/>
  <c r="A187" i="2"/>
  <c r="A188" i="2"/>
  <c r="A182" i="2"/>
  <c r="A183" i="2"/>
  <c r="A207" i="2"/>
  <c r="A208" i="2"/>
  <c r="A209" i="2"/>
  <c r="A210" i="2"/>
  <c r="A211" i="2"/>
  <c r="A195" i="2"/>
  <c r="A206" i="2"/>
  <c r="A196" i="2"/>
  <c r="A197" i="2"/>
  <c r="A199" i="2"/>
  <c r="A200" i="2"/>
  <c r="A201" i="2"/>
  <c r="A202" i="2"/>
  <c r="A198" i="2"/>
  <c r="A225" i="2"/>
  <c r="A216" i="2"/>
  <c r="A217" i="2"/>
  <c r="A212" i="2"/>
  <c r="A218" i="2"/>
  <c r="A224" i="2"/>
  <c r="A213" i="2"/>
  <c r="A214" i="2"/>
  <c r="A215" i="2"/>
  <c r="A219" i="2"/>
  <c r="A220" i="2"/>
  <c r="A226" i="2"/>
  <c r="A349" i="2"/>
  <c r="A350" i="2"/>
  <c r="A227" i="2"/>
  <c r="A228" i="2"/>
  <c r="A229" i="2"/>
  <c r="A230" i="2"/>
  <c r="A231" i="2"/>
  <c r="A235" i="2"/>
  <c r="A236" i="2"/>
  <c r="A237" i="2"/>
  <c r="A248" i="2"/>
  <c r="A242" i="2"/>
  <c r="A240" i="2"/>
  <c r="A244" i="2"/>
  <c r="A246" i="2"/>
  <c r="A252" i="2"/>
  <c r="Q90" i="1"/>
  <c r="E30" i="2"/>
  <c r="E54" i="2"/>
  <c r="S61" i="1"/>
  <c r="S63" i="1"/>
  <c r="S64" i="1"/>
  <c r="S65" i="1"/>
  <c r="S60" i="1"/>
  <c r="E45" i="2"/>
  <c r="E53" i="2"/>
  <c r="E46" i="2"/>
  <c r="E66" i="2"/>
  <c r="T4" i="1"/>
  <c r="E56" i="2"/>
  <c r="E55" i="2"/>
  <c r="T190" i="1"/>
  <c r="E65" i="2"/>
  <c r="U3" i="1"/>
  <c r="E67" i="2"/>
  <c r="U190" i="1"/>
  <c r="E77" i="2"/>
  <c r="V109" i="1"/>
  <c r="E83" i="2"/>
  <c r="E93" i="2"/>
  <c r="V190" i="1"/>
  <c r="E92" i="2"/>
  <c r="V5" i="1"/>
  <c r="E79" i="2"/>
  <c r="V39" i="1"/>
  <c r="V40" i="1"/>
  <c r="V41" i="1"/>
  <c r="V42" i="1"/>
  <c r="V43" i="1"/>
  <c r="V38" i="1"/>
  <c r="E80" i="2"/>
  <c r="V44" i="1"/>
  <c r="E81" i="2"/>
  <c r="V52" i="1"/>
  <c r="E82" i="2"/>
  <c r="E88" i="2"/>
  <c r="E78" i="2"/>
  <c r="W190" i="1"/>
  <c r="E102" i="2"/>
  <c r="W39" i="1"/>
  <c r="W40" i="1"/>
  <c r="W41" i="1"/>
  <c r="W42" i="1"/>
  <c r="W43" i="1"/>
  <c r="W38" i="1"/>
  <c r="E95" i="2"/>
  <c r="W44" i="1"/>
  <c r="E96" i="2"/>
  <c r="W52" i="1"/>
  <c r="E97" i="2"/>
  <c r="W67" i="1"/>
  <c r="W66" i="1"/>
  <c r="E98" i="2"/>
  <c r="W18" i="1"/>
  <c r="E94" i="2"/>
  <c r="X190" i="1"/>
  <c r="E116" i="2"/>
  <c r="X39" i="1"/>
  <c r="X40" i="1"/>
  <c r="X41" i="1"/>
  <c r="X42" i="1"/>
  <c r="X43" i="1"/>
  <c r="X38" i="1"/>
  <c r="E104" i="2"/>
  <c r="X44" i="1"/>
  <c r="E105" i="2"/>
  <c r="E103" i="2"/>
  <c r="X52" i="1"/>
  <c r="E106" i="2"/>
  <c r="E111" i="2"/>
  <c r="X67" i="1"/>
  <c r="X68" i="1"/>
  <c r="X69" i="1"/>
  <c r="X71" i="1"/>
  <c r="X66" i="1"/>
  <c r="E107" i="2"/>
  <c r="X157" i="1"/>
  <c r="X158" i="1"/>
  <c r="X156" i="1"/>
  <c r="E113" i="2"/>
  <c r="X169" i="1"/>
  <c r="X170" i="1"/>
  <c r="X171" i="1"/>
  <c r="X172" i="1"/>
  <c r="X173" i="1"/>
  <c r="X174" i="1"/>
  <c r="X168" i="1"/>
  <c r="E114" i="2"/>
  <c r="Y52" i="1"/>
  <c r="E120" i="2"/>
  <c r="Y44" i="1"/>
  <c r="E119" i="2"/>
  <c r="Y38" i="1"/>
  <c r="E118" i="2"/>
  <c r="Y190" i="1"/>
  <c r="E133" i="2"/>
  <c r="Y18" i="1"/>
  <c r="E117" i="2"/>
  <c r="Y157" i="1"/>
  <c r="Y158" i="1"/>
  <c r="Y160" i="1"/>
  <c r="Y161" i="1"/>
  <c r="Y156" i="1"/>
  <c r="E125" i="2"/>
  <c r="Y169" i="1"/>
  <c r="Y170" i="1"/>
  <c r="Y171" i="1"/>
  <c r="Y172" i="1"/>
  <c r="Y173" i="1"/>
  <c r="Y174" i="1"/>
  <c r="Y168" i="1"/>
  <c r="E126" i="2"/>
  <c r="Z61" i="1"/>
  <c r="Z63" i="1"/>
  <c r="Z64" i="1"/>
  <c r="Z65" i="1"/>
  <c r="Z60" i="1"/>
  <c r="E138" i="2"/>
  <c r="Z67" i="1"/>
  <c r="Z69" i="1"/>
  <c r="Z70" i="1"/>
  <c r="Z71" i="1"/>
  <c r="Z66" i="1"/>
  <c r="E139" i="2"/>
  <c r="Z52" i="1"/>
  <c r="E137" i="2"/>
  <c r="Z44" i="1"/>
  <c r="E136" i="2"/>
  <c r="E143" i="2"/>
  <c r="Z169" i="1"/>
  <c r="Z170" i="1"/>
  <c r="Z171" i="1"/>
  <c r="Z172" i="1"/>
  <c r="Z173" i="1"/>
  <c r="Z174" i="1"/>
  <c r="Z168" i="1"/>
  <c r="E145" i="2"/>
  <c r="Z190" i="1"/>
  <c r="E149" i="2"/>
  <c r="Z18" i="1"/>
  <c r="E134" i="2"/>
  <c r="Z38" i="1"/>
  <c r="E135" i="2"/>
  <c r="AA190" i="1"/>
  <c r="E158" i="2"/>
  <c r="AA38" i="1"/>
  <c r="E151" i="2"/>
  <c r="AA18" i="1"/>
  <c r="E150" i="2"/>
  <c r="AA52" i="1"/>
  <c r="E153" i="2"/>
  <c r="AA44" i="1"/>
  <c r="E152" i="2"/>
  <c r="AA115" i="1"/>
  <c r="E155" i="2"/>
  <c r="AA61" i="1"/>
  <c r="AA63" i="1"/>
  <c r="AA64" i="1"/>
  <c r="AA65" i="1"/>
  <c r="AA60" i="1"/>
  <c r="E154" i="2"/>
  <c r="AB3" i="1"/>
  <c r="E159" i="2"/>
  <c r="AB4" i="1"/>
  <c r="E160" i="2"/>
  <c r="E161" i="2"/>
  <c r="AB52" i="1"/>
  <c r="E162" i="2"/>
  <c r="E179" i="2"/>
  <c r="AC2" i="1"/>
  <c r="E166" i="2"/>
  <c r="AC190" i="1"/>
  <c r="E178" i="2"/>
  <c r="AC18" i="1"/>
  <c r="E167" i="2"/>
  <c r="AC38" i="1"/>
  <c r="E168" i="2"/>
  <c r="AC52" i="1"/>
  <c r="E169" i="2"/>
  <c r="AC115" i="1"/>
  <c r="E172" i="2"/>
  <c r="AC169" i="1"/>
  <c r="AC170" i="1"/>
  <c r="AC171" i="1"/>
  <c r="AC172" i="1"/>
  <c r="AC173" i="1"/>
  <c r="AC168" i="1"/>
  <c r="E177" i="2"/>
  <c r="AC90" i="1"/>
  <c r="E170" i="2"/>
  <c r="E192" i="2"/>
  <c r="E193" i="2"/>
  <c r="E194" i="2"/>
  <c r="AD4" i="1"/>
  <c r="E180" i="2"/>
  <c r="AD190" i="1"/>
  <c r="E191" i="2"/>
  <c r="AD38" i="1"/>
  <c r="E184" i="2"/>
  <c r="E185" i="2"/>
  <c r="AD52" i="1"/>
  <c r="E186" i="2"/>
  <c r="E181" i="2"/>
  <c r="AD61" i="1"/>
  <c r="AD63" i="1"/>
  <c r="AD65" i="1"/>
  <c r="AD60" i="1"/>
  <c r="E187" i="2"/>
  <c r="AD18" i="1"/>
  <c r="E182" i="2"/>
  <c r="E183" i="2"/>
  <c r="E207" i="2"/>
  <c r="E208" i="2"/>
  <c r="E209" i="2"/>
  <c r="E210" i="2"/>
  <c r="E211" i="2"/>
  <c r="AE3" i="1"/>
  <c r="E195" i="2"/>
  <c r="AE190" i="1"/>
  <c r="E206" i="2"/>
  <c r="E196" i="2"/>
  <c r="E197" i="2"/>
  <c r="AE38" i="1"/>
  <c r="E199" i="2"/>
  <c r="E200" i="2"/>
  <c r="AE52" i="1"/>
  <c r="E201" i="2"/>
  <c r="AE61" i="1"/>
  <c r="AE63" i="1"/>
  <c r="AE65" i="1"/>
  <c r="AE60" i="1"/>
  <c r="E202" i="2"/>
  <c r="AE18" i="1"/>
  <c r="E198" i="2"/>
  <c r="E225" i="2"/>
  <c r="AF38" i="1"/>
  <c r="E216" i="2"/>
  <c r="AF44" i="1"/>
  <c r="E217" i="2"/>
  <c r="AF3" i="1"/>
  <c r="E212" i="2"/>
  <c r="E218" i="2"/>
  <c r="AF190" i="1"/>
  <c r="E224" i="2"/>
  <c r="E213" i="2"/>
  <c r="E214" i="2"/>
  <c r="E215" i="2"/>
  <c r="AF61" i="1"/>
  <c r="AF63" i="1"/>
  <c r="AF64" i="1"/>
  <c r="AF65" i="1"/>
  <c r="AF60" i="1"/>
  <c r="E219" i="2"/>
  <c r="AF67" i="1"/>
  <c r="AF69" i="1"/>
  <c r="AF70" i="1"/>
  <c r="AF71" i="1"/>
  <c r="AF66" i="1"/>
  <c r="E220" i="2"/>
  <c r="AG190" i="1"/>
  <c r="E226" i="2"/>
  <c r="E349" i="2"/>
  <c r="E350" i="2"/>
  <c r="E227" i="2"/>
  <c r="E228" i="2"/>
  <c r="E229" i="2"/>
  <c r="E230" i="2"/>
  <c r="E231" i="2"/>
  <c r="AI2" i="1"/>
  <c r="E235" i="2"/>
  <c r="AI3" i="1"/>
  <c r="E236" i="2"/>
  <c r="E237" i="2"/>
  <c r="E240" i="2"/>
  <c r="E244" i="2"/>
  <c r="E246" i="2"/>
  <c r="E252" i="2"/>
  <c r="P67" i="1"/>
  <c r="P69" i="1"/>
  <c r="P70" i="1"/>
  <c r="P71" i="1"/>
  <c r="P66" i="1"/>
  <c r="E25" i="2"/>
  <c r="AD173" i="1"/>
  <c r="AD172" i="1"/>
  <c r="AD171" i="1"/>
  <c r="AD170" i="1"/>
  <c r="AD169" i="1"/>
  <c r="AJ188" i="1"/>
  <c r="AJ187" i="1"/>
  <c r="AJ186" i="1"/>
  <c r="AJ185" i="1"/>
  <c r="AJ184" i="1"/>
  <c r="AJ183" i="1"/>
  <c r="AJ95" i="1"/>
  <c r="AJ94" i="1"/>
  <c r="AJ93" i="1"/>
  <c r="AJ92" i="1"/>
  <c r="AJ91" i="1"/>
  <c r="AJ90" i="1"/>
  <c r="AH163" i="1"/>
  <c r="AH165" i="1"/>
  <c r="AH166" i="1"/>
  <c r="AH167" i="1"/>
  <c r="AH162" i="1"/>
  <c r="AJ173" i="1"/>
  <c r="AJ172" i="1"/>
  <c r="AJ169" i="1"/>
  <c r="AJ170" i="1"/>
  <c r="AJ171" i="1"/>
  <c r="AJ168" i="1"/>
  <c r="AJ44" i="1"/>
  <c r="AJ115" i="1"/>
  <c r="AJ155" i="1"/>
  <c r="AJ154" i="1"/>
  <c r="AJ153" i="1"/>
  <c r="AJ152" i="1"/>
  <c r="AJ151" i="1"/>
  <c r="AJ150" i="1"/>
  <c r="AJ149" i="1"/>
  <c r="AI90" i="1"/>
  <c r="AI182" i="1"/>
  <c r="AI188" i="1"/>
  <c r="AI187" i="1"/>
  <c r="AI186" i="1"/>
  <c r="AI185" i="1"/>
  <c r="AI184" i="1"/>
  <c r="AI183" i="1"/>
  <c r="AI95" i="1"/>
  <c r="AI94" i="1"/>
  <c r="AI93" i="1"/>
  <c r="AI92" i="1"/>
  <c r="AI91" i="1"/>
  <c r="AI120" i="1"/>
  <c r="AI119" i="1"/>
  <c r="AI117" i="1"/>
  <c r="AI118" i="1"/>
  <c r="AI116" i="1"/>
  <c r="AI115" i="1"/>
  <c r="AI60" i="1"/>
  <c r="AI61" i="1"/>
  <c r="AI38" i="1"/>
  <c r="AI43" i="1"/>
  <c r="AI42" i="1"/>
  <c r="AI41" i="1"/>
  <c r="AI40" i="1"/>
  <c r="AI39" i="1"/>
  <c r="AI32" i="1"/>
  <c r="AI37" i="1"/>
  <c r="AI36" i="1"/>
  <c r="AI35" i="1"/>
  <c r="AI34" i="1"/>
  <c r="AI33" i="1"/>
  <c r="AI173" i="1"/>
  <c r="AI172" i="1"/>
  <c r="AI171" i="1"/>
  <c r="AI170" i="1"/>
  <c r="AI169" i="1"/>
  <c r="AI168" i="1"/>
  <c r="AI161" i="1"/>
  <c r="AI160" i="1"/>
  <c r="AI157" i="1"/>
  <c r="AI159" i="1"/>
  <c r="AI156" i="1"/>
  <c r="AI155" i="1"/>
  <c r="AI154" i="1"/>
  <c r="AI153" i="1"/>
  <c r="AI152" i="1"/>
  <c r="AI151" i="1"/>
  <c r="AI150" i="1"/>
  <c r="AI149" i="1"/>
  <c r="AH182" i="1"/>
  <c r="AH188" i="1"/>
  <c r="AH187" i="1"/>
  <c r="AH186" i="1"/>
  <c r="AH185" i="1"/>
  <c r="AH184" i="1"/>
  <c r="AH183" i="1"/>
  <c r="AH95" i="1"/>
  <c r="AH94" i="1"/>
  <c r="AH93" i="1"/>
  <c r="AH92" i="1"/>
  <c r="AH91" i="1"/>
  <c r="AH90" i="1"/>
  <c r="AG90" i="1"/>
  <c r="AF90" i="1"/>
  <c r="AH115" i="1"/>
  <c r="AH157" i="1"/>
  <c r="AH159" i="1"/>
  <c r="AH160" i="1"/>
  <c r="AH161" i="1"/>
  <c r="AH156" i="1"/>
  <c r="AH174" i="1"/>
  <c r="AH173" i="1"/>
  <c r="AH172" i="1"/>
  <c r="AH171" i="1"/>
  <c r="AH170" i="1"/>
  <c r="AH169" i="1"/>
  <c r="AG182" i="1"/>
  <c r="AG188" i="1"/>
  <c r="AG187" i="1"/>
  <c r="AG186" i="1"/>
  <c r="AG185" i="1"/>
  <c r="AG184" i="1"/>
  <c r="AG183" i="1"/>
  <c r="AG91" i="1"/>
  <c r="AG92" i="1"/>
  <c r="AG93" i="1"/>
  <c r="AG94" i="1"/>
  <c r="AG95" i="1"/>
  <c r="AG165" i="1"/>
  <c r="AG166" i="1"/>
  <c r="AG167" i="1"/>
  <c r="AG162" i="1"/>
  <c r="AF165" i="1"/>
  <c r="AF167" i="1"/>
  <c r="AF162" i="1"/>
  <c r="AG115" i="1"/>
  <c r="AG38" i="1"/>
  <c r="AG32" i="1"/>
  <c r="AG43" i="1"/>
  <c r="AG42" i="1"/>
  <c r="AG41" i="1"/>
  <c r="AG40" i="1"/>
  <c r="AG39" i="1"/>
  <c r="AF32" i="1"/>
  <c r="AG37" i="1"/>
  <c r="AG36" i="1"/>
  <c r="AG35" i="1"/>
  <c r="AG34" i="1"/>
  <c r="AG33" i="1"/>
  <c r="AG174" i="1"/>
  <c r="AG173" i="1"/>
  <c r="AG172" i="1"/>
  <c r="AG171" i="1"/>
  <c r="AG170" i="1"/>
  <c r="AG169" i="1"/>
  <c r="AF169" i="1"/>
  <c r="AG159" i="1"/>
  <c r="AG160" i="1"/>
  <c r="AG161" i="1"/>
  <c r="AG156" i="1"/>
  <c r="AG150" i="1"/>
  <c r="AG151" i="1"/>
  <c r="AG152" i="1"/>
  <c r="AG153" i="1"/>
  <c r="AG154" i="1"/>
  <c r="AG155" i="1"/>
  <c r="AG149" i="1"/>
  <c r="AG3" i="1"/>
  <c r="AG2" i="1"/>
  <c r="AF2" i="1"/>
  <c r="AF182" i="1"/>
  <c r="AF188" i="1"/>
  <c r="AF187" i="1"/>
  <c r="AF186" i="1"/>
  <c r="AF185" i="1"/>
  <c r="AF184" i="1"/>
  <c r="AF183" i="1"/>
  <c r="AF95" i="1"/>
  <c r="AF94" i="1"/>
  <c r="AF93" i="1"/>
  <c r="AF92" i="1"/>
  <c r="AF91" i="1"/>
  <c r="AF174" i="1"/>
  <c r="AF173" i="1"/>
  <c r="AF172" i="1"/>
  <c r="AF171" i="1"/>
  <c r="AF170" i="1"/>
  <c r="AF159" i="1"/>
  <c r="AF161" i="1"/>
  <c r="AF156" i="1"/>
  <c r="AF115" i="1"/>
  <c r="AF43" i="1"/>
  <c r="AF42" i="1"/>
  <c r="AF41" i="1"/>
  <c r="AF40" i="1"/>
  <c r="AF39" i="1"/>
  <c r="AF37" i="1"/>
  <c r="AF36" i="1"/>
  <c r="AF35" i="1"/>
  <c r="AF34" i="1"/>
  <c r="AF33" i="1"/>
  <c r="AE188" i="1"/>
  <c r="AE187" i="1"/>
  <c r="AE186" i="1"/>
  <c r="AE185" i="1"/>
  <c r="AE184" i="1"/>
  <c r="AE183" i="1"/>
  <c r="AE182" i="1"/>
  <c r="AE95" i="1"/>
  <c r="AE94" i="1"/>
  <c r="AE93" i="1"/>
  <c r="AE92" i="1"/>
  <c r="AE91" i="1"/>
  <c r="AE90" i="1"/>
  <c r="AE173" i="1"/>
  <c r="AE172" i="1"/>
  <c r="AE171" i="1"/>
  <c r="AE170" i="1"/>
  <c r="AE169" i="1"/>
  <c r="AE167" i="1"/>
  <c r="AE166" i="1"/>
  <c r="AE162" i="1"/>
  <c r="AE160" i="1"/>
  <c r="AE161" i="1"/>
  <c r="AE156" i="1"/>
  <c r="AE150" i="1"/>
  <c r="AE151" i="1"/>
  <c r="AE152" i="1"/>
  <c r="AE153" i="1"/>
  <c r="AE154" i="1"/>
  <c r="AE155" i="1"/>
  <c r="AE149" i="1"/>
  <c r="AE115" i="1"/>
  <c r="AE78" i="1"/>
  <c r="AE67" i="1"/>
  <c r="AE69" i="1"/>
  <c r="AE71" i="1"/>
  <c r="AE66" i="1"/>
  <c r="AE32" i="1"/>
  <c r="AE2" i="1"/>
  <c r="AD188" i="1"/>
  <c r="AD187" i="1"/>
  <c r="AD186" i="1"/>
  <c r="AD185" i="1"/>
  <c r="AD184" i="1"/>
  <c r="AD183" i="1"/>
  <c r="AD182" i="1"/>
  <c r="AD95" i="1"/>
  <c r="AD94" i="1"/>
  <c r="AD93" i="1"/>
  <c r="AD92" i="1"/>
  <c r="AD91" i="1"/>
  <c r="AD90" i="1"/>
  <c r="AD163" i="1"/>
  <c r="AD164" i="1"/>
  <c r="AD167" i="1"/>
  <c r="AD162" i="1"/>
  <c r="AD157" i="1"/>
  <c r="AD158" i="1"/>
  <c r="AD161" i="1"/>
  <c r="AD156" i="1"/>
  <c r="AD150" i="1"/>
  <c r="AD151" i="1"/>
  <c r="AD152" i="1"/>
  <c r="AD153" i="1"/>
  <c r="AD154" i="1"/>
  <c r="AD155" i="1"/>
  <c r="AD149" i="1"/>
  <c r="AD11" i="1"/>
  <c r="AD78" i="1"/>
  <c r="AD67" i="1"/>
  <c r="AD69" i="1"/>
  <c r="AD71" i="1"/>
  <c r="AD66" i="1"/>
  <c r="AD46" i="1"/>
  <c r="AD44" i="1"/>
  <c r="AD32" i="1"/>
  <c r="AD3" i="1"/>
  <c r="AD2" i="1"/>
  <c r="AC188" i="1"/>
  <c r="AC187" i="1"/>
  <c r="AC186" i="1"/>
  <c r="AC185" i="1"/>
  <c r="AC184" i="1"/>
  <c r="AC183" i="1"/>
  <c r="AC182" i="1"/>
  <c r="AC95" i="1"/>
  <c r="AC94" i="1"/>
  <c r="AC93" i="1"/>
  <c r="AC92" i="1"/>
  <c r="AC91" i="1"/>
  <c r="AC163" i="1"/>
  <c r="AC167" i="1"/>
  <c r="AC162" i="1"/>
  <c r="AC78" i="1"/>
  <c r="AC72" i="1"/>
  <c r="AC67" i="1"/>
  <c r="AC69" i="1"/>
  <c r="AC71" i="1"/>
  <c r="AC66" i="1"/>
  <c r="AC61" i="1"/>
  <c r="AC63" i="1"/>
  <c r="AC65" i="1"/>
  <c r="AC60" i="1"/>
  <c r="AC32" i="1"/>
  <c r="AB38" i="1"/>
  <c r="AC11" i="1"/>
  <c r="AC4" i="1"/>
  <c r="AC3" i="1"/>
  <c r="AB90" i="1"/>
  <c r="AB188" i="1"/>
  <c r="AB187" i="1"/>
  <c r="AB186" i="1"/>
  <c r="AB185" i="1"/>
  <c r="AB184" i="1"/>
  <c r="AB183" i="1"/>
  <c r="AB182" i="1"/>
  <c r="AB95" i="1"/>
  <c r="AB94" i="1"/>
  <c r="AB93" i="1"/>
  <c r="AB92" i="1"/>
  <c r="AB91" i="1"/>
  <c r="AB115" i="1"/>
  <c r="AB78" i="1"/>
  <c r="AB69" i="1"/>
  <c r="AB71" i="1"/>
  <c r="AB66" i="1"/>
  <c r="AB63" i="1"/>
  <c r="AB65" i="1"/>
  <c r="AB60" i="1"/>
  <c r="AB32" i="1"/>
  <c r="AB18" i="1"/>
  <c r="AB167" i="1"/>
  <c r="AB165" i="1"/>
  <c r="AB166" i="1"/>
  <c r="AB162" i="1"/>
  <c r="AB169" i="1"/>
  <c r="AB170" i="1"/>
  <c r="AB171" i="1"/>
  <c r="AB172" i="1"/>
  <c r="AB173" i="1"/>
  <c r="AB168" i="1"/>
  <c r="AB159" i="1"/>
  <c r="AB160" i="1"/>
  <c r="AB161" i="1"/>
  <c r="AB156" i="1"/>
  <c r="AB11" i="1"/>
  <c r="AB190" i="1"/>
  <c r="AB2" i="1"/>
  <c r="AA188" i="1"/>
  <c r="AA187" i="1"/>
  <c r="AA186" i="1"/>
  <c r="AA185" i="1"/>
  <c r="AA184" i="1"/>
  <c r="AA183" i="1"/>
  <c r="AA182" i="1"/>
  <c r="AA95" i="1"/>
  <c r="AA94" i="1"/>
  <c r="AA93" i="1"/>
  <c r="AA92" i="1"/>
  <c r="AA91" i="1"/>
  <c r="AA90" i="1"/>
  <c r="AA78" i="1"/>
  <c r="AA67" i="1"/>
  <c r="AA69" i="1"/>
  <c r="AA70" i="1"/>
  <c r="AA71" i="1"/>
  <c r="AA66" i="1"/>
  <c r="AA46" i="1"/>
  <c r="Z46" i="1"/>
  <c r="Z32" i="1"/>
  <c r="AA11" i="1"/>
  <c r="AA32" i="1"/>
  <c r="AA4" i="1"/>
  <c r="AA3" i="1"/>
  <c r="AA2" i="1"/>
  <c r="AA135" i="1"/>
  <c r="AA141" i="1"/>
  <c r="AA140" i="1"/>
  <c r="AA139" i="1"/>
  <c r="AA138" i="1"/>
  <c r="AA137" i="1"/>
  <c r="AA136" i="1"/>
  <c r="AA169" i="1"/>
  <c r="AA170" i="1"/>
  <c r="AA171" i="1"/>
  <c r="AA172" i="1"/>
  <c r="AA173" i="1"/>
  <c r="AA168" i="1"/>
  <c r="AA163" i="1"/>
  <c r="AA165" i="1"/>
  <c r="AA166" i="1"/>
  <c r="AA167" i="1"/>
  <c r="AA162" i="1"/>
  <c r="Z163" i="1"/>
  <c r="Z164" i="1"/>
  <c r="Z166" i="1"/>
  <c r="Z167" i="1"/>
  <c r="Z162" i="1"/>
  <c r="AA157" i="1"/>
  <c r="AA159" i="1"/>
  <c r="AA160" i="1"/>
  <c r="AA161" i="1"/>
  <c r="AA156" i="1"/>
  <c r="Z188" i="1"/>
  <c r="Z187" i="1"/>
  <c r="Z186" i="1"/>
  <c r="Z185" i="1"/>
  <c r="Z184" i="1"/>
  <c r="Z183" i="1"/>
  <c r="Z182" i="1"/>
  <c r="Z95" i="1"/>
  <c r="Z94" i="1"/>
  <c r="Z93" i="1"/>
  <c r="Z92" i="1"/>
  <c r="Z91" i="1"/>
  <c r="Z90" i="1"/>
  <c r="Z11" i="1"/>
  <c r="Z2" i="1"/>
  <c r="Z3" i="1"/>
  <c r="Z4" i="1"/>
  <c r="Z78" i="1"/>
  <c r="Z115" i="1"/>
  <c r="Z135" i="1"/>
  <c r="Z141" i="1"/>
  <c r="Z140" i="1"/>
  <c r="Z139" i="1"/>
  <c r="Z138" i="1"/>
  <c r="Z137" i="1"/>
  <c r="Z136" i="1"/>
  <c r="Y84" i="1"/>
  <c r="Y135" i="1"/>
  <c r="Y141" i="1"/>
  <c r="Y140" i="1"/>
  <c r="Y139" i="1"/>
  <c r="Y138" i="1"/>
  <c r="Y137" i="1"/>
  <c r="Y136" i="1"/>
  <c r="Y188" i="1"/>
  <c r="Y187" i="1"/>
  <c r="Y186" i="1"/>
  <c r="Y185" i="1"/>
  <c r="Y184" i="1"/>
  <c r="Y183" i="1"/>
  <c r="Y182" i="1"/>
  <c r="Y95" i="1"/>
  <c r="Y94" i="1"/>
  <c r="Y93" i="1"/>
  <c r="Y92" i="1"/>
  <c r="Y91" i="1"/>
  <c r="Y90" i="1"/>
  <c r="Y163" i="1"/>
  <c r="Y164" i="1"/>
  <c r="Y166" i="1"/>
  <c r="Y167" i="1"/>
  <c r="Y162" i="1"/>
  <c r="Y11" i="1"/>
  <c r="Y191" i="1"/>
  <c r="Y32" i="1"/>
  <c r="Y2" i="1"/>
  <c r="Y4" i="1"/>
  <c r="Y3" i="1"/>
  <c r="Y46" i="1"/>
  <c r="Y61" i="1"/>
  <c r="Y62" i="1"/>
  <c r="Y63" i="1"/>
  <c r="Y64" i="1"/>
  <c r="Y65" i="1"/>
  <c r="Y60" i="1"/>
  <c r="Y67" i="1"/>
  <c r="Y68" i="1"/>
  <c r="Y69" i="1"/>
  <c r="Y70" i="1"/>
  <c r="Y71" i="1"/>
  <c r="Y66" i="1"/>
  <c r="Y72" i="1"/>
  <c r="Y78" i="1"/>
  <c r="Y115" i="1"/>
  <c r="X84" i="1"/>
  <c r="X188" i="1"/>
  <c r="X187" i="1"/>
  <c r="X186" i="1"/>
  <c r="X185" i="1"/>
  <c r="X184" i="1"/>
  <c r="X183" i="1"/>
  <c r="X182" i="1"/>
  <c r="X95" i="1"/>
  <c r="X94" i="1"/>
  <c r="X93" i="1"/>
  <c r="X92" i="1"/>
  <c r="X91" i="1"/>
  <c r="X90" i="1"/>
  <c r="W90" i="1"/>
  <c r="X115" i="1"/>
  <c r="X78" i="1"/>
  <c r="X163" i="1"/>
  <c r="X164" i="1"/>
  <c r="X162" i="1"/>
  <c r="X72" i="1"/>
  <c r="X61" i="1"/>
  <c r="X62" i="1"/>
  <c r="X63" i="1"/>
  <c r="X65" i="1"/>
  <c r="X60" i="1"/>
  <c r="X46" i="1"/>
  <c r="X24" i="1"/>
  <c r="X23" i="1"/>
  <c r="X22" i="1"/>
  <c r="X21" i="1"/>
  <c r="X20" i="1"/>
  <c r="X19" i="1"/>
  <c r="X18" i="1"/>
  <c r="X11" i="1"/>
  <c r="X5" i="1"/>
  <c r="X191" i="1"/>
  <c r="X4" i="1"/>
  <c r="X37" i="1"/>
  <c r="X33" i="1"/>
  <c r="X34" i="1"/>
  <c r="X35" i="1"/>
  <c r="X36" i="1"/>
  <c r="X32" i="1"/>
  <c r="X3" i="1"/>
  <c r="X2" i="1"/>
  <c r="X128" i="1"/>
  <c r="X135" i="1"/>
  <c r="X141" i="1"/>
  <c r="X140" i="1"/>
  <c r="X139" i="1"/>
  <c r="X138" i="1"/>
  <c r="X137" i="1"/>
  <c r="X136" i="1"/>
  <c r="W84" i="1"/>
  <c r="W188" i="1"/>
  <c r="W187" i="1"/>
  <c r="W186" i="1"/>
  <c r="W185" i="1"/>
  <c r="W184" i="1"/>
  <c r="W183" i="1"/>
  <c r="W182" i="1"/>
  <c r="W95" i="1"/>
  <c r="V94" i="1"/>
  <c r="W94" i="1"/>
  <c r="W93" i="1"/>
  <c r="W92" i="1"/>
  <c r="W91" i="1"/>
  <c r="W4" i="1"/>
  <c r="W169" i="1"/>
  <c r="W170" i="1"/>
  <c r="W171" i="1"/>
  <c r="W172" i="1"/>
  <c r="W173" i="1"/>
  <c r="W174" i="1"/>
  <c r="W168" i="1"/>
  <c r="T115" i="1"/>
  <c r="U115" i="1"/>
  <c r="V115" i="1"/>
  <c r="W115" i="1"/>
  <c r="T78" i="1"/>
  <c r="U78" i="1"/>
  <c r="V78" i="1"/>
  <c r="W78" i="1"/>
  <c r="W72" i="1"/>
  <c r="W23" i="1"/>
  <c r="W22" i="1"/>
  <c r="W21" i="1"/>
  <c r="W19" i="1"/>
  <c r="T67" i="1"/>
  <c r="T69" i="1"/>
  <c r="T70" i="1"/>
  <c r="T71" i="1"/>
  <c r="T66" i="1"/>
  <c r="U67" i="1"/>
  <c r="U69" i="1"/>
  <c r="U70" i="1"/>
  <c r="U71" i="1"/>
  <c r="U66" i="1"/>
  <c r="V68" i="1"/>
  <c r="V69" i="1"/>
  <c r="V66" i="1"/>
  <c r="W61" i="1"/>
  <c r="W60" i="1"/>
  <c r="W24" i="1"/>
  <c r="W11" i="1"/>
  <c r="W5" i="1"/>
  <c r="W191" i="1"/>
  <c r="W46" i="1"/>
  <c r="W3" i="1"/>
  <c r="W2" i="1"/>
  <c r="T39" i="1"/>
  <c r="T40" i="1"/>
  <c r="T41" i="1"/>
  <c r="T42" i="1"/>
  <c r="T43" i="1"/>
  <c r="T38" i="1"/>
  <c r="U39" i="1"/>
  <c r="U40" i="1"/>
  <c r="U41" i="1"/>
  <c r="U42" i="1"/>
  <c r="U43" i="1"/>
  <c r="U38" i="1"/>
  <c r="W33" i="1"/>
  <c r="W34" i="1"/>
  <c r="W35" i="1"/>
  <c r="W36" i="1"/>
  <c r="W37" i="1"/>
  <c r="W32" i="1"/>
  <c r="W163" i="1"/>
  <c r="W165" i="1"/>
  <c r="W166" i="1"/>
  <c r="W167" i="1"/>
  <c r="W162" i="1"/>
  <c r="W160" i="1"/>
  <c r="W161" i="1"/>
  <c r="U166" i="1"/>
  <c r="S163" i="1"/>
  <c r="U163" i="1"/>
  <c r="U164" i="1"/>
  <c r="U165" i="1"/>
  <c r="U167" i="1"/>
  <c r="U162" i="1"/>
  <c r="W157" i="1"/>
  <c r="W159" i="1"/>
  <c r="W156" i="1"/>
  <c r="W150" i="1"/>
  <c r="W151" i="1"/>
  <c r="W152" i="1"/>
  <c r="W153" i="1"/>
  <c r="W154" i="1"/>
  <c r="W155" i="1"/>
  <c r="W149" i="1"/>
  <c r="T150" i="1"/>
  <c r="W128" i="1"/>
  <c r="W135" i="1"/>
  <c r="W141" i="1"/>
  <c r="W140" i="1"/>
  <c r="W139" i="1"/>
  <c r="W138" i="1"/>
  <c r="W137" i="1"/>
  <c r="W136" i="1"/>
  <c r="V111" i="1"/>
  <c r="V84" i="1"/>
  <c r="V2" i="1"/>
  <c r="V188" i="1"/>
  <c r="V187" i="1"/>
  <c r="V186" i="1"/>
  <c r="V185" i="1"/>
  <c r="V184" i="1"/>
  <c r="V183" i="1"/>
  <c r="V182" i="1"/>
  <c r="V95" i="1"/>
  <c r="V93" i="1"/>
  <c r="V92" i="1"/>
  <c r="V91" i="1"/>
  <c r="V90" i="1"/>
  <c r="V62" i="1"/>
  <c r="V63" i="1"/>
  <c r="V60" i="1"/>
  <c r="V46" i="1"/>
  <c r="U46" i="1"/>
  <c r="V72" i="1"/>
  <c r="V18" i="1"/>
  <c r="V19" i="1"/>
  <c r="V21" i="1"/>
  <c r="V114" i="1"/>
  <c r="V113" i="1"/>
  <c r="V112" i="1"/>
  <c r="V110" i="1"/>
  <c r="T33" i="1"/>
  <c r="T34" i="1"/>
  <c r="T35" i="1"/>
  <c r="T36" i="1"/>
  <c r="T37" i="1"/>
  <c r="T32" i="1"/>
  <c r="U33" i="1"/>
  <c r="U34" i="1"/>
  <c r="U35" i="1"/>
  <c r="U36" i="1"/>
  <c r="U37" i="1"/>
  <c r="U32" i="1"/>
  <c r="V33" i="1"/>
  <c r="V34" i="1"/>
  <c r="V35" i="1"/>
  <c r="V36" i="1"/>
  <c r="V37" i="1"/>
  <c r="V32" i="1"/>
  <c r="V24" i="1"/>
  <c r="V11" i="1"/>
  <c r="V191" i="1"/>
  <c r="V3" i="1"/>
  <c r="V4" i="1"/>
  <c r="T128" i="1"/>
  <c r="U128" i="1"/>
  <c r="V128" i="1"/>
  <c r="U135" i="1"/>
  <c r="T135" i="1"/>
  <c r="U141" i="1"/>
  <c r="U140" i="1"/>
  <c r="U139" i="1"/>
  <c r="U138" i="1"/>
  <c r="U137" i="1"/>
  <c r="U136" i="1"/>
  <c r="T141" i="1"/>
  <c r="T140" i="1"/>
  <c r="T139" i="1"/>
  <c r="T138" i="1"/>
  <c r="T137" i="1"/>
  <c r="T136" i="1"/>
  <c r="V135" i="1"/>
  <c r="V141" i="1"/>
  <c r="V140" i="1"/>
  <c r="V139" i="1"/>
  <c r="V138" i="1"/>
  <c r="V137" i="1"/>
  <c r="V136" i="1"/>
  <c r="U18" i="1"/>
  <c r="U23" i="1"/>
  <c r="U20" i="1"/>
  <c r="O188" i="1"/>
  <c r="O187" i="1"/>
  <c r="O186" i="1"/>
  <c r="O185" i="1"/>
  <c r="O184" i="1"/>
  <c r="O183" i="1"/>
  <c r="O182" i="1"/>
  <c r="P182" i="1"/>
  <c r="N188" i="1"/>
  <c r="N187" i="1"/>
  <c r="N186" i="1"/>
  <c r="N185" i="1"/>
  <c r="N184" i="1"/>
  <c r="N183" i="1"/>
  <c r="N182" i="1"/>
  <c r="M188" i="1"/>
  <c r="M187" i="1"/>
  <c r="M186" i="1"/>
  <c r="M185" i="1"/>
  <c r="M184" i="1"/>
  <c r="M183" i="1"/>
  <c r="M182" i="1"/>
  <c r="L188" i="1"/>
  <c r="L187" i="1"/>
  <c r="L186" i="1"/>
  <c r="L185" i="1"/>
  <c r="L184" i="1"/>
  <c r="L183" i="1"/>
  <c r="L182" i="1"/>
  <c r="K183" i="1"/>
  <c r="K188" i="1"/>
  <c r="K187" i="1"/>
  <c r="K186" i="1"/>
  <c r="K185" i="1"/>
  <c r="K184" i="1"/>
  <c r="K182" i="1"/>
  <c r="U188" i="1"/>
  <c r="U187" i="1"/>
  <c r="U186" i="1"/>
  <c r="U185" i="1"/>
  <c r="U184" i="1"/>
  <c r="U183" i="1"/>
  <c r="U182" i="1"/>
  <c r="U95" i="1"/>
  <c r="U94" i="1"/>
  <c r="U93" i="1"/>
  <c r="U92" i="1"/>
  <c r="U91" i="1"/>
  <c r="U90" i="1"/>
  <c r="U172" i="1"/>
  <c r="U170" i="1"/>
  <c r="T167" i="1"/>
  <c r="M150" i="1"/>
  <c r="M151" i="1"/>
  <c r="M152" i="1"/>
  <c r="M153" i="1"/>
  <c r="M154" i="1"/>
  <c r="M155" i="1"/>
  <c r="M149" i="1"/>
  <c r="N150" i="1"/>
  <c r="N151" i="1"/>
  <c r="N152" i="1"/>
  <c r="N153" i="1"/>
  <c r="N154" i="1"/>
  <c r="N155" i="1"/>
  <c r="N149" i="1"/>
  <c r="O150" i="1"/>
  <c r="O151" i="1"/>
  <c r="O152" i="1"/>
  <c r="O153" i="1"/>
  <c r="O154" i="1"/>
  <c r="O155" i="1"/>
  <c r="O149" i="1"/>
  <c r="T151" i="1"/>
  <c r="T152" i="1"/>
  <c r="T153" i="1"/>
  <c r="T154" i="1"/>
  <c r="T155" i="1"/>
  <c r="T149" i="1"/>
  <c r="U72" i="1"/>
  <c r="U61" i="1"/>
  <c r="U63" i="1"/>
  <c r="U64" i="1"/>
  <c r="U65" i="1"/>
  <c r="U60" i="1"/>
  <c r="U52" i="1"/>
  <c r="U44" i="1"/>
  <c r="U24" i="1"/>
  <c r="U11" i="1"/>
  <c r="U5" i="1"/>
  <c r="U191" i="1"/>
  <c r="U110" i="1"/>
  <c r="U111" i="1"/>
  <c r="U112" i="1"/>
  <c r="U113" i="1"/>
  <c r="U114" i="1"/>
  <c r="U109" i="1"/>
  <c r="U4" i="1"/>
  <c r="U2" i="1"/>
  <c r="S169" i="1"/>
  <c r="S170" i="1"/>
  <c r="S171" i="1"/>
  <c r="S172" i="1"/>
  <c r="S173" i="1"/>
  <c r="S174" i="1"/>
  <c r="S168" i="1"/>
  <c r="T169" i="1"/>
  <c r="T170" i="1"/>
  <c r="T171" i="1"/>
  <c r="T172" i="1"/>
  <c r="T173" i="1"/>
  <c r="T174" i="1"/>
  <c r="T168" i="1"/>
  <c r="T166" i="1"/>
  <c r="T165" i="1"/>
  <c r="T159" i="1"/>
  <c r="T160" i="1"/>
  <c r="T161" i="1"/>
  <c r="T156" i="1"/>
  <c r="T72" i="1"/>
  <c r="S67" i="1"/>
  <c r="S69" i="1"/>
  <c r="S70" i="1"/>
  <c r="S71" i="1"/>
  <c r="S66" i="1"/>
  <c r="T61" i="1"/>
  <c r="T63" i="1"/>
  <c r="T64" i="1"/>
  <c r="T60" i="1"/>
  <c r="T52" i="1"/>
  <c r="T46" i="1"/>
  <c r="T44" i="1"/>
  <c r="S33" i="1"/>
  <c r="S34" i="1"/>
  <c r="S35" i="1"/>
  <c r="S36" i="1"/>
  <c r="S37" i="1"/>
  <c r="S32" i="1"/>
  <c r="T24" i="1"/>
  <c r="T18" i="1"/>
  <c r="T23" i="1"/>
  <c r="T22" i="1"/>
  <c r="T21" i="1"/>
  <c r="T20" i="1"/>
  <c r="T19" i="1"/>
  <c r="T11" i="1"/>
  <c r="T5" i="1"/>
  <c r="T191" i="1"/>
  <c r="P188" i="1"/>
  <c r="P187" i="1"/>
  <c r="P186" i="1"/>
  <c r="P185" i="1"/>
  <c r="P184" i="1"/>
  <c r="P183" i="1"/>
  <c r="T188" i="1"/>
  <c r="T187" i="1"/>
  <c r="T186" i="1"/>
  <c r="T185" i="1"/>
  <c r="T184" i="1"/>
  <c r="T183" i="1"/>
  <c r="T182" i="1"/>
  <c r="T95" i="1"/>
  <c r="T94" i="1"/>
  <c r="T93" i="1"/>
  <c r="T92" i="1"/>
  <c r="T91" i="1"/>
  <c r="T90" i="1"/>
  <c r="T3" i="1"/>
  <c r="T2" i="1"/>
  <c r="S188" i="1"/>
  <c r="S187" i="1"/>
  <c r="S186" i="1"/>
  <c r="S185" i="1"/>
  <c r="S184" i="1"/>
  <c r="S183" i="1"/>
  <c r="S182" i="1"/>
  <c r="S95" i="1"/>
  <c r="S94" i="1"/>
  <c r="S93" i="1"/>
  <c r="S92" i="1"/>
  <c r="S91" i="1"/>
  <c r="S167" i="1"/>
  <c r="S161" i="1"/>
  <c r="S157" i="1"/>
  <c r="S156" i="1"/>
  <c r="S115" i="1"/>
  <c r="S78" i="1"/>
  <c r="S72" i="1"/>
  <c r="S52" i="1"/>
  <c r="S46" i="1"/>
  <c r="S44" i="1"/>
  <c r="S39" i="1"/>
  <c r="S40" i="1"/>
  <c r="S41" i="1"/>
  <c r="S42" i="1"/>
  <c r="S43" i="1"/>
  <c r="S38" i="1"/>
  <c r="S24" i="1"/>
  <c r="S23" i="1"/>
  <c r="S22" i="1"/>
  <c r="S21" i="1"/>
  <c r="S20" i="1"/>
  <c r="S19" i="1"/>
  <c r="S18" i="1"/>
  <c r="S11" i="1"/>
  <c r="S5" i="1"/>
  <c r="S191" i="1"/>
  <c r="S190" i="1"/>
  <c r="S3" i="1"/>
  <c r="S4" i="1"/>
  <c r="S2" i="1"/>
  <c r="S128" i="1"/>
  <c r="S135" i="1"/>
  <c r="S141" i="1"/>
  <c r="S140" i="1"/>
  <c r="S139" i="1"/>
  <c r="S138" i="1"/>
  <c r="S137" i="1"/>
  <c r="S136" i="1"/>
  <c r="R137" i="1"/>
  <c r="R138" i="1"/>
  <c r="R139" i="1"/>
  <c r="R140" i="1"/>
  <c r="R141" i="1"/>
  <c r="R184" i="1"/>
  <c r="Q78" i="1"/>
  <c r="R78" i="1"/>
  <c r="O120" i="1"/>
  <c r="O115" i="1"/>
  <c r="P115" i="1"/>
  <c r="Q115" i="1"/>
  <c r="R115" i="1"/>
  <c r="Q72" i="1"/>
  <c r="R72" i="1"/>
  <c r="R70" i="1"/>
  <c r="R68" i="1"/>
  <c r="R69" i="1"/>
  <c r="R66" i="1"/>
  <c r="O71" i="1"/>
  <c r="O67" i="1"/>
  <c r="O69" i="1"/>
  <c r="O66" i="1"/>
  <c r="Q71" i="1"/>
  <c r="Q70" i="1"/>
  <c r="Q67" i="1"/>
  <c r="Q68" i="1"/>
  <c r="Q69" i="1"/>
  <c r="Q66" i="1"/>
  <c r="N69" i="1"/>
  <c r="N66" i="1"/>
  <c r="M71" i="1"/>
  <c r="M69" i="1"/>
  <c r="M67" i="1"/>
  <c r="M66" i="1"/>
  <c r="L71" i="1"/>
  <c r="L67" i="1"/>
  <c r="L69" i="1"/>
  <c r="L66" i="1"/>
  <c r="K69" i="1"/>
  <c r="K66" i="1"/>
  <c r="L61" i="1"/>
  <c r="L63" i="1"/>
  <c r="L65" i="1"/>
  <c r="L60" i="1"/>
  <c r="M61" i="1"/>
  <c r="M63" i="1"/>
  <c r="M65" i="1"/>
  <c r="M60" i="1"/>
  <c r="N63" i="1"/>
  <c r="N60" i="1"/>
  <c r="O61" i="1"/>
  <c r="O63" i="1"/>
  <c r="O65" i="1"/>
  <c r="O60" i="1"/>
  <c r="P61" i="1"/>
  <c r="P63" i="1"/>
  <c r="P64" i="1"/>
  <c r="P65" i="1"/>
  <c r="P60" i="1"/>
  <c r="Q61" i="1"/>
  <c r="Q62" i="1"/>
  <c r="Q63" i="1"/>
  <c r="Q64" i="1"/>
  <c r="Q65" i="1"/>
  <c r="Q60" i="1"/>
  <c r="R62" i="1"/>
  <c r="R63" i="1"/>
  <c r="R64" i="1"/>
  <c r="R60" i="1"/>
  <c r="K63" i="1"/>
  <c r="K60" i="1"/>
  <c r="Q52" i="1"/>
  <c r="R52" i="1"/>
  <c r="R46" i="1"/>
  <c r="Q46" i="1"/>
  <c r="P46" i="1"/>
  <c r="O46" i="1"/>
  <c r="N46" i="1"/>
  <c r="M46" i="1"/>
  <c r="L52" i="1"/>
  <c r="L173" i="1"/>
  <c r="Q172" i="1"/>
  <c r="P172" i="1"/>
  <c r="R174" i="1"/>
  <c r="N174" i="1"/>
  <c r="M174" i="1"/>
  <c r="P173" i="1"/>
  <c r="O173" i="1"/>
  <c r="N173" i="1"/>
  <c r="M172" i="1"/>
  <c r="M169" i="1"/>
  <c r="M170" i="1"/>
  <c r="M171" i="1"/>
  <c r="M173" i="1"/>
  <c r="M168" i="1"/>
  <c r="O171" i="1"/>
  <c r="O169" i="1"/>
  <c r="O170" i="1"/>
  <c r="O172" i="1"/>
  <c r="O174" i="1"/>
  <c r="O168" i="1"/>
  <c r="L171" i="1"/>
  <c r="L169" i="1"/>
  <c r="L170" i="1"/>
  <c r="L172" i="1"/>
  <c r="L174" i="1"/>
  <c r="L168" i="1"/>
  <c r="R169" i="1"/>
  <c r="R170" i="1"/>
  <c r="R171" i="1"/>
  <c r="R172" i="1"/>
  <c r="R173" i="1"/>
  <c r="R168" i="1"/>
  <c r="P169" i="1"/>
  <c r="P170" i="1"/>
  <c r="P171" i="1"/>
  <c r="P174" i="1"/>
  <c r="P168" i="1"/>
  <c r="N169" i="1"/>
  <c r="N170" i="1"/>
  <c r="N171" i="1"/>
  <c r="N172" i="1"/>
  <c r="N168" i="1"/>
  <c r="Q169" i="1"/>
  <c r="Q170" i="1"/>
  <c r="Q171" i="1"/>
  <c r="Q173" i="1"/>
  <c r="Q174" i="1"/>
  <c r="Q168" i="1"/>
  <c r="K169" i="1"/>
  <c r="K171" i="1"/>
  <c r="K173" i="1"/>
  <c r="K174" i="1"/>
  <c r="K168" i="1"/>
  <c r="L167" i="1"/>
  <c r="R164" i="1"/>
  <c r="P164" i="1"/>
  <c r="N164" i="1"/>
  <c r="M164" i="1"/>
  <c r="Q167" i="1"/>
  <c r="P167" i="1"/>
  <c r="O167" i="1"/>
  <c r="N167" i="1"/>
  <c r="Q166" i="1"/>
  <c r="M166" i="1"/>
  <c r="R163" i="1"/>
  <c r="Q163" i="1"/>
  <c r="O163" i="1"/>
  <c r="N163" i="1"/>
  <c r="M163" i="1"/>
  <c r="L163" i="1"/>
  <c r="L164" i="1"/>
  <c r="M157" i="1"/>
  <c r="M158" i="1"/>
  <c r="M160" i="1"/>
  <c r="M156" i="1"/>
  <c r="N157" i="1"/>
  <c r="N158" i="1"/>
  <c r="N161" i="1"/>
  <c r="N156" i="1"/>
  <c r="O157" i="1"/>
  <c r="O161" i="1"/>
  <c r="O156" i="1"/>
  <c r="P158" i="1"/>
  <c r="P161" i="1"/>
  <c r="Q157" i="1"/>
  <c r="Q160" i="1"/>
  <c r="Q161" i="1"/>
  <c r="Q156" i="1"/>
  <c r="R157" i="1"/>
  <c r="R158" i="1"/>
  <c r="R156" i="1"/>
  <c r="L157" i="1"/>
  <c r="L158" i="1"/>
  <c r="L161" i="1"/>
  <c r="L156" i="1"/>
  <c r="M3" i="1"/>
  <c r="R44" i="1"/>
  <c r="Q44" i="1"/>
  <c r="P44" i="1"/>
  <c r="O44" i="1"/>
  <c r="N44" i="1"/>
  <c r="M44" i="1"/>
  <c r="L44" i="1"/>
  <c r="L136" i="1"/>
  <c r="L137" i="1"/>
  <c r="L138" i="1"/>
  <c r="L139" i="1"/>
  <c r="L140" i="1"/>
  <c r="L141" i="1"/>
  <c r="M41" i="1"/>
  <c r="L41" i="1"/>
  <c r="K155" i="1"/>
  <c r="L33" i="1"/>
  <c r="L34" i="1"/>
  <c r="L35" i="1"/>
  <c r="L36" i="1"/>
  <c r="L37" i="1"/>
  <c r="L32" i="1"/>
  <c r="M33" i="1"/>
  <c r="M34" i="1"/>
  <c r="M35" i="1"/>
  <c r="M36" i="1"/>
  <c r="M37" i="1"/>
  <c r="M32" i="1"/>
  <c r="N33" i="1"/>
  <c r="N34" i="1"/>
  <c r="N35" i="1"/>
  <c r="N36" i="1"/>
  <c r="N37" i="1"/>
  <c r="N32" i="1"/>
  <c r="O33" i="1"/>
  <c r="O34" i="1"/>
  <c r="O35" i="1"/>
  <c r="O36" i="1"/>
  <c r="O37" i="1"/>
  <c r="O32" i="1"/>
  <c r="P33" i="1"/>
  <c r="P34" i="1"/>
  <c r="P35" i="1"/>
  <c r="P36" i="1"/>
  <c r="P32" i="1"/>
  <c r="Q33" i="1"/>
  <c r="Q34" i="1"/>
  <c r="Q35" i="1"/>
  <c r="Q36" i="1"/>
  <c r="Q37" i="1"/>
  <c r="Q32" i="1"/>
  <c r="R33" i="1"/>
  <c r="R34" i="1"/>
  <c r="R35" i="1"/>
  <c r="R36" i="1"/>
  <c r="R37" i="1"/>
  <c r="R32" i="1"/>
  <c r="K33" i="1"/>
  <c r="K34" i="1"/>
  <c r="K35" i="1"/>
  <c r="K36" i="1"/>
  <c r="K37" i="1"/>
  <c r="K32" i="1"/>
  <c r="M39" i="1"/>
  <c r="M40" i="1"/>
  <c r="M42" i="1"/>
  <c r="M43" i="1"/>
  <c r="M38" i="1"/>
  <c r="N39" i="1"/>
  <c r="N40" i="1"/>
  <c r="N41" i="1"/>
  <c r="N42" i="1"/>
  <c r="N43" i="1"/>
  <c r="N38" i="1"/>
  <c r="O39" i="1"/>
  <c r="O40" i="1"/>
  <c r="O41" i="1"/>
  <c r="O42" i="1"/>
  <c r="O43" i="1"/>
  <c r="O38" i="1"/>
  <c r="P39" i="1"/>
  <c r="P40" i="1"/>
  <c r="P41" i="1"/>
  <c r="P42" i="1"/>
  <c r="P38" i="1"/>
  <c r="Q39" i="1"/>
  <c r="Q40" i="1"/>
  <c r="Q41" i="1"/>
  <c r="Q42" i="1"/>
  <c r="Q43" i="1"/>
  <c r="Q38" i="1"/>
  <c r="R39" i="1"/>
  <c r="R40" i="1"/>
  <c r="R41" i="1"/>
  <c r="R42" i="1"/>
  <c r="R43" i="1"/>
  <c r="R38" i="1"/>
  <c r="L39" i="1"/>
  <c r="L40" i="1"/>
  <c r="L42" i="1"/>
  <c r="L43" i="1"/>
  <c r="L38" i="1"/>
  <c r="K43" i="1"/>
  <c r="K42" i="1"/>
  <c r="K41" i="1"/>
  <c r="K40" i="1"/>
  <c r="K39" i="1"/>
  <c r="Q24" i="1"/>
  <c r="R24" i="1"/>
  <c r="R188" i="1"/>
  <c r="R187" i="1"/>
  <c r="R186" i="1"/>
  <c r="R185" i="1"/>
  <c r="R183" i="1"/>
  <c r="R182" i="1"/>
  <c r="R90" i="1"/>
  <c r="R95" i="1"/>
  <c r="R93" i="1"/>
  <c r="R94" i="1"/>
  <c r="R92" i="1"/>
  <c r="R91" i="1"/>
  <c r="K45" i="1"/>
  <c r="K46" i="1"/>
  <c r="K52" i="1"/>
  <c r="K58" i="1"/>
  <c r="K72" i="1"/>
  <c r="K78" i="1"/>
  <c r="R3" i="1"/>
  <c r="Q3" i="1"/>
  <c r="P3" i="1"/>
  <c r="O3" i="1"/>
  <c r="N3" i="1"/>
  <c r="R2" i="1"/>
  <c r="Q2" i="1"/>
  <c r="P2" i="1"/>
  <c r="O2" i="1"/>
  <c r="N2" i="1"/>
  <c r="M2" i="1"/>
  <c r="L2" i="1"/>
  <c r="R190" i="1"/>
  <c r="Q190" i="1"/>
  <c r="P190" i="1"/>
  <c r="O190" i="1"/>
  <c r="N190" i="1"/>
  <c r="M190" i="1"/>
  <c r="R4" i="1"/>
  <c r="Q4" i="1"/>
  <c r="O4" i="1"/>
  <c r="N4" i="1"/>
  <c r="M4" i="1"/>
  <c r="L4" i="1"/>
  <c r="L3" i="1"/>
  <c r="K3" i="1"/>
  <c r="R22" i="1"/>
  <c r="R21" i="1"/>
  <c r="R20" i="1"/>
  <c r="R19" i="1"/>
  <c r="Q23" i="1"/>
  <c r="Q22" i="1"/>
  <c r="Q21" i="1"/>
  <c r="Q20" i="1"/>
  <c r="Q19" i="1"/>
  <c r="Q18" i="1"/>
  <c r="R18" i="1"/>
  <c r="P22" i="1"/>
  <c r="L18" i="1"/>
  <c r="M18" i="1"/>
  <c r="N18" i="1"/>
  <c r="O18" i="1"/>
  <c r="P18" i="1"/>
  <c r="P23" i="1"/>
  <c r="P21" i="1"/>
  <c r="P20" i="1"/>
  <c r="P19" i="1"/>
  <c r="O22" i="1"/>
  <c r="O21" i="1"/>
  <c r="O20" i="1"/>
  <c r="O19" i="1"/>
  <c r="N22" i="1"/>
  <c r="N19" i="1"/>
  <c r="L23" i="1"/>
  <c r="L22" i="1"/>
  <c r="L21" i="1"/>
  <c r="M23" i="1"/>
  <c r="M22" i="1"/>
  <c r="M21" i="1"/>
  <c r="L19" i="1"/>
  <c r="M19" i="1"/>
  <c r="R109" i="1"/>
  <c r="R111" i="1"/>
  <c r="R114" i="1"/>
  <c r="L11" i="1"/>
  <c r="M11" i="1"/>
  <c r="N11" i="1"/>
  <c r="O11" i="1"/>
  <c r="P11" i="1"/>
  <c r="Q11" i="1"/>
  <c r="R11" i="1"/>
  <c r="R113" i="1"/>
  <c r="R110" i="1"/>
  <c r="R112" i="1"/>
  <c r="R5" i="1"/>
  <c r="Q5" i="1"/>
  <c r="O5" i="1"/>
  <c r="P5" i="1"/>
  <c r="R191" i="1"/>
  <c r="Q84" i="1"/>
  <c r="R84" i="1"/>
  <c r="R128" i="1"/>
  <c r="R135" i="1"/>
  <c r="R136" i="1"/>
  <c r="Q182" i="1"/>
  <c r="Q188" i="1"/>
  <c r="Q187" i="1"/>
  <c r="Q186" i="1"/>
  <c r="Q185" i="1"/>
  <c r="Q184" i="1"/>
  <c r="Q183" i="1"/>
  <c r="Q141" i="1"/>
  <c r="Q135" i="1"/>
  <c r="P135" i="1"/>
  <c r="O135" i="1"/>
  <c r="N135" i="1"/>
  <c r="M135" i="1"/>
  <c r="L135" i="1"/>
  <c r="K135" i="1"/>
  <c r="P141" i="1"/>
  <c r="O141" i="1"/>
  <c r="N141" i="1"/>
  <c r="M141" i="1"/>
  <c r="K141" i="1"/>
  <c r="Q140" i="1"/>
  <c r="P140" i="1"/>
  <c r="O140" i="1"/>
  <c r="N140" i="1"/>
  <c r="M140" i="1"/>
  <c r="Q139" i="1"/>
  <c r="P139" i="1"/>
  <c r="O139" i="1"/>
  <c r="N139" i="1"/>
  <c r="M139" i="1"/>
  <c r="Q138" i="1"/>
  <c r="P138" i="1"/>
  <c r="O138" i="1"/>
  <c r="N138" i="1"/>
  <c r="M138" i="1"/>
  <c r="Q137" i="1"/>
  <c r="P137" i="1"/>
  <c r="O137" i="1"/>
  <c r="N137" i="1"/>
  <c r="M137" i="1"/>
  <c r="K137" i="1"/>
  <c r="Q136" i="1"/>
  <c r="P136" i="1"/>
  <c r="O136" i="1"/>
  <c r="N136" i="1"/>
  <c r="M136" i="1"/>
  <c r="Q128" i="1"/>
  <c r="Q95" i="1"/>
  <c r="Q94" i="1"/>
  <c r="Q93" i="1"/>
  <c r="Q92" i="1"/>
  <c r="Q91" i="1"/>
  <c r="L191" i="1"/>
  <c r="M191" i="1"/>
  <c r="N191" i="1"/>
  <c r="O191" i="1"/>
  <c r="P191" i="1"/>
  <c r="Q191" i="1"/>
  <c r="K191" i="1"/>
  <c r="P175" i="1"/>
  <c r="M175" i="1"/>
  <c r="K175" i="1"/>
  <c r="P128" i="1"/>
  <c r="O128" i="1"/>
  <c r="N128" i="1"/>
  <c r="M128" i="1"/>
  <c r="L128" i="1"/>
  <c r="N120" i="1"/>
  <c r="N116" i="1"/>
  <c r="N115" i="1"/>
  <c r="M116" i="1"/>
  <c r="M115" i="1"/>
  <c r="L115" i="1"/>
  <c r="K115" i="1"/>
  <c r="P97" i="1"/>
  <c r="O97" i="1"/>
  <c r="N97" i="1"/>
  <c r="M97" i="1"/>
  <c r="L97" i="1"/>
  <c r="K97" i="1"/>
  <c r="P95" i="1"/>
  <c r="O95" i="1"/>
  <c r="N95" i="1"/>
  <c r="P94" i="1"/>
  <c r="O94" i="1"/>
  <c r="N94" i="1"/>
  <c r="P93" i="1"/>
  <c r="O93" i="1"/>
  <c r="N93" i="1"/>
  <c r="P92" i="1"/>
  <c r="O92" i="1"/>
  <c r="N92" i="1"/>
  <c r="P91" i="1"/>
  <c r="O91" i="1"/>
  <c r="N91" i="1"/>
  <c r="P90" i="1"/>
  <c r="O90" i="1"/>
  <c r="N90" i="1"/>
  <c r="P78" i="1"/>
  <c r="O78" i="1"/>
  <c r="N78" i="1"/>
  <c r="M78" i="1"/>
  <c r="L78" i="1"/>
  <c r="P72" i="1"/>
  <c r="O72" i="1"/>
  <c r="N72" i="1"/>
  <c r="M72" i="1"/>
  <c r="L72" i="1"/>
  <c r="P59" i="1"/>
  <c r="O59" i="1"/>
  <c r="N59" i="1"/>
  <c r="M59" i="1"/>
  <c r="P58" i="1"/>
  <c r="O58" i="1"/>
  <c r="N58" i="1"/>
  <c r="M58" i="1"/>
  <c r="L58" i="1"/>
  <c r="P52" i="1"/>
  <c r="O52" i="1"/>
  <c r="N52" i="1"/>
  <c r="M52" i="1"/>
  <c r="L46" i="1"/>
  <c r="P45" i="1"/>
  <c r="O45" i="1"/>
  <c r="N45" i="1"/>
  <c r="M45" i="1"/>
  <c r="L45" i="1"/>
  <c r="P30" i="1"/>
  <c r="O30" i="1"/>
  <c r="N30" i="1"/>
  <c r="M30" i="1"/>
  <c r="L30" i="1"/>
  <c r="K30" i="1"/>
  <c r="P24" i="1"/>
  <c r="O24" i="1"/>
  <c r="N24" i="1"/>
  <c r="M24" i="1"/>
  <c r="L24" i="1"/>
  <c r="K24" i="1"/>
  <c r="K18" i="1"/>
  <c r="P17" i="1"/>
  <c r="O17" i="1"/>
  <c r="N17" i="1"/>
  <c r="M17" i="1"/>
  <c r="L17" i="1"/>
  <c r="K17" i="1"/>
  <c r="K11" i="1"/>
  <c r="N5" i="1"/>
  <c r="M5" i="1"/>
  <c r="L5" i="1"/>
  <c r="K5" i="1"/>
  <c r="P4" i="1"/>
  <c r="P156" i="1"/>
  <c r="E58" i="2"/>
  <c r="E57" i="2"/>
  <c r="E293" i="2"/>
  <c r="E294" i="2"/>
  <c r="E309" i="2"/>
  <c r="E310" i="2"/>
  <c r="E305" i="2"/>
  <c r="E291" i="2"/>
  <c r="E292" i="2"/>
  <c r="E171" i="2"/>
  <c r="E32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Vera Kuzmicheva</author>
    <author>Aleksandr Kondratyev</author>
    <author>Margarita Selezen</author>
    <author>Ekaterina Ovcharenko</author>
  </authors>
  <commentList>
    <comment ref="K2" authorId="0" shapeId="0" xr:uid="{054CE8C0-DFC2-4594-A100-AD37D8CA30D0}">
      <text>
        <r>
          <rPr>
            <sz val="10"/>
            <color rgb="FF000000"/>
            <rFont val="Calibri"/>
            <family val="2"/>
            <charset val="204"/>
            <scheme val="minor"/>
          </rPr>
          <t xml:space="preserve">A=6
B=6
</t>
        </r>
      </text>
    </comment>
    <comment ref="L2" authorId="0" shapeId="0" xr:uid="{FC97955D-01E4-4803-9BC8-8388EDB7F56F}">
      <text>
        <r>
          <rPr>
            <sz val="10"/>
            <color rgb="FF000000"/>
            <rFont val="Calibri"/>
            <family val="2"/>
            <charset val="204"/>
            <scheme val="minor"/>
          </rPr>
          <t xml:space="preserve">A=31
B-=35
</t>
        </r>
      </text>
    </comment>
    <comment ref="M2" authorId="0" shapeId="0" xr:uid="{4D4189D6-DB6C-41A4-B699-42AF27B41A37}">
      <text>
        <r>
          <rPr>
            <sz val="10"/>
            <color rgb="FF000000"/>
            <rFont val="Calibri"/>
            <family val="2"/>
            <charset val="204"/>
            <scheme val="minor"/>
          </rPr>
          <t xml:space="preserve">A=47
B=54
</t>
        </r>
      </text>
    </comment>
    <comment ref="N2" authorId="0" shapeId="0" xr:uid="{96A04A5C-3B5D-409E-8468-3C2A3A11F806}">
      <text>
        <r>
          <rPr>
            <sz val="10"/>
            <color rgb="FF000000"/>
            <rFont val="Calibri"/>
            <family val="2"/>
            <charset val="204"/>
            <scheme val="minor"/>
          </rPr>
          <t xml:space="preserve">A=38
B=39
</t>
        </r>
      </text>
    </comment>
    <comment ref="O2" authorId="0" shapeId="0" xr:uid="{5723379E-40B8-483A-9CB0-B59A50BD48D0}">
      <text>
        <r>
          <rPr>
            <sz val="10"/>
            <color rgb="FF000000"/>
            <rFont val="Calibri"/>
            <family val="2"/>
            <charset val="204"/>
            <scheme val="minor"/>
          </rPr>
          <t xml:space="preserve">A=52
B=53
</t>
        </r>
      </text>
    </comment>
    <comment ref="P2" authorId="0" shapeId="0" xr:uid="{D8723A72-010D-4691-9AFD-0D65DF60448E}">
      <text>
        <r>
          <rPr>
            <sz val="10"/>
            <color rgb="FF000000"/>
            <rFont val="Calibri"/>
            <family val="2"/>
            <charset val="204"/>
            <scheme val="minor"/>
          </rPr>
          <t xml:space="preserve">A=67
B=67
</t>
        </r>
      </text>
    </comment>
    <comment ref="Q2" authorId="1" shapeId="0" xr:uid="{23CF85B6-320B-4CC8-9F6B-E96EB27BD8C9}">
      <text>
        <r>
          <rPr>
            <sz val="10"/>
            <color rgb="FF000000"/>
            <rFont val="Calibri"/>
            <family val="2"/>
            <charset val="204"/>
            <scheme val="minor"/>
          </rPr>
          <t xml:space="preserve">A = 50 B = 54
</t>
        </r>
      </text>
    </comment>
    <comment ref="R2" authorId="0" shapeId="0" xr:uid="{65BD6133-C406-4F9D-9F38-DE853121AA89}">
      <text>
        <r>
          <rPr>
            <sz val="10"/>
            <color rgb="FF000000"/>
            <rFont val="Calibri"/>
            <family val="2"/>
            <charset val="204"/>
            <scheme val="minor"/>
          </rPr>
          <t xml:space="preserve">A=29
B=33
</t>
        </r>
      </text>
    </comment>
    <comment ref="K3" authorId="0" shapeId="0" xr:uid="{51B39BD0-0EAE-4992-9213-4A9593FF8575}">
      <text>
        <r>
          <rPr>
            <sz val="10"/>
            <color rgb="FF000000"/>
            <rFont val="Calibri"/>
            <family val="2"/>
            <charset val="204"/>
            <scheme val="minor"/>
          </rPr>
          <t>A=1
B=1</t>
        </r>
      </text>
    </comment>
    <comment ref="L3" authorId="0" shapeId="0" xr:uid="{18B2A0AF-6789-4967-8133-C1F48EE169E9}">
      <text>
        <r>
          <rPr>
            <sz val="10"/>
            <color rgb="FF000000"/>
            <rFont val="Calibri"/>
            <family val="2"/>
            <charset val="204"/>
            <scheme val="minor"/>
          </rPr>
          <t>A=22
B=23</t>
        </r>
      </text>
    </comment>
    <comment ref="M3" authorId="0" shapeId="0" xr:uid="{1829EDFF-5A3C-41B6-B569-1DAE90B2DEB1}">
      <text>
        <r>
          <rPr>
            <sz val="10"/>
            <color rgb="FF000000"/>
            <rFont val="Calibri"/>
            <family val="2"/>
            <charset val="204"/>
            <scheme val="minor"/>
          </rPr>
          <t>A=29 B=32</t>
        </r>
      </text>
    </comment>
    <comment ref="N3" authorId="0" shapeId="0" xr:uid="{B848D62C-2CCC-4D3A-AAA5-6128CE60FF42}">
      <text>
        <r>
          <rPr>
            <sz val="10"/>
            <color rgb="FF000000"/>
            <rFont val="Calibri"/>
            <family val="2"/>
            <charset val="204"/>
            <scheme val="minor"/>
          </rPr>
          <t>A=35 B=37</t>
        </r>
      </text>
    </comment>
    <comment ref="O3" authorId="0" shapeId="0" xr:uid="{E02B1625-CFBF-48A7-AC6B-22C858A4C6AA}">
      <text>
        <r>
          <rPr>
            <sz val="10"/>
            <color rgb="FF000000"/>
            <rFont val="Calibri"/>
            <family val="2"/>
            <charset val="204"/>
            <scheme val="minor"/>
          </rPr>
          <t>A=39 B=41</t>
        </r>
      </text>
    </comment>
    <comment ref="P3" authorId="0" shapeId="0" xr:uid="{C3038A9F-75CD-490C-8694-0EE8AC7DE214}">
      <text>
        <r>
          <rPr>
            <sz val="10"/>
            <color rgb="FF000000"/>
            <rFont val="Calibri"/>
            <family val="2"/>
            <charset val="204"/>
            <scheme val="minor"/>
          </rPr>
          <t>A=30 B=31</t>
        </r>
      </text>
    </comment>
    <comment ref="Q3" authorId="0" shapeId="0" xr:uid="{07DE6470-C3BA-47BD-91BF-4A8FB0621FFB}">
      <text>
        <r>
          <rPr>
            <sz val="10"/>
            <color rgb="FF000000"/>
            <rFont val="Calibri"/>
            <family val="2"/>
            <charset val="204"/>
            <scheme val="minor"/>
          </rPr>
          <t>A=31 B=32</t>
        </r>
      </text>
    </comment>
    <comment ref="R3" authorId="0" shapeId="0" xr:uid="{F8BD89DF-10A4-45CA-B694-EE5224813071}">
      <text>
        <r>
          <rPr>
            <sz val="10"/>
            <color rgb="FF000000"/>
            <rFont val="Calibri"/>
            <family val="2"/>
            <charset val="204"/>
            <scheme val="minor"/>
          </rPr>
          <t>A=28 B=30</t>
        </r>
      </text>
    </comment>
    <comment ref="L4" authorId="0" shapeId="0" xr:uid="{8B408E8A-48F0-45C4-9B21-6775B2E0064C}">
      <text>
        <r>
          <rPr>
            <sz val="10"/>
            <color rgb="FF000000"/>
            <rFont val="Calibri"/>
            <family val="2"/>
            <charset val="204"/>
            <scheme val="minor"/>
          </rPr>
          <t>A=4 B=4</t>
        </r>
      </text>
    </comment>
    <comment ref="M4" authorId="0" shapeId="0" xr:uid="{C2678551-3E43-4CE5-A8C5-B960CBE8345C}">
      <text>
        <r>
          <rPr>
            <sz val="10"/>
            <color rgb="FF000000"/>
            <rFont val="Calibri"/>
            <family val="2"/>
            <charset val="204"/>
            <scheme val="minor"/>
          </rPr>
          <t>A=5 B=6</t>
        </r>
      </text>
    </comment>
    <comment ref="N4" authorId="0" shapeId="0" xr:uid="{975BFDEF-5CC3-45ED-83E0-0A30A70231EA}">
      <text>
        <r>
          <rPr>
            <sz val="10"/>
            <color rgb="FF000000"/>
            <rFont val="Calibri"/>
            <family val="2"/>
            <charset val="204"/>
            <scheme val="minor"/>
          </rPr>
          <t>A=31 B=32</t>
        </r>
      </text>
    </comment>
    <comment ref="O4" authorId="0" shapeId="0" xr:uid="{08D8EA4E-B140-4FF3-B355-34F74B25BB17}">
      <text>
        <r>
          <rPr>
            <sz val="10"/>
            <color rgb="FF000000"/>
            <rFont val="Calibri"/>
            <family val="2"/>
            <charset val="204"/>
            <scheme val="minor"/>
          </rPr>
          <t>A=75 B=79</t>
        </r>
      </text>
    </comment>
    <comment ref="P4" authorId="0" shapeId="0" xr:uid="{D28263EB-2FD2-42BB-A621-9A84B4C45D05}">
      <text>
        <r>
          <rPr>
            <sz val="10"/>
            <color rgb="FF000000"/>
            <rFont val="Calibri"/>
            <family val="2"/>
            <charset val="204"/>
            <scheme val="minor"/>
          </rPr>
          <t>A=49 B=51</t>
        </r>
      </text>
    </comment>
    <comment ref="Q4" authorId="1" shapeId="0" xr:uid="{236E844F-8C17-49D1-90C0-D72ED6370477}">
      <text>
        <r>
          <rPr>
            <sz val="10"/>
            <color rgb="FF000000"/>
            <rFont val="Calibri"/>
            <family val="2"/>
            <charset val="204"/>
            <scheme val="minor"/>
          </rPr>
          <t xml:space="preserve">А = 47 B = 49
</t>
        </r>
      </text>
    </comment>
    <comment ref="R4" authorId="0" shapeId="0" xr:uid="{1CB78532-9540-4E97-98E9-1CD9B29D2E49}">
      <text>
        <r>
          <rPr>
            <sz val="10"/>
            <color rgb="FF000000"/>
            <rFont val="Calibri"/>
            <family val="2"/>
            <charset val="204"/>
            <scheme val="minor"/>
          </rPr>
          <t>A=55 B=57</t>
        </r>
      </text>
    </comment>
    <comment ref="L19" authorId="0" shapeId="0" xr:uid="{12982790-96BC-47F2-B1A5-DBD4DE7BFF60}">
      <text>
        <r>
          <rPr>
            <sz val="10"/>
            <color rgb="FF000000"/>
            <rFont val="Calibri"/>
            <family val="2"/>
            <charset val="204"/>
            <scheme val="minor"/>
          </rPr>
          <t>A=0  
 B=15</t>
        </r>
      </text>
    </comment>
    <comment ref="M19" authorId="0" shapeId="0" xr:uid="{C6711454-B949-40B5-ACF4-958861262333}">
      <text>
        <r>
          <rPr>
            <sz val="10"/>
            <color rgb="FF000000"/>
            <rFont val="Calibri"/>
            <family val="2"/>
            <charset val="204"/>
            <scheme val="minor"/>
          </rPr>
          <t>A=0
B=14</t>
        </r>
      </text>
    </comment>
    <comment ref="N19" authorId="0" shapeId="0" xr:uid="{6EF85A19-A1F8-43D4-A7F0-7A29F56431A2}">
      <text>
        <r>
          <rPr>
            <sz val="10"/>
            <color rgb="FF000000"/>
            <rFont val="Calibri"/>
            <family val="2"/>
            <charset val="204"/>
            <scheme val="minor"/>
          </rPr>
          <t xml:space="preserve">A=0
B=5
</t>
        </r>
      </text>
    </comment>
    <comment ref="O19" authorId="0" shapeId="0" xr:uid="{B2B01EC2-C66B-44BA-BD25-8C7B1474694E}">
      <text>
        <r>
          <rPr>
            <sz val="10"/>
            <color rgb="FF000000"/>
            <rFont val="Calibri"/>
            <family val="2"/>
            <charset val="204"/>
            <scheme val="minor"/>
          </rPr>
          <t>A=0
B=6</t>
        </r>
      </text>
    </comment>
    <comment ref="P19" authorId="0" shapeId="0" xr:uid="{B7E818EE-8568-48DE-A2A2-7BA944DB9F03}">
      <text>
        <r>
          <rPr>
            <sz val="10"/>
            <color rgb="FF000000"/>
            <rFont val="Calibri"/>
            <family val="2"/>
            <charset val="204"/>
            <scheme val="minor"/>
          </rPr>
          <t>A=0
B=324</t>
        </r>
      </text>
    </comment>
    <comment ref="Q19" authorId="0" shapeId="0" xr:uid="{C88A0C03-06CF-4DC4-8DED-C5505EF28990}">
      <text>
        <r>
          <rPr>
            <sz val="10"/>
            <color rgb="FF000000"/>
            <rFont val="Calibri"/>
            <family val="2"/>
            <charset val="204"/>
            <scheme val="minor"/>
          </rPr>
          <t>A=0
B=22</t>
        </r>
      </text>
    </comment>
    <comment ref="R19" authorId="0" shapeId="0" xr:uid="{7F6A48BE-AC88-4134-9150-303E2BD2F121}">
      <text>
        <r>
          <rPr>
            <sz val="10"/>
            <color rgb="FF000000"/>
            <rFont val="Calibri"/>
            <family val="2"/>
            <charset val="204"/>
            <scheme val="minor"/>
          </rPr>
          <t>A=0
B=3</t>
        </r>
      </text>
    </comment>
    <comment ref="O20" authorId="0" shapeId="0" xr:uid="{CE0F4DDD-9D20-4635-94FC-94CAA4206785}">
      <text>
        <r>
          <rPr>
            <sz val="10"/>
            <color rgb="FF000000"/>
            <rFont val="Calibri"/>
            <family val="2"/>
            <charset val="204"/>
            <scheme val="minor"/>
          </rPr>
          <t>A=0
 B=12</t>
        </r>
      </text>
    </comment>
    <comment ref="P20" authorId="0" shapeId="0" xr:uid="{BDE9319B-D2D7-4AEE-BD5F-A5659678458E}">
      <text>
        <r>
          <rPr>
            <sz val="10"/>
            <color rgb="FF000000"/>
            <rFont val="Calibri"/>
            <family val="2"/>
            <charset val="204"/>
            <scheme val="minor"/>
          </rPr>
          <t>A=4
B=9</t>
        </r>
      </text>
    </comment>
    <comment ref="Q20" authorId="0" shapeId="0" xr:uid="{33E8B022-ADFB-470E-A33F-3537C8612C93}">
      <text>
        <r>
          <rPr>
            <sz val="10"/>
            <color rgb="FF000000"/>
            <rFont val="Calibri"/>
            <family val="2"/>
            <charset val="204"/>
            <scheme val="minor"/>
          </rPr>
          <t>A=0
B=3</t>
        </r>
      </text>
    </comment>
    <comment ref="R20" authorId="0" shapeId="0" xr:uid="{2252CDBC-68E8-493A-80EE-68F8A652D8D3}">
      <text>
        <r>
          <rPr>
            <sz val="10"/>
            <color rgb="FF000000"/>
            <rFont val="Calibri"/>
            <family val="2"/>
            <charset val="204"/>
            <scheme val="minor"/>
          </rPr>
          <t>A=0
B=9</t>
        </r>
      </text>
    </comment>
    <comment ref="L21" authorId="0" shapeId="0" xr:uid="{AF9505DC-E758-4C6A-8AC9-8A6FFB6F72D9}">
      <text>
        <r>
          <rPr>
            <sz val="10"/>
            <color rgb="FF000000"/>
            <rFont val="Calibri"/>
            <family val="2"/>
            <charset val="204"/>
            <scheme val="minor"/>
          </rPr>
          <t xml:space="preserve">A=0
 B=1
</t>
        </r>
      </text>
    </comment>
    <comment ref="M21" authorId="0" shapeId="0" xr:uid="{458C0FBF-A666-4B69-AFEC-212FA4AB4D8A}">
      <text>
        <r>
          <rPr>
            <sz val="10"/>
            <color rgb="FF000000"/>
            <rFont val="Calibri"/>
            <family val="2"/>
            <charset val="204"/>
            <scheme val="minor"/>
          </rPr>
          <t>A=0
B=1</t>
        </r>
      </text>
    </comment>
    <comment ref="O21" authorId="0" shapeId="0" xr:uid="{BBFD751B-78BC-4AEB-A914-BF7C4AA8C486}">
      <text>
        <r>
          <rPr>
            <sz val="10"/>
            <color rgb="FF000000"/>
            <rFont val="Calibri"/>
            <family val="2"/>
            <charset val="204"/>
            <scheme val="minor"/>
          </rPr>
          <t>A=0 
B=2</t>
        </r>
      </text>
    </comment>
    <comment ref="P21" authorId="0" shapeId="0" xr:uid="{D10F9981-D24F-4CEC-9EF5-DCDC510B7AC1}">
      <text>
        <r>
          <rPr>
            <sz val="10"/>
            <color rgb="FF000000"/>
            <rFont val="Calibri"/>
            <family val="2"/>
            <charset val="204"/>
            <scheme val="minor"/>
          </rPr>
          <t>A=3
B=3</t>
        </r>
      </text>
    </comment>
    <comment ref="Q21" authorId="0" shapeId="0" xr:uid="{8A2E2598-B9AA-4C6E-AC0E-AB6B6E335076}">
      <text>
        <r>
          <rPr>
            <sz val="10"/>
            <color rgb="FF000000"/>
            <rFont val="Calibri"/>
            <family val="2"/>
            <charset val="204"/>
            <scheme val="minor"/>
          </rPr>
          <t>A=0
B=1</t>
        </r>
      </text>
    </comment>
    <comment ref="R21" authorId="0" shapeId="0" xr:uid="{526125AF-D1A6-4DF0-A89E-7A776266B2E5}">
      <text>
        <r>
          <rPr>
            <sz val="10"/>
            <color rgb="FF000000"/>
            <rFont val="Calibri"/>
            <family val="2"/>
            <charset val="204"/>
            <scheme val="minor"/>
          </rPr>
          <t>A=0
B=133</t>
        </r>
      </text>
    </comment>
    <comment ref="L22" authorId="0" shapeId="0" xr:uid="{AA6030DC-8A05-4797-9DEB-49D480AA54C0}">
      <text>
        <r>
          <rPr>
            <sz val="10"/>
            <color rgb="FF000000"/>
            <rFont val="Calibri"/>
            <family val="2"/>
            <charset val="204"/>
            <scheme val="minor"/>
          </rPr>
          <t>A=0 
B=6</t>
        </r>
      </text>
    </comment>
    <comment ref="M22" authorId="0" shapeId="0" xr:uid="{263CAEAD-2AA3-4459-8CDA-65B3A07665DA}">
      <text>
        <r>
          <rPr>
            <sz val="10"/>
            <color rgb="FF000000"/>
            <rFont val="Calibri"/>
            <family val="2"/>
            <charset val="204"/>
            <scheme val="minor"/>
          </rPr>
          <t>A=0
B=39</t>
        </r>
      </text>
    </comment>
    <comment ref="N22" authorId="0" shapeId="0" xr:uid="{6F841B67-0751-42CF-B234-DEE7E62F2E58}">
      <text>
        <r>
          <rPr>
            <sz val="10"/>
            <color rgb="FF000000"/>
            <rFont val="Calibri"/>
            <family val="2"/>
            <charset val="204"/>
            <scheme val="minor"/>
          </rPr>
          <t xml:space="preserve">A=0
 B=26
</t>
        </r>
      </text>
    </comment>
    <comment ref="O22" authorId="0" shapeId="0" xr:uid="{17FA2D71-7FB7-4B9C-8777-29D8AD82304B}">
      <text>
        <r>
          <rPr>
            <sz val="10"/>
            <color rgb="FF000000"/>
            <rFont val="Calibri"/>
            <family val="2"/>
            <charset val="204"/>
            <scheme val="minor"/>
          </rPr>
          <t>A=0
B=92</t>
        </r>
      </text>
    </comment>
    <comment ref="P22" authorId="0" shapeId="0" xr:uid="{EC849C2D-768B-4E69-BD83-255BD50812F9}">
      <text>
        <r>
          <rPr>
            <sz val="10"/>
            <color rgb="FF000000"/>
            <rFont val="Calibri"/>
            <family val="2"/>
            <charset val="204"/>
            <scheme val="minor"/>
          </rPr>
          <t>A=1
B=401</t>
        </r>
      </text>
    </comment>
    <comment ref="Q22" authorId="0" shapeId="0" xr:uid="{B45C59BA-361A-4AC0-BA46-455D5838C343}">
      <text>
        <r>
          <rPr>
            <sz val="10"/>
            <color rgb="FF000000"/>
            <rFont val="Calibri"/>
            <family val="2"/>
            <charset val="204"/>
            <scheme val="minor"/>
          </rPr>
          <t>A=0
B=334</t>
        </r>
      </text>
    </comment>
    <comment ref="R22" authorId="0" shapeId="0" xr:uid="{D5988F2E-1C32-4086-B0BE-26DD1060D20A}">
      <text>
        <r>
          <rPr>
            <sz val="10"/>
            <color rgb="FF000000"/>
            <rFont val="Calibri"/>
            <family val="2"/>
            <charset val="204"/>
            <scheme val="minor"/>
          </rPr>
          <t>A=0
B=81</t>
        </r>
      </text>
    </comment>
    <comment ref="L23" authorId="0" shapeId="0" xr:uid="{ECBA20C0-25DB-45ED-9E94-E64E275CB172}">
      <text>
        <r>
          <rPr>
            <sz val="10"/>
            <color rgb="FF000000"/>
            <rFont val="Calibri"/>
            <family val="2"/>
            <charset val="204"/>
            <scheme val="minor"/>
          </rPr>
          <t>A=0
B=4</t>
        </r>
      </text>
    </comment>
    <comment ref="M23" authorId="0" shapeId="0" xr:uid="{2ABF6538-FE6E-4C2A-8D99-9A019E31C54C}">
      <text>
        <r>
          <rPr>
            <sz val="10"/>
            <color rgb="FF000000"/>
            <rFont val="Calibri"/>
            <family val="2"/>
            <charset val="204"/>
            <scheme val="minor"/>
          </rPr>
          <t>A=0
B=269</t>
        </r>
      </text>
    </comment>
    <comment ref="P23" authorId="0" shapeId="0" xr:uid="{02BABD89-EAA9-4730-AF68-F17B84BE18F8}">
      <text>
        <r>
          <rPr>
            <sz val="10"/>
            <color rgb="FF000000"/>
            <rFont val="Calibri"/>
            <family val="2"/>
            <charset val="204"/>
            <scheme val="minor"/>
          </rPr>
          <t>A=1
B=22</t>
        </r>
      </text>
    </comment>
    <comment ref="Q23" authorId="0" shapeId="0" xr:uid="{6F1AD178-5C24-4E3A-B245-3AE96987A15F}">
      <text>
        <r>
          <rPr>
            <sz val="10"/>
            <color rgb="FF000000"/>
            <rFont val="Calibri"/>
            <family val="2"/>
            <charset val="204"/>
            <scheme val="minor"/>
          </rPr>
          <t>A=0 B=27</t>
        </r>
      </text>
    </comment>
    <comment ref="Q84" authorId="1" shapeId="0" xr:uid="{20A6733F-5353-414A-8ACE-92A086FA3BAA}">
      <text>
        <r>
          <rPr>
            <sz val="10"/>
            <color rgb="FF000000"/>
            <rFont val="Calibri"/>
            <family val="2"/>
            <charset val="204"/>
            <scheme val="minor"/>
          </rPr>
          <t xml:space="preserve">В  = 5524
</t>
        </r>
      </text>
    </comment>
    <comment ref="U84" authorId="2" shapeId="0" xr:uid="{376B7662-29BB-49CD-84CE-A7435CD688BE}">
      <text>
        <r>
          <rPr>
            <sz val="10"/>
            <color rgb="FF000000"/>
            <rFont val="Calibri"/>
            <family val="2"/>
            <charset val="204"/>
            <scheme val="minor"/>
          </rPr>
          <t xml:space="preserve">B=1071
</t>
        </r>
      </text>
    </comment>
    <comment ref="V84" authorId="2" shapeId="0" xr:uid="{5B20020F-67C6-4E72-BD11-9E2100EFEAA3}">
      <text>
        <r>
          <rPr>
            <sz val="10"/>
            <color rgb="FF000000"/>
            <rFont val="Calibri"/>
            <family val="2"/>
            <charset val="204"/>
            <scheme val="minor"/>
          </rPr>
          <t>B=23</t>
        </r>
      </text>
    </comment>
    <comment ref="S97" authorId="3" shapeId="0" xr:uid="{A51AC6C5-E5A2-4AE5-9ED2-B875318D3FBA}">
      <text>
        <r>
          <rPr>
            <sz val="10"/>
            <color rgb="FF000000"/>
            <rFont val="Calibri"/>
            <family val="2"/>
            <charset val="204"/>
            <scheme val="minor"/>
          </rPr>
          <t xml:space="preserve">Количество по модулю.
</t>
        </r>
      </text>
    </comment>
    <comment ref="S102" authorId="3" shapeId="0" xr:uid="{071224F1-3CAC-4754-8C13-93EBED5291E4}">
      <text>
        <r>
          <rPr>
            <sz val="10"/>
            <color rgb="FF000000"/>
            <rFont val="Calibri"/>
            <family val="2"/>
            <charset val="204"/>
            <scheme val="minor"/>
          </rPr>
          <t>Количество по модулю.</t>
        </r>
      </text>
    </comment>
    <comment ref="Q121" authorId="1" shapeId="0" xr:uid="{1528D3B6-7386-4FF2-BB6E-685381C5B136}">
      <text>
        <r>
          <rPr>
            <sz val="10"/>
            <color rgb="FF000000"/>
            <rFont val="Calibri"/>
            <family val="2"/>
            <charset val="204"/>
            <scheme val="minor"/>
          </rPr>
          <t>A = 58 B = 60</t>
        </r>
      </text>
    </comment>
    <comment ref="M190" authorId="0" shapeId="0" xr:uid="{CA5DAF15-4348-4109-B465-9021379A7C7A}">
      <text>
        <r>
          <rPr>
            <sz val="10"/>
            <color rgb="FF000000"/>
            <rFont val="Calibri"/>
            <family val="2"/>
            <charset val="204"/>
            <scheme val="minor"/>
          </rPr>
          <t>A=1 B=1</t>
        </r>
      </text>
    </comment>
    <comment ref="N190" authorId="0" shapeId="0" xr:uid="{69FE4674-5F50-4AF2-8508-25018A94D984}">
      <text>
        <r>
          <rPr>
            <sz val="10"/>
            <color rgb="FF000000"/>
            <rFont val="Calibri"/>
            <family val="2"/>
            <charset val="204"/>
            <scheme val="minor"/>
          </rPr>
          <t>A=4 B=4</t>
        </r>
      </text>
    </comment>
    <comment ref="O190" authorId="0" shapeId="0" xr:uid="{1FABD738-6C60-4917-B50A-9052D8781400}">
      <text>
        <r>
          <rPr>
            <sz val="10"/>
            <color rgb="FF000000"/>
            <rFont val="Calibri"/>
            <family val="2"/>
            <charset val="204"/>
            <scheme val="minor"/>
          </rPr>
          <t>A=7 B=7</t>
        </r>
      </text>
    </comment>
    <comment ref="P190" authorId="0" shapeId="0" xr:uid="{85B7BA66-CD96-4B5F-B44E-E0599A4D5CA5}">
      <text>
        <r>
          <rPr>
            <sz val="10"/>
            <color rgb="FF000000"/>
            <rFont val="Calibri"/>
            <family val="2"/>
            <charset val="204"/>
            <scheme val="minor"/>
          </rPr>
          <t>A=3 B=3</t>
        </r>
      </text>
    </comment>
    <comment ref="Q190" authorId="0" shapeId="0" xr:uid="{8F8B399E-32AE-426D-9DAC-62AC06A968E2}">
      <text>
        <r>
          <rPr>
            <sz val="10"/>
            <color rgb="FF000000"/>
            <rFont val="Calibri"/>
            <family val="2"/>
            <charset val="204"/>
            <scheme val="minor"/>
          </rPr>
          <t>A=8 B=11</t>
        </r>
      </text>
    </comment>
  </commentList>
</comments>
</file>

<file path=xl/sharedStrings.xml><?xml version="1.0" encoding="utf-8"?>
<sst xmlns="http://schemas.openxmlformats.org/spreadsheetml/2006/main" count="7103" uniqueCount="880">
  <si>
    <t>id</t>
  </si>
  <si>
    <t>KPI название</t>
  </si>
  <si>
    <t>Ед.изм-я</t>
  </si>
  <si>
    <t>Направление</t>
  </si>
  <si>
    <t>Источник данных</t>
  </si>
  <si>
    <t>Формула</t>
  </si>
  <si>
    <t>Ответственный</t>
  </si>
  <si>
    <t>Бренд</t>
  </si>
  <si>
    <t>Порог</t>
  </si>
  <si>
    <t>Тип</t>
  </si>
  <si>
    <t>KPI01</t>
  </si>
  <si>
    <t>Своевременность выгрузки на склад.</t>
  </si>
  <si>
    <t>% (ТС = Транспортное средство)</t>
  </si>
  <si>
    <t>Склад товара</t>
  </si>
  <si>
    <t>Axelot, отчет "Анализ времени погрузо-разгрузочных работ".Вариант "KPI - Управление двором".</t>
  </si>
  <si>
    <t>KPI01 = A/B * 100%, где:
А - кол-во своевременно разгруженных ТС, 
B - общее кол-во разгруженных ТС. 
ТС с типом операции "Товар", "Транзит".
Своевременно разгруженным является ТС, время разгрузки которого не превышает 4 часа.</t>
  </si>
  <si>
    <t>Итого</t>
  </si>
  <si>
    <t>-</t>
  </si>
  <si>
    <t>KPI02</t>
  </si>
  <si>
    <t>Склад оборудования</t>
  </si>
  <si>
    <t>KPI02 = A/B * 100%, где:
А - кол-во своевременно разгруженных ТС, 
B - общее кол-во разгруженных ТС. 
ТС с типом операции "Оборудование"..
Своевременно разгруженным является ТС, время разгрузки которого не превышает 4 часа.</t>
  </si>
  <si>
    <t>KPI03</t>
  </si>
  <si>
    <t>Своевременность отгрузки со склада.</t>
  </si>
  <si>
    <t>KPI03 = A/B * 100%, где: 
А - кол-во своевременно отгруженных ТС, 
B - общее кол-во отгруженных ТС. 
ТС с типом операции "Товар", "Транзит".
Своевременно отгруженным является ТС, время отгрузки которого не превышает 1 часа для СПб, 4 часа для остальных направлений.</t>
  </si>
  <si>
    <t>KPI04</t>
  </si>
  <si>
    <t>Количество не обработанных шт. возвратов с розницы.</t>
  </si>
  <si>
    <t>шт. (штуки)</t>
  </si>
  <si>
    <t>Axelot, отчет "Остатки". Вариант "KPI - Ожидание приемки вложенний возвратных коробов из розницы (Количество у.е., Количество коробов)"</t>
  </si>
  <si>
    <t>KPI04 = SUM(A), где: 
А - количество шт. товара в составе не обработанного короба на конец отчетного периода. 
Не обработанным коробом является транзитный короб с конечным получателем склад, принятым на уровне короба и размещенным на временное хранение.</t>
  </si>
  <si>
    <t>84876</t>
  </si>
  <si>
    <t>84631</t>
  </si>
  <si>
    <t>90605</t>
  </si>
  <si>
    <t>43 823</t>
  </si>
  <si>
    <t>BF</t>
  </si>
  <si>
    <t>1 539</t>
  </si>
  <si>
    <t xml:space="preserve">3907_x000D_
</t>
  </si>
  <si>
    <t>ID</t>
  </si>
  <si>
    <t>LR</t>
  </si>
  <si>
    <t>9 711</t>
  </si>
  <si>
    <t>9 815</t>
  </si>
  <si>
    <t>SL</t>
  </si>
  <si>
    <t>4 704</t>
  </si>
  <si>
    <t>4 786</t>
  </si>
  <si>
    <t>ZR</t>
  </si>
  <si>
    <t>28 057</t>
  </si>
  <si>
    <t>28 058</t>
  </si>
  <si>
    <t>KPI05</t>
  </si>
  <si>
    <t>Количество обработанных шт. возвратов с розницы.</t>
  </si>
  <si>
    <t>Axelot, таблица "Строки приемки".</t>
  </si>
  <si>
    <t>KPI05 = SUM(A), где: 
А - количество шт. разбракованного и принятого товара из состава транзитного короба в отчетном периоде.</t>
  </si>
  <si>
    <t>9115</t>
  </si>
  <si>
    <t>307</t>
  </si>
  <si>
    <t>192</t>
  </si>
  <si>
    <t>894</t>
  </si>
  <si>
    <t>6618</t>
  </si>
  <si>
    <t>1101</t>
  </si>
  <si>
    <t>KPI06</t>
  </si>
  <si>
    <t>Производительность приемки возвратов с розницы.</t>
  </si>
  <si>
    <t>% шт. (штуки)</t>
  </si>
  <si>
    <t>Axelot, отчет "Выработка сотрудников по часам" или дашборд "Срез для старших смены" в Power BI.</t>
  </si>
  <si>
    <t>KPI06 = A/(B*K)*100%, где: 
А - суммарная выработка шт. за период на операции, 
В - Количество человеко-часов, потраченных на операцию. 
K - норматив на операции (60 шт.)</t>
  </si>
  <si>
    <t>KPI08</t>
  </si>
  <si>
    <t>Своевременность приемки содержимого коробов, содержащих возвраты из розницы.</t>
  </si>
  <si>
    <t>% кор. (короба)</t>
  </si>
  <si>
    <t>Axelot, таблица "Задачи по перемещению контейнеров", таблица "Строки приемки", сведение в Excel.</t>
  </si>
  <si>
    <t>KPI08 = A/B*100%, где: 
А - количество коробов, вложения которых приняты своевременно. 
B - общее количество коробов, содержимое которых было принято.</t>
  </si>
  <si>
    <t>KPI09</t>
  </si>
  <si>
    <t>Количество принятых транзитных коробов.</t>
  </si>
  <si>
    <t>кор. (короба)</t>
  </si>
  <si>
    <t>KPI09 = SUM(A), где: 
А - количество принятых транзитных коробов за отчетный период. 
Транзитным коробом считается номенклатура, имеющая признак "Транзитный короб".</t>
  </si>
  <si>
    <t>KPI10</t>
  </si>
  <si>
    <t>Производительность приемки транзитных коробов.</t>
  </si>
  <si>
    <t>KPI10 = A/(B*K)*100%, где: 
А - суммарная выработка кор. за период на операции, 
В - Количество человеко-часов, потраченных на операцию. K - норматив на операции (50 шт.)</t>
  </si>
  <si>
    <t>KPI11</t>
  </si>
  <si>
    <t>Количество проблемных транзитных коробов.</t>
  </si>
  <si>
    <t>Визуальный подсчет в зоне проблемных коробов на складе.</t>
  </si>
  <si>
    <t>KPI11 = SUM(A); где: 
А - количество не принятых транзитных коробов на конец периода. </t>
  </si>
  <si>
    <t>KPI12</t>
  </si>
  <si>
    <t>Полнота обработки документов приемки транзитных коробов.</t>
  </si>
  <si>
    <t>Axelot, отчет "Контроль приемки". Вариант "KPI - Кросс транзитных коробов (Все показатели)".</t>
  </si>
  <si>
    <t>KPI12 = A/B*100%, где: 
А - Сумма фактически принятого по документам, 
В - Сумма количества план по документам, завершенным в отчетный период.</t>
  </si>
  <si>
    <t>KPI13</t>
  </si>
  <si>
    <t>Своевременность приемки транзитных коробов.</t>
  </si>
  <si>
    <t>KPI13 = A/B*100%, где: 
А - количество коробов, документы которых завершены своевременно. 
B - общее количество коробов, документы которых были завершены.</t>
  </si>
  <si>
    <t>KPI15</t>
  </si>
  <si>
    <t>Своевременность приемки возвратов из маркетплейсов.</t>
  </si>
  <si>
    <t>% док. (документ)</t>
  </si>
  <si>
    <t>Axelot, отчет "Контроль приемки". Вариант "KPI - Приемка вложений возвратных коробов из розницы (Все показатели)".</t>
  </si>
  <si>
    <t>KPI15 = A/B*100%, где: 
А - количество документов, которые завершены своевременно, 
B - общее количество документов,  которые были завершены. 
Своевременно завершенным документом является документ, у которого дата вывоза в "Номер КИС" меньше даты завершения документа не более чем на 1 день.</t>
  </si>
  <si>
    <t>KPI16</t>
  </si>
  <si>
    <t>Производительность приемки возвратов из маркетплейсов.</t>
  </si>
  <si>
    <t>KPI16 = A/(B*K)*100%, где: 
А - суммарная выработка шт. за период на операции, 
В - Количество человеко-часов, потраченных на операцию. 
K - норматив на операции (50 шт.)</t>
  </si>
  <si>
    <t>KPI17</t>
  </si>
  <si>
    <t>Количество обработанных шт. возвратов из маркетплейсов.</t>
  </si>
  <si>
    <t>KPI17 = SUM(A); где: 
А - количество шт. разбракованного и принятого товара, полученного из маркетплейса в отчетном периоде.</t>
  </si>
  <si>
    <t>3399</t>
  </si>
  <si>
    <t>KPI18</t>
  </si>
  <si>
    <t>Количество немаркированных штук.</t>
  </si>
  <si>
    <t>Axelot, отчет "Остатки". Вариант "БОО - Остатки Немаркированный товар".</t>
  </si>
  <si>
    <t>KPI18 = SUM(A); где: 
А - количество шт. товара с признаком "Требуется маркировка" = ДА и признаком "Маркировка номенклатуры" = НЕТ на конец отчетного периода.</t>
  </si>
  <si>
    <t>8 296</t>
  </si>
  <si>
    <t>8 332</t>
  </si>
  <si>
    <t>6903</t>
  </si>
  <si>
    <t>1 729</t>
  </si>
  <si>
    <t>1 734</t>
  </si>
  <si>
    <t>1 956</t>
  </si>
  <si>
    <t>2 001</t>
  </si>
  <si>
    <t>4 972</t>
  </si>
  <si>
    <t>5 021</t>
  </si>
  <si>
    <t>KPI19</t>
  </si>
  <si>
    <t>Производительность комплектации отбором с мест хранения.</t>
  </si>
  <si>
    <t>KPI19 = A/(B*K)*100%, где: 
А - суммарная выработка шт. за период на операции, 
В - Количество человеко-часов, потраченных на операцию. 
K - норматив на операции (30 шт.)</t>
  </si>
  <si>
    <t>KPI20</t>
  </si>
  <si>
    <t>Производительность комплектации сортировкой.</t>
  </si>
  <si>
    <t>KPI20 = A/(B*K)*100%, где: 
А - суммарная выработка шт. за период на операции, 
В - Количество человеко-часов, потраченных на операцию. 
K - норматив на операции (100 шт.)</t>
  </si>
  <si>
    <t>KPI21</t>
  </si>
  <si>
    <t>Полнота комплектации товара со стока.</t>
  </si>
  <si>
    <t>Axelot, отчет "Контроль отгрузки".Вариант "KPI - Комплектация (все кроме количества коробов)".</t>
  </si>
  <si>
    <t>KPI21 = A/B*100%, где: 
А - Сумма фактически скомплектованного по документам, 
В - Сумма количества план по документам, завершенным в отчетный период.</t>
  </si>
  <si>
    <t>KPI22</t>
  </si>
  <si>
    <t>Своевременность комплектации со стока.</t>
  </si>
  <si>
    <t>Axelot, отчет "Контроль отгрузки". Вариант "KPI - Комплектация (все кроме количества коробов)".</t>
  </si>
  <si>
    <t>KPI22 = A/B*100%, где: 
А - количество документов, которые скомплектованы своевременно. 
B - общее количество документов,  которые были скомплектованы.</t>
  </si>
  <si>
    <t>KPI25</t>
  </si>
  <si>
    <t>Количество отгруженных транзитных коробов.</t>
  </si>
  <si>
    <t>Axelot, отчет "Контроль отгрузки". Вариант "KPI - Комплектация (количество коробов)".</t>
  </si>
  <si>
    <t>KPI25 = SUM(A); где: 
А - количество коробов, отгруженных по документам в отчетном периоде.
Документом является "заказ на отгрузку" с параметром "Направление отгрузки" = "Отгрузка клиенту (короба)".</t>
  </si>
  <si>
    <t>10185</t>
  </si>
  <si>
    <t>4181</t>
  </si>
  <si>
    <t>245</t>
  </si>
  <si>
    <t>780</t>
  </si>
  <si>
    <t>2744</t>
  </si>
  <si>
    <t>2235</t>
  </si>
  <si>
    <t>KPI26</t>
  </si>
  <si>
    <t>Количество отгруженных коробов со стока.</t>
  </si>
  <si>
    <t>KPI26 = SUM(A); где: 
А - количество коробов, отгруженных по документам в отчетном периоде.
Документом является "заказ на отгрузку" с параметром "Направление отгрузки" = "Отгрузка клиенту".</t>
  </si>
  <si>
    <t>38</t>
  </si>
  <si>
    <t>11</t>
  </si>
  <si>
    <t>16</t>
  </si>
  <si>
    <t>KPI27</t>
  </si>
  <si>
    <t>Качество отгрузки.</t>
  </si>
  <si>
    <t>Axelot, отчет "Контроль отгрузки", Вариант "KPI - Контроль отгрузки (отгрузка)".</t>
  </si>
  <si>
    <t>KPI27 = A/B*100%, где: 
А - Сумма фактически отгруженных коробов по документам, 
В - Сумма количества запланированных к отгрузке коробов по документам, отгруженным в отчетный период.</t>
  </si>
  <si>
    <t>Количество потерянных коробов.</t>
  </si>
  <si>
    <t>KPI28</t>
  </si>
  <si>
    <t>Качество отстатков в WMS.</t>
  </si>
  <si>
    <t>Axelot, 1С, сведение в Excel.</t>
  </si>
  <si>
    <t>KPI28 = 1 - (A - B) / C, где:
A - количество излишков в WMS относительно 1С (всегда положительное),
B - количество недостач в WMS относительно 1С (всегда отрицательное),
C - общий остаток на складе в 1С.
Данные сверяются на конец отчетного периода.</t>
  </si>
  <si>
    <t>неповоротное</t>
  </si>
  <si>
    <t>KPI29</t>
  </si>
  <si>
    <t>Не размещенные короба.</t>
  </si>
  <si>
    <t>Axelot, таблица "Задачи по перемещению контейнеров".</t>
  </si>
  <si>
    <t>KPI29 = SUM(A), где:
А - задача с типом "Размещение" в статусе "К выполнению", дата создания которой отличается от даты окончания отчетного периода более, чем на 24 часа.</t>
  </si>
  <si>
    <t>KPI30</t>
  </si>
  <si>
    <t>Остатки на складе отклонений.</t>
  </si>
  <si>
    <t>1С, отчет "Движения товаров на складах".</t>
  </si>
  <si>
    <t>KPI30 = SUM(А), где:
А - остаток на складе отклонений на конец отчетного периода.</t>
  </si>
  <si>
    <t>KPI31</t>
  </si>
  <si>
    <t>Остатки в зоне LOST.</t>
  </si>
  <si>
    <t>Axelot, отчет "Остатки". Вариант "KPI - Сток (все показатели)".</t>
  </si>
  <si>
    <t>KPI31 = SUM(А), где:
А - остаток в зоне LOST на конец отчетного периода.</t>
  </si>
  <si>
    <t xml:space="preserve">2987_x000D_
</t>
  </si>
  <si>
    <t xml:space="preserve">221
</t>
  </si>
  <si>
    <t>1 810</t>
  </si>
  <si>
    <t>KPI32</t>
  </si>
  <si>
    <t>Доступность товара на стоке.</t>
  </si>
  <si>
    <t>KPI32 = A/B *100%, где:
А - кол-во шт., в доступных зонах, 
B - общее кол-во шт. во всех зонах.
Данные фиксируются на момент окончания отчетного периода.</t>
  </si>
  <si>
    <t>KPI33</t>
  </si>
  <si>
    <t>Заполненность зоны готовых заказов.</t>
  </si>
  <si>
    <t>Axelot, отчет "Остатки". Вариант "KPI - Сток (В зоне готовых заказов)".</t>
  </si>
  <si>
    <t>KPI33 = A/K *100%, где:
А - кол-во кор., готовых к отгрузке, 
K - вместимость зоны "Готовые заказы".
Текущая вместимость зоны "Готовые заказы" 3200 кор.</t>
  </si>
  <si>
    <t>2199</t>
  </si>
  <si>
    <t>9</t>
  </si>
  <si>
    <t>23</t>
  </si>
  <si>
    <t>57</t>
  </si>
  <si>
    <t>6</t>
  </si>
  <si>
    <t>74</t>
  </si>
  <si>
    <t>1691</t>
  </si>
  <si>
    <t>327</t>
  </si>
  <si>
    <t>KPI34</t>
  </si>
  <si>
    <t>Своевременность приемки возвратов оборудования.</t>
  </si>
  <si>
    <t>Excel, таблица "План работ (оборудование)".</t>
  </si>
  <si>
    <t>KPI34 = A/B *100%, где:
А - кол-во своевременно принятых документов, 
B - общее кол-во принятых документов. 
Своевременно принятым считается документ, чья дата фактического завершения не превышает 168 часов (7 дней).</t>
  </si>
  <si>
    <t>МФГ</t>
  </si>
  <si>
    <t>KPI35</t>
  </si>
  <si>
    <t>Не принятые перемещения.</t>
  </si>
  <si>
    <t>док. (документ)</t>
  </si>
  <si>
    <t>1С, отчет "Реестр не подписанных документов".</t>
  </si>
  <si>
    <t>KPI35 = A, где:
А - кол-во не подписанных документов.</t>
  </si>
  <si>
    <t>KPI36</t>
  </si>
  <si>
    <t>Не принятое оборудование.</t>
  </si>
  <si>
    <t>пал. (паллет)</t>
  </si>
  <si>
    <t>KPI36 = А, где:
А - количество паллетомест, занимаемых на складе.</t>
  </si>
  <si>
    <t>KPI37</t>
  </si>
  <si>
    <t>Своевременность приемки нового оборудования.</t>
  </si>
  <si>
    <t>KPI37 = A/B *100%, где:
А - кол-во своевременно принятых документов, 
B - общее кол-во принятых документов. 
Своевременно принятым считается документ, чья дата фактического завершения не превышает 168 часов (7 дней).</t>
  </si>
  <si>
    <t>KPI38</t>
  </si>
  <si>
    <t>Заказы "день в день".</t>
  </si>
  <si>
    <t>1С, реестр "История изменений статусов заявки для склада оборудования", таблица "Заявки для склада оборудования", обработка в Excel.</t>
  </si>
  <si>
    <t>KPI38 = A/B *100%, где:
А - кол-во заказов "день в день", 
B - общее кол-во заказов. 
Заказом "день в день" считается заказ, чья дата фактической отгрузки превышает дату выгрузки на склад не более чем на 24 часа.</t>
  </si>
  <si>
    <t>Количество заказов "день в день".</t>
  </si>
  <si>
    <t>KPI39</t>
  </si>
  <si>
    <t>Полнота комплектации оборудования в розницу.</t>
  </si>
  <si>
    <t>1С, таблица "Заявки для склада оборудования", обработка в Excel.</t>
  </si>
  <si>
    <t>KPI39 = A/B *100%, где:
А - кол-во документов в статусе "Отгружен", 
B - общее кол-во документов. </t>
  </si>
  <si>
    <t>KPI40</t>
  </si>
  <si>
    <t>Полнота комплектации оборудования на открытия магазинов.</t>
  </si>
  <si>
    <t>KPI40 = A/B *100%, где:
А - кол-во документов в статусе "Отгружен", 
B - общее кол-во документов. </t>
  </si>
  <si>
    <t>KPI41</t>
  </si>
  <si>
    <t>Своевременность комплектации/отгрузки заявок на открытия магазинов.</t>
  </si>
  <si>
    <t>1С, таблица "Заявки для склада оборудования", таблица "План работ (оборудование)", обработка в Excel.</t>
  </si>
  <si>
    <t>KPI41 = 1 - A/B *100%, где:
А - кол-во документов в таблице "План работ (оборудование)", 
B - общее кол-во документов. </t>
  </si>
  <si>
    <t>KPI42</t>
  </si>
  <si>
    <t>Своевременность комплектации/отгрузки заявок на магазины.</t>
  </si>
  <si>
    <t>KPI42 = 1 - A/B *100%, где:
А - кол-во документов в таблице "План работ (оборудование)", 
B - общее кол-во документов. </t>
  </si>
  <si>
    <t>выгружается список номеров заказов на отгрузку, отгруженных за прошлую неделю</t>
  </si>
  <si>
    <t>затем сравнивается со списком переносов в вашем файлике, любые номера заявок, которые есть в реестре переносов считаются несвоевременными. Количество своевременных делится на общее количество, посучается показатель</t>
  </si>
  <si>
    <t>KPI43</t>
  </si>
  <si>
    <t>% гр. (грузоместо)</t>
  </si>
  <si>
    <t>1С, таблица "Заявки для склада оборудования", таблица "Реестр претензий и инцидентов", обработка в Excel.</t>
  </si>
  <si>
    <t>KPI43 = 1 - A/B *100%, где:
А - кол-во грузомест в таблице "Реестр претензий и инцидентов", 
B - общее кол-во отгруженных грузомест. </t>
  </si>
  <si>
    <t>Количество потерянных грузомест.</t>
  </si>
  <si>
    <t>гр. (грузоместо)</t>
  </si>
  <si>
    <t>KPI44</t>
  </si>
  <si>
    <t>шк. (штрихкод)</t>
  </si>
  <si>
    <t>Axapta, отчет "Отчет по остаткам в области хранения".</t>
  </si>
  <si>
    <t>KPI44 = SUM(А), где:
А - остаток в зоне LOST на конец отчетного периода.</t>
  </si>
  <si>
    <t>KPI45</t>
  </si>
  <si>
    <t>1С, отчет "Остатки оборудования".</t>
  </si>
  <si>
    <t>KPI45 = (A - B) / C, где:
A - количество излишков в WMS относительно 1С (всегда положительное),
B - количество недостач в WMS относительно 1С (всегда отрицательное),
C - общий остаток на складе в 1С.
Данные сверяются на конец отчетного периода.\</t>
  </si>
  <si>
    <t>Расхождения по модулю.</t>
  </si>
  <si>
    <t>KPI46</t>
  </si>
  <si>
    <t>Не размещенное оборудование.</t>
  </si>
  <si>
    <t>KPI46 = SUM(А), где:
А - остаток в зоне LOST на конец отчетного периода.</t>
  </si>
  <si>
    <t>KPI47</t>
  </si>
  <si>
    <t>KPI47 = A/B * 100%, где: 
А - кол-во своевременно отгруженных ТС, 
B - общее кол-во отгруженных ТС. 
ТС с типом операции "Оборудование".
Своевременно отгруженным является ТС, время отгрузки которого не превышает 1 часа для СПб, 4 часа для остальных направлений.</t>
  </si>
  <si>
    <t>KPI48</t>
  </si>
  <si>
    <t>Количество поступивших возвратов из розницы.</t>
  </si>
  <si>
    <t>KPI048 = SUM(A), где: 
А - количество шт. в выгруженных коробах из розницы в отчетном периоде. (Из поля коэффициент)</t>
  </si>
  <si>
    <t>23137</t>
  </si>
  <si>
    <t>0</t>
  </si>
  <si>
    <t>KPI49</t>
  </si>
  <si>
    <t>Количество отгруженных грузомест</t>
  </si>
  <si>
    <t>1С, таблица "Заявки для склада оборудования".</t>
  </si>
  <si>
    <t>KPI49 = SUM(А), где:
А - Количество отгруженных грузомест.</t>
  </si>
  <si>
    <t>Номер п/п</t>
  </si>
  <si>
    <t>ID KPI</t>
  </si>
  <si>
    <t>Неделя</t>
  </si>
  <si>
    <t>Значение KPI</t>
  </si>
  <si>
    <t>Категория</t>
  </si>
  <si>
    <t>Краткое описание причины</t>
  </si>
  <si>
    <t>Инцидент</t>
  </si>
  <si>
    <t>Лондон Молл BF-2 (СПб) SO000113535/PO000022210 магазин получил не полную комплектацию</t>
  </si>
  <si>
    <t>Планета SL (Пермь) SO000113164/PR00154762 Ценникодержатель для напольного кронштейна А4 GU на магазин поступил не тот товар</t>
  </si>
  <si>
    <t>Сбой</t>
  </si>
  <si>
    <t>TR00205509 Крепеж для светильника MARS, E27, потеряно в М01</t>
  </si>
  <si>
    <t>TR00205286  Светильник светодиодный 5W 4000К 230В 300мм IP40 IN HOME, товар потерян на складе</t>
  </si>
  <si>
    <t>PO000022335 КОМПЛЕКТ ЛИСТОВОК-шаблонов "АКЦИЯ" // А4+А5 по 100 шт.Некоректная приемка товара.</t>
  </si>
  <si>
    <t>Космос ZR (Ставрополь) PR00155035 повреждение ТМЦ</t>
  </si>
  <si>
    <t>МореМолл ID (Сочи) SO000112078/PR00154747 ИТ-оборудование, короб. Не верный отбор коробов по системе.</t>
  </si>
  <si>
    <t>МореМолл ID (Сочи) PR00154958 магазин получил товар в 2р больше, чем заказал</t>
  </si>
  <si>
    <t>Мирный BF (Зеленодольск) SO000113823/PR00155203 Магазин получил товар упаковками, заказ был сделан штуками</t>
  </si>
  <si>
    <t>Горизонт LR-3 (Ростов-на-Дону) PR00154731 Светильник светодиодный PHILIPS PANEL RC048 (34mm) 36Вт 595x595x34 магазин получил товар в коробках, а не штуках</t>
  </si>
  <si>
    <t>TR00206367 Прозрачный стикер с размером 20*120 мм, SL,  неверное размещение</t>
  </si>
  <si>
    <t>TR00208100/TR00208089 при сборке не нашли товар на ячейке, обнаружили рядом</t>
  </si>
  <si>
    <t>Галерея ID (Новосибирск) SO000114642/PR00157042/PR00157166 Полка навесная 490*1100 ID магазин недоволен качеством товара</t>
  </si>
  <si>
    <t>PO000022667 Датчик антикражный Golf 54 гольф чёрный ракушка Акустомагнитный принят неверно</t>
  </si>
  <si>
    <t>Веер Молл BF-2 (Екатеринбург) Сломали стеллаж "Каллакс", потеряли 360 жакетных вешалок</t>
  </si>
  <si>
    <t>Кузьминки Молл BF (Москва) Отсутствую подвесы для шинопроводов</t>
  </si>
  <si>
    <t>Акваполис BF (Псков) На объект отправили полки другого цвета</t>
  </si>
  <si>
    <t>Афимолл SL (Москва) SO000115858 Керамогранит под ТРАВЕРТИН, 60*60 см, ПРО МАТРИКС (v2) не доехал до магазина</t>
  </si>
  <si>
    <t>Веер Молл BF-2 (Екатеринбург) SO000115092 На магазин поступили незаказанные товары</t>
  </si>
  <si>
    <t>Калейдоскоп ZR (Новосибирск) SO000116154/PR00157957 Съемник для датчиков универсальный круглый . Магазин утверждает, что не получил товар</t>
  </si>
  <si>
    <t>Охта Молл SL-2 (СПб) SO000116164/PR00157921 Карта (пластик) - 100 шт. Магазин утверждает,что пришел не тот товар</t>
  </si>
  <si>
    <t>Магазины BeFree Cклад постоянно теряет документы от Невского Плаката, приходится запрашивать сканы и поставщик повторно везет доки в офис. до бухгалтерии оригиналы также не доезжают со склада. 31.01 потеряли поставку которая пришла им 30.01, 01.02 написали что она без документов, спустя час доки нашли на складе.</t>
  </si>
  <si>
    <t>Склад 7000812432/7000786448 Рейл Т-образный  регулируемый белый Ral 9016, не довезли</t>
  </si>
  <si>
    <t>Отклонение</t>
  </si>
  <si>
    <t>Комплектация заказа №1 прошла с задержкой</t>
  </si>
  <si>
    <t>PO000022236, PO000022126, PO000022237 Принято на обезличенную номенклатуру, приёмки не закрыты.</t>
  </si>
  <si>
    <t>Мегаполис-2, ZR (Гатчина) SO000117296/PO000023082 Товар числился в TR_IN ,после ,его обнулили (643504407)Кронштейн фронтальный белый, краш.металл (Franch)</t>
  </si>
  <si>
    <t>Каскад2 LR (Чебоксары) SO000116621 / PR00159245 Оборудование для франчезера LR ИП ЛЕЩЕВА ЕКАТЕРИНА АЛЕКСАНДРОВНА. магазин не получил заказанный товар в полном объеме</t>
  </si>
  <si>
    <t>Каскад2 LR (Чебоксары) 122537 Подиум - цилиндр для сумок H600 D400 белый LR - с браком</t>
  </si>
  <si>
    <t>SELA - не своевременная проводка документов в 1С. IDOL - ОжП 10107694 принята как оборудование, отгружалась частично как товар.</t>
  </si>
  <si>
    <t>Галерея Чижова BF-3 (Воронеж) 000123435 / SO000117224 Шторы 13 штук. - 643153985. магазин получил чужие шторы</t>
  </si>
  <si>
    <t>Ярмарка ZR-3 (Астрахань) PR00159833 / 000123232 / SO000117489 Держатель для стены и арки ZR к-т 6 шт - 643499286. Магазин не получил полный комплект.</t>
  </si>
  <si>
    <t>МореМолл SL (Сочи)  SO000117514  / 000126980 Номерки для примерочных с прорезными цифрами (100*300 мм), SL, перегруз</t>
  </si>
  <si>
    <t>Склад SO000117190 / SO000117373 / SO000117400 Товар не отправлен получателю, статус ОТГРУЖЕН, в итоге найден на складе. В том числе шторы для Изумрудный Город BF-2 (Томск)шторы</t>
  </si>
  <si>
    <t>Авиатор bf (Жуковский) 000126968 / SO000117497 БЕЙДЖ для продавцов ДЕРЕВЯННЫЕ (в комп. 5 шт). магазин не получил свой заказ</t>
  </si>
  <si>
    <t>Охта Молл LR (СПб) PR00159799/000126963 Подставка А4 на кассу. Не получили заказ.</t>
  </si>
  <si>
    <t>Европейский ZR (Москва) SO000116155 / 5000451444/PR00159959 Съемник для датчиков универсальный круглый не доехали до магазина</t>
  </si>
  <si>
    <t>PO000023388 Вешалки не соответствуют номенклатуре</t>
  </si>
  <si>
    <t>PO000023446 Набор ящиков плетеных, 36*26*11см товар был задвоен на остатках скада</t>
  </si>
  <si>
    <t>Мармелад BF (Череповец) 000122562/PR00160268 Рука для аксессуаров 43см, до локтя правая BF-MD-015 Магазин получил заказ в коробах, а не штуках</t>
  </si>
  <si>
    <t>IDOL Павелецкая Плаза 000126831 / SO000117347 / PR00160105 Термоэтикетка S 40*20 мм, белые рулон ID. магазин не получил заказ</t>
  </si>
  <si>
    <t>Склад  SO000117224, SO000117222
SO000117428, SO000117429
 Магазины получили не свои шторы</t>
  </si>
  <si>
    <t>TR00215502 Шторы befree. Не находятся в выделенной ячейке</t>
  </si>
  <si>
    <t>Склад TR00215197 Неверное размещение товара на ячейку</t>
  </si>
  <si>
    <t>BF недоборы по утилизации.ZR пересечение с ранее выгруженными заявками</t>
  </si>
  <si>
    <t>IDOL  ОжП 10107694 принята как оборудование, отгружалась частично как товар.SL,BF - в 1С не проведены несколько перемещений.</t>
  </si>
  <si>
    <t>Склад PR00160869 Размерник на вешалку синий XL. Халатное отношение</t>
  </si>
  <si>
    <t>Июнь BF (СПб) PR00160813/ O000117697 /000000716407 Шторы befree недовоз</t>
  </si>
  <si>
    <t>Лето LR-2 (СПб).  Стойки в собранном виде, но на каждую часть наклеено перемещение на другую номенклатуру. Вот потом и происходит путаница и бесчисленные пересорты</t>
  </si>
  <si>
    <t>Аура ID (Ярославль) SO000118282/000127754 По заявке на склад 000127754  приехало не то количество светильников.</t>
  </si>
  <si>
    <t>Склад Стремянка с 7 ступенями 643467502 повреждена на складе</t>
  </si>
  <si>
    <t>Склад TR00217383 Стойка пристенная двойная, крестовая (4К) LR. При транспортировки были повреждены 2 стойки</t>
  </si>
  <si>
    <t>Нет</t>
  </si>
  <si>
    <t>Заявки на утилизацию BF,LR,ZR,SL.</t>
  </si>
  <si>
    <t>LR заявка для склада оборудования 125048 скопмлектована не полностью. Количество заказанного оборудования больше того что в наличии на складе. Остатки в 1С не корректные.</t>
  </si>
  <si>
    <t>Не своевременно отгрузка товара со склада,оператор ошибочно не завершил вовремя </t>
  </si>
  <si>
    <t>Склад 643273852 ЛампаLEDE277W220V</t>
  </si>
  <si>
    <t>Склад 643295506/4-08-03-4 Вешалка черная прорезиненная блузочная EISHO LR, магазин получил не тот товар</t>
  </si>
  <si>
    <t>Мега-Дыбенко LR-4 (Спб) SO000118965/ 000125042 Полка для стойки пристенной U-образной LR, перегруз</t>
  </si>
  <si>
    <t>Склад TR00218022 Стойка пристенная двойная, крестовая (4К) LRПри транспортировки были повреждены 2 стойки</t>
  </si>
  <si>
    <t>Склад Разместил палет без перемещения</t>
  </si>
  <si>
    <t>Норд SL (Санкт-Петербург) SO000119039/000128609 Коллеги, по заявке 000128609 была отправка манекена в НОРД SL СПб, но он пришел без кисти.</t>
  </si>
  <si>
    <t>Не своевременно отгрузка товара со склада,оператор ошибочно не завершил вовремя </t>
  </si>
  <si>
    <t>BF сформировал заявку на Фамилию на 3313 единиц в статусе "кондиция Товар, который попал в недобор, есть в наличии, но в статусе "брак" или "утиль"</t>
  </si>
  <si>
    <t>Старший менеджер по снабжению На одной номенклатуре числится разный вид оборудования..</t>
  </si>
  <si>
    <t>Сити Парк BF-2 (Саранск) Приемка Не верно была принята номенклатура, крючки с разной длиной на одну бельевые и обычные</t>
  </si>
  <si>
    <t>BF 128955 Заявку 000128955 мы не можем отгрузить в полном объеме, т.к. у нас возник пересорт.</t>
  </si>
  <si>
    <t>Шоколад SL (Москва) SO000119267 / 000128905 Номерки для примерочных с прорезными цифрами (100*300 мм), SL перегруз</t>
  </si>
  <si>
    <t>Склад PR00162686 / 000122436 Стойка для одежды двусторонняя с вертикальной перфорацией (1 секция) 2 2/2, перегруз</t>
  </si>
  <si>
    <t>Радуга SL (СПб) SO000119348 / 000128073 Стойка для одежды двухсторонняя с вертикальной перфорацией, 1 секция  недовоз</t>
  </si>
  <si>
    <t>Аура SL (Новосибирск) SO000119483/ 000128052 приехала стойка для одежды не в полном комплекте, не хватает металлического карскаса</t>
  </si>
  <si>
    <t>склад TR00220197/ 7000951502 размещение длинномерого товара на стеллажах, не преспособленных для этого (протекает )</t>
  </si>
  <si>
    <t>Мега-Дыбенко LR-4 SO000119340 / 000128939 /TR00220169 / PR00162449 По заявке 000128939
Вместо тонких плечиков LR пришло пришло в магазин 9 коробов плечиков ZARINA
Я бы хотел разобраться в ситуации, и отгрузить верные вешалки.</t>
  </si>
  <si>
    <t xml:space="preserve">Не своевременно отгрузка товара со склада,Афимолл SL (Москва) </t>
  </si>
  <si>
    <t>Отгружены задвоенные короба на Кучино</t>
  </si>
  <si>
    <t>Не своевременно обработанные возвраты на сток, по причине вывоза товара на временное хранение с дальнейшей отправкой грузополучателю</t>
  </si>
  <si>
    <t>Не своевременно закрыты приемки коробов, операторы забывают, пропускают.</t>
  </si>
  <si>
    <t>Не своевременно закрыты приемки с Маркетплейсов, поздно поступает отклик о завершении, приемщики не успевают по причине большого объема работ, приоритетность не выставлена строго.</t>
  </si>
  <si>
    <t>Количество немаркированной продукции 23349,нет свободных ресурсов, резервы по заказам не позволяющие обрабатывать конкретный бренд.</t>
  </si>
  <si>
    <t>ЗНС Z002307787 отменена, т.к товар физичестки отсутствует на складе УЗ. По системе товар не перенесен в LOST.</t>
  </si>
  <si>
    <t>оборудование бренда 643194070 Ошибки по приемке на корректность определения  Держатель для фронта белый, краш.металл, а должен быть Кронштейн навесной пристенный горизонтальный ZR, крашен.металл RU ZA-HH12-M09.RU</t>
  </si>
  <si>
    <t>Оборудование офиса SO000120062 / 000129557 Стол офисный 1400 мм х 700 мм белый FIN/ Получил 9 столов, судя по увиденному нам прислали даже те 2 стола. На одном столе сломаны ножки, а другом сильно поцарапана столешница.</t>
  </si>
  <si>
    <t>Склад PR00163755 Полка большая для бельевой ниши 620*300 RUS LR, магазин получил лишний товар</t>
  </si>
  <si>
    <t>Эко Парк Мурино BF (СПб) 000129835 / PR00164021 Огнетушитель ОП-4(з) АВСЕ Отправлен огнетушитель без документов</t>
  </si>
  <si>
    <t>Комплектация по ID и LR менее 98 % со стороны бренда, отмена некоторых позиций к комплектации</t>
  </si>
  <si>
    <t>Оборудование бренда ZR 643504198  Искусственное растение в горшке ОЛИВА h220 при осмотре менеджером товара, упало дерево, повреждено</t>
  </si>
  <si>
    <t>Оборудование бренда ZR Искусственное растение в горшке ФИКУС h180 Сотрудник сторонней компании, повредил дерево, на него упали коробки с паллета</t>
  </si>
  <si>
    <t>Склад  TR00222203 Разместил товар по системе в одну ячейку, физически в другую.</t>
  </si>
  <si>
    <t xml:space="preserve">Бренд утверждает, что не получил комплектующие к стойке, а мы не можем отпределить, должны они быть или нет. нет ни фото, ни какой информации об этом, как должно выглядеть оборудование </t>
  </si>
  <si>
    <t>Не своевременное принятие содержимого коробов, содержащих возвраты из розницы.,приоритетность не выставлена строго.</t>
  </si>
  <si>
    <t>Количество немаркированной продукции 23470,нет свободных ресурсов, резервы по заказам не позволяющие обрабатывать конкретный бренд.</t>
  </si>
  <si>
    <t>Поздно был скорректирован заказ (потеряны короба на поляне, поиск)</t>
  </si>
  <si>
    <t>Склад TR00223948 При размещении оборудования, разместил не верное количество оборудования в ячейку( вместо 100 штук  всего 60) А в другую ячейку просто поставил физически,без системного размещения .Тем самым товар был временно утерян</t>
  </si>
  <si>
    <t>склад TR00223946/ 7000788646 размещение длинномерого товара на стеллажах, не преспособленных для этого (протекает )</t>
  </si>
  <si>
    <t>Склад Световой короб имиджи 3100(ш)х3400(в)х100(г)мм</t>
  </si>
  <si>
    <t xml:space="preserve">На смену вышло меньше аутсорса. Задержки по отгрузкам и разрузкам. </t>
  </si>
  <si>
    <t>Кол-во проблемных коробов 12 шт, письма написаны, по 3м из них активная переписка.</t>
  </si>
  <si>
    <t>Количество немаркированной продукции 23233,нет свободных ресурсов, резервы по заказам не позволяющие обрабатывать конкретный бренд.</t>
  </si>
  <si>
    <t>Поздно был скорректированы заказ на утилизацию</t>
  </si>
  <si>
    <t>склад   TR00224508/ 7000984071 643291321  /  Кронштейн для боковой развески нержавейка BF</t>
  </si>
  <si>
    <t>Мармелад BF (Череповец) PO000024252 были излишне отгружена позиция Рука для аксессуаров 43см, до локтя правая BF-MD-015</t>
  </si>
  <si>
    <t>Склад PO000024352 Вместо заявленных 2 шт. было отгружено 30 шт.,</t>
  </si>
  <si>
    <t xml:space="preserve">По 2м заявкам частичная отгрузка согласована с брендом 130590,130797. По заявке 130918 вешалки временно утеряны.
</t>
  </si>
  <si>
    <t>Казань Молл SL (Казань) PR00165403 / 000131048 Ростомер на монтажной пленке, белый, SL привезли поврежденный</t>
  </si>
  <si>
    <t>Полка по заявке 130565 временно утеряна на складе.</t>
  </si>
  <si>
    <t>Не успели обработать запланированный объем к отгрузке</t>
  </si>
  <si>
    <t>Модный Квартал(Иркутск) Столешница "Стемалит" , Crystal Vision RAL 9003 10 мм, для Двойной кассы V3 LR</t>
  </si>
  <si>
    <t>Груз не был вовремя подготовлен, задерка отгрузки</t>
  </si>
  <si>
    <t>Количество немаркированной продукции 18772,нет свободных ресурсов, резервы по заказам не позволяющие обрабатывать конкретный бренд.</t>
  </si>
  <si>
    <t>склад  SO000121931 / PR00166237 При комплектации товара, произошло повреждение</t>
  </si>
  <si>
    <t>Зеленопарк SL 2 (Зеленоград) PR00167033 / 000131872 Искусственное растение СПАЦИФИЛУМ куст Мидл зел., 20 см, получили товар не по заказу</t>
  </si>
  <si>
    <t>Лотос Плаза ZR-3 (Петрозаводск) PR00166609 Произвел комплектацию без просчета оборудования находящегося в коробке.Вместо 3 корзин отправил 4.</t>
  </si>
  <si>
    <t>Метрополис ZR-3 (Москва) SO000122217/ PR00167043 Проверить была ли отгружена данная позиция по заявке 000128910</t>
  </si>
  <si>
    <t>По ZR 126800,126811,131779 закрыты с недобором ситуация выясняется, оператор не отписался. BF 131391 по согласованию с брендом, не корректный остаток в 1С,SL 127313-потерян товар,бренду отписались,127396-закрыта с недобором, писем не было, требуется разобраться.</t>
  </si>
  <si>
    <t>Не успели обработать запланированные заявки к отгрузке, в виду больших объемов.</t>
  </si>
  <si>
    <t>склад столешница при отгрузке выявили повреждения товара</t>
  </si>
  <si>
    <t>склад TR00226860/ 7000492542 размещение длинномерого товара на стеллажах, не преспособленных для этого (протекает )</t>
  </si>
  <si>
    <t>склад TR00227321/ TR00227403 Керамический гранит LN01 60x60x10 неполир</t>
  </si>
  <si>
    <t>Cклад TR00226574 / TR00226758 ИТ-оборудование, короб</t>
  </si>
  <si>
    <t>Склад TR00226666 Фанкойл кассетный MDV MDKA-1200R</t>
  </si>
  <si>
    <t>Склад TR00226668 Панель декоративная Hisense AUC-950R</t>
  </si>
  <si>
    <t>6 авто оператор не вовремя завершал заявку , 1 авто задержка по ЗНТ 19704 по причине не своевременной готовности</t>
  </si>
  <si>
    <t>Количество немаркированной продукции 17890,нет свободных ресурсов, резервы по заказам не позволяющие обрабатывать конкретный бренд.</t>
  </si>
  <si>
    <t xml:space="preserve">По заказу Z002371991 недобор составил 496 ед. из 498 ед. С отделом ОВЛ недобор согласован, так как товар пошел в приоритетный ЗНС. 
</t>
  </si>
  <si>
    <t>Комплектации заказов для "Отклонения приемки наборов" были выполнены с задержкой, так как были более приоритетные ЗНС</t>
  </si>
  <si>
    <t>Склад PO000024604 Наклейка в примерочную "мобильный"</t>
  </si>
  <si>
    <t>Авиапарк ID.STF.029-01 Термоэтикетка S 40*20 мм, белые рулон ID  не прихоит этикетка</t>
  </si>
  <si>
    <t>Планета SL (Новокузнецк) PR00168493 / 000132677 по заявке пришли белые вешалки вместо черных, фото во вложении. На коробке даже ярлык с указанием, что они белые, хотя артикулы в заявке черного цвета.</t>
  </si>
  <si>
    <t>По SL 000132274 закрыта с недобором т. к. товар был случайно отгружен излишком в другой магазин.оператор отписался. ZR 000132142(грузоместо Накопитель для вешалок ZR 2022 SMG, вероятно уехало на объект, данное место будут искать на объекте) , 000131803(Временно утеряно на складе УЗ позиция Искусственное растение в горшке h-160 см 1 шт.), 000129819( заявка выгружена не с тем статусом, который есть на остатке УЗ)</t>
  </si>
  <si>
    <t>Премьер ZR-3 (Рязань) SO000122057 / PR00167345 Огнетушитель ОП-5 (5л) ZR (VER)Скомплектовал огнетушители без шланга, паспорта и сертификата соответствия.</t>
  </si>
  <si>
    <t>Мега BF-2 (Н.Новгород) SO000122271 / 000131706 Не отгрузили 7 грузомест в транспортную K+N.</t>
  </si>
  <si>
    <t>Склад TR00229117 Подиум для вешала Г-образного - 700х450х1790мм ID</t>
  </si>
  <si>
    <t>Склад TR00228975 ПЛАКАТЫ ЛОЯЛЬНОСТЬ SS24 Лондон Молл LR (СПб) Лондон Молл LR (СПб)</t>
  </si>
  <si>
    <t xml:space="preserve">оператор не вовремя завершил заявку </t>
  </si>
  <si>
    <t>Количество немаркированной продукции 17760,нет свободных ресурсов, резервы по заказам не позволяющие обрабатывать конкретный бренд.</t>
  </si>
  <si>
    <t xml:space="preserve">По заказам Z002448854, Z002448892, Z002448833  недобор составил 628 по причине выбраковки товара на контроле. Также бренд запросил изъять весь артикул из ЗНС 002448854 артикул 3805040205
</t>
  </si>
  <si>
    <t xml:space="preserve">Зона готовых заказов заполнена на 165% по причине большого вывоза транзитных коробов из розницы на склад Ф-Логистик Кучино </t>
  </si>
  <si>
    <t>Лондон Молл BF-2 (СПб) SO000123647 отправили ленты для бейджей 2шт вместо 2-х упаковок по 5шт., недовоз 8шт.,</t>
  </si>
  <si>
    <t>Склад  TR00230776 Было нарушение размещения крупногабаритного оборудования в не соответствующую ячейку.</t>
  </si>
  <si>
    <t>Не своевременно разгрузка оборудования со склада,оператор ошибочно не завершил вовремя </t>
  </si>
  <si>
    <t>Приёмка возвратов с маркетплейсов приостановлена в пользу приёмки товара из возвратных коробов</t>
  </si>
  <si>
    <t>Количество немаркированной продукции 16929,нет свободных ресурсов, резервы по заказам не позволяющие обрабатывать конкретный бренд.</t>
  </si>
  <si>
    <t>Мега SL-2 (Новосибирск) PR00169708 / 000128233  При комплектации растения специалист склада не посмотрел какое количество в коробке (также на коробе было указано количество как заводское ,так и промаркированое на складе) тем самым отобрал лишних 2 растения и задержал сборку в другие магазины.</t>
  </si>
  <si>
    <t>Мега SL-2 (Новосибирск) PR00169701 / 000128230 При комплектации оборудования, не пересчитал количество в коробке и вместо 1-й отправил 5-ь штук.</t>
  </si>
  <si>
    <t>Бутово Молл SL (Москва) SO000123554/ 000128957 Ошибка в номенклатуре, отправленной в магазин </t>
  </si>
  <si>
    <t>Не своевременно разгрузка товара со склада,оператор ошибочно не завершил вовремя </t>
  </si>
  <si>
    <t>Количество немаркированной продукции 169354,нет свободных ресурсов, резервы по заказам не позволяющие обрабатывать конкретный бренд.</t>
  </si>
  <si>
    <t>В 1С проведена  Накладная на реализацию MF000102498, в WMS (Z002441343,Z002441389) статус Готов к отгрузке</t>
  </si>
  <si>
    <t>Не корректный учет и проводки по форме</t>
  </si>
  <si>
    <t>Зона готовых заказов заполнена на 143% по причине большого вывоза транзитных коробов из розницы на OZON, а также по причине неотгруженных скомплектованных заказов со стока</t>
  </si>
  <si>
    <t>Склад TR00233313 При транспортировке оборудования снял с ячейки и не отвез в буффер.</t>
  </si>
  <si>
    <t>Склад TR00231526 При размещении оборудования, разместил не верное количество оборудования в ячейку (вместо 62 шт. всего 42 шт) - 643480111 Хардпостер</t>
  </si>
  <si>
    <t>Галактика ZR-2 (Барнаул) 000133901 /  PR00170506 В магазин поступили светильники в кол-ве 2 шт. на шинопровод. В перемещении заявлено 1 шт., но они нам оба не подходят, намного больше по размеру. </t>
  </si>
  <si>
    <t xml:space="preserve"> BF</t>
  </si>
  <si>
    <t>МегаМаг BF-2 (Ростов) PR00170560 / 000133948 Было скомплектованно и отгружено с излишком  оборудование. (вместо 2000 иголок , отправил 20000.)</t>
  </si>
  <si>
    <t>Не своевременно погрузка оборудования со склада,оператор ошибочно не завершил вовремя </t>
  </si>
  <si>
    <t>В процессе приемки транзитных коробов был выявлен короб без опозновательных знаков. В процессе опознания короба оказалось, что короб предназначается для ОЗОНА. Товар в коробе не упакован в индивидуальную упаковку. Магазин Европолис SL-2 (СПб)</t>
  </si>
  <si>
    <t>Ожидание ответа от Бренда/ ОВЛ</t>
  </si>
  <si>
    <t>Не своевременность приемки возвратов с маркетплейсов по причине приоритетности ЗНО</t>
  </si>
  <si>
    <t>Количество немаркированной продукции 18151,нет свободных ресурсов, резервы по заказам не позволяющие обрабатывать конкретный бренд.</t>
  </si>
  <si>
    <t xml:space="preserve">По заказам ZARINA было выписано больше ед., чем есть на остатках.
</t>
  </si>
  <si>
    <t>Зона готовых заказов заполнена на 160% по причине неотгруженных скомплектованных заказов со стока ZARINA</t>
  </si>
  <si>
    <t>Сити Молл SL (СПб) SO000124536/ 000134125 вместо 643454180(Вешалка черная MNZ41 Блузочная_антискользящая накл.) на магазин прислали детскую вешалку. На коробке стикер женская вешалка. </t>
  </si>
  <si>
    <t>Cклад 643518110/ 643507001/ 643488913  Cотрудник сделал транспортировки одной и той же позиции на разные ячейки, с целью увеличить кол-во выполненного, что привело к увеличению времени сборки заказов</t>
  </si>
  <si>
    <t>Погрузка Невский-2 ZR-3  3ч 31 мин ??? система выдает несвоевременность погрузки</t>
  </si>
  <si>
    <t>Водитель Пастель Александр принял товар 5 коробов к перемещению с магазина Sela на УЗ без сопроводительных документов</t>
  </si>
  <si>
    <t xml:space="preserve">Погрузка утиля на вывоз без поддонов. Соглашение с поставщиком </t>
  </si>
  <si>
    <t>Менеджер закупок ZR Ледовской создал заявку на сборку и не указал дату отгрузки. Т.к. ZR отказывается делать ЗНТ, ТМЦ отгрузили по факту сборки. Покупатель хотел забрать стол со склада. Стол водители вернули на УЗ.</t>
  </si>
  <si>
    <t>Не своевременно разгрузка оборудования со склада,оператор ошибочно не завершил вовремя (000010567,000010535)</t>
  </si>
  <si>
    <t>Временно приостановлена приемка возвратов, приоритет по другим задачам.</t>
  </si>
  <si>
    <t>Приёмка возвратов с маркетплейсов приостановлена в пользу ЗНС</t>
  </si>
  <si>
    <t>Количество немаркированной продукции 16732,нет свободных ресурсов, резервы по заказам не позволяющие обрабатывать конкретный бренд.</t>
  </si>
  <si>
    <t xml:space="preserve">По заказам ZARINA было выписано больше ед., чем есть на остатках. Также бренд попросил выгрузить ЗНС до определенной даты. Срок выполнения ЗНС бренда не устроил 
</t>
  </si>
  <si>
    <t>Склад Склад Штора в примерочную кабину для магазина Лотос Плаза BF-2 (Петрозаводск)</t>
  </si>
  <si>
    <t>Склад TR00235510 При транспортирвки оборудования сотрудник не застропил палет, тем самым мог повлеч к падению оборудования с верхних ярусов, при дальнейших транспортировках.</t>
  </si>
  <si>
    <t>Склад TR00235346 При транспортировке оборудования, разместил колонки ,без системы,что повлекло к утере оборудования на складе.643517257 колонка встр. BOSE</t>
  </si>
  <si>
    <t>Не были сделаны замеры для  Галилео ZR (Минск) (000010626)</t>
  </si>
  <si>
    <t xml:space="preserve">На склад УЗ по ЗНТ 19873 была выгружена ТС с ТО после закрытия Седьмое Небо ZR-2 (Нижний Новгород)._x000D_
В данной машине также поступили переброски на регионы, которые склад не может принять и отгрузить верному получателю из-за того, что в перемещениях не стоит галочка «готово к отгрузке». _x000D_
</t>
  </si>
  <si>
    <t>При планировании ЗНС 2636546, 2635836, 2636162 было заблокировано более 40 ячеек, что привело к задержке планирования ЗНС</t>
  </si>
  <si>
    <t xml:space="preserve">Магазин Галерея ID отправил транзитные короба без опозновательных знаков, а также с некорректными транспортными этикетками </t>
  </si>
  <si>
    <t>По Маршлуту Квен №12 в Магазин Мега Дыбенко ZR по системе отгружено 19 коробов. В документах прописано 20 коробов. Также в документах на данный магазин оператор не проставил печати в пункте 8 и 12</t>
  </si>
  <si>
    <t>При отгрузке короба в офис по ЗНС 00000020230 на коробе был указан некорректно получаетель при подготовки коробов в офис. </t>
  </si>
  <si>
    <t>Не своевременно разгрузка оборудования со склада,оператор ошибочно не завершил вовремя (10639, 010640)</t>
  </si>
  <si>
    <t>При инвентаризации был выявлен паллет с коробами из Техногрупп(16кор)</t>
  </si>
  <si>
    <t>Количество немаркированной продукции 16977,нет свободных ресурсов, резервы по заказам не позволяющие обрабатывать конкретный бренд.</t>
  </si>
  <si>
    <t>По заказам BF на откланения приемки были выписаны заявки пересекающиеся друг с другом
ЗНС: 002668179, 002567831, 002523795</t>
  </si>
  <si>
    <t>Склад PR00174232 Оборудование было упаковано не корректно, (листовки не были упакованы в картон)</t>
  </si>
  <si>
    <t>Склад  PR00174239 Вместо 80 полок было физически собрано 70 ,по системе 80. Несколько полок было посажено на одно грузоместо системно,а физически на много меньше.</t>
  </si>
  <si>
    <t>Склад Кресло ZAMPA, 800х750х760 Kiton 05 серый потеряно на складе. </t>
  </si>
  <si>
    <t>Не своевременно отгрузка товара со склада,оператор ошибочно не завершил вовремя (10786, 10643)</t>
  </si>
  <si>
    <t>За 27.05.2024 в управлении двором отсутствует информацию по водителю на отгрузку оборудования на Галилео ZR-2 (Минск):</t>
  </si>
  <si>
    <t>Не своевременно отгрузка товара со склада (000010832, 000010836) по причине большого обьема отгрузки</t>
  </si>
  <si>
    <t>Не своевременно разгрузка товара со склада по заданию 000010939 ,оператор ошибочно не завершил вовремя (Кабылбекова Р.)</t>
  </si>
  <si>
    <t xml:space="preserve">Не своевременно обработанные возвраты на сток, по причине инвентаризации склада </t>
  </si>
  <si>
    <t xml:space="preserve">Не своевременно закрыта приемки 10115460, 10115552_x000D_
</t>
  </si>
  <si>
    <t>Количество немаркированной продукции 16501,нет свободных ресурсов, резервы по заказам не позволяющие обрабатывать конкретный бренд.</t>
  </si>
  <si>
    <t>заявка 000137370 закрыта с расхождением по причине несоответсвия остатков в 1С и ВМС, </t>
  </si>
  <si>
    <t>Студия Рекламы ООО PR00175645 / 000137548 Бренд утверждает,что была собрана и отгружена не верна заявка.</t>
  </si>
  <si>
    <t>Порт-Находка ZR 5000491623 Не отгрузили лестницу</t>
  </si>
  <si>
    <t>Склад Потеряли на складе: 643518414, 643519833, 643519834</t>
  </si>
  <si>
    <t>В связи с большими расхождениями, пересчитывали 3 раза короба.</t>
  </si>
  <si>
    <t xml:space="preserve">Не своевременно отгрузка товара со склада,оператор ошибочно не завершил вовремя </t>
  </si>
  <si>
    <t>опис</t>
  </si>
  <si>
    <t>Склад Джокерная система, Фланец высокий d25 LR</t>
  </si>
  <si>
    <t>Не своевременно выгрузка оборудавния, по причине большого объема разгрузки. Номер ЗТС 000011327</t>
  </si>
  <si>
    <t>Склад При разгрузки водиля ,не посмотрел содержимое пакетов и отнес их на товарный склад,тем самым усложнил поиски данных пакетов</t>
  </si>
  <si>
    <t>По результатам недели очень низкая производительность у сотрудника Жаныбаев Улукбек</t>
  </si>
  <si>
    <t xml:space="preserve">Не своевременно закрыта приемки </t>
  </si>
  <si>
    <t>Сотрудники на процессе чередуются при работе с ТСД, в результате падает средняя производительность.</t>
  </si>
  <si>
    <t>Проблемы с перемаркировкой товара</t>
  </si>
  <si>
    <t>Технический</t>
  </si>
  <si>
    <t>При сборке заказа 000137838 не были найдены светильники в кол-ве 8шт, номер 643400891. Заказ был отгружен не в полном объёме.</t>
  </si>
  <si>
    <t>Склад 643400891  Светильник Трековый LED - Белый 30W  3000K Bonilux Б/у</t>
  </si>
  <si>
    <t>Склад Не проконтролировал отгрузку, в результате чего грузчики расформировали паллет и загрузили в машину грузоместа без маркировки.</t>
  </si>
  <si>
    <t>Транспортная компания В силу неопытности неверно собрал грузоместа. Объеденил несколько коробов на одном грузоместе. В результате чего на терминале грузоперевозчика произошла путаница.</t>
  </si>
  <si>
    <t>По заданию ТС 000011468 не завершили своевременно, в связи с тем, что водитель приехал на погрузку после окончания рабочего дня. Завершить задание после окончания рабочего дня не представлялось возможным (нет доступа). Оператора в ночь не было.</t>
  </si>
  <si>
    <t>Склад PR00177834 Сотрудник промаркировал грузоместа дублями уже существующих (643523262 КОМПЛЕКТ бордов 2шт коллаборация Saint City Lovers) - 3 штуки</t>
  </si>
  <si>
    <t>Не своевременное принятие содержимого коробов, содержащих возвраты из розницы, приоритетность строго не выставлена.</t>
  </si>
  <si>
    <t>Приемки транзитных коробов бренда BF и ZR были закрыты с опозданием, так как в результате физической приемки коробов были выявлены задввоенные короба. На выявление верного номера короба понадобилось дополнительное время. </t>
  </si>
  <si>
    <t>Количество немаркированной продукции 22169, нет свободных ресурсов, резервы по заказам не позволяющие обрабатывать конкретный бренд.</t>
  </si>
  <si>
    <t>Оборудование для открытия магазина Гудок SL (Самара). Отгрузку по заданию ТС 000011731, не завершили своевременно по причине большого объема оборудования.</t>
  </si>
  <si>
    <t>Количество немаркированной продукции 18299, нет свободных ресурсов, резервы по заказам не позволяющие обрабатывать конкретный бренд.</t>
  </si>
  <si>
    <t>Склад Передал оборудование с товарного склада без приемки на склад оборудования</t>
  </si>
  <si>
    <t>Склад Передал оборудование с товарного склада без приемки на склад оборудования, тем самым задвоил приемку</t>
  </si>
  <si>
    <t>Меркурий Спб SO000131733 / 000141363 643512251 - Ящик складной пластиковый (комплект 5 шт)</t>
  </si>
  <si>
    <t>Армада-2  BF (Оренбург) ОТКРЫТИЕ SH000012809 Недогруз 28 грузомест, потенциальный срыв открытия</t>
  </si>
  <si>
    <t>Мега-Парнас LR-3 (СПб) SO000131717 643294422 Ящик Napoli 400х230х200 PP, красный  арт. 5004 .</t>
  </si>
  <si>
    <t>Склад 643441667 Перегородка на пристенное оборудование (4 штуки). Водитель штабеллера, перед подъемом, не проконтролирова закрепление тмц на паллете, что в совокупности с быстрым подъемом на высоту привело к падению паллеты.</t>
  </si>
  <si>
    <t>Склад 643476612 Стол полукруглый бельевой H=700мм TS. Во время подготовки паллеты со столами к подъемы, грузчиком был замечен брак (выломанные ножки стола)</t>
  </si>
  <si>
    <t>Оборудование для открытия магазина ГМега-Парнас LR-3 (СПб),Мега LR-3 (Омск). Отгрузку по заданию ТС 000011886, 000011830 не завершили своевременно по причине большого объема оборудования.</t>
  </si>
  <si>
    <t>Количество немаркированной продукции 18454, нет свободных ресурсов, резервы по заказам не позволяющие обрабатывать конкретный бренд.</t>
  </si>
  <si>
    <t>Были выгружены более приоритетные заявки: 002942116, 002938933</t>
  </si>
  <si>
    <t>Седьмое Небо BF-2 (Н. Новгород) SO000131969 643475460 КОМПЛЕКТ листовок ПОСЛЕДНИЙ ШАНС 2шт. Вместо 2 комлектов отобрал 1.</t>
  </si>
  <si>
    <t>ЗНС: 002970497,002970433, 002970434,002970499 были созданы на оснавании транзитных коробов, которые принимались в момент создания ЗНС.  В процессе приемки товар был разбракован. Были выявлены излишки и недостачи. В процессе планирования данных ЗНС было выявлено, что товар который требуется в заказ в разных статусах, а также отсутствует на остатках. Было принято решение собирать ЗНС в тех статусах, в которых ед. товара больше на остатках склада УЗ.</t>
  </si>
  <si>
    <t>Зона готовых заказов заполнена на 95% по причине неотгруженных скоплектованных заказов ZR и BF</t>
  </si>
  <si>
    <t>Меркурий SL-2 (СПб) SO000132115 ПРИЕМЩИК не соединил комплектом "new" и "collection". Из-за чего сборщик ошибочно собрал new collection без "new" - 643495278</t>
  </si>
  <si>
    <t>По заданию ТС номер 000012257 по системе была не вовремя завершена погрузка.</t>
  </si>
  <si>
    <t>По заданию ТС 000012416 грузилась машина на открытие валовой погрузкой.Мега-Парнас SL-2 (СПб)</t>
  </si>
  <si>
    <t>Приемки транзитных коробов были завершены с опозданием из-за большого колличества прихода кросдоковых коробов. Также по приекам возвратов с Питера были расхожения, у операторов заняло больше времени на выяснение расхождений</t>
  </si>
  <si>
    <t>Был выявлен другой статус товра при комплектации ЗНС.</t>
  </si>
  <si>
    <t>По ЗНС 002996830 велись поиски ед для подбора в заказ. По заказам ZR комплектация была завершена не вовремя, так как были выгружены приоритетные заявки по BF</t>
  </si>
  <si>
    <t>Зона котовых заказов заполнена на 152% так как ZR выписала заявки с большим объемом</t>
  </si>
  <si>
    <t xml:space="preserve">Технический сбой тсд привел к простою работы склада оборудования. Заявка ХД 202408129967 </t>
  </si>
  <si>
    <t>Технический сбой тсд привел к простою работы склада оборудования. Заявка ХД 202408129967 </t>
  </si>
  <si>
    <t>По заявке 000143362 в ЭКП был собран рулон приближенный к количеству указанный в заказе.</t>
  </si>
  <si>
    <t xml:space="preserve">По 000142088 керамогранита было отгружено мешьне, т.к плитки небыло на остатке </t>
  </si>
  <si>
    <t>Приоритетность была поставлена на сбор заявок на открытие, из-за этого были перенесены заявки на магазины</t>
  </si>
  <si>
    <t>Склад 08.08.2024 0:00:00 При отгрузке не могли найти грузовое место. Не было этикеток Отгрузочных листов. </t>
  </si>
  <si>
    <t>Галерея BF-2 (Новосибирск) PR00182261 Тележка платформенная ТН300 ТД - 643312359</t>
  </si>
  <si>
    <t>По заданию ТС 000012386 грузилась машина на открытие валовой погрузкой.Одипарк BF (Одинцово) По заданию ТС 000012385 грузилась машина на открытие валовой погрузкой. Калина Молл ID (Владивосток)</t>
  </si>
  <si>
    <t>Не своевременное принятие содержимого коробов, содержащих возвраты из розницы.,приоритетность не выставлена строго.	Товар	Приемка	Вся неделя</t>
  </si>
  <si>
    <t>Не своевременно закрыты приемки с Маркетплейсов, поздно поступает отклик о завершении, приемщики не успевают по причине большого объема работ, приоритетность не выставлена строго.	Товар	Приемка	Вся неделя</t>
  </si>
  <si>
    <t xml:space="preserve">Было отобрано меньше ед в заказы 002970500, 002970502, 002970503, 002970713, 002970714, 002970420, 002970422, 002970423, 002970705, 002970698, 002970699,002970704 по причине другого статуса товара, отсутствия на остатках
</t>
  </si>
  <si>
    <t>По заказам ZR была просрочена комплектации из-за допланирования заказов.</t>
  </si>
  <si>
    <t>в заявке 000141560 менеджером было некорректно указано количество плитки (не кратно упаковке), поэтому закрыта с расхождением</t>
  </si>
  <si>
    <t>по заявке 000141396 не было на остатках номенклатуры "Рамка (белая/черная) для картинки на стену 50*70 см", поэтому закрыта с расхождением</t>
  </si>
  <si>
    <t>по заявке 144175 менеджером было некорректно указано количество плитки (не кратно упаковке), поэтому закрыта с расхождением</t>
  </si>
  <si>
    <t>по заявке 000134433 была замена позиции "Арка пристенная с креплением ZR", на нее выгружена новая заявка</t>
  </si>
  <si>
    <t>по заявкке 000134435 была замена позиции "Подиум для ТМ 1300*700*150 овал MS", на нее выгружена новая заявка</t>
  </si>
  <si>
    <t>по заявке 000134437 позиция "Вешалка жакетная белая TW" отгружена не полностью по причине недостаточного количества на остатках</t>
  </si>
  <si>
    <t>Броско Молл SL (Хабаровск) 000143626 / PR00184090 Собрал IT-оборудование на другой магазин.</t>
  </si>
  <si>
    <t>332 заявки не были отгружены вовремя в связи с выгрузкой большого количества заявок на открытия и отсутствем должного количества персонала для своевременной комплектации</t>
  </si>
  <si>
    <t>Метрополис ID (Москва) SH000012961 Недогрузил грузовое место в машину 5000512524. Так же отгрузил лишние оборудование 5000512689</t>
  </si>
  <si>
    <t>Красный Кит ZR-2 (Мытищи) 5000514300\5000514299\5000514298 Недогрузил 3 грузовых места.</t>
  </si>
  <si>
    <t>Зеленопарк ZR (Москва) 5000514427 Недогрузил 1 грузовое место.</t>
  </si>
  <si>
    <t>Броско Молл SL (Хабаровск) 5000516815 Недогрузил 1 грузовое место.</t>
  </si>
  <si>
    <t>Машины Аврора ZR-2 (Самара) и Сити-парк Град BF-3 (Воронеж) были погружены валовым методом по запросу, что увеличивает срок погрузки.</t>
  </si>
  <si>
    <t>Сотрудник допустил ошибку, не завершив задание 000012864 вовремя.</t>
  </si>
  <si>
    <t>Сотрудник допустил ошибку, не завершив задание 000012865 вовремя.</t>
  </si>
  <si>
    <t>Сотрудник допустил ошибку, не завершив задание 000012831 вовремя.</t>
  </si>
  <si>
    <t>Проблема с приёмкой товара: не выставлена приоритетность содержимого коробов с возвратами из розницы. Товар принимается в течение недели.</t>
  </si>
  <si>
    <t>Задержки при приёмке транзитных коробов были вызваны большим количеством кросдоковых отправлений и необходимостью сверить возвраты из Санкт-Петербурга. Операторам потребовалось больше времени для выяснения расхождений.</t>
  </si>
  <si>
    <t>Не своевременное закрытие приёмок с маркетплейсов из-за большого объёма работ и отсутствия строгой приоритетности. Это приводит к тому, что поздно поступает отклик о завершении работы.</t>
  </si>
  <si>
    <t>На складе не смогли отобрать товары в заказы № 2970501, 002970715 и 002970716, поскольку они имели другой статус или отсутствовали на остатках.</t>
  </si>
  <si>
    <t>Сотрудник склада ошибочно укомплектовал одну коробку вместо одной рамки шестью рамками в Мега-Парнас SL-2.</t>
  </si>
  <si>
    <t>Пластиковое оборудование было упаковано с нарушением требований: отсутствовала защитная упаковка (пупырчатая плёнка и картон), а также предупреждающая наклейка «хрупко». Гринвич BF-3 (Екатеринбург) \ Веер Молл BF-3 (Екатеринбург) PR00185336 \ 5000517298 \ 5000517299</t>
  </si>
  <si>
    <t>Планета ZR (Пермь) PR00185274 \ 5000517301 Оборудование не было упаковано. ( кронштейн никак не был обмотан)</t>
  </si>
  <si>
    <t>заявка 000137956  закрыта с расхождением по просьбе менеджера</t>
  </si>
  <si>
    <t>заявка 140466 закрыта с расхождением, была замена позиции "Полка ЛДСП под Бетон  ZA-PO-011.11"</t>
  </si>
  <si>
    <t>отгрузка 13 заявок ТК Транзит Авто Москва была перенесена с 20.08 на 23.08</t>
  </si>
  <si>
    <t>Красный Кит ZR-2 (Мытищи)\Мега LR-2 (Ростов-на-Дону)\Арена LR (Воронеж) 5000499871\5000516282\5000516055 Недогрузил 3 грузовых места.</t>
  </si>
  <si>
    <t>Семеновский SL (Москва) 5000499877 Загрузил 1 грузовое место лишние. </t>
  </si>
  <si>
    <t>по заданию 000012779 погрузка на Зеленопарк ZR-2 (Зеленоград) заняла много времени по причине большого обьема отгрузки</t>
  </si>
  <si>
    <t>задание 000012832 несвоевременно завершено. оператор ошибочно не завершил вовремя.</t>
  </si>
  <si>
    <t>задание 000012761несвоевременно завершено. оператор ошибочно не завершил вовремя.</t>
  </si>
  <si>
    <t>По заданиям 000012913, 000012997 несвоевременно завершено. оператор ошибочно не завершил вовремя.</t>
  </si>
  <si>
    <t>Запущена приемка на 21 тыс ед. ZR</t>
  </si>
  <si>
    <t>Не своевременное принятие содержимого коробов, содержащих возвраты из розницы.,приоритетность не выставлена строго</t>
  </si>
  <si>
    <t>Количество немаркированной продукции 11119,нет свободных ресурсов, резервы по заказам не позволяющие обрабатывать конкретный бренд.</t>
  </si>
  <si>
    <t>Комплектация по заказам ZR была просрочена из-за дополнительного планирования заказов.</t>
  </si>
  <si>
    <t>Зона готовых заказов заполнена на 152% так как ZR выписала заявки с большим объемом</t>
  </si>
  <si>
    <t>Заявки были перенесены из-за отсутствия должного количества персонала для своевременной комплектации</t>
  </si>
  <si>
    <t>Большой объем мелкоштучной приемки</t>
  </si>
  <si>
    <t>Columbus BF (Москва) 5000522616 Светильник белый 30W 4000K 36 deg LUXEON/</t>
  </si>
  <si>
    <t>Заявки/заказы: 145049_x000D_
Магазин/ы: Мега-Парнас BF 2 (СПб) _x000D_
Описание: на складе произошёл недогруз оборудования.</t>
  </si>
  <si>
    <t>Сотрудник Панжиев сотрудник аутсорса управлял штабелером небезопасно</t>
  </si>
  <si>
    <t>Сотрдуник Лысанов штатный сотрудник управял штабелером небезопасно</t>
  </si>
  <si>
    <t>Оператор не вовремя завершил задание транспортному средству 000013277 </t>
  </si>
  <si>
    <t>нет</t>
  </si>
  <si>
    <t>Вывоз товара на временное хранение</t>
  </si>
  <si>
    <t>23 проблемных короба, письма написаны, ожидаем приемки</t>
  </si>
  <si>
    <t>Большой приход транзитных коробов. Некорректно выгружены документы приемки.</t>
  </si>
  <si>
    <t>Приоритетность не выставлена, не хватает ресерсов для обработки (персонала)</t>
  </si>
  <si>
    <t>Нет свободных ресурсов для выполнения перемаркировки товара отдельным процессом.</t>
  </si>
  <si>
    <t>По заявкам 003167798, 003167729, 003167803 (LR)  было собрано половина запланированного обьема из-за необходимости срочной отргузки. По заявкам 003129936, 003144765, 003150073, 003150115, 003129840 (ZR) товар в другом статусе.</t>
  </si>
  <si>
    <t>ZR не вывозит готовые ЗНС</t>
  </si>
  <si>
    <t>Ведется переписка с брендом о не подписанном оборудовании.</t>
  </si>
  <si>
    <t>Сотрудник допустил ошибку, не завершив задание 000013467 вовремя. по заданию 000013354 погрузка заняла больше времени, чем планировалось.</t>
  </si>
  <si>
    <t>приоритетность была на комплектацию заказов со стока.</t>
  </si>
  <si>
    <t>Приоритетность не выставлена, не хватает ресурсов для обработки (персонала)</t>
  </si>
  <si>
    <t>Было отобрано меньше ед в заказы 003234625 003234581 003234583 по причине другого статуса товара, отсутствия на остатках</t>
  </si>
  <si>
    <t>ZR и LR не вывозит готовые ЗНС</t>
  </si>
  <si>
    <t>заявка 000138382 закрыта срасхождением, товара нет на остатках</t>
  </si>
  <si>
    <t>Недогруз Лето LR-3 (СПб)  Столешница "Стемалит" , Crystal Vision RAL 9003 10 мм, для Двойной кассы V3 LR</t>
  </si>
  <si>
    <t>Малогабаритные короба ждут уплотнения</t>
  </si>
  <si>
    <t>В работе большая сортировка LR</t>
  </si>
  <si>
    <t>Нет возвратов с закрытий магазинов</t>
  </si>
  <si>
    <t>В работе, количество незначительное</t>
  </si>
  <si>
    <t>Сколько есть</t>
  </si>
  <si>
    <t>Мелкоштучка для мезонина</t>
  </si>
  <si>
    <t>Сотрудник допустил ошибку, не завершив задание 000013557 вовремя</t>
  </si>
  <si>
    <t>Сотрудник допустил ошибку, не завершив задание 000013629 вовремя</t>
  </si>
  <si>
    <t>Вывоз товара на временное хранение, перенаправление товара на Фамилию </t>
  </si>
  <si>
    <t>Запущена приемка ZR</t>
  </si>
  <si>
    <t>Другой статус товара на остатках склада</t>
  </si>
  <si>
    <t>BF, SL, ZR и LR не вывозит готовые ЗНС</t>
  </si>
  <si>
    <t>Приоритетность на комплектацию заказов со стока.</t>
  </si>
  <si>
    <t>Заявки были перенесены из-за отсутствия должного количества персонала для своевременной комплектации, приоритетность была поставлена на сборку заявок на открытие</t>
  </si>
  <si>
    <t>Задачи не старее 3 дней</t>
  </si>
  <si>
    <t xml:space="preserve">Новый склад V7 выгрузил некорректные реестры для приемки </t>
  </si>
  <si>
    <t>Комплектация по заказам была просрочена из-за дополнительного планирования заказов.</t>
  </si>
  <si>
    <t>По заданию 000013666 погрузка на Сити-парк Град BF-3 (Воронеж) заняла много времени по причине большого обьема отгрузки</t>
  </si>
  <si>
    <t>000014063 - некорректно проставлен тип отгрузки, 000013974, 000014029 - Сотрудник допустил ошибку, не завершив задание вовремя</t>
  </si>
  <si>
    <t xml:space="preserve">Вывоз товара на временное хранение, перенаправление товара на Фамилию </t>
  </si>
  <si>
    <t>Сотрудник допустил ошибку, не завершив задание 000014293 вовремя</t>
  </si>
  <si>
    <t>Большой вывоз товара на магазины</t>
  </si>
  <si>
    <t xml:space="preserve">Большой приход транзитных коробов. Некорректно выгружены документы приемки. Не хватает ресурса для принятия коробов. </t>
  </si>
  <si>
    <t>BF, ZR  не вывозит готовые ЗНС</t>
  </si>
  <si>
    <t xml:space="preserve">Ожидание КМ для допланирования заказа из карантина. </t>
  </si>
  <si>
    <t>Отсутсвовал водитель штабелера на товарном складе 10 октября</t>
  </si>
  <si>
    <t>Отсутсвовал водитель штабелера складе оборудования 8, 9 октября</t>
  </si>
  <si>
    <t>Сотрудник допустил ошибку, не завершив задание 000014436 вовремя. По заданию 000014452 погрузка заняла больше времени из-за большого кол-во коробов</t>
  </si>
  <si>
    <t>Приоритет поставлен на сборку заявок</t>
  </si>
  <si>
    <t>Большой приход транзитных коробов. Некорректно выгружены документы приемки. Не хватает ресурса для принятия коробов. </t>
  </si>
  <si>
    <t>По ЗНС 003246781, 003246783 было выписано больше ед. чем есть на остатках.</t>
  </si>
  <si>
    <t>По заявке на ЭКП 000148838 был собран рулон приближенный к количеству указанный в заказе. Заявки 000149221, 000148994 были отгружены частично, т.к.по заявке 000148149 был перегруз лоньярдов. По заявке 000149361 менеджер попросил не отгружать часть оборудования.</t>
  </si>
  <si>
    <t>Приоритетность поставлена на сборку открытий. Отсутсвовал водитель штабелера складе оборудования 14 (отсутствоввало 2 водителя), 15(отсутствовал 1 водитель), 16 октября (отсутствовал 1 водитель).</t>
  </si>
  <si>
    <t>приемка возвратов приостановлена в рамках подготовки к инвентаризации</t>
  </si>
  <si>
    <t>По заданию 000014537 и 000014613 погрузка заняла много времени по причине большого обьема отгрузки</t>
  </si>
  <si>
    <t>Отсутсвовал водитель штабелера товарном складе  21, 22 октября</t>
  </si>
  <si>
    <t>По заявке 000145168 Columbus BF-2 (Москва), номенклатура 643276666  Голова птицы декоративная белая собрано 5 шт. из 16 шт. Т.К. на остатках склада больше не было.</t>
  </si>
  <si>
    <t>title</t>
  </si>
  <si>
    <t>units</t>
  </si>
  <si>
    <t>department</t>
  </si>
  <si>
    <t>description</t>
  </si>
  <si>
    <t>target_description</t>
  </si>
  <si>
    <t>data_source</t>
  </si>
  <si>
    <t>formula_week</t>
  </si>
  <si>
    <t>formula_year</t>
  </si>
  <si>
    <t>example</t>
  </si>
  <si>
    <t>responsible</t>
  </si>
  <si>
    <t>instruction_title</t>
  </si>
  <si>
    <t>instruction_id</t>
  </si>
  <si>
    <t>category</t>
  </si>
  <si>
    <t>brand</t>
  </si>
  <si>
    <t>target</t>
  </si>
  <si>
    <t>target_type</t>
  </si>
  <si>
    <t>relevance</t>
  </si>
  <si>
    <t>type</t>
  </si>
  <si>
    <t>subcategory</t>
  </si>
  <si>
    <t>Своевременность выгрузки.</t>
  </si>
  <si>
    <t>Время разгрузки ТС расчитываемое как отношение своевременно разгруженных ТС к общему кол-ву разгруженных ТС за отчетный период.</t>
  </si>
  <si>
    <t xml:space="preserve">Оценка эффективности процесса разгрузки транспортных средств.
</t>
  </si>
  <si>
    <t>KPI01y = AVG(KPI01m), где KPI01m - значения ежемесячных показателей.</t>
  </si>
  <si>
    <t>90 / 100 * 100% = 90%</t>
  </si>
  <si>
    <t>Оператор</t>
  </si>
  <si>
    <t>Поступление товара</t>
  </si>
  <si>
    <t>III-ДИ-УВЛ-Ин-15</t>
  </si>
  <si>
    <t>shipment</t>
  </si>
  <si>
    <t>higher</t>
  </si>
  <si>
    <t>KPI</t>
  </si>
  <si>
    <t>KPI02y = AVG(KPI02m), где KPI02m - значения ежемесячных показателей.</t>
  </si>
  <si>
    <t>Поступление оборудования</t>
  </si>
  <si>
    <t>III-ДИ-УВЛ-Ин-05</t>
  </si>
  <si>
    <t>Своевременность погрузки.</t>
  </si>
  <si>
    <t>Время отгрузки ТС расчитываемое как отношение своевременно отгруженных ТС к общему кол-ву отгруженных ТС за период.</t>
  </si>
  <si>
    <t xml:space="preserve">Оценка эффективности процесса отгрузки транспортных средств.
</t>
  </si>
  <si>
    <t>KPI03y = AVG(KPI03m), где KPI03m - значения ежемесячных показателей.</t>
  </si>
  <si>
    <t>Количество полученных возвратов с розницы.</t>
  </si>
  <si>
    <t>Количество шт., находящихся на складе в составе транзитных коробов, требующих выбраковки и приемки на сток на конец отчетного периода.</t>
  </si>
  <si>
    <t>Оценка объема штук, накопившихся в ожидании старта приемки.</t>
  </si>
  <si>
    <t>KPI04y = SUM(A); где А - количество шт. товара в составе не обработанного короба на конец отчетного периода. Не обработанным коробом является транзитный короб с конечным получателем склад, принятым на уровне короба и размещенным на хранение.</t>
  </si>
  <si>
    <t>Приёмка вложений возвратных коробов</t>
  </si>
  <si>
    <t>III-ДИ-УВЛ-Ин-16</t>
  </si>
  <si>
    <t>invoice</t>
  </si>
  <si>
    <t>lower</t>
  </si>
  <si>
    <t>SI</t>
  </si>
  <si>
    <t>Количество принятых возвратов с розницы.</t>
  </si>
  <si>
    <t>Количество шт., разбракованных и принятых на сток за отчетный период по документам приемки возвратов из розницы.</t>
  </si>
  <si>
    <t>Оценка объема обработанных штук при приемке на сток.</t>
  </si>
  <si>
    <t>KPI05y = SUM(A); где А - количество шт. разбракованного и принятого товара из состава транзитного короба в отчетном периоде.</t>
  </si>
  <si>
    <t>KPI07</t>
  </si>
  <si>
    <t>Полнота обработки возвратов с розницы.</t>
  </si>
  <si>
    <t>Полнота, рассчитываемая как отношение фактического количества принятых шт. к плановому количеству шт. по документам, завершенным в отчетном периоде.</t>
  </si>
  <si>
    <t>Рассчет полноты приема товаров относительно планового количества.</t>
  </si>
  <si>
    <t>Axelot, отчет "Контроль приемки".</t>
  </si>
  <si>
    <t>KPI07 = A/B*100%, где: 
А - Сумма фактически принятого по документам, 
В - Сумма количества план по документам, завершенным в отчетный период.</t>
  </si>
  <si>
    <t>KPI07y = AVG(KPI07m), где KPI07m - значения ежемесячных показателей.</t>
  </si>
  <si>
    <t>1000 / 2000 * 100% = 50%</t>
  </si>
  <si>
    <t>Своевременность приемки возвраты с розницы.</t>
  </si>
  <si>
    <t>Своевременность рассчитывается как отношение числа коробов, содержимое которых было принято на склад вовремя (менее чем через 72 часа после получения), к общему числу коробов, которые были приняты на склад за учетный период времени. Короба поступили из магазинов розницы.</t>
  </si>
  <si>
    <t xml:space="preserve">Измерение своевременности приемки товаров из магазинов розницы.
</t>
  </si>
  <si>
    <t>KPI08y = AVG(KPI08m), где KPI08m - значения ежемесячных показателей.</t>
  </si>
  <si>
    <t>main</t>
  </si>
  <si>
    <t>Производительность, рассчитываемая как отношение фактической выработки задействованных сотрудников на операции по часам к запланированной выработке, согласно нормативу 60 шт./час.</t>
  </si>
  <si>
    <t>Оценка эффективности работы сотрудников на операции в час.</t>
  </si>
  <si>
    <t>KPI06y = AVG(KPI06m), где KPI06m - значения ежемесячных показателей.</t>
  </si>
  <si>
    <t>1500 / (30 * 60) * 100% = 80%</t>
  </si>
  <si>
    <t>Менеджер смены</t>
  </si>
  <si>
    <t>Количество коробов, принятых на складе за отчетный приод, с дальнейшей отгрузкой конечному получателю, либо с дальнейшим хранением или приемкой вложений на сток.</t>
  </si>
  <si>
    <t>Оценка объема обработанных коробов при кроссе.</t>
  </si>
  <si>
    <t>KPI09y = SUM(KPI09m); где KPI09m - значение месячных показателей.</t>
  </si>
  <si>
    <t>Приёмка коробов</t>
  </si>
  <si>
    <t>III-ДИ-УВЛ-Ин-20</t>
  </si>
  <si>
    <t>transit</t>
  </si>
  <si>
    <t>Количество коробов, не принятых на конец периода по причинам отсутствия маркировки, документа приемки, поступивших вне реестра и.т.д.</t>
  </si>
  <si>
    <t>Оценка количества коробов, не принятых из-за отсутствия маркировки или документов.</t>
  </si>
  <si>
    <t xml:space="preserve">KPI11y = SUM(A); где А - количество не принятых транзитных коробов на конец периода. </t>
  </si>
  <si>
    <t>Полнота приемки транзитных коробов.</t>
  </si>
  <si>
    <t>Полнота, рассчитываемая как отношение фактического количества принятых коробов к плановому количеству коробов по документам, завершенным в отчетном периоде.</t>
  </si>
  <si>
    <t>Рассчет полноты приема коробов относительно планового количества. Вариант "KPI - Кросс транзитных коробов (Все показатели)".</t>
  </si>
  <si>
    <t>KPI12y = AVG(KPI12m), где KPI12m - значения ежемесячных показателей.</t>
  </si>
  <si>
    <t>Производительность рассчитывается как отношение фактической выработки задействованных сотрудников на операции по часам к запланированной выработке, согласно нормативу 50 кор./час.</t>
  </si>
  <si>
    <t>KPI10y = AVG(KPI10m), где KPI06m - значения ежемесячных показателей.</t>
  </si>
  <si>
    <t>1500 / (30 * 50) * 100% = 100%</t>
  </si>
  <si>
    <t>Своевременность рассчитывается как отношение числа коробов, документы которых были завершены вовремя (менее чем через 24 часа после получения коробов), к общему числу коробов, документы которых были завершены в учетный период времени.</t>
  </si>
  <si>
    <t>Измерение своевременности обработки кросса коробов.</t>
  </si>
  <si>
    <t>KPI13y = AVG(KPI13m), где KPI13m - значения ежемесячных показателей.</t>
  </si>
  <si>
    <t>KPI14</t>
  </si>
  <si>
    <t>Время обработки транзитных коробов.</t>
  </si>
  <si>
    <t>час</t>
  </si>
  <si>
    <t>Среднее время обработки документов, уравновешенное количеством принятых коробов по документу, завершенным в отчетный период.</t>
  </si>
  <si>
    <t>Оценка времени на обработку документов кросса коробов.</t>
  </si>
  <si>
    <t>KPI14 = SUM(A*B)/SUM(B), где: 
A - Время обработки документа в часах, 
B - количество обработанных коробов, SUM(A*B) - сумма произведений A и B по каждому документу, 
SUM(B) - сумма всех обработанных коробов по документам.</t>
  </si>
  <si>
    <t>KPI14y = AVG(KPI14m), где KPI14m - значения ежемесячных показателей.</t>
  </si>
  <si>
    <t>(10 * 500 + 5 * 100) / (500 + 100) = 9,16</t>
  </si>
  <si>
    <t>Своевременность приемки возвратов с маркетплейсов.</t>
  </si>
  <si>
    <t>Своевременность рассчитывается как отношение количества документов, которые были завершены вовремя (менее чем через 24 часа после поступления товара), к общему количеству документов, которые были завершены в учетный период времени. Документом приемки из маркетплейса являются документы, "Номер КИС" которых содержит "WB", "OZ" или "LM".</t>
  </si>
  <si>
    <t>Измерение своевременности приемки товаров от маркетплейсов.</t>
  </si>
  <si>
    <t>KPI15y = AVG(KPI15m), где KPI15m - значения ежемесячных показателей.</t>
  </si>
  <si>
    <t>2 / 4 * 100% = 50%</t>
  </si>
  <si>
    <t>Приёмка возвратного товара с маркетплейсов</t>
  </si>
  <si>
    <t>III-ДИ-УВЛ-Ин-19</t>
  </si>
  <si>
    <t>marketplace_invoice</t>
  </si>
  <si>
    <t>Количество обработанных возвратов с маркетплейсов.</t>
  </si>
  <si>
    <t>Количество шт., разбракованных и принятых на сток за отчетный период по документам приемки возвратов из маркетплейсов.</t>
  </si>
  <si>
    <t>Оценка объема обработанных штук при приемке возвратов из маркетплейсов.</t>
  </si>
  <si>
    <t>KPI17y = SUM(A); где А - количество шт. разбракованного и принятого товара, полученного из маркетплейса в отчетном периоде.</t>
  </si>
  <si>
    <t>Количество шт. содержащих не валидный код маркировки "Честный знак" (ДМ), находящихся на стоке и в зоне "Карантин".</t>
  </si>
  <si>
    <t>Оценка объема немаркированных штук.</t>
  </si>
  <si>
    <t>KPI18y = SUM(A); где А - количество шт. товара с признаком "Требуется маркировка" = ДА и признаком "Маркировка номенклатуры" = НЕТ на конец отчетного периода.</t>
  </si>
  <si>
    <t>Перемаркировка DataMatrix</t>
  </si>
  <si>
    <t>III-ДИ-УВЛ-Ин-26</t>
  </si>
  <si>
    <t>stock</t>
  </si>
  <si>
    <t>Производительность приемки возвратов с маркетплейсов.</t>
  </si>
  <si>
    <t>Производительность, рассчитываемая как отношение фактической выработки задействованных сотрудников на операции по часам к запланированной выработке, согласно нормативу 50 шт./час.</t>
  </si>
  <si>
    <t>KPI16y = AVG(KPI16m), где KPI16m - значения ежемесячных показателей.</t>
  </si>
  <si>
    <t>Полнота, рассчитываемая как отношение фактического количества скомплектованных шт. к плановому количеству шт. по документам, завершенным в отчетном периоде.</t>
  </si>
  <si>
    <t>Оценка полноты комплектации товаров согласно плану.</t>
  </si>
  <si>
    <t>KPI21y = AVG(KPI21m), где KPI21m - значения ежемесячных показателей.</t>
  </si>
  <si>
    <t>Комплектация</t>
  </si>
  <si>
    <t>N/A</t>
  </si>
  <si>
    <t>picking</t>
  </si>
  <si>
    <t>Своевременность рассчитывается как отношение количества документов, которые были скомплектованы вовремя (не позднее чем 16 часов от установленной даты планового завершения комплектации), к общему количеству документов, которые были скомплектованы в учетный период времени. Плановой датой завершения комплектации является первая дата, согласованная с клиентом, исключая дальнейшие переносы. Скомплектованным документом является "Заказ на отгрузку", дата завершения комплектации которого выпадает на отчетный период.</t>
  </si>
  <si>
    <t>Измерение своевременности комплектации заказов перед отгрузкой.</t>
  </si>
  <si>
    <t>KPI22y = AVG(KPI202m), где KPI22m - значения ежемесячных показателей.</t>
  </si>
  <si>
    <t>Производительность комплектации отбором.</t>
  </si>
  <si>
    <t>Производительность, рассчитываемая как отношение фактической выработки задействованных сотрудников на операции по часам к запланированной выработке, согласно нормативу 30 шт./час.</t>
  </si>
  <si>
    <t>KPI19y = AVG(KPI19m), где KPI19m - значения ежемесячных показателей.</t>
  </si>
  <si>
    <t>300 / (10 * 30) * 100% = 100%</t>
  </si>
  <si>
    <t>Прямой отбор</t>
  </si>
  <si>
    <t>III-ДИ-УВЛ-Ин-27</t>
  </si>
  <si>
    <t>Производительность, рассчитываемая как отношение фактической выработки задействованных сотрудников на операции по часам к запланированной выработке, согласно нормативу 100 шт./час.</t>
  </si>
  <si>
    <t>KPI20y = AVG(KPI20m), где KPI20m - значения ежемесячных показателей.</t>
  </si>
  <si>
    <t>3000 / (30 * 100) * 100% = 100%</t>
  </si>
  <si>
    <t>Сортировка</t>
  </si>
  <si>
    <t>III-ДИ-УВЛ-Ин-28</t>
  </si>
  <si>
    <t>KPI23</t>
  </si>
  <si>
    <t>Время ожидания отрузки транзитных коробов.</t>
  </si>
  <si>
    <t>Среднее время ожидания рассчитывается как продолжительность хранения транзитных коробов в зоне готовые заказы до отгрузки, уравновешенное количеством коробов в заказе, по документам, отгруженным за отчетный период.</t>
  </si>
  <si>
    <t>Рассчет среднего времени ожидания транзитных коробов перед отгрузкой.</t>
  </si>
  <si>
    <t>Axelot, отчет "Контроль отгрузки". Вариант "KPI - Комплектация (все кроме количества коробов)". Параметр отбора Вид номенклатуры надо заменить на "не равно Транзитный короб"</t>
  </si>
  <si>
    <t>KPI23 = SUM((C - A)*B)/SUM(B), где: 
A - дата фактического завершения комплектации, 
С - дата фактической отгрузки, 
B - количество скомплектованных шт., 
SUM((C - A)*B) - сумма произведений (C - A) и B по каждому документу, 
SUM(B) - сумма всех скомплектованных шт. по документам.</t>
  </si>
  <si>
    <t>KPI23y = AVG(KPI23m), где KPI23m - значения ежемесячных показателей.</t>
  </si>
  <si>
    <t>((15.02.2024 - 10.02.2024) * 100 + (17.02.2024 - 07.02.2024) * 10) / (100 + 10) = 5,45</t>
  </si>
  <si>
    <t>KPI24</t>
  </si>
  <si>
    <t>Время ожидания отрузки коробов со стока.</t>
  </si>
  <si>
    <t>Среднее время ожидания рассчитывается как продолжительность хранения коробов, скомплектованных со стока в зоне готовые заказы до отгрузки, уравновешенное количеством коробов в заказе, по документам, отгруженным за отчетный период.</t>
  </si>
  <si>
    <t>Рассчет среднего времени ожидания готовых к отгрузке коробов.</t>
  </si>
  <si>
    <t>KPI24 = SUM((C - A)*B)/SUM(B), где: 
A - дата фактического завершения комплектации, 
С - дата фактической отгрузки, 
B - количество скомплектованных коробов, 
SUM((C - A)*B) - сумма произведений (C - A) и B по каждому документу, 
SUM(B) - сумма всех скомплектованных коробов по документам.</t>
  </si>
  <si>
    <t>KPI24y = AVG(KPI24m), где KPI24m - значения ежемесячных показателей.</t>
  </si>
  <si>
    <t>Количество транзитных коробов, отгруженных со склада за отчетный период по документам отгрузки.</t>
  </si>
  <si>
    <t>Оценка объема отгруженных транзитных коробов.</t>
  </si>
  <si>
    <t>KPI25y = SUM(A); где: 
А - количество коробов, отгруженных по документам в отчетном периоде.
Документом является "заказ на отгрузку" с параметром "Направление отгрузки" = "Отгрузка клиенту (короба)".</t>
  </si>
  <si>
    <t>Отгрузка</t>
  </si>
  <si>
    <t>III-ДИ-УВЛ-Ин-29</t>
  </si>
  <si>
    <t>Количество коробов, скомплектованных со стока, отгруженных со склада за отчетный период по документам отгрузки.</t>
  </si>
  <si>
    <t>Оценка объема отгруженных коробов.</t>
  </si>
  <si>
    <t>KPI26y = SUM(A); где: 
А - количество коробов, отгруженных по документам в отчетном периоде.
Документом является "заказ на отгрузку" с параметром "Направление отгрузки" = "Отгрузка клиенту".</t>
  </si>
  <si>
    <t>Полнота, рассчитываемая как отношение фактического количества отгруженных коробов к плановому количеству коробов к отгрузке по документам, отгруженным в отчетном периоде.</t>
  </si>
  <si>
    <t>Рассчет полноты отгрузки коробов по сравнению с плановым количеством.</t>
  </si>
  <si>
    <t>KPI27y = AVG(KPI27m), где KPI27m - значения ежемесячных показателей.</t>
  </si>
  <si>
    <t>1800 / 2000 * 100% = 90%</t>
  </si>
  <si>
    <t>Количество шт., на остатках склада отклонений. Склад отклонений содержит шт., отклоненные получателем по причине недостач или иных проблем с приемкой скомплектованных складом шт.</t>
  </si>
  <si>
    <t>Оценка объема претензий к комплектации, выполненной складом.</t>
  </si>
  <si>
    <t>KPI30y = SUM(А), где:
А - остаток на складе отклонений.</t>
  </si>
  <si>
    <t>Ревизор</t>
  </si>
  <si>
    <t>Сток</t>
  </si>
  <si>
    <t>Количество шт., временно утерянных на складе, в результате ошибок при приемке, размещении или комплектации шт. и коробов.</t>
  </si>
  <si>
    <t>Оценка объема временных потерь товаров на складе из-за ошибок в процессах.</t>
  </si>
  <si>
    <t>KPI31y = SUM(А), где:
А - остаток в зоне LOST на конец отчетного периода.</t>
  </si>
  <si>
    <t>Качество остатков, рассчитываемое как отношение всех расхождений, взятых по модулю, к общему остатку в 1С BUH.</t>
  </si>
  <si>
    <t>Оценка точности учета остатков товаров на складе.</t>
  </si>
  <si>
    <t>KPI28y = 1 - (A - B) / C, где:
A - количество излишков в WMS относительно 1С (всегда положительное),
B - количество недостач в WMS относительно 1С (всегда отрицательное),
C - общий остаток на складе в 1С.
Данные сверяются на конец отчетного периода.</t>
  </si>
  <si>
    <t>1 - 10 / 1000 = 99%</t>
  </si>
  <si>
    <t>Количество коробов, не размещенных в стеллажное хранение более 24 часов на конец отчетного периода. Не размещенным коробом является короб, на который есть не выполненная задача на "Размещение", дата создания которой отличается от даты окончания периода более, чем на 24 часа.</t>
  </si>
  <si>
    <t xml:space="preserve">Оценка объема коробов, находящихся не в своей зоне.
</t>
  </si>
  <si>
    <t>KPI29y = SUM(A), где:
А - задача с типом "Размещение" в статусе "К выполнению", дата создания которой отличается от даты окончания отчетного периода более, чем на 24 часа.</t>
  </si>
  <si>
    <t>bufer</t>
  </si>
  <si>
    <t>Заполненность рассчитывается как отношение количества коробов, подготовленных к отгрузке, к вместимости зоны "Готовые заказы". Текущая вместимость зоны "Готовые заказы" 3200 кор.</t>
  </si>
  <si>
    <t>Расчет степени заполненности зоны готовых к отгрузке заказов.</t>
  </si>
  <si>
    <t>KPI33y = AVG(KPI33m), где KPI33m - значения ежемесячных показателей.</t>
  </si>
  <si>
    <t>3000 / 3200 * 100% = 93%</t>
  </si>
  <si>
    <t>Полнота, рассчитываемая как отношение количества документов, скомплектованных полностью к общему числу документов, завершенных в отчетном периоде. Документом является "Заявка на склад оборудования", без галочки "Открытие". Скомплектованным полностью  считается документ, статус которого "Отгружен". Скомплектованным частично считается документ, статус которого "Отгружен частично". </t>
  </si>
  <si>
    <t>KPI39y = AVG(KPI39m), где KPI39m - значения ежемесячных показателей.</t>
  </si>
  <si>
    <t>Комплектация оборудования</t>
  </si>
  <si>
    <t>Доступность рассчитывается как отношение количества шт., доступных для заказа со склада к общему остатку на складе. Доступным считается остаток в зонах "Основное хранение", "Полочное хранение". Недоступным считается остаток в зонах "LOST", "Карантин", "Зона приемки",  "Зона комплектации", "Зона контроля", "Ревизоры".</t>
  </si>
  <si>
    <t>Расчет доступности товаров для заказа на складе.</t>
  </si>
  <si>
    <t>KPI32y = A/B *100%, где:
А - кол-во шт., в доступных зонах, 
B - общее кол-во шт. во всех зонах.
Данные фиксируются на момент окончания отчетного периода.</t>
  </si>
  <si>
    <t>90000 / 100000 * 100% = 90%</t>
  </si>
  <si>
    <t>Полнота комплектации на открытия магазинов.</t>
  </si>
  <si>
    <t>Полнота, рассчитываемая как отношение количества документов, скомплектованных полностью к общему числу документов, завершенных в отчетном периоде. Документом является "Заявка на склад оборудования", с галочкой "Открытие". Скомплектованным полностью  считается документ, статус которого "Отгружен". Скомплектованным частично считается документ, статус которого "Отгружен частично". </t>
  </si>
  <si>
    <t>KPI40y = AVG(KPI40m), где KPI40m - значения ежемесячных показателей.</t>
  </si>
  <si>
    <t>Своевременность, рассчитываемая как отношение количества документов, завершенных вовремя к общему числу документов, завершенных в отчетном периоде. Своевременно принятым считается документ, чья дата фактического завершения не превышает 168 часов (7 дней).</t>
  </si>
  <si>
    <t>KPI34y = AVG(KPI34m), где KPI34m - значения ежемесячных показателей.</t>
  </si>
  <si>
    <t>Специалист учета</t>
  </si>
  <si>
    <t>Приёмка возвратного оборудования</t>
  </si>
  <si>
    <t>III-ДИ-УВЛ-Ин-06</t>
  </si>
  <si>
    <t>Не подписанные перемещения.</t>
  </si>
  <si>
    <t>Количество не подписанных документов перемещения оборудования из розницы на склад, созданных более чем за 21 день от даты окончания отчетного периода.</t>
  </si>
  <si>
    <t>KPI35y = A, где:
А - кол-во не подписанных документов.</t>
  </si>
  <si>
    <t>Количество паллето-мест, занимаемых оборудованием на складе в зоне приемки, поступившим из розницы, с не идентифицируемой номенклатурой.</t>
  </si>
  <si>
    <t>KPI36y = А, где:
А - количество паллетомест, занимаемых на складе.</t>
  </si>
  <si>
    <t>Своевременность, рассчитываемая как отношение количества документов, завершенных вовремя к общему числу документов, завершенных в отчетном периоде. Своевременно принятым считается документ, чья дата фактического завершения не превышает 72 часа (3 дня).</t>
  </si>
  <si>
    <t>KPI37y = AVG(KPI37m), где KPI37m - значения ежемесячных показателей.</t>
  </si>
  <si>
    <t>Приёмка оборудования</t>
  </si>
  <si>
    <t>III-ДИ-УВЛ-Ин-07</t>
  </si>
  <si>
    <t>Количество заказов, чья дата фактической отгрузки превышает дату выгрузки на склад не более чем на 24 часа.</t>
  </si>
  <si>
    <t>KPI38y = AVG(KPI38m), где KPI38m - значения ежемесячных показателей.</t>
  </si>
  <si>
    <t>Сток менеджер</t>
  </si>
  <si>
    <t>Своевременность комплектации на открытия.</t>
  </si>
  <si>
    <t>Своевременность, рассчитываемая как отношение количества документов, отгруженных вовремя к общему числу документов, отгруженных в отчетном периоде. Документом является "Заявка на склад оборудования", с галочкой "Открытие". Своевременно отгруженным считается документ, отсутствующий в реестре переносов отгрузки.</t>
  </si>
  <si>
    <t>KPI41y = AVG(KPI41m), где KPI41m - значения ежемесячных показателей.</t>
  </si>
  <si>
    <t>1 - 10 / 100 * 100% = 90%</t>
  </si>
  <si>
    <t>Своевременность комплектации в розницу.</t>
  </si>
  <si>
    <t>Своевременность, рассчитываемая как отношение количества документов, отгруженных вовремя к общему числу документов, отгруженных в отчетном периоде. Документом является "Заявка на склад оборудования", без галочки "Открытие". Своевременно отгруженным считается документ, отсутствующий в реестре переносов отгрузки.</t>
  </si>
  <si>
    <t xml:space="preserve">KPI42 = 1 - A/B *100%, где:
А - кол-во документов в таблице "План работ (оборудование)", 
B - общее кол-во документов. </t>
  </si>
  <si>
    <t>KPI42y = AVG(KPI42m), где KPI42m - значения ежемесячных показателей.</t>
  </si>
  <si>
    <t>KPI47y = AVG(KPI47m), где KPI47m - значения ежемесячных показателей.</t>
  </si>
  <si>
    <t>Количество шт., содержащихся в коробах, выгруженных на складе за период, для последующей приемки вложений.</t>
  </si>
  <si>
    <t>Оценка объема штук, поступающих на склад.</t>
  </si>
  <si>
    <t>KPI48y = SUM(A); где А - количество шт. разбракованного и принятого товара из состава транзитного короба в отчетном периоде.</t>
  </si>
  <si>
    <t>Полнота, рассчитываемая как отношение фактического количества отгруженных грузомест к плановому количеству грузомест к отгрузке по документам, отгруженным в отчетном периоде.</t>
  </si>
  <si>
    <t>KPI43y = AVG(KPI43m), где KPI43m - значения ежемесячных показателей.</t>
  </si>
  <si>
    <t>Отгрузка оборудования</t>
  </si>
  <si>
    <t>III-ДИ-УВЛ-Ин-14</t>
  </si>
  <si>
    <t>Количество шк., временно утерянных на складе, в результате ошибок при приемке, размещении или комплектации оборудования.</t>
  </si>
  <si>
    <t>KPI44y = SUM(А), где:
А - остаток в зоне LOST на конец отчетного периода.</t>
  </si>
  <si>
    <t>KPI45 = 1 - (A - B) / C, где:
A - количество излишков в WMS относительно 1С (всегда положительное),
B - количество недостач в WMS относительно 1С (всегда отрицательное),
C - общий остаток на складе в 1С.
Данные сверяются на конец отчетного периода.\</t>
  </si>
  <si>
    <t>KPI45y = 1 - (A - B) / C, где:
A - количество излишков в WMS относительно 1С (всегда положительное),
B - количество недостач в WMS относительно 1С (всегда отрицательное),
C - общий остаток на складе в 1С.
Данные сверяются на конец отчетного периода.</t>
  </si>
  <si>
    <t>Количество шк., принятых складом, но не размещенных в стеллажное хранение на конец отчетного периода.</t>
  </si>
  <si>
    <t>KPI46y = SUM(А), где:
А - остаток в зоне LOST на конец отчетного периода.</t>
  </si>
  <si>
    <t>Количество грузомест, отгруженных со склада в учетный период</t>
  </si>
  <si>
    <t>Оценка объема нагрузки по отгрузке.</t>
  </si>
  <si>
    <t>Категории причин</t>
  </si>
  <si>
    <t>1. Новая</t>
  </si>
  <si>
    <t xml:space="preserve"> идея только что добавлена в реестр и еще не была рассмотрена.</t>
  </si>
  <si>
    <t>2. На рассмотрении</t>
  </si>
  <si>
    <t>идея находится в процессе оценки и обсуждения.</t>
  </si>
  <si>
    <t>Авария</t>
  </si>
  <si>
    <t>3. Одобрена</t>
  </si>
  <si>
    <t>идея получила одобрение и будет продвигаться к реализации.</t>
  </si>
  <si>
    <t>Изменение</t>
  </si>
  <si>
    <t>4. Отклонена</t>
  </si>
  <si>
    <t xml:space="preserve"> идея была рассмотрена и отклонена по каким-либо причинам.</t>
  </si>
  <si>
    <t>5. В разработке</t>
  </si>
  <si>
    <t>идея находится в стадии разработки и подготовки к реализации.</t>
  </si>
  <si>
    <t>6. Реализована</t>
  </si>
  <si>
    <t>идея успешно реализована.</t>
  </si>
  <si>
    <t>1-Срочный</t>
  </si>
  <si>
    <t>7. Готово к проверке</t>
  </si>
  <si>
    <t>реализация идеи завершена, но требуется проверка или тестирование.</t>
  </si>
  <si>
    <t>2-Высокий</t>
  </si>
  <si>
    <t>8. Закрыта</t>
  </si>
  <si>
    <t>работа по идее полностью завершена и все действия выполнены.</t>
  </si>
  <si>
    <t>3-Средний</t>
  </si>
  <si>
    <t>4-Низкий</t>
  </si>
  <si>
    <t>Стандарты</t>
  </si>
  <si>
    <t>Безопасность</t>
  </si>
  <si>
    <t>Затраты</t>
  </si>
  <si>
    <t>Производительность</t>
  </si>
  <si>
    <t>Качество</t>
  </si>
  <si>
    <t>Окружающая среда</t>
  </si>
  <si>
    <t>Администрация</t>
  </si>
  <si>
    <t>Водитель</t>
  </si>
  <si>
    <t>Оборудование</t>
  </si>
  <si>
    <t>Оперативный менеджер</t>
  </si>
  <si>
    <t>Офис</t>
  </si>
  <si>
    <t>Товарный склад</t>
  </si>
  <si>
    <t>Учет</t>
  </si>
  <si>
    <t>Документы</t>
  </si>
  <si>
    <t>Транспорт</t>
  </si>
  <si>
    <t>ТМЦ</t>
  </si>
  <si>
    <t>Подрядчик</t>
  </si>
  <si>
    <t>Хранение</t>
  </si>
  <si>
    <t>Инвентаризация</t>
  </si>
  <si>
    <t>Бренды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</si>
</sst>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14">
    <font>
      <sz val="10"/>
      <color rgb="FF000000"/>
      <name val="Calibri"/>
      <family val="2"/>
      <charset val="204"/>
      <scheme val="minor"/>
    </font>
    <font>
      <b/>
      <sz val="10"/>
      <color rgb="FF282828"/>
      <name val="Acrom"/>
      <charset val="204"/>
    </font>
    <font>
      <sz val="10"/>
      <color rgb="FF000000"/>
      <name val="Acrom"/>
      <charset val="204"/>
    </font>
    <font>
      <sz val="10"/>
      <color theme="1"/>
      <name val="Acrom"/>
      <charset val="204"/>
    </font>
    <font>
      <sz val="10"/>
      <color rgb="FF000000"/>
      <name val="Arial"/>
      <family val="2"/>
      <charset val="204"/>
    </font>
    <font>
      <sz val="14"/>
      <color rgb="FF000000"/>
      <name val="Arial"/>
      <family val="2"/>
      <charset val="204"/>
    </font>
    <font>
      <b/>
      <sz val="10"/>
      <color theme="1"/>
      <name val="Acrom"/>
      <charset val="204"/>
    </font>
    <font>
      <sz val="8"/>
      <color rgb="FF000000"/>
      <name val="Acrom"/>
      <charset val="204"/>
    </font>
    <font>
      <b/>
      <sz val="8"/>
      <color rgb="FF282828"/>
      <name val="Acrom"/>
      <charset val="204"/>
    </font>
    <font>
      <sz val="14"/>
      <color theme="1"/>
      <name val="Arial"/>
      <family val="2"/>
      <charset val="204"/>
    </font>
    <font>
      <b/>
      <sz val="14"/>
      <color theme="1"/>
      <name val="Arial"/>
      <family val="2"/>
      <charset val="204"/>
    </font>
    <font>
      <sz val="10"/>
      <color theme="1"/>
      <name val="Arial"/>
      <family val="2"/>
      <charset val="204"/>
    </font>
    <font>
      <sz val="10"/>
      <color theme="1"/>
      <name val="Calibri"/>
      <family val="2"/>
      <charset val="204"/>
      <scheme val="minor"/>
    </font>
    <font>
      <u/>
      <sz val="10"/>
      <color theme="1"/>
      <name val="Acrom"/>
      <charset val="204"/>
    </font>
  </fonts>
  <fills count="6">
    <fill>
      <patternFill patternType="none"/>
    </fill>
    <fill>
      <patternFill patternType="gray125"/>
    </fill>
    <fill>
      <patternFill patternType="solid">
        <fgColor rgb="FFFCD700"/>
        <bgColor rgb="FFFCD700"/>
      </patternFill>
    </fill>
    <fill>
      <patternFill patternType="solid">
        <fgColor theme="0" tint="-4.9989318521683403E-2"/>
        <bgColor rgb="FFFFFFFF"/>
      </patternFill>
    </fill>
    <fill>
      <patternFill patternType="solid">
        <fgColor theme="0" tint="-4.9989318521683403E-2"/>
        <bgColor indexed="64"/>
      </patternFill>
    </fill>
    <fill>
      <patternFill patternType="solid">
        <fgColor rgb="FFFFFFFF"/>
        <bgColor rgb="FFFFFFFF"/>
      </patternFill>
    </fill>
  </fills>
  <borders count="7">
    <border>
      <left/>
      <right/>
      <top/>
      <bottom/>
      <diagonal/>
    </border>
    <border>
      <left/>
      <right/>
      <top style="medium">
        <color auto="1"/>
      </top>
      <bottom/>
      <diagonal/>
    </border>
    <border>
      <left/>
      <right style="medium">
        <color indexed="64"/>
      </right>
      <top/>
      <bottom/>
      <diagonal/>
    </border>
    <border>
      <left/>
      <right/>
      <top style="medium">
        <color theme="1"/>
      </top>
      <bottom/>
      <diagonal/>
    </border>
    <border>
      <left/>
      <right style="medium">
        <color auto="1"/>
      </right>
      <top style="medium">
        <color theme="1"/>
      </top>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s>
  <cellStyleXfs count="1">
    <xf numFmtId="0" fontId="0" fillId="0" borderId="0"/>
  </cellStyleXfs>
  <cellXfs count="118">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0" fillId="0" borderId="1" xfId="0" applyBorder="1" applyAlignment="1">
      <alignment horizontal="center" vertical="center"/>
    </xf>
    <xf numFmtId="0" fontId="2" fillId="3" borderId="3" xfId="0" applyFont="1" applyFill="1" applyBorder="1" applyAlignment="1">
      <alignment horizontal="center" vertical="center" wrapText="1"/>
    </xf>
    <xf numFmtId="0" fontId="2" fillId="4" borderId="3" xfId="0" applyFont="1" applyFill="1" applyBorder="1" applyAlignment="1">
      <alignment horizontal="left" vertical="center" wrapText="1"/>
    </xf>
    <xf numFmtId="0" fontId="2" fillId="4" borderId="3" xfId="0" applyFont="1" applyFill="1" applyBorder="1" applyAlignment="1">
      <alignment horizontal="center" vertical="center" wrapText="1"/>
    </xf>
    <xf numFmtId="0" fontId="2" fillId="4" borderId="3" xfId="0" applyFont="1" applyFill="1" applyBorder="1" applyAlignment="1">
      <alignment horizontal="right" vertical="center"/>
    </xf>
    <xf numFmtId="9" fontId="2" fillId="4" borderId="3" xfId="0" applyNumberFormat="1" applyFont="1" applyFill="1" applyBorder="1" applyAlignment="1">
      <alignment horizontal="center" vertical="center" wrapText="1"/>
    </xf>
    <xf numFmtId="9" fontId="2" fillId="4" borderId="4" xfId="0" applyNumberFormat="1" applyFont="1" applyFill="1" applyBorder="1" applyAlignment="1">
      <alignment horizontal="center" vertical="center" wrapText="1"/>
    </xf>
    <xf numFmtId="1" fontId="2" fillId="4" borderId="3" xfId="0" applyNumberFormat="1" applyFont="1" applyFill="1" applyBorder="1" applyAlignment="1">
      <alignment horizontal="center" vertical="center" wrapText="1"/>
    </xf>
    <xf numFmtId="3" fontId="2" fillId="4" borderId="3" xfId="0" applyNumberFormat="1" applyFont="1" applyFill="1" applyBorder="1" applyAlignment="1">
      <alignment horizontal="center" vertical="center" wrapText="1"/>
    </xf>
    <xf numFmtId="4" fontId="2" fillId="4" borderId="3" xfId="0" applyNumberFormat="1" applyFont="1" applyFill="1" applyBorder="1" applyAlignment="1">
      <alignment horizontal="center" vertical="center" wrapText="1"/>
    </xf>
    <xf numFmtId="0" fontId="2" fillId="5" borderId="0" xfId="0" applyFont="1" applyFill="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right" vertical="center"/>
    </xf>
    <xf numFmtId="9" fontId="2" fillId="0" borderId="0" xfId="0" applyNumberFormat="1" applyFont="1" applyAlignment="1">
      <alignment horizontal="center" vertical="center" wrapText="1"/>
    </xf>
    <xf numFmtId="9" fontId="2" fillId="0" borderId="2" xfId="0" applyNumberFormat="1" applyFont="1" applyBorder="1" applyAlignment="1">
      <alignment horizontal="center" vertical="center" wrapText="1"/>
    </xf>
    <xf numFmtId="3" fontId="2" fillId="0" borderId="0" xfId="0" applyNumberFormat="1" applyFont="1" applyAlignment="1">
      <alignment horizontal="center" vertical="center" wrapText="1"/>
    </xf>
    <xf numFmtId="4" fontId="2" fillId="0" borderId="0" xfId="0" applyNumberFormat="1" applyFont="1" applyAlignment="1">
      <alignment horizontal="center" vertical="center" wrapText="1"/>
    </xf>
    <xf numFmtId="3" fontId="2" fillId="0" borderId="0" xfId="0" applyNumberFormat="1" applyFont="1" applyAlignment="1">
      <alignment horizontal="center" vertical="center"/>
    </xf>
    <xf numFmtId="164" fontId="2" fillId="4" borderId="3" xfId="0" applyNumberFormat="1" applyFont="1" applyFill="1" applyBorder="1" applyAlignment="1">
      <alignment horizontal="center" vertical="center" wrapText="1"/>
    </xf>
    <xf numFmtId="164" fontId="2" fillId="0" borderId="0" xfId="0" applyNumberFormat="1" applyFont="1" applyAlignment="1">
      <alignment horizontal="center" vertical="center" wrapText="1"/>
    </xf>
    <xf numFmtId="165" fontId="2" fillId="0" borderId="0" xfId="0" applyNumberFormat="1" applyFont="1" applyAlignment="1">
      <alignment horizontal="center" vertical="center" wrapText="1"/>
    </xf>
    <xf numFmtId="1" fontId="2" fillId="0" borderId="0" xfId="0" applyNumberFormat="1" applyFont="1" applyAlignment="1">
      <alignment horizontal="center" vertical="center" wrapText="1"/>
    </xf>
    <xf numFmtId="0" fontId="4" fillId="5" borderId="0" xfId="0" applyFont="1" applyFill="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horizontal="center" vertical="center"/>
    </xf>
    <xf numFmtId="0" fontId="3" fillId="0" borderId="2" xfId="0" applyFont="1" applyBorder="1" applyAlignment="1">
      <alignment horizontal="center" vertical="center"/>
    </xf>
    <xf numFmtId="0" fontId="2" fillId="0" borderId="0" xfId="0" applyFont="1" applyAlignment="1">
      <alignment horizontal="center" vertical="center"/>
    </xf>
    <xf numFmtId="10" fontId="2" fillId="0" borderId="0" xfId="0" applyNumberFormat="1" applyFont="1" applyAlignment="1">
      <alignment horizontal="center" vertical="center" wrapText="1"/>
    </xf>
    <xf numFmtId="0" fontId="6" fillId="0" borderId="0" xfId="0" applyFont="1" applyAlignment="1">
      <alignment horizontal="center" vertical="center"/>
    </xf>
    <xf numFmtId="2" fontId="2" fillId="0" borderId="0" xfId="0" applyNumberFormat="1" applyFont="1" applyAlignment="1">
      <alignment horizontal="center" vertical="center" wrapText="1"/>
    </xf>
    <xf numFmtId="49" fontId="2" fillId="4" borderId="3" xfId="0" applyNumberFormat="1" applyFont="1" applyFill="1" applyBorder="1" applyAlignment="1">
      <alignment horizontal="center" vertical="center" wrapText="1"/>
    </xf>
    <xf numFmtId="0" fontId="7" fillId="0" borderId="0" xfId="0" applyFont="1"/>
    <xf numFmtId="0" fontId="7" fillId="0" borderId="5" xfId="0" applyFont="1" applyBorder="1" applyAlignment="1">
      <alignment vertical="center" wrapText="1"/>
    </xf>
    <xf numFmtId="14" fontId="7" fillId="0" borderId="0" xfId="0" applyNumberFormat="1" applyFont="1"/>
    <xf numFmtId="10" fontId="2" fillId="4" borderId="3" xfId="0" applyNumberFormat="1" applyFont="1" applyFill="1" applyBorder="1" applyAlignment="1">
      <alignment horizontal="center" vertical="center" wrapText="1"/>
    </xf>
    <xf numFmtId="0" fontId="5" fillId="0" borderId="0" xfId="0" applyFont="1" applyAlignment="1">
      <alignment horizontal="center" vertical="center"/>
    </xf>
    <xf numFmtId="0" fontId="8" fillId="2" borderId="1" xfId="0" applyFont="1" applyFill="1" applyBorder="1" applyAlignment="1">
      <alignment horizontal="center" vertical="center" wrapText="1"/>
    </xf>
    <xf numFmtId="0" fontId="7" fillId="4" borderId="3" xfId="0" applyFont="1" applyFill="1" applyBorder="1" applyAlignment="1">
      <alignment horizontal="left" vertical="center" wrapText="1"/>
    </xf>
    <xf numFmtId="0" fontId="7" fillId="0" borderId="0" xfId="0" applyFont="1" applyAlignment="1">
      <alignment horizontal="left" vertical="center" wrapText="1"/>
    </xf>
    <xf numFmtId="49" fontId="2" fillId="0" borderId="0" xfId="0" applyNumberFormat="1" applyFont="1" applyAlignment="1">
      <alignment horizontal="center" vertical="center" wrapText="1"/>
    </xf>
    <xf numFmtId="2" fontId="5" fillId="0" borderId="0" xfId="0" applyNumberFormat="1" applyFont="1" applyAlignment="1">
      <alignment horizontal="left" vertical="center" wrapText="1" indent="1"/>
    </xf>
    <xf numFmtId="2" fontId="5" fillId="0" borderId="0" xfId="0" applyNumberFormat="1" applyFont="1" applyAlignment="1">
      <alignment horizontal="left" vertical="center" indent="1"/>
    </xf>
    <xf numFmtId="0" fontId="2" fillId="0" borderId="0" xfId="0" applyFont="1" applyAlignment="1">
      <alignment vertical="center"/>
    </xf>
    <xf numFmtId="1" fontId="5"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0" fontId="5" fillId="0" borderId="0" xfId="0" applyFont="1" applyAlignment="1">
      <alignment horizontal="center" vertical="center" wrapText="1"/>
    </xf>
    <xf numFmtId="2" fontId="5" fillId="0" borderId="0" xfId="0" applyNumberFormat="1" applyFont="1" applyAlignment="1">
      <alignment horizontal="center" vertical="center"/>
    </xf>
    <xf numFmtId="1" fontId="5" fillId="0" borderId="0" xfId="0" applyNumberFormat="1" applyFont="1" applyAlignment="1">
      <alignment horizontal="center" vertical="center"/>
    </xf>
    <xf numFmtId="1" fontId="2" fillId="0" borderId="2" xfId="0" applyNumberFormat="1" applyFont="1" applyBorder="1" applyAlignment="1">
      <alignment horizontal="center" vertical="center" wrapText="1"/>
    </xf>
    <xf numFmtId="10" fontId="7" fillId="0" borderId="0" xfId="0" applyNumberFormat="1" applyFont="1" applyAlignment="1">
      <alignment horizontal="left" vertical="center" wrapText="1"/>
    </xf>
    <xf numFmtId="1" fontId="10" fillId="0" borderId="0" xfId="0" applyNumberFormat="1" applyFont="1" applyAlignment="1">
      <alignment horizontal="center" vertical="center" wrapText="1"/>
    </xf>
    <xf numFmtId="0" fontId="10" fillId="0" borderId="0" xfId="0" applyFont="1" applyAlignment="1">
      <alignment horizontal="center" vertical="center" wrapText="1"/>
    </xf>
    <xf numFmtId="2" fontId="10" fillId="0" borderId="0" xfId="0" applyNumberFormat="1" applyFont="1" applyAlignment="1">
      <alignment horizontal="center" vertical="center" wrapText="1"/>
    </xf>
    <xf numFmtId="1" fontId="9" fillId="0" borderId="0" xfId="0" applyNumberFormat="1" applyFont="1" applyAlignment="1">
      <alignment horizontal="center" vertical="center" wrapText="1"/>
    </xf>
    <xf numFmtId="2" fontId="9" fillId="0" borderId="0" xfId="0" applyNumberFormat="1" applyFont="1" applyAlignment="1">
      <alignment horizontal="center" vertical="center" wrapText="1"/>
    </xf>
    <xf numFmtId="0" fontId="9" fillId="0" borderId="0" xfId="0" applyFont="1" applyAlignment="1">
      <alignment horizontal="center" vertical="center" wrapText="1"/>
    </xf>
    <xf numFmtId="2" fontId="9" fillId="0" borderId="0" xfId="0" applyNumberFormat="1" applyFont="1" applyAlignment="1">
      <alignment horizontal="center" vertical="center"/>
    </xf>
    <xf numFmtId="2" fontId="9" fillId="0" borderId="0" xfId="0" applyNumberFormat="1" applyFont="1" applyAlignment="1">
      <alignment horizontal="left" vertical="center" wrapText="1" indent="1"/>
    </xf>
    <xf numFmtId="0" fontId="3" fillId="0" borderId="0" xfId="0" applyFont="1" applyAlignment="1">
      <alignment horizontal="left" vertical="center"/>
    </xf>
    <xf numFmtId="0" fontId="13"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12" fillId="0" borderId="0" xfId="0" applyFont="1" applyAlignment="1">
      <alignment horizontal="left" vertical="center"/>
    </xf>
    <xf numFmtId="9" fontId="3" fillId="0" borderId="0" xfId="0" applyNumberFormat="1" applyFont="1" applyAlignment="1">
      <alignment horizontal="left" vertical="center" wrapText="1"/>
    </xf>
    <xf numFmtId="1" fontId="3" fillId="0" borderId="0" xfId="0" applyNumberFormat="1" applyFont="1" applyAlignment="1">
      <alignment horizontal="left" vertical="center" wrapText="1"/>
    </xf>
    <xf numFmtId="0" fontId="11" fillId="0" borderId="0" xfId="0" applyFont="1" applyAlignment="1">
      <alignment horizontal="left" vertical="center" wrapText="1"/>
    </xf>
    <xf numFmtId="1" fontId="12" fillId="0" borderId="0" xfId="0" applyNumberFormat="1" applyFont="1" applyAlignment="1">
      <alignment horizontal="left" vertical="center"/>
    </xf>
    <xf numFmtId="0" fontId="0" fillId="4" borderId="3" xfId="0" applyFill="1" applyBorder="1" applyAlignment="1">
      <alignment vertical="center"/>
    </xf>
    <xf numFmtId="0" fontId="0" fillId="0" borderId="0" xfId="0" applyAlignment="1">
      <alignment vertical="center"/>
    </xf>
    <xf numFmtId="1" fontId="0" fillId="4" borderId="3" xfId="0" applyNumberFormat="1" applyFill="1" applyBorder="1" applyAlignment="1">
      <alignment vertical="center"/>
    </xf>
    <xf numFmtId="1" fontId="0" fillId="0" borderId="0" xfId="0" applyNumberFormat="1" applyAlignment="1">
      <alignment vertical="center"/>
    </xf>
    <xf numFmtId="0" fontId="7" fillId="0" borderId="0" xfId="0" applyFont="1" applyAlignment="1">
      <alignment vertical="center"/>
    </xf>
    <xf numFmtId="1" fontId="2" fillId="0" borderId="0" xfId="0" applyNumberFormat="1" applyFont="1" applyAlignment="1">
      <alignment horizontal="center" vertical="center"/>
    </xf>
    <xf numFmtId="0" fontId="2" fillId="0" borderId="2" xfId="0" applyFont="1" applyBorder="1" applyAlignment="1">
      <alignment horizontal="center" vertical="center"/>
    </xf>
    <xf numFmtId="164" fontId="3" fillId="0" borderId="0" xfId="0" applyNumberFormat="1" applyFont="1" applyAlignment="1">
      <alignment horizontal="left" vertical="center" wrapText="1"/>
    </xf>
    <xf numFmtId="2" fontId="9" fillId="0" borderId="3" xfId="0" applyNumberFormat="1" applyFont="1" applyBorder="1" applyAlignment="1">
      <alignment horizontal="center" vertical="center" wrapText="1"/>
    </xf>
    <xf numFmtId="0" fontId="2" fillId="5" borderId="3" xfId="0" applyFont="1" applyFill="1" applyBorder="1" applyAlignment="1">
      <alignment horizontal="center" vertical="center" wrapText="1"/>
    </xf>
    <xf numFmtId="0" fontId="2" fillId="3" borderId="0" xfId="0" applyFont="1" applyFill="1" applyAlignment="1">
      <alignment horizontal="center" vertical="center" wrapText="1"/>
    </xf>
    <xf numFmtId="0" fontId="2" fillId="0" borderId="3" xfId="0" applyFont="1" applyBorder="1" applyAlignment="1">
      <alignment horizontal="left" vertical="center" wrapText="1"/>
    </xf>
    <xf numFmtId="0" fontId="2" fillId="4" borderId="0" xfId="0" applyFont="1" applyFill="1" applyAlignment="1">
      <alignment horizontal="left" vertical="center" wrapText="1"/>
    </xf>
    <xf numFmtId="0" fontId="7" fillId="0" borderId="3" xfId="0" applyFont="1" applyBorder="1" applyAlignment="1">
      <alignment horizontal="left" vertical="center" wrapText="1"/>
    </xf>
    <xf numFmtId="0" fontId="7" fillId="4" borderId="0" xfId="0" applyFont="1" applyFill="1" applyAlignment="1">
      <alignment horizontal="left" vertical="center" wrapText="1"/>
    </xf>
    <xf numFmtId="0" fontId="2" fillId="0" borderId="3" xfId="0" applyFont="1" applyBorder="1" applyAlignment="1">
      <alignment horizontal="right" vertical="center"/>
    </xf>
    <xf numFmtId="0" fontId="2" fillId="4" borderId="0" xfId="0" applyFont="1" applyFill="1" applyAlignment="1">
      <alignment horizontal="right" vertical="center"/>
    </xf>
    <xf numFmtId="9" fontId="2" fillId="0" borderId="3" xfId="0" applyNumberFormat="1" applyFont="1" applyBorder="1" applyAlignment="1">
      <alignment horizontal="center" vertical="center" wrapText="1"/>
    </xf>
    <xf numFmtId="1" fontId="2" fillId="4" borderId="0" xfId="0" applyNumberFormat="1" applyFont="1" applyFill="1" applyAlignment="1">
      <alignment horizontal="center" vertical="center" wrapText="1"/>
    </xf>
    <xf numFmtId="9" fontId="2" fillId="4" borderId="0" xfId="0" applyNumberFormat="1" applyFont="1" applyFill="1" applyAlignment="1">
      <alignment horizontal="center" vertical="center" wrapText="1"/>
    </xf>
    <xf numFmtId="0" fontId="2" fillId="4" borderId="0" xfId="0" applyFont="1" applyFill="1" applyAlignment="1">
      <alignment horizontal="center" vertical="center" wrapText="1"/>
    </xf>
    <xf numFmtId="1" fontId="2" fillId="0" borderId="3" xfId="0" applyNumberFormat="1" applyFont="1" applyBorder="1" applyAlignment="1">
      <alignment horizontal="center" vertical="center" wrapText="1"/>
    </xf>
    <xf numFmtId="9" fontId="2" fillId="0" borderId="4" xfId="0" applyNumberFormat="1" applyFont="1" applyBorder="1" applyAlignment="1">
      <alignment horizontal="center" vertical="center" wrapText="1"/>
    </xf>
    <xf numFmtId="9" fontId="2" fillId="4" borderId="2"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1" fontId="2" fillId="0" borderId="4" xfId="0" applyNumberFormat="1" applyFont="1" applyBorder="1" applyAlignment="1">
      <alignment horizontal="center" vertical="center" wrapText="1"/>
    </xf>
    <xf numFmtId="3" fontId="2" fillId="0" borderId="3" xfId="0" applyNumberFormat="1" applyFont="1" applyBorder="1" applyAlignment="1">
      <alignment horizontal="center" vertical="center" wrapText="1"/>
    </xf>
    <xf numFmtId="164" fontId="2" fillId="0" borderId="3" xfId="0" applyNumberFormat="1" applyFont="1" applyBorder="1" applyAlignment="1">
      <alignment horizontal="center" vertical="center" wrapText="1"/>
    </xf>
    <xf numFmtId="4" fontId="2" fillId="4" borderId="0" xfId="0" applyNumberFormat="1" applyFont="1" applyFill="1" applyAlignment="1">
      <alignment horizontal="center" vertical="center" wrapText="1"/>
    </xf>
    <xf numFmtId="0" fontId="2" fillId="0" borderId="3" xfId="0" applyFont="1" applyBorder="1" applyAlignment="1">
      <alignment horizontal="center" vertical="center" wrapText="1"/>
    </xf>
    <xf numFmtId="3" fontId="2" fillId="4" borderId="0" xfId="0" applyNumberFormat="1" applyFont="1" applyFill="1" applyAlignment="1">
      <alignment horizontal="center" vertical="center" wrapText="1"/>
    </xf>
    <xf numFmtId="10" fontId="2" fillId="0" borderId="3" xfId="0" applyNumberFormat="1" applyFont="1" applyBorder="1" applyAlignment="1">
      <alignment horizontal="center" vertical="center" wrapText="1"/>
    </xf>
    <xf numFmtId="164" fontId="2" fillId="4" borderId="0" xfId="0" applyNumberFormat="1" applyFont="1" applyFill="1" applyAlignment="1">
      <alignment horizontal="center" vertical="center" wrapText="1"/>
    </xf>
    <xf numFmtId="3" fontId="2" fillId="0" borderId="6" xfId="0" applyNumberFormat="1" applyFont="1" applyBorder="1" applyAlignment="1">
      <alignment horizontal="center" vertical="center" wrapText="1"/>
    </xf>
    <xf numFmtId="2" fontId="2" fillId="0" borderId="3" xfId="0" applyNumberFormat="1" applyFont="1" applyBorder="1" applyAlignment="1">
      <alignment horizontal="center" vertical="center" wrapText="1"/>
    </xf>
    <xf numFmtId="49" fontId="2" fillId="4" borderId="0" xfId="0" applyNumberFormat="1" applyFont="1" applyFill="1" applyAlignment="1">
      <alignment horizontal="center" vertical="center" wrapText="1"/>
    </xf>
    <xf numFmtId="10" fontId="2" fillId="4" borderId="0" xfId="0" applyNumberFormat="1" applyFont="1" applyFill="1" applyAlignment="1">
      <alignment horizontal="center" vertical="center" wrapText="1"/>
    </xf>
    <xf numFmtId="166" fontId="2" fillId="4" borderId="0" xfId="0" applyNumberFormat="1" applyFont="1" applyFill="1" applyAlignment="1">
      <alignment horizontal="center" vertical="center" wrapText="1"/>
    </xf>
    <xf numFmtId="166" fontId="2" fillId="0" borderId="3" xfId="0" applyNumberFormat="1" applyFont="1" applyBorder="1" applyAlignment="1">
      <alignment horizontal="center" vertical="center" wrapText="1"/>
    </xf>
    <xf numFmtId="49" fontId="2" fillId="0" borderId="3" xfId="0" applyNumberFormat="1" applyFont="1" applyBorder="1" applyAlignment="1">
      <alignment horizontal="center" vertical="center" wrapText="1"/>
    </xf>
    <xf numFmtId="165" fontId="2" fillId="4" borderId="0" xfId="0" applyNumberFormat="1" applyFont="1" applyFill="1" applyAlignment="1">
      <alignment horizontal="center" vertical="center" wrapText="1"/>
    </xf>
    <xf numFmtId="1" fontId="9" fillId="0" borderId="0" xfId="0" applyNumberFormat="1" applyFont="1" applyFill="1" applyAlignment="1">
      <alignment horizontal="center" vertical="center" wrapText="1"/>
    </xf>
    <xf numFmtId="2" fontId="9" fillId="0" borderId="0" xfId="0" applyNumberFormat="1" applyFont="1" applyFill="1" applyAlignment="1">
      <alignment horizontal="center" vertical="center" wrapText="1"/>
    </xf>
    <xf numFmtId="0" fontId="9" fillId="0" borderId="0" xfId="0" applyNumberFormat="1" applyFont="1" applyFill="1" applyAlignment="1">
      <alignment horizontal="center" vertical="center" wrapText="1"/>
    </xf>
    <xf numFmtId="2" fontId="9" fillId="0" borderId="0" xfId="0" applyNumberFormat="1" applyFont="1" applyFill="1" applyAlignment="1">
      <alignment horizontal="center" vertical="center"/>
    </xf>
    <xf numFmtId="2" fontId="9" fillId="0" borderId="0" xfId="0" applyNumberFormat="1" applyFont="1" applyFill="1" applyAlignment="1">
      <alignment horizontal="left" vertical="center" wrapText="1" indent="1"/>
    </xf>
  </cellXfs>
  <cellStyles count="1">
    <cellStyle name="Обычный" xfId="0" builtinId="0"/>
  </cellStyles>
  <dxfs count="8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val="0"/>
        <i val="0"/>
        <strike val="0"/>
        <condense val="0"/>
        <extend val="0"/>
        <outline val="0"/>
        <shadow val="0"/>
        <u val="none"/>
        <vertAlign val="baseline"/>
        <sz val="14"/>
        <color theme="1"/>
        <name val="Arial"/>
        <family val="2"/>
        <charset val="204"/>
        <scheme val="none"/>
      </font>
      <numFmt numFmtId="2" formatCode="0.00"/>
      <fill>
        <patternFill patternType="none">
          <fgColor indexed="64"/>
          <bgColor auto="1"/>
        </patternFill>
      </fill>
      <alignment horizontal="left" vertical="center" textRotation="0" wrapText="1" indent="1" justifyLastLine="0" shrinkToFit="0" readingOrder="0"/>
    </dxf>
    <dxf>
      <font>
        <b val="0"/>
        <i val="0"/>
        <strike val="0"/>
        <condense val="0"/>
        <extend val="0"/>
        <outline val="0"/>
        <shadow val="0"/>
        <u val="none"/>
        <vertAlign val="baseline"/>
        <sz val="14"/>
        <color theme="1"/>
        <name val="Arial"/>
        <family val="2"/>
        <charset val="204"/>
        <scheme val="none"/>
      </font>
      <numFmt numFmtId="2" formatCode="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Arial"/>
        <family val="2"/>
        <charset val="204"/>
        <scheme val="none"/>
      </font>
      <numFmt numFmtId="2" formatCode="0.0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Arial"/>
        <family val="2"/>
        <charset val="204"/>
        <scheme val="none"/>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Arial"/>
        <family val="2"/>
        <charset val="204"/>
        <scheme val="none"/>
      </font>
      <numFmt numFmtId="2" formatCode="0.0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Arial"/>
        <family val="2"/>
        <charset val="204"/>
        <scheme val="none"/>
      </font>
      <numFmt numFmtId="2" formatCode="0.0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Arial"/>
        <family val="2"/>
        <charset val="204"/>
        <scheme val="none"/>
      </font>
      <numFmt numFmtId="1"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Arial"/>
        <family val="2"/>
        <charset val="204"/>
        <scheme val="none"/>
      </font>
      <numFmt numFmtId="2" formatCode="0.00"/>
      <fill>
        <patternFill patternType="none">
          <fgColor indexed="64"/>
          <bgColor auto="1"/>
        </patternFill>
      </fill>
      <alignment horizontal="left" vertical="center" textRotation="0" wrapText="1" indent="1" justifyLastLine="0" shrinkToFit="0" readingOrder="0"/>
    </dxf>
    <dxf>
      <font>
        <b/>
        <i val="0"/>
        <strike val="0"/>
        <condense val="0"/>
        <extend val="0"/>
        <outline val="0"/>
        <shadow val="0"/>
        <u val="none"/>
        <vertAlign val="baseline"/>
        <sz val="14"/>
        <color theme="1"/>
        <name val="Arial"/>
        <family val="2"/>
        <charset val="204"/>
        <scheme val="none"/>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282828"/>
      <color rgb="FFFCD700"/>
      <color rgb="FFFEE9C0"/>
      <color rgb="FF643A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104775</xdr:rowOff>
    </xdr:from>
    <xdr:to>
      <xdr:col>13</xdr:col>
      <xdr:colOff>485775</xdr:colOff>
      <xdr:row>25</xdr:row>
      <xdr:rowOff>38100</xdr:rowOff>
    </xdr:to>
    <xdr:pic>
      <xdr:nvPicPr>
        <xdr:cNvPr id="2" name="Picture 1">
          <a:extLst>
            <a:ext uri="{FF2B5EF4-FFF2-40B4-BE49-F238E27FC236}">
              <a16:creationId xmlns:a16="http://schemas.microsoft.com/office/drawing/2014/main" id="{06159A9C-59A1-4CA4-9918-5ABD5971084F}"/>
            </a:ext>
          </a:extLst>
        </xdr:cNvPr>
        <xdr:cNvPicPr>
          <a:picLocks noChangeAspect="1"/>
        </xdr:cNvPicPr>
      </xdr:nvPicPr>
      <xdr:blipFill>
        <a:blip xmlns:r="http://schemas.openxmlformats.org/officeDocument/2006/relationships" r:embed="rId1"/>
        <a:stretch>
          <a:fillRect/>
        </a:stretch>
      </xdr:blipFill>
      <xdr:spPr>
        <a:xfrm>
          <a:off x="133350" y="104775"/>
          <a:ext cx="8277225" cy="42195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435301-D1C8-40E3-A02E-C8D4D1FB0223}" name="Таблица1" displayName="Таблица1" ref="A1:G440" totalsRowShown="0" headerRowDxfId="31" dataDxfId="30">
  <autoFilter ref="A1:G440" xr:uid="{EB435301-D1C8-40E3-A02E-C8D4D1FB0223}"/>
  <sortState ref="A2:G350">
    <sortCondition ref="D1:D350"/>
  </sortState>
  <tableColumns count="7">
    <tableColumn id="1" xr3:uid="{54D58529-3260-449F-A30E-58B4C529E492}" name="Номер п/п" dataDxfId="29">
      <calculatedColumnFormula>ROW(Таблица1[[#This Row],[Номер п/п]])-1</calculatedColumnFormula>
    </tableColumn>
    <tableColumn id="2" xr3:uid="{C29DB5A5-DE5C-421E-8E48-C1ACA5B795A4}" name="ID KPI" dataDxfId="28"/>
    <tableColumn id="3" xr3:uid="{BAAD931E-010F-414F-8532-1E20A5E3CC3F}" name="Бренд" dataDxfId="27"/>
    <tableColumn id="4" xr3:uid="{75C801A7-0367-4C63-8DFF-9D3D167B265D}" name="Неделя" dataDxfId="26"/>
    <tableColumn id="5" xr3:uid="{084618A0-909C-4572-8147-AF2D56406E6F}" name="Значение KPI" dataDxfId="25">
      <calculatedColumnFormula>IFERROR(VLOOKUP(Таблица1[[#This Row],[ID KPI]],'KPI для заполнения'!A:BL,Таблица1[[#This Row],[Неделя]]+10,0),"Нет")</calculatedColumnFormula>
    </tableColumn>
    <tableColumn id="6" xr3:uid="{84349C67-AC95-4244-A3DA-273935FCA755}" name="Категория" dataDxfId="24"/>
    <tableColumn id="9" xr3:uid="{C61D252A-0F1E-4397-8596-9B1F7ACC8E94}" name="Краткое описание причины" dataDxfId="2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18" Type="http://schemas.openxmlformats.org/officeDocument/2006/relationships/hyperlink" Target="about:blank" TargetMode="External"/><Relationship Id="rId26" Type="http://schemas.openxmlformats.org/officeDocument/2006/relationships/hyperlink" Target="about:blank" TargetMode="External"/><Relationship Id="rId3" Type="http://schemas.openxmlformats.org/officeDocument/2006/relationships/hyperlink" Target="about:blank" TargetMode="External"/><Relationship Id="rId21"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5"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20" Type="http://schemas.openxmlformats.org/officeDocument/2006/relationships/hyperlink" Target="about:blank" TargetMode="External"/><Relationship Id="rId29" Type="http://schemas.openxmlformats.org/officeDocument/2006/relationships/printerSettings" Target="../printerSettings/printerSettings3.bin"/><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24" Type="http://schemas.openxmlformats.org/officeDocument/2006/relationships/hyperlink" Target="about:blank" TargetMode="External"/><Relationship Id="rId5" Type="http://schemas.openxmlformats.org/officeDocument/2006/relationships/hyperlink" Target="about:blank" TargetMode="External"/><Relationship Id="rId15" Type="http://schemas.openxmlformats.org/officeDocument/2006/relationships/hyperlink" Target="about:blank" TargetMode="External"/><Relationship Id="rId23" Type="http://schemas.openxmlformats.org/officeDocument/2006/relationships/hyperlink" Target="about:blank" TargetMode="External"/><Relationship Id="rId28" Type="http://schemas.openxmlformats.org/officeDocument/2006/relationships/hyperlink" Target="about:blank" TargetMode="External"/><Relationship Id="rId10" Type="http://schemas.openxmlformats.org/officeDocument/2006/relationships/hyperlink" Target="about:blank" TargetMode="External"/><Relationship Id="rId19"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 Id="rId22" Type="http://schemas.openxmlformats.org/officeDocument/2006/relationships/hyperlink" Target="about:blank" TargetMode="External"/><Relationship Id="rId27" Type="http://schemas.openxmlformats.org/officeDocument/2006/relationships/hyperlink" Target="about:bla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2CFEF-D75F-462F-8D42-83B1B0352520}">
  <sheetPr filterMode="1">
    <tabColor rgb="FFFFC000"/>
    <outlinePr summaryBelow="0" summaryRight="0"/>
  </sheetPr>
  <dimension ref="A1:BL207"/>
  <sheetViews>
    <sheetView tabSelected="1" topLeftCell="A172" zoomScale="55" zoomScaleNormal="55" workbookViewId="0" xr3:uid="{2F9C85E1-289C-5551-BAFF-84EBD2BE2D8D}">
      <selection activeCell="BA198" sqref="BA198"/>
    </sheetView>
  </sheetViews>
  <sheetFormatPr defaultColWidth="9.140625" defaultRowHeight="27.95" customHeight="1"/>
  <cols>
    <col min="1" max="1" width="11.140625" style="73" customWidth="1"/>
    <col min="2" max="2" width="44.28515625" style="47" customWidth="1"/>
    <col min="3" max="3" width="26.42578125" style="47" hidden="1" customWidth="1"/>
    <col min="4" max="4" width="19.42578125" style="47" customWidth="1"/>
    <col min="5" max="5" width="22.7109375" style="76" customWidth="1"/>
    <col min="6" max="6" width="29.140625" style="76" customWidth="1"/>
    <col min="7" max="7" width="20.5703125" style="47" bestFit="1" customWidth="1"/>
    <col min="8" max="8" width="11" style="47" customWidth="1"/>
    <col min="9" max="9" width="15.7109375" style="31" customWidth="1"/>
    <col min="10" max="10" width="11" style="78" customWidth="1"/>
    <col min="11" max="33" width="11" style="31" hidden="1" customWidth="1"/>
    <col min="34" max="51" width="12.42578125" style="31" hidden="1" customWidth="1"/>
    <col min="52" max="63" width="12.42578125" style="31" customWidth="1"/>
    <col min="64" max="16384" width="9.140625" style="73"/>
  </cols>
  <sheetData>
    <row r="1" spans="1:63" s="4" customFormat="1" ht="27.95" customHeight="1">
      <c r="A1" s="1" t="s">
        <v>0</v>
      </c>
      <c r="B1" s="1" t="s">
        <v>1</v>
      </c>
      <c r="C1" s="1" t="s">
        <v>2</v>
      </c>
      <c r="D1" s="1" t="s">
        <v>3</v>
      </c>
      <c r="E1" s="41" t="s">
        <v>4</v>
      </c>
      <c r="F1" s="1" t="s">
        <v>5</v>
      </c>
      <c r="G1" s="2" t="s">
        <v>6</v>
      </c>
      <c r="H1" s="2" t="s">
        <v>7</v>
      </c>
      <c r="I1" s="1" t="s">
        <v>8</v>
      </c>
      <c r="J1" s="3" t="s">
        <v>9</v>
      </c>
      <c r="K1" s="1">
        <v>1</v>
      </c>
      <c r="L1" s="1">
        <v>2</v>
      </c>
      <c r="M1" s="1">
        <v>3</v>
      </c>
      <c r="N1" s="1">
        <v>4</v>
      </c>
      <c r="O1" s="1">
        <v>5</v>
      </c>
      <c r="P1" s="1">
        <v>6</v>
      </c>
      <c r="Q1" s="1">
        <v>7</v>
      </c>
      <c r="R1" s="1">
        <v>8</v>
      </c>
      <c r="S1" s="1">
        <v>9</v>
      </c>
      <c r="T1" s="1">
        <v>10</v>
      </c>
      <c r="U1" s="1">
        <v>11</v>
      </c>
      <c r="V1" s="1">
        <v>12</v>
      </c>
      <c r="W1" s="1">
        <v>13</v>
      </c>
      <c r="X1" s="1">
        <v>14</v>
      </c>
      <c r="Y1" s="1">
        <v>15</v>
      </c>
      <c r="Z1" s="1">
        <v>16</v>
      </c>
      <c r="AA1" s="1">
        <v>17</v>
      </c>
      <c r="AB1" s="1">
        <v>18</v>
      </c>
      <c r="AC1" s="1">
        <v>19</v>
      </c>
      <c r="AD1" s="1">
        <v>20</v>
      </c>
      <c r="AE1" s="1">
        <v>21</v>
      </c>
      <c r="AF1" s="1">
        <v>22</v>
      </c>
      <c r="AG1" s="1">
        <v>23</v>
      </c>
      <c r="AH1" s="1">
        <v>24</v>
      </c>
      <c r="AI1" s="1">
        <v>25</v>
      </c>
      <c r="AJ1" s="1">
        <v>26</v>
      </c>
      <c r="AK1" s="1">
        <v>27</v>
      </c>
      <c r="AL1" s="1">
        <v>28</v>
      </c>
      <c r="AM1" s="1">
        <v>29</v>
      </c>
      <c r="AN1" s="1">
        <v>30</v>
      </c>
      <c r="AO1" s="1">
        <v>31</v>
      </c>
      <c r="AP1" s="1">
        <v>32</v>
      </c>
      <c r="AQ1" s="1">
        <v>33</v>
      </c>
      <c r="AR1" s="1">
        <v>34</v>
      </c>
      <c r="AS1" s="1">
        <v>35</v>
      </c>
      <c r="AT1" s="1">
        <v>36</v>
      </c>
      <c r="AU1" s="1">
        <v>37</v>
      </c>
      <c r="AV1" s="1">
        <v>38</v>
      </c>
      <c r="AW1" s="1">
        <v>39</v>
      </c>
      <c r="AX1" s="1">
        <v>40</v>
      </c>
      <c r="AY1" s="1">
        <v>41</v>
      </c>
      <c r="AZ1" s="1">
        <v>42</v>
      </c>
      <c r="BA1" s="1">
        <v>43</v>
      </c>
      <c r="BB1" s="1">
        <v>44</v>
      </c>
      <c r="BC1" s="1">
        <v>45</v>
      </c>
      <c r="BD1" s="1">
        <v>46</v>
      </c>
      <c r="BE1" s="1">
        <v>47</v>
      </c>
      <c r="BF1" s="1">
        <v>48</v>
      </c>
      <c r="BG1" s="1">
        <v>49</v>
      </c>
      <c r="BH1" s="1">
        <v>50</v>
      </c>
      <c r="BI1" s="1">
        <v>51</v>
      </c>
      <c r="BJ1" s="1">
        <v>52</v>
      </c>
      <c r="BK1" s="1">
        <v>53</v>
      </c>
    </row>
    <row r="2" spans="1:63" s="72" customFormat="1" ht="30.75" customHeight="1">
      <c r="A2" s="5" t="s">
        <v>10</v>
      </c>
      <c r="B2" s="6" t="s">
        <v>11</v>
      </c>
      <c r="C2" s="6" t="s">
        <v>12</v>
      </c>
      <c r="D2" s="6" t="s">
        <v>13</v>
      </c>
      <c r="E2" s="42" t="s">
        <v>14</v>
      </c>
      <c r="F2" s="42" t="s">
        <v>15</v>
      </c>
      <c r="G2" s="8" t="str">
        <f>VLOOKUP(A2,'KPI Описание'!A:K,11,0)</f>
        <v>Оператор</v>
      </c>
      <c r="H2" s="8" t="s">
        <v>16</v>
      </c>
      <c r="I2" s="9">
        <f>VLOOKUP(A2,'KPI Описание'!A:P,16,0)</f>
        <v>0.98</v>
      </c>
      <c r="J2" s="10" t="str">
        <f>IFERROR(VLOOKUP(A2,'KPI Описание'!A:Q,17,0),0)</f>
        <v>higher</v>
      </c>
      <c r="K2" s="9">
        <f>6/6*100%</f>
        <v>1</v>
      </c>
      <c r="L2" s="9">
        <f>31/35*100%</f>
        <v>0.88571428571428568</v>
      </c>
      <c r="M2" s="9">
        <f>47/54</f>
        <v>0.87037037037037035</v>
      </c>
      <c r="N2" s="9">
        <f>38/39</f>
        <v>0.97435897435897434</v>
      </c>
      <c r="O2" s="9">
        <f>52/53</f>
        <v>0.98113207547169812</v>
      </c>
      <c r="P2" s="9">
        <f>67/67</f>
        <v>1</v>
      </c>
      <c r="Q2" s="9">
        <f>50/54</f>
        <v>0.92592592592592593</v>
      </c>
      <c r="R2" s="9">
        <f>29/33</f>
        <v>0.87878787878787878</v>
      </c>
      <c r="S2" s="9">
        <f>45/47</f>
        <v>0.95744680851063835</v>
      </c>
      <c r="T2" s="9">
        <f>65/66</f>
        <v>0.98484848484848486</v>
      </c>
      <c r="U2" s="9">
        <f>58/60</f>
        <v>0.96666666666666667</v>
      </c>
      <c r="V2" s="9">
        <f>45/47</f>
        <v>0.95744680851063835</v>
      </c>
      <c r="W2" s="9">
        <f>53/53</f>
        <v>1</v>
      </c>
      <c r="X2" s="9">
        <f>54/55</f>
        <v>0.98181818181818181</v>
      </c>
      <c r="Y2" s="9">
        <f>47/49</f>
        <v>0.95918367346938771</v>
      </c>
      <c r="Z2" s="9">
        <f>37/38</f>
        <v>0.97368421052631582</v>
      </c>
      <c r="AA2" s="9">
        <f>46/47</f>
        <v>0.97872340425531912</v>
      </c>
      <c r="AB2" s="9">
        <f>34/35</f>
        <v>0.97142857142857142</v>
      </c>
      <c r="AC2" s="9">
        <f>40/43</f>
        <v>0.93023255813953487</v>
      </c>
      <c r="AD2" s="9">
        <f>40/40</f>
        <v>1</v>
      </c>
      <c r="AE2" s="9">
        <f>36/38</f>
        <v>0.94736842105263153</v>
      </c>
      <c r="AF2" s="9">
        <f>35/35</f>
        <v>1</v>
      </c>
      <c r="AG2" s="9">
        <f>34/34</f>
        <v>1</v>
      </c>
      <c r="AH2" s="39">
        <v>0.97619047599999997</v>
      </c>
      <c r="AI2" s="9">
        <f>44/45</f>
        <v>0.97777777777777775</v>
      </c>
      <c r="AJ2" s="9">
        <v>1</v>
      </c>
      <c r="AK2" s="9">
        <v>1</v>
      </c>
      <c r="AL2" s="9">
        <v>1</v>
      </c>
      <c r="AM2" s="9">
        <f>52/52</f>
        <v>1</v>
      </c>
      <c r="AN2" s="9">
        <f>52/52</f>
        <v>1</v>
      </c>
      <c r="AO2" s="9">
        <f>45/45</f>
        <v>1</v>
      </c>
      <c r="AP2" s="9">
        <v>1</v>
      </c>
      <c r="AQ2" s="9">
        <v>1</v>
      </c>
      <c r="AR2" s="9">
        <v>0.97</v>
      </c>
      <c r="AS2" s="9">
        <v>0.96491228100000004</v>
      </c>
      <c r="AT2" s="9">
        <v>1</v>
      </c>
      <c r="AU2" s="9">
        <v>1</v>
      </c>
      <c r="AV2" s="9">
        <v>1</v>
      </c>
      <c r="AW2" s="9">
        <v>1</v>
      </c>
      <c r="AX2" s="9">
        <v>1</v>
      </c>
      <c r="AY2" s="9">
        <v>0.98305084700000001</v>
      </c>
      <c r="AZ2" s="9">
        <v>1</v>
      </c>
      <c r="BA2" s="9">
        <v>1</v>
      </c>
      <c r="BB2" s="9" t="s">
        <v>17</v>
      </c>
      <c r="BC2" s="9" t="s">
        <v>17</v>
      </c>
      <c r="BD2" s="9" t="s">
        <v>17</v>
      </c>
      <c r="BE2" s="9" t="s">
        <v>17</v>
      </c>
      <c r="BF2" s="9" t="s">
        <v>17</v>
      </c>
      <c r="BG2" s="9" t="s">
        <v>17</v>
      </c>
      <c r="BH2" s="9" t="s">
        <v>17</v>
      </c>
      <c r="BI2" s="9" t="s">
        <v>17</v>
      </c>
      <c r="BJ2" s="9" t="s">
        <v>17</v>
      </c>
      <c r="BK2" s="9" t="s">
        <v>17</v>
      </c>
    </row>
    <row r="3" spans="1:63" s="72" customFormat="1" ht="27.95" customHeight="1">
      <c r="A3" s="5" t="s">
        <v>18</v>
      </c>
      <c r="B3" s="6" t="s">
        <v>11</v>
      </c>
      <c r="C3" s="6" t="s">
        <v>12</v>
      </c>
      <c r="D3" s="6" t="s">
        <v>19</v>
      </c>
      <c r="E3" s="42" t="s">
        <v>14</v>
      </c>
      <c r="F3" s="42" t="s">
        <v>20</v>
      </c>
      <c r="G3" s="8" t="str">
        <f>VLOOKUP(A3,'KPI Описание'!A:K,11,0)</f>
        <v>Оператор</v>
      </c>
      <c r="H3" s="8" t="s">
        <v>16</v>
      </c>
      <c r="I3" s="9">
        <f>VLOOKUP(A3,'KPI Описание'!A:P,16,0)</f>
        <v>0.98</v>
      </c>
      <c r="J3" s="10" t="str">
        <f>IFERROR(VLOOKUP(A3,'KPI Описание'!A:Q,17,0),0)</f>
        <v>higher</v>
      </c>
      <c r="K3" s="9">
        <f>1/1*100%</f>
        <v>1</v>
      </c>
      <c r="L3" s="9">
        <f>22/23*100%</f>
        <v>0.95652173913043481</v>
      </c>
      <c r="M3" s="9">
        <f>29/32*100%</f>
        <v>0.90625</v>
      </c>
      <c r="N3" s="9">
        <f>35/37*100%</f>
        <v>0.94594594594594594</v>
      </c>
      <c r="O3" s="9">
        <f>39/41*100%</f>
        <v>0.95121951219512191</v>
      </c>
      <c r="P3" s="9">
        <f>30/31*100%</f>
        <v>0.967741935483871</v>
      </c>
      <c r="Q3" s="9">
        <f>31/32*100%</f>
        <v>0.96875</v>
      </c>
      <c r="R3" s="9">
        <f>28/30*100%</f>
        <v>0.93333333333333335</v>
      </c>
      <c r="S3" s="9">
        <f>29/33</f>
        <v>0.87878787878787878</v>
      </c>
      <c r="T3" s="9">
        <f>9/9</f>
        <v>1</v>
      </c>
      <c r="U3" s="9">
        <f>32/35</f>
        <v>0.91428571428571426</v>
      </c>
      <c r="V3" s="9">
        <f>33/34</f>
        <v>0.97058823529411764</v>
      </c>
      <c r="W3" s="9">
        <f>43/43</f>
        <v>1</v>
      </c>
      <c r="X3" s="9">
        <f>41/42</f>
        <v>0.97619047619047616</v>
      </c>
      <c r="Y3" s="9">
        <f>42/43</f>
        <v>0.97674418604651159</v>
      </c>
      <c r="Z3" s="9">
        <f>44/44</f>
        <v>1</v>
      </c>
      <c r="AA3" s="9">
        <f>38/38</f>
        <v>1</v>
      </c>
      <c r="AB3" s="9">
        <f>9/10</f>
        <v>0.9</v>
      </c>
      <c r="AC3" s="9">
        <f>22/23</f>
        <v>0.95652173913043481</v>
      </c>
      <c r="AD3" s="9">
        <f>36/37</f>
        <v>0.97297297297297303</v>
      </c>
      <c r="AE3" s="9">
        <f>29/31</f>
        <v>0.93548387096774188</v>
      </c>
      <c r="AF3" s="9">
        <f>29/31</f>
        <v>0.93548387096774188</v>
      </c>
      <c r="AG3" s="9">
        <f>33/33</f>
        <v>1</v>
      </c>
      <c r="AH3" s="9">
        <v>1</v>
      </c>
      <c r="AI3" s="9">
        <f>27/28</f>
        <v>0.9642857142857143</v>
      </c>
      <c r="AJ3" s="9">
        <v>0.94736842099999996</v>
      </c>
      <c r="AK3" s="9">
        <v>1</v>
      </c>
      <c r="AL3" s="9">
        <v>1</v>
      </c>
      <c r="AM3" s="9">
        <f>25/25</f>
        <v>1</v>
      </c>
      <c r="AN3" s="9">
        <f>25/25</f>
        <v>1</v>
      </c>
      <c r="AO3" s="9">
        <f>50/51</f>
        <v>0.98039215686274506</v>
      </c>
      <c r="AP3" s="9">
        <v>1</v>
      </c>
      <c r="AQ3" s="9">
        <v>0.98</v>
      </c>
      <c r="AR3" s="9">
        <v>0.97</v>
      </c>
      <c r="AS3" s="9">
        <v>1</v>
      </c>
      <c r="AT3" s="9">
        <v>1</v>
      </c>
      <c r="AU3" s="9">
        <v>1</v>
      </c>
      <c r="AV3" s="9">
        <v>0.96666666700000003</v>
      </c>
      <c r="AW3" s="9">
        <v>1</v>
      </c>
      <c r="AX3" s="9">
        <v>1</v>
      </c>
      <c r="AY3" s="9">
        <v>0.97959183699999997</v>
      </c>
      <c r="AZ3" s="9">
        <v>1</v>
      </c>
      <c r="BA3" s="9">
        <v>1</v>
      </c>
      <c r="BB3" s="9" t="s">
        <v>17</v>
      </c>
      <c r="BC3" s="9" t="s">
        <v>17</v>
      </c>
      <c r="BD3" s="9" t="s">
        <v>17</v>
      </c>
      <c r="BE3" s="9" t="s">
        <v>17</v>
      </c>
      <c r="BF3" s="9" t="s">
        <v>17</v>
      </c>
      <c r="BG3" s="9" t="s">
        <v>17</v>
      </c>
      <c r="BH3" s="9" t="s">
        <v>17</v>
      </c>
      <c r="BI3" s="9" t="s">
        <v>17</v>
      </c>
      <c r="BJ3" s="9" t="s">
        <v>17</v>
      </c>
      <c r="BK3" s="9" t="s">
        <v>17</v>
      </c>
    </row>
    <row r="4" spans="1:63" s="72" customFormat="1" ht="27.95" customHeight="1">
      <c r="A4" s="5" t="s">
        <v>21</v>
      </c>
      <c r="B4" s="6" t="s">
        <v>22</v>
      </c>
      <c r="C4" s="6" t="s">
        <v>12</v>
      </c>
      <c r="D4" s="6" t="s">
        <v>13</v>
      </c>
      <c r="E4" s="42" t="s">
        <v>14</v>
      </c>
      <c r="F4" s="42" t="s">
        <v>23</v>
      </c>
      <c r="G4" s="8" t="str">
        <f>VLOOKUP(A4,'KPI Описание'!A:K,11,0)</f>
        <v>Оператор</v>
      </c>
      <c r="H4" s="8" t="s">
        <v>16</v>
      </c>
      <c r="I4" s="9">
        <f>VLOOKUP(A4,'KPI Описание'!A:P,16,0)</f>
        <v>0.98</v>
      </c>
      <c r="J4" s="10" t="str">
        <f>IFERROR(VLOOKUP(A4,'KPI Описание'!A:Q,17,0),0)</f>
        <v>higher</v>
      </c>
      <c r="K4" s="7" t="s">
        <v>17</v>
      </c>
      <c r="L4" s="9">
        <f>4/4</f>
        <v>1</v>
      </c>
      <c r="M4" s="9">
        <f>5/6</f>
        <v>0.83333333333333337</v>
      </c>
      <c r="N4" s="9">
        <f>31/32</f>
        <v>0.96875</v>
      </c>
      <c r="O4" s="9">
        <f>75/79</f>
        <v>0.94936708860759489</v>
      </c>
      <c r="P4" s="9">
        <f>49/51</f>
        <v>0.96078431372549022</v>
      </c>
      <c r="Q4" s="9">
        <f>55/58</f>
        <v>0.94827586206896552</v>
      </c>
      <c r="R4" s="9">
        <f>55/57</f>
        <v>0.96491228070175439</v>
      </c>
      <c r="S4" s="9">
        <f>55/57</f>
        <v>0.96491228070175439</v>
      </c>
      <c r="T4" s="9">
        <f>56/60</f>
        <v>0.93333333333333335</v>
      </c>
      <c r="U4" s="9">
        <f>60/63</f>
        <v>0.95238095238095233</v>
      </c>
      <c r="V4" s="9">
        <f>58/61</f>
        <v>0.95081967213114749</v>
      </c>
      <c r="W4" s="9">
        <f>71/72</f>
        <v>0.98611111111111116</v>
      </c>
      <c r="X4" s="9">
        <f>60/61</f>
        <v>0.98360655737704916</v>
      </c>
      <c r="Y4" s="9">
        <f>52/53</f>
        <v>0.98113207547169812</v>
      </c>
      <c r="Z4" s="9">
        <f>54/54</f>
        <v>1</v>
      </c>
      <c r="AA4" s="9">
        <f>51/53</f>
        <v>0.96226415094339623</v>
      </c>
      <c r="AB4" s="9">
        <f>41/44</f>
        <v>0.93181818181818177</v>
      </c>
      <c r="AC4" s="9">
        <f>54/56</f>
        <v>0.9642857142857143</v>
      </c>
      <c r="AD4" s="9">
        <f>35/36</f>
        <v>0.97222222222222221</v>
      </c>
      <c r="AE4" s="9">
        <v>0.94444444400000005</v>
      </c>
      <c r="AF4" s="9">
        <v>0.87719298199999995</v>
      </c>
      <c r="AG4" s="9">
        <v>0.91304347799999996</v>
      </c>
      <c r="AH4" s="9">
        <v>0.946428571</v>
      </c>
      <c r="AI4" s="9">
        <v>0.91071428600000004</v>
      </c>
      <c r="AJ4" s="9">
        <v>0.87931034500000005</v>
      </c>
      <c r="AK4" s="9">
        <v>0.85714285700000004</v>
      </c>
      <c r="AL4" s="9">
        <v>0.95238095199999995</v>
      </c>
      <c r="AM4" s="9">
        <v>1</v>
      </c>
      <c r="AN4" s="9">
        <v>0.93939393900000001</v>
      </c>
      <c r="AO4" s="9">
        <v>0.86792452799999997</v>
      </c>
      <c r="AP4" s="9">
        <v>0.92307692299999999</v>
      </c>
      <c r="AQ4" s="9">
        <v>0.953125</v>
      </c>
      <c r="AR4" s="9">
        <v>0.89855072499999999</v>
      </c>
      <c r="AS4" s="9">
        <v>0.96153846200000004</v>
      </c>
      <c r="AT4" s="9">
        <v>0.85714285700000004</v>
      </c>
      <c r="AU4" s="9">
        <v>0.91</v>
      </c>
      <c r="AV4" s="9">
        <v>0.94285714300000001</v>
      </c>
      <c r="AW4" s="9">
        <v>0.98</v>
      </c>
      <c r="AX4" s="9">
        <v>0.95161290300000001</v>
      </c>
      <c r="AY4" s="9">
        <v>0.93506493499999999</v>
      </c>
      <c r="AZ4" s="9">
        <v>0.96825396799999996</v>
      </c>
      <c r="BA4" s="9">
        <v>0.98</v>
      </c>
      <c r="BB4" s="9" t="s">
        <v>17</v>
      </c>
      <c r="BC4" s="9" t="s">
        <v>17</v>
      </c>
      <c r="BD4" s="9" t="s">
        <v>17</v>
      </c>
      <c r="BE4" s="9" t="s">
        <v>17</v>
      </c>
      <c r="BF4" s="9" t="s">
        <v>17</v>
      </c>
      <c r="BG4" s="9" t="s">
        <v>17</v>
      </c>
      <c r="BH4" s="9" t="s">
        <v>17</v>
      </c>
      <c r="BI4" s="9" t="s">
        <v>17</v>
      </c>
      <c r="BJ4" s="9" t="s">
        <v>17</v>
      </c>
      <c r="BK4" s="9" t="s">
        <v>17</v>
      </c>
    </row>
    <row r="5" spans="1:63" s="72" customFormat="1" ht="27.95" customHeight="1">
      <c r="A5" s="5" t="s">
        <v>24</v>
      </c>
      <c r="B5" s="6" t="s">
        <v>25</v>
      </c>
      <c r="C5" s="6" t="s">
        <v>26</v>
      </c>
      <c r="D5" s="6" t="s">
        <v>13</v>
      </c>
      <c r="E5" s="42" t="s">
        <v>27</v>
      </c>
      <c r="F5" s="42" t="s">
        <v>28</v>
      </c>
      <c r="G5" s="8" t="str">
        <f>VLOOKUP(A5,'KPI Описание'!A:K,11,0)</f>
        <v>Оператор</v>
      </c>
      <c r="H5" s="8" t="s">
        <v>16</v>
      </c>
      <c r="I5" s="11">
        <f>VLOOKUP(A5,'KPI Описание'!A:P,16,0)</f>
        <v>5000</v>
      </c>
      <c r="J5" s="10" t="str">
        <f>IFERROR(VLOOKUP(A5,'KPI Описание'!A:Q,17,0),0)</f>
        <v>lower</v>
      </c>
      <c r="K5" s="12">
        <f>SUM(K6:K10)</f>
        <v>53254</v>
      </c>
      <c r="L5" s="12">
        <f>SUM(L6:L10)</f>
        <v>53365</v>
      </c>
      <c r="M5" s="12">
        <f>SUM(M6:M10)</f>
        <v>11596</v>
      </c>
      <c r="N5" s="12">
        <f>SUM(N6:N10)</f>
        <v>4497</v>
      </c>
      <c r="O5" s="12">
        <f>SUM(O6:O10)</f>
        <v>4979</v>
      </c>
      <c r="P5" s="12">
        <f>SUM(P6:P10)</f>
        <v>5376</v>
      </c>
      <c r="Q5" s="12">
        <f>SUM(Q6:Q10)</f>
        <v>7319</v>
      </c>
      <c r="R5" s="12">
        <f>SUM(R6:R10)</f>
        <v>8162</v>
      </c>
      <c r="S5" s="12">
        <f>SUM(S6:S10)</f>
        <v>12841</v>
      </c>
      <c r="T5" s="12">
        <f>SUM(T6:T10)</f>
        <v>25238</v>
      </c>
      <c r="U5" s="12">
        <f>SUM(U6:U10)</f>
        <v>41771</v>
      </c>
      <c r="V5" s="12">
        <f>SUM(V6:V10)</f>
        <v>31597</v>
      </c>
      <c r="W5" s="7">
        <f>SUM(W6:W10)</f>
        <v>44080</v>
      </c>
      <c r="X5" s="7">
        <f>SUM(X6:X10)</f>
        <v>71285</v>
      </c>
      <c r="Y5" s="11">
        <v>99706</v>
      </c>
      <c r="Z5" s="11">
        <v>109101</v>
      </c>
      <c r="AA5" s="11">
        <v>135443</v>
      </c>
      <c r="AB5" s="7">
        <v>75866</v>
      </c>
      <c r="AC5" s="35" t="s">
        <v>29</v>
      </c>
      <c r="AD5" s="35" t="s">
        <v>30</v>
      </c>
      <c r="AE5" s="35" t="s">
        <v>31</v>
      </c>
      <c r="AF5" s="11">
        <v>86900</v>
      </c>
      <c r="AG5" s="9" t="s">
        <v>32</v>
      </c>
      <c r="AH5" s="11">
        <v>17926</v>
      </c>
      <c r="AI5" s="11">
        <v>9226</v>
      </c>
      <c r="AJ5" s="11">
        <v>38265</v>
      </c>
      <c r="AK5" s="11">
        <v>23063</v>
      </c>
      <c r="AL5" s="11">
        <f>AL6+AL7+AL8+AL9+AL10</f>
        <v>17563</v>
      </c>
      <c r="AM5" s="11">
        <f>AM6+AM7+AM8+AM9+AM10</f>
        <v>23131</v>
      </c>
      <c r="AN5" s="11">
        <v>18521</v>
      </c>
      <c r="AO5" s="11">
        <v>19800</v>
      </c>
      <c r="AP5" s="11">
        <v>18740</v>
      </c>
      <c r="AQ5" s="35">
        <v>21186</v>
      </c>
      <c r="AR5" s="11">
        <v>28688</v>
      </c>
      <c r="AS5" s="35">
        <v>51574</v>
      </c>
      <c r="AT5" s="11">
        <v>41075</v>
      </c>
      <c r="AU5" s="11">
        <v>53910</v>
      </c>
      <c r="AV5" s="11">
        <v>44689</v>
      </c>
      <c r="AW5" s="11">
        <v>44582</v>
      </c>
      <c r="AX5" s="11">
        <v>50836</v>
      </c>
      <c r="AY5" s="35">
        <v>51843</v>
      </c>
      <c r="AZ5" s="11">
        <v>54214</v>
      </c>
      <c r="BA5" s="11">
        <v>10344</v>
      </c>
      <c r="BB5" s="9" t="s">
        <v>17</v>
      </c>
      <c r="BC5" s="9" t="s">
        <v>17</v>
      </c>
      <c r="BD5" s="9" t="s">
        <v>17</v>
      </c>
      <c r="BE5" s="9" t="s">
        <v>17</v>
      </c>
      <c r="BF5" s="9" t="s">
        <v>17</v>
      </c>
      <c r="BG5" s="9" t="s">
        <v>17</v>
      </c>
      <c r="BH5" s="9" t="s">
        <v>17</v>
      </c>
      <c r="BI5" s="9" t="s">
        <v>17</v>
      </c>
      <c r="BJ5" s="9" t="s">
        <v>17</v>
      </c>
      <c r="BK5" s="9" t="s">
        <v>17</v>
      </c>
    </row>
    <row r="6" spans="1:63" s="72" customFormat="1" ht="27.95" customHeight="1">
      <c r="A6" s="81" t="s">
        <v>24</v>
      </c>
      <c r="B6" s="83" t="s">
        <v>25</v>
      </c>
      <c r="C6" s="83" t="s">
        <v>26</v>
      </c>
      <c r="D6" s="83"/>
      <c r="E6" s="85"/>
      <c r="F6" s="85"/>
      <c r="G6" s="87" t="str">
        <f>VLOOKUP(A6,'KPI Описание'!A:K,11,0)</f>
        <v>Оператор</v>
      </c>
      <c r="H6" s="87" t="s">
        <v>33</v>
      </c>
      <c r="I6" s="89"/>
      <c r="J6" s="94"/>
      <c r="K6" s="98">
        <v>42370</v>
      </c>
      <c r="L6" s="98">
        <v>42588</v>
      </c>
      <c r="M6" s="98">
        <v>950</v>
      </c>
      <c r="N6" s="98">
        <v>866</v>
      </c>
      <c r="O6" s="98">
        <v>1383</v>
      </c>
      <c r="P6" s="98">
        <v>1439</v>
      </c>
      <c r="Q6" s="98">
        <v>905</v>
      </c>
      <c r="R6" s="98">
        <v>714</v>
      </c>
      <c r="S6" s="98">
        <v>710</v>
      </c>
      <c r="T6" s="98">
        <v>5261</v>
      </c>
      <c r="U6" s="93">
        <v>7500</v>
      </c>
      <c r="V6" s="93">
        <v>6354</v>
      </c>
      <c r="W6" s="93">
        <v>5903</v>
      </c>
      <c r="X6" s="93">
        <v>9942</v>
      </c>
      <c r="Y6" s="93"/>
      <c r="Z6" s="89" t="s">
        <v>17</v>
      </c>
      <c r="AA6" s="89" t="s">
        <v>17</v>
      </c>
      <c r="AB6" s="89" t="s">
        <v>17</v>
      </c>
      <c r="AC6" s="89" t="s">
        <v>17</v>
      </c>
      <c r="AD6" s="89" t="s">
        <v>17</v>
      </c>
      <c r="AE6" s="89" t="s">
        <v>17</v>
      </c>
      <c r="AF6" s="93">
        <v>538</v>
      </c>
      <c r="AG6" s="89" t="s">
        <v>34</v>
      </c>
      <c r="AH6" s="93">
        <v>521</v>
      </c>
      <c r="AI6" s="93">
        <v>5448</v>
      </c>
      <c r="AJ6" s="93">
        <v>18440</v>
      </c>
      <c r="AK6" s="93">
        <v>4155</v>
      </c>
      <c r="AL6" s="93">
        <v>6824</v>
      </c>
      <c r="AM6" s="93">
        <v>9547</v>
      </c>
      <c r="AN6" s="93">
        <v>3882</v>
      </c>
      <c r="AO6" s="93">
        <v>4524</v>
      </c>
      <c r="AP6" s="93">
        <v>4938</v>
      </c>
      <c r="AQ6" s="111">
        <v>4803</v>
      </c>
      <c r="AR6" s="93" t="s">
        <v>35</v>
      </c>
      <c r="AS6" s="111">
        <v>3223</v>
      </c>
      <c r="AT6" s="93">
        <v>739</v>
      </c>
      <c r="AU6" s="93">
        <v>14529</v>
      </c>
      <c r="AV6" s="93">
        <v>3113</v>
      </c>
      <c r="AW6" s="93">
        <v>1140</v>
      </c>
      <c r="AX6" s="93">
        <v>3954</v>
      </c>
      <c r="AY6" s="111">
        <v>849</v>
      </c>
      <c r="AZ6" s="93">
        <v>873</v>
      </c>
      <c r="BA6" s="93">
        <v>842</v>
      </c>
      <c r="BB6" s="89" t="s">
        <v>17</v>
      </c>
      <c r="BC6" s="89" t="s">
        <v>17</v>
      </c>
      <c r="BD6" s="89" t="s">
        <v>17</v>
      </c>
      <c r="BE6" s="89" t="s">
        <v>17</v>
      </c>
      <c r="BF6" s="89" t="s">
        <v>17</v>
      </c>
      <c r="BG6" s="89" t="s">
        <v>17</v>
      </c>
      <c r="BH6" s="89" t="s">
        <v>17</v>
      </c>
      <c r="BI6" s="89" t="s">
        <v>17</v>
      </c>
      <c r="BJ6" s="89" t="s">
        <v>17</v>
      </c>
      <c r="BK6" s="89" t="s">
        <v>17</v>
      </c>
    </row>
    <row r="7" spans="1:63" ht="27.95" customHeight="1">
      <c r="A7" s="14" t="s">
        <v>24</v>
      </c>
      <c r="B7" s="15" t="s">
        <v>25</v>
      </c>
      <c r="C7" s="15" t="s">
        <v>26</v>
      </c>
      <c r="D7" s="15"/>
      <c r="E7" s="43"/>
      <c r="F7" s="43"/>
      <c r="G7" s="17" t="str">
        <f>VLOOKUP(A7,'KPI Описание'!A:K,11,0)</f>
        <v>Оператор</v>
      </c>
      <c r="H7" s="17" t="s">
        <v>36</v>
      </c>
      <c r="I7" s="18"/>
      <c r="J7" s="19"/>
      <c r="K7" s="20">
        <v>103</v>
      </c>
      <c r="L7" s="20">
        <v>103</v>
      </c>
      <c r="M7" s="20">
        <v>101</v>
      </c>
      <c r="N7" s="20">
        <v>100</v>
      </c>
      <c r="O7" s="20">
        <v>118</v>
      </c>
      <c r="P7" s="20">
        <v>49</v>
      </c>
      <c r="Q7" s="20">
        <v>58</v>
      </c>
      <c r="R7" s="20">
        <v>92</v>
      </c>
      <c r="S7" s="20">
        <v>146</v>
      </c>
      <c r="T7" s="20">
        <v>364</v>
      </c>
      <c r="U7" s="26">
        <v>412</v>
      </c>
      <c r="V7" s="26">
        <v>392</v>
      </c>
      <c r="W7" s="26">
        <v>392</v>
      </c>
      <c r="X7" s="26">
        <v>392</v>
      </c>
      <c r="Y7" s="26"/>
      <c r="Z7" s="18" t="s">
        <v>17</v>
      </c>
      <c r="AA7" s="18" t="s">
        <v>17</v>
      </c>
      <c r="AB7" s="18" t="s">
        <v>17</v>
      </c>
      <c r="AC7" s="18" t="s">
        <v>17</v>
      </c>
      <c r="AD7" s="18" t="s">
        <v>17</v>
      </c>
      <c r="AE7" s="18" t="s">
        <v>17</v>
      </c>
      <c r="AF7" s="26">
        <v>79</v>
      </c>
      <c r="AG7" s="26">
        <v>77</v>
      </c>
      <c r="AH7" s="26">
        <v>39</v>
      </c>
      <c r="AI7" s="26">
        <v>110</v>
      </c>
      <c r="AJ7" s="26">
        <v>39</v>
      </c>
      <c r="AK7" s="26">
        <v>39</v>
      </c>
      <c r="AL7" s="26">
        <v>42</v>
      </c>
      <c r="AM7" s="26">
        <v>42</v>
      </c>
      <c r="AN7" s="26">
        <v>42</v>
      </c>
      <c r="AO7" s="26">
        <v>43</v>
      </c>
      <c r="AP7" s="26">
        <v>23</v>
      </c>
      <c r="AQ7" s="44">
        <v>23</v>
      </c>
      <c r="AR7" s="26">
        <v>23</v>
      </c>
      <c r="AS7" s="44">
        <v>37</v>
      </c>
      <c r="AT7" s="26">
        <v>57</v>
      </c>
      <c r="AU7" s="26">
        <v>57</v>
      </c>
      <c r="AV7" s="26">
        <v>188</v>
      </c>
      <c r="AW7" s="26">
        <v>418</v>
      </c>
      <c r="AX7" s="26">
        <v>686</v>
      </c>
      <c r="AY7" s="44">
        <v>690</v>
      </c>
      <c r="AZ7" s="26">
        <v>702</v>
      </c>
      <c r="BA7" s="26">
        <v>23</v>
      </c>
      <c r="BB7" s="18" t="s">
        <v>17</v>
      </c>
      <c r="BC7" s="18" t="s">
        <v>17</v>
      </c>
      <c r="BD7" s="18" t="s">
        <v>17</v>
      </c>
      <c r="BE7" s="18" t="s">
        <v>17</v>
      </c>
      <c r="BF7" s="18" t="s">
        <v>17</v>
      </c>
      <c r="BG7" s="18" t="s">
        <v>17</v>
      </c>
      <c r="BH7" s="18" t="s">
        <v>17</v>
      </c>
      <c r="BI7" s="18" t="s">
        <v>17</v>
      </c>
      <c r="BJ7" s="18" t="s">
        <v>17</v>
      </c>
      <c r="BK7" s="18" t="s">
        <v>17</v>
      </c>
    </row>
    <row r="8" spans="1:63" ht="27.95" customHeight="1">
      <c r="A8" s="14" t="s">
        <v>24</v>
      </c>
      <c r="B8" s="15" t="s">
        <v>25</v>
      </c>
      <c r="C8" s="15" t="s">
        <v>26</v>
      </c>
      <c r="D8" s="15"/>
      <c r="E8" s="43"/>
      <c r="F8" s="43"/>
      <c r="G8" s="17" t="str">
        <f>VLOOKUP(A8,'KPI Описание'!A:K,11,0)</f>
        <v>Оператор</v>
      </c>
      <c r="H8" s="17" t="s">
        <v>37</v>
      </c>
      <c r="I8" s="18"/>
      <c r="J8" s="19"/>
      <c r="K8" s="20">
        <v>407</v>
      </c>
      <c r="L8" s="20">
        <v>385</v>
      </c>
      <c r="M8" s="20">
        <v>227</v>
      </c>
      <c r="N8" s="20">
        <v>259</v>
      </c>
      <c r="O8" s="20">
        <v>232</v>
      </c>
      <c r="P8" s="20">
        <v>332</v>
      </c>
      <c r="Q8" s="20">
        <v>301</v>
      </c>
      <c r="R8" s="20">
        <v>1992</v>
      </c>
      <c r="S8" s="20">
        <v>7576</v>
      </c>
      <c r="T8" s="20">
        <v>983</v>
      </c>
      <c r="U8" s="26">
        <v>7323</v>
      </c>
      <c r="V8" s="26">
        <v>4597</v>
      </c>
      <c r="W8" s="26">
        <v>5072</v>
      </c>
      <c r="X8" s="26">
        <v>5294</v>
      </c>
      <c r="Y8" s="26"/>
      <c r="Z8" s="18" t="s">
        <v>17</v>
      </c>
      <c r="AA8" s="18" t="s">
        <v>17</v>
      </c>
      <c r="AB8" s="18" t="s">
        <v>17</v>
      </c>
      <c r="AC8" s="18" t="s">
        <v>17</v>
      </c>
      <c r="AD8" s="18" t="s">
        <v>17</v>
      </c>
      <c r="AE8" s="18" t="s">
        <v>17</v>
      </c>
      <c r="AF8" s="26" t="s">
        <v>38</v>
      </c>
      <c r="AG8" s="18" t="s">
        <v>39</v>
      </c>
      <c r="AH8" s="26">
        <v>1213</v>
      </c>
      <c r="AI8" s="26">
        <v>1366</v>
      </c>
      <c r="AJ8" s="26">
        <v>1475</v>
      </c>
      <c r="AK8" s="26">
        <v>419</v>
      </c>
      <c r="AL8" s="26">
        <v>149</v>
      </c>
      <c r="AM8" s="26">
        <v>149</v>
      </c>
      <c r="AN8" s="26">
        <v>255</v>
      </c>
      <c r="AO8" s="26">
        <v>255</v>
      </c>
      <c r="AP8" s="26">
        <v>1266</v>
      </c>
      <c r="AQ8" s="44">
        <v>2104</v>
      </c>
      <c r="AR8" s="26">
        <v>2104</v>
      </c>
      <c r="AS8" s="44">
        <v>2104</v>
      </c>
      <c r="AT8" s="26">
        <v>168</v>
      </c>
      <c r="AU8" s="26">
        <v>168</v>
      </c>
      <c r="AV8" s="26">
        <v>168</v>
      </c>
      <c r="AW8" s="26">
        <v>1520</v>
      </c>
      <c r="AX8" s="26">
        <v>4125</v>
      </c>
      <c r="AY8" s="44">
        <v>7132</v>
      </c>
      <c r="AZ8" s="26">
        <v>7985</v>
      </c>
      <c r="BA8" s="26">
        <v>1528</v>
      </c>
      <c r="BB8" s="18" t="s">
        <v>17</v>
      </c>
      <c r="BC8" s="18" t="s">
        <v>17</v>
      </c>
      <c r="BD8" s="18" t="s">
        <v>17</v>
      </c>
      <c r="BE8" s="18" t="s">
        <v>17</v>
      </c>
      <c r="BF8" s="18" t="s">
        <v>17</v>
      </c>
      <c r="BG8" s="18" t="s">
        <v>17</v>
      </c>
      <c r="BH8" s="18" t="s">
        <v>17</v>
      </c>
      <c r="BI8" s="18" t="s">
        <v>17</v>
      </c>
      <c r="BJ8" s="18" t="s">
        <v>17</v>
      </c>
      <c r="BK8" s="18" t="s">
        <v>17</v>
      </c>
    </row>
    <row r="9" spans="1:63" ht="27.95" customHeight="1">
      <c r="A9" s="14" t="s">
        <v>24</v>
      </c>
      <c r="B9" s="15" t="s">
        <v>25</v>
      </c>
      <c r="C9" s="15" t="s">
        <v>26</v>
      </c>
      <c r="D9" s="15"/>
      <c r="E9" s="43"/>
      <c r="F9" s="43"/>
      <c r="G9" s="17" t="str">
        <f>VLOOKUP(A9,'KPI Описание'!A:K,11,0)</f>
        <v>Оператор</v>
      </c>
      <c r="H9" s="17" t="s">
        <v>40</v>
      </c>
      <c r="I9" s="18"/>
      <c r="J9" s="19"/>
      <c r="K9" s="20">
        <v>9357</v>
      </c>
      <c r="L9" s="20">
        <v>9306</v>
      </c>
      <c r="M9" s="20">
        <v>8900</v>
      </c>
      <c r="N9" s="20">
        <v>2026</v>
      </c>
      <c r="O9" s="20">
        <v>2223</v>
      </c>
      <c r="P9" s="20">
        <v>2680</v>
      </c>
      <c r="Q9" s="20">
        <v>4915</v>
      </c>
      <c r="R9" s="20">
        <v>4446</v>
      </c>
      <c r="S9" s="20">
        <v>2253</v>
      </c>
      <c r="T9" s="20">
        <v>2474</v>
      </c>
      <c r="U9" s="26">
        <v>6316</v>
      </c>
      <c r="V9" s="26">
        <v>3261</v>
      </c>
      <c r="W9" s="26">
        <v>2932</v>
      </c>
      <c r="X9" s="26">
        <v>3386</v>
      </c>
      <c r="Y9" s="26"/>
      <c r="Z9" s="18" t="s">
        <v>17</v>
      </c>
      <c r="AA9" s="18" t="s">
        <v>17</v>
      </c>
      <c r="AB9" s="18" t="s">
        <v>17</v>
      </c>
      <c r="AC9" s="18" t="s">
        <v>17</v>
      </c>
      <c r="AD9" s="18" t="s">
        <v>17</v>
      </c>
      <c r="AE9" s="18" t="s">
        <v>17</v>
      </c>
      <c r="AF9" s="26" t="s">
        <v>41</v>
      </c>
      <c r="AG9" s="18" t="s">
        <v>42</v>
      </c>
      <c r="AH9" s="26">
        <v>2274</v>
      </c>
      <c r="AI9" s="26">
        <v>2401</v>
      </c>
      <c r="AJ9" s="26">
        <v>3002</v>
      </c>
      <c r="AK9" s="26">
        <v>3234</v>
      </c>
      <c r="AL9" s="26">
        <v>3280</v>
      </c>
      <c r="AM9" s="26">
        <v>3573</v>
      </c>
      <c r="AN9" s="26">
        <v>4204</v>
      </c>
      <c r="AO9" s="26">
        <v>4745</v>
      </c>
      <c r="AP9" s="26">
        <v>6903</v>
      </c>
      <c r="AQ9" s="44">
        <v>5514</v>
      </c>
      <c r="AR9" s="26">
        <v>5695</v>
      </c>
      <c r="AS9" s="44">
        <v>6374</v>
      </c>
      <c r="AT9" s="26">
        <v>1182</v>
      </c>
      <c r="AU9" s="26">
        <v>1605</v>
      </c>
      <c r="AV9" s="26">
        <v>1998</v>
      </c>
      <c r="AW9" s="26">
        <v>2099</v>
      </c>
      <c r="AX9" s="26">
        <v>2652</v>
      </c>
      <c r="AY9" s="44">
        <v>3051</v>
      </c>
      <c r="AZ9" s="26">
        <v>3280</v>
      </c>
      <c r="BA9" s="26">
        <v>1353</v>
      </c>
      <c r="BB9" s="18" t="s">
        <v>17</v>
      </c>
      <c r="BC9" s="18" t="s">
        <v>17</v>
      </c>
      <c r="BD9" s="18" t="s">
        <v>17</v>
      </c>
      <c r="BE9" s="18" t="s">
        <v>17</v>
      </c>
      <c r="BF9" s="18" t="s">
        <v>17</v>
      </c>
      <c r="BG9" s="18" t="s">
        <v>17</v>
      </c>
      <c r="BH9" s="18" t="s">
        <v>17</v>
      </c>
      <c r="BI9" s="18" t="s">
        <v>17</v>
      </c>
      <c r="BJ9" s="18" t="s">
        <v>17</v>
      </c>
      <c r="BK9" s="18" t="s">
        <v>17</v>
      </c>
    </row>
    <row r="10" spans="1:63" ht="27.95" customHeight="1">
      <c r="A10" s="14" t="s">
        <v>24</v>
      </c>
      <c r="B10" s="15" t="s">
        <v>25</v>
      </c>
      <c r="C10" s="15" t="s">
        <v>26</v>
      </c>
      <c r="D10" s="15"/>
      <c r="E10" s="43"/>
      <c r="F10" s="43"/>
      <c r="G10" s="17" t="str">
        <f>VLOOKUP(A10,'KPI Описание'!A:K,11,0)</f>
        <v>Оператор</v>
      </c>
      <c r="H10" s="17" t="s">
        <v>43</v>
      </c>
      <c r="I10" s="18"/>
      <c r="J10" s="19"/>
      <c r="K10" s="20">
        <v>1017</v>
      </c>
      <c r="L10" s="20">
        <v>983</v>
      </c>
      <c r="M10" s="20">
        <v>1418</v>
      </c>
      <c r="N10" s="20">
        <v>1246</v>
      </c>
      <c r="O10" s="20">
        <v>1023</v>
      </c>
      <c r="P10" s="20">
        <v>876</v>
      </c>
      <c r="Q10" s="20">
        <v>1140</v>
      </c>
      <c r="R10" s="20">
        <v>918</v>
      </c>
      <c r="S10" s="20">
        <v>2156</v>
      </c>
      <c r="T10" s="20">
        <v>16156</v>
      </c>
      <c r="U10" s="26">
        <v>20220</v>
      </c>
      <c r="V10" s="26">
        <v>16993</v>
      </c>
      <c r="W10" s="26">
        <v>29781</v>
      </c>
      <c r="X10" s="26">
        <v>52271</v>
      </c>
      <c r="Y10" s="26"/>
      <c r="Z10" s="18" t="s">
        <v>17</v>
      </c>
      <c r="AA10" s="18" t="s">
        <v>17</v>
      </c>
      <c r="AB10" s="18" t="s">
        <v>17</v>
      </c>
      <c r="AC10" s="18" t="s">
        <v>17</v>
      </c>
      <c r="AD10" s="18" t="s">
        <v>17</v>
      </c>
      <c r="AE10" s="18" t="s">
        <v>17</v>
      </c>
      <c r="AF10" s="26" t="s">
        <v>44</v>
      </c>
      <c r="AG10" s="18" t="s">
        <v>45</v>
      </c>
      <c r="AH10" s="26">
        <v>13613</v>
      </c>
      <c r="AI10" s="26">
        <v>19571</v>
      </c>
      <c r="AJ10" s="26">
        <v>14211</v>
      </c>
      <c r="AK10" s="26">
        <v>14167</v>
      </c>
      <c r="AL10" s="26">
        <v>7268</v>
      </c>
      <c r="AM10" s="26">
        <v>9820</v>
      </c>
      <c r="AN10" s="26">
        <v>9881</v>
      </c>
      <c r="AO10" s="26">
        <v>9976</v>
      </c>
      <c r="AP10" s="26">
        <v>5366</v>
      </c>
      <c r="AQ10" s="44">
        <v>8498</v>
      </c>
      <c r="AR10" s="26">
        <v>16715</v>
      </c>
      <c r="AS10" s="44">
        <v>39554</v>
      </c>
      <c r="AT10" s="26">
        <v>38718</v>
      </c>
      <c r="AU10" s="26">
        <v>37340</v>
      </c>
      <c r="AV10" s="26">
        <v>39011</v>
      </c>
      <c r="AW10" s="26">
        <v>39011</v>
      </c>
      <c r="AX10" s="26">
        <v>39011</v>
      </c>
      <c r="AY10" s="44">
        <v>39713</v>
      </c>
      <c r="AZ10" s="26">
        <v>40966</v>
      </c>
      <c r="BA10" s="26">
        <v>6406</v>
      </c>
      <c r="BB10" s="18" t="s">
        <v>17</v>
      </c>
      <c r="BC10" s="18" t="s">
        <v>17</v>
      </c>
      <c r="BD10" s="18" t="s">
        <v>17</v>
      </c>
      <c r="BE10" s="18" t="s">
        <v>17</v>
      </c>
      <c r="BF10" s="18" t="s">
        <v>17</v>
      </c>
      <c r="BG10" s="18" t="s">
        <v>17</v>
      </c>
      <c r="BH10" s="18" t="s">
        <v>17</v>
      </c>
      <c r="BI10" s="18" t="s">
        <v>17</v>
      </c>
      <c r="BJ10" s="18" t="s">
        <v>17</v>
      </c>
      <c r="BK10" s="18" t="s">
        <v>17</v>
      </c>
    </row>
    <row r="11" spans="1:63" ht="27.95" customHeight="1">
      <c r="A11" s="82" t="s">
        <v>46</v>
      </c>
      <c r="B11" s="84" t="s">
        <v>47</v>
      </c>
      <c r="C11" s="84" t="s">
        <v>26</v>
      </c>
      <c r="D11" s="84" t="s">
        <v>13</v>
      </c>
      <c r="E11" s="86" t="s">
        <v>48</v>
      </c>
      <c r="F11" s="86" t="s">
        <v>49</v>
      </c>
      <c r="G11" s="88" t="str">
        <f>VLOOKUP(A11,'KPI Описание'!A:K,11,0)</f>
        <v>Оператор</v>
      </c>
      <c r="H11" s="88" t="s">
        <v>16</v>
      </c>
      <c r="I11" s="90">
        <f>VLOOKUP(A11,'KPI Описание'!A:P,16,0)</f>
        <v>5000</v>
      </c>
      <c r="J11" s="95" t="str">
        <f>IFERROR(VLOOKUP(A11,'KPI Описание'!A:Q,17,0),0)</f>
        <v>higher</v>
      </c>
      <c r="K11" s="102">
        <f>SUM(K12:K16)</f>
        <v>25429</v>
      </c>
      <c r="L11" s="102">
        <f>SUM(L12:L16)</f>
        <v>8583</v>
      </c>
      <c r="M11" s="102">
        <f>SUM(M12:M16)</f>
        <v>47</v>
      </c>
      <c r="N11" s="102">
        <f>SUM(N12:N16)</f>
        <v>50</v>
      </c>
      <c r="O11" s="102">
        <f>SUM(O12:O16)</f>
        <v>9678</v>
      </c>
      <c r="P11" s="102">
        <f>SUM(P12:P16)</f>
        <v>355</v>
      </c>
      <c r="Q11" s="102">
        <f>SUM(Q12:Q16)</f>
        <v>8661</v>
      </c>
      <c r="R11" s="102">
        <f>SUM(R12:R16)</f>
        <v>11638</v>
      </c>
      <c r="S11" s="102">
        <f>SUM(S12:S16)</f>
        <v>6140</v>
      </c>
      <c r="T11" s="102">
        <f>SUM(T12:T16)</f>
        <v>11446</v>
      </c>
      <c r="U11" s="102">
        <f>SUM(U12:U16)</f>
        <v>5904</v>
      </c>
      <c r="V11" s="102">
        <f>SUM(V12:V16)</f>
        <v>19882</v>
      </c>
      <c r="W11" s="102">
        <f>SUM(W12:W16)</f>
        <v>10452</v>
      </c>
      <c r="X11" s="102">
        <f>SUM(X12:X16)</f>
        <v>12609</v>
      </c>
      <c r="Y11" s="102">
        <f>SUM(Y12:Y16)</f>
        <v>27647</v>
      </c>
      <c r="Z11" s="102">
        <f>SUM(Z12:Z16)</f>
        <v>23156</v>
      </c>
      <c r="AA11" s="102">
        <f>SUM(AA12:AA16)</f>
        <v>24509</v>
      </c>
      <c r="AB11" s="102">
        <f>SUM(AB12:AB16)</f>
        <v>24729</v>
      </c>
      <c r="AC11" s="102">
        <f>SUM(AC12:AC16)</f>
        <v>25414</v>
      </c>
      <c r="AD11" s="102">
        <f>SUM(AD12:AD16)</f>
        <v>17970</v>
      </c>
      <c r="AE11" s="92">
        <v>23</v>
      </c>
      <c r="AF11" s="92">
        <v>82</v>
      </c>
      <c r="AG11" s="92">
        <v>0</v>
      </c>
      <c r="AH11" s="92">
        <v>0</v>
      </c>
      <c r="AI11" s="92">
        <v>795</v>
      </c>
      <c r="AJ11" s="92">
        <v>1072</v>
      </c>
      <c r="AK11" s="92">
        <v>1598</v>
      </c>
      <c r="AL11" s="92">
        <v>3491</v>
      </c>
      <c r="AM11" s="92">
        <v>578</v>
      </c>
      <c r="AN11" s="92">
        <v>1930</v>
      </c>
      <c r="AO11" s="92">
        <v>6698</v>
      </c>
      <c r="AP11" s="92">
        <v>196</v>
      </c>
      <c r="AQ11" s="92">
        <v>220</v>
      </c>
      <c r="AR11" s="90">
        <v>5941</v>
      </c>
      <c r="AS11" s="92">
        <v>1994</v>
      </c>
      <c r="AT11" s="92">
        <v>9986</v>
      </c>
      <c r="AU11" s="92">
        <v>21350</v>
      </c>
      <c r="AV11" s="26">
        <v>1344</v>
      </c>
      <c r="AW11" s="26">
        <v>7927</v>
      </c>
      <c r="AX11" s="90">
        <v>6396</v>
      </c>
      <c r="AY11" s="107" t="s">
        <v>50</v>
      </c>
      <c r="AZ11" s="90">
        <v>4756</v>
      </c>
      <c r="BA11" s="92">
        <v>3974</v>
      </c>
      <c r="BB11" s="92" t="s">
        <v>17</v>
      </c>
      <c r="BC11" s="92" t="s">
        <v>17</v>
      </c>
      <c r="BD11" s="92" t="s">
        <v>17</v>
      </c>
      <c r="BE11" s="92" t="s">
        <v>17</v>
      </c>
      <c r="BF11" s="92" t="s">
        <v>17</v>
      </c>
      <c r="BG11" s="92" t="s">
        <v>17</v>
      </c>
      <c r="BH11" s="92" t="s">
        <v>17</v>
      </c>
      <c r="BI11" s="92" t="s">
        <v>17</v>
      </c>
      <c r="BJ11" s="92" t="s">
        <v>17</v>
      </c>
      <c r="BK11" s="92" t="s">
        <v>17</v>
      </c>
    </row>
    <row r="12" spans="1:63" s="72" customFormat="1" ht="27.95" customHeight="1">
      <c r="A12" s="81" t="s">
        <v>46</v>
      </c>
      <c r="B12" s="83" t="s">
        <v>47</v>
      </c>
      <c r="C12" s="83" t="s">
        <v>26</v>
      </c>
      <c r="D12" s="83"/>
      <c r="E12" s="85"/>
      <c r="F12" s="85"/>
      <c r="G12" s="87" t="str">
        <f>VLOOKUP(A12,'KPI Описание'!A:K,11,0)</f>
        <v>Оператор</v>
      </c>
      <c r="H12" s="87" t="s">
        <v>33</v>
      </c>
      <c r="I12" s="89"/>
      <c r="J12" s="94"/>
      <c r="K12" s="98">
        <v>2887</v>
      </c>
      <c r="L12" s="98">
        <v>5864</v>
      </c>
      <c r="M12" s="98" t="s">
        <v>17</v>
      </c>
      <c r="N12" s="98" t="s">
        <v>17</v>
      </c>
      <c r="O12" s="98">
        <v>3159</v>
      </c>
      <c r="P12" s="98"/>
      <c r="Q12" s="98">
        <v>26</v>
      </c>
      <c r="R12" s="98">
        <v>5023</v>
      </c>
      <c r="S12" s="98">
        <v>130</v>
      </c>
      <c r="T12" s="98">
        <v>1086</v>
      </c>
      <c r="U12" s="98">
        <v>0</v>
      </c>
      <c r="V12" s="98">
        <v>297</v>
      </c>
      <c r="W12" s="98">
        <v>59</v>
      </c>
      <c r="X12" s="98">
        <v>7665</v>
      </c>
      <c r="Y12" s="98">
        <v>198</v>
      </c>
      <c r="Z12" s="98">
        <v>65</v>
      </c>
      <c r="AA12" s="98">
        <v>591</v>
      </c>
      <c r="AB12" s="98" t="s">
        <v>17</v>
      </c>
      <c r="AC12" s="98" t="s">
        <v>17</v>
      </c>
      <c r="AD12" s="98">
        <v>134</v>
      </c>
      <c r="AE12" s="98" t="s">
        <v>17</v>
      </c>
      <c r="AF12" s="98" t="s">
        <v>17</v>
      </c>
      <c r="AG12" s="98" t="s">
        <v>17</v>
      </c>
      <c r="AH12" s="98" t="s">
        <v>17</v>
      </c>
      <c r="AI12" s="98">
        <v>0</v>
      </c>
      <c r="AJ12" s="98" t="s">
        <v>17</v>
      </c>
      <c r="AK12" s="98">
        <v>258</v>
      </c>
      <c r="AL12" s="98">
        <v>3</v>
      </c>
      <c r="AM12" s="98">
        <v>578</v>
      </c>
      <c r="AN12" s="98">
        <v>54</v>
      </c>
      <c r="AO12" s="89" t="s">
        <v>17</v>
      </c>
      <c r="AP12" s="89" t="s">
        <v>17</v>
      </c>
      <c r="AQ12" s="89" t="s">
        <v>17</v>
      </c>
      <c r="AR12" s="93">
        <v>2382</v>
      </c>
      <c r="AS12" s="93">
        <v>14</v>
      </c>
      <c r="AT12" s="93">
        <v>18</v>
      </c>
      <c r="AU12" s="93">
        <v>149</v>
      </c>
      <c r="AV12" s="93" t="s">
        <v>17</v>
      </c>
      <c r="AW12" s="93">
        <v>480</v>
      </c>
      <c r="AX12" s="93">
        <v>1689</v>
      </c>
      <c r="AY12" s="111" t="s">
        <v>51</v>
      </c>
      <c r="AZ12" s="93">
        <v>2</v>
      </c>
      <c r="BA12" s="93"/>
      <c r="BB12" s="89" t="s">
        <v>17</v>
      </c>
      <c r="BC12" s="89" t="s">
        <v>17</v>
      </c>
      <c r="BD12" s="89" t="s">
        <v>17</v>
      </c>
      <c r="BE12" s="89" t="s">
        <v>17</v>
      </c>
      <c r="BF12" s="89" t="s">
        <v>17</v>
      </c>
      <c r="BG12" s="89" t="s">
        <v>17</v>
      </c>
      <c r="BH12" s="89" t="s">
        <v>17</v>
      </c>
      <c r="BI12" s="89" t="s">
        <v>17</v>
      </c>
      <c r="BJ12" s="89" t="s">
        <v>17</v>
      </c>
      <c r="BK12" s="89" t="s">
        <v>17</v>
      </c>
    </row>
    <row r="13" spans="1:63" ht="27.95" customHeight="1">
      <c r="A13" s="14" t="s">
        <v>46</v>
      </c>
      <c r="B13" s="15" t="s">
        <v>47</v>
      </c>
      <c r="C13" s="15" t="s">
        <v>26</v>
      </c>
      <c r="D13" s="15"/>
      <c r="E13" s="43"/>
      <c r="F13" s="43"/>
      <c r="G13" s="17" t="str">
        <f>VLOOKUP(A13,'KPI Описание'!A:K,11,0)</f>
        <v>Оператор</v>
      </c>
      <c r="H13" s="17" t="s">
        <v>36</v>
      </c>
      <c r="I13" s="18"/>
      <c r="J13" s="19"/>
      <c r="K13" s="20" t="s">
        <v>17</v>
      </c>
      <c r="L13" s="20" t="s">
        <v>17</v>
      </c>
      <c r="M13" s="20" t="s">
        <v>17</v>
      </c>
      <c r="N13" s="20" t="s">
        <v>17</v>
      </c>
      <c r="O13" s="20" t="s">
        <v>17</v>
      </c>
      <c r="P13" s="20">
        <v>167</v>
      </c>
      <c r="Q13" s="20" t="s">
        <v>17</v>
      </c>
      <c r="R13" s="20">
        <v>7</v>
      </c>
      <c r="S13" s="20" t="s">
        <v>17</v>
      </c>
      <c r="T13" s="20">
        <v>6</v>
      </c>
      <c r="U13" s="20">
        <v>152</v>
      </c>
      <c r="V13" s="20" t="s">
        <v>17</v>
      </c>
      <c r="W13" s="20" t="s">
        <v>17</v>
      </c>
      <c r="X13" s="20">
        <v>333</v>
      </c>
      <c r="Y13" s="20">
        <v>5</v>
      </c>
      <c r="Z13" s="20"/>
      <c r="AA13" s="20" t="s">
        <v>17</v>
      </c>
      <c r="AB13" s="20" t="s">
        <v>17</v>
      </c>
      <c r="AC13" s="20" t="s">
        <v>17</v>
      </c>
      <c r="AD13" s="20" t="s">
        <v>17</v>
      </c>
      <c r="AE13" s="20" t="s">
        <v>17</v>
      </c>
      <c r="AF13" s="20" t="s">
        <v>17</v>
      </c>
      <c r="AG13" s="20" t="s">
        <v>17</v>
      </c>
      <c r="AH13" s="20" t="s">
        <v>17</v>
      </c>
      <c r="AI13" s="20" t="s">
        <v>17</v>
      </c>
      <c r="AJ13" s="20" t="s">
        <v>17</v>
      </c>
      <c r="AK13" s="20">
        <v>1072</v>
      </c>
      <c r="AL13" s="20" t="s">
        <v>17</v>
      </c>
      <c r="AM13" s="20" t="s">
        <v>17</v>
      </c>
      <c r="AN13" s="20" t="s">
        <v>17</v>
      </c>
      <c r="AO13" s="20">
        <v>19</v>
      </c>
      <c r="AP13" s="18" t="s">
        <v>17</v>
      </c>
      <c r="AQ13" s="44">
        <v>220</v>
      </c>
      <c r="AR13" s="26">
        <v>190</v>
      </c>
      <c r="AS13" s="26">
        <v>68</v>
      </c>
      <c r="AT13" s="26">
        <v>18</v>
      </c>
      <c r="AU13" s="26">
        <v>165</v>
      </c>
      <c r="AV13" s="26" t="s">
        <v>17</v>
      </c>
      <c r="AW13" s="26">
        <v>0</v>
      </c>
      <c r="AX13" s="26">
        <v>171</v>
      </c>
      <c r="AY13" s="44" t="s">
        <v>52</v>
      </c>
      <c r="AZ13" s="26">
        <v>6</v>
      </c>
      <c r="BA13" s="26">
        <v>101</v>
      </c>
      <c r="BB13" s="18" t="s">
        <v>17</v>
      </c>
      <c r="BC13" s="18" t="s">
        <v>17</v>
      </c>
      <c r="BD13" s="18" t="s">
        <v>17</v>
      </c>
      <c r="BE13" s="18" t="s">
        <v>17</v>
      </c>
      <c r="BF13" s="18" t="s">
        <v>17</v>
      </c>
      <c r="BG13" s="18" t="s">
        <v>17</v>
      </c>
      <c r="BH13" s="18" t="s">
        <v>17</v>
      </c>
      <c r="BI13" s="18" t="s">
        <v>17</v>
      </c>
      <c r="BJ13" s="18" t="s">
        <v>17</v>
      </c>
      <c r="BK13" s="18" t="s">
        <v>17</v>
      </c>
    </row>
    <row r="14" spans="1:63" ht="27.95" customHeight="1">
      <c r="A14" s="14" t="s">
        <v>46</v>
      </c>
      <c r="B14" s="15" t="s">
        <v>47</v>
      </c>
      <c r="C14" s="15" t="s">
        <v>26</v>
      </c>
      <c r="D14" s="15"/>
      <c r="E14" s="43"/>
      <c r="F14" s="43"/>
      <c r="G14" s="17" t="str">
        <f>VLOOKUP(A14,'KPI Описание'!A:K,11,0)</f>
        <v>Оператор</v>
      </c>
      <c r="H14" s="17" t="s">
        <v>37</v>
      </c>
      <c r="I14" s="18"/>
      <c r="J14" s="19"/>
      <c r="K14" s="20">
        <v>214</v>
      </c>
      <c r="L14" s="20">
        <v>3</v>
      </c>
      <c r="M14" s="20" t="s">
        <v>17</v>
      </c>
      <c r="N14" s="20" t="s">
        <v>17</v>
      </c>
      <c r="O14" s="20">
        <v>1305</v>
      </c>
      <c r="P14" s="20">
        <v>45</v>
      </c>
      <c r="Q14" s="20"/>
      <c r="R14" s="20">
        <v>342</v>
      </c>
      <c r="S14" s="20">
        <v>4302</v>
      </c>
      <c r="T14" s="20">
        <v>7533</v>
      </c>
      <c r="U14" s="20">
        <v>197</v>
      </c>
      <c r="V14" s="20">
        <v>8534</v>
      </c>
      <c r="W14" s="20">
        <v>34</v>
      </c>
      <c r="X14" s="20">
        <v>3241</v>
      </c>
      <c r="Y14" s="20">
        <v>227</v>
      </c>
      <c r="Z14" s="20">
        <v>620</v>
      </c>
      <c r="AA14" s="20">
        <v>2061</v>
      </c>
      <c r="AB14" s="20">
        <v>3726</v>
      </c>
      <c r="AC14" s="20">
        <v>21350</v>
      </c>
      <c r="AD14" s="20">
        <v>5040</v>
      </c>
      <c r="AE14" s="20" t="s">
        <v>17</v>
      </c>
      <c r="AF14" s="20" t="s">
        <v>17</v>
      </c>
      <c r="AG14" s="20" t="s">
        <v>17</v>
      </c>
      <c r="AH14" s="20" t="s">
        <v>17</v>
      </c>
      <c r="AI14" s="20">
        <v>1</v>
      </c>
      <c r="AJ14" s="20">
        <v>1072</v>
      </c>
      <c r="AK14" s="20">
        <v>216</v>
      </c>
      <c r="AL14" s="20">
        <v>269</v>
      </c>
      <c r="AM14" s="20" t="s">
        <v>17</v>
      </c>
      <c r="AN14" s="20">
        <v>34</v>
      </c>
      <c r="AO14" s="18" t="s">
        <v>17</v>
      </c>
      <c r="AP14" s="18" t="s">
        <v>17</v>
      </c>
      <c r="AQ14" s="18" t="s">
        <v>17</v>
      </c>
      <c r="AR14" s="26" t="s">
        <v>17</v>
      </c>
      <c r="AS14" s="26" t="s">
        <v>17</v>
      </c>
      <c r="AT14" s="26"/>
      <c r="AU14" s="26" t="s">
        <v>17</v>
      </c>
      <c r="AV14" s="26" t="s">
        <v>17</v>
      </c>
      <c r="AW14" s="26">
        <v>0</v>
      </c>
      <c r="AX14" s="26">
        <v>4480</v>
      </c>
      <c r="AY14" s="44" t="s">
        <v>53</v>
      </c>
      <c r="AZ14" s="26">
        <v>3151</v>
      </c>
      <c r="BA14" s="26">
        <v>3873</v>
      </c>
      <c r="BB14" s="18" t="s">
        <v>17</v>
      </c>
      <c r="BC14" s="18" t="s">
        <v>17</v>
      </c>
      <c r="BD14" s="18" t="s">
        <v>17</v>
      </c>
      <c r="BE14" s="18" t="s">
        <v>17</v>
      </c>
      <c r="BF14" s="18" t="s">
        <v>17</v>
      </c>
      <c r="BG14" s="18" t="s">
        <v>17</v>
      </c>
      <c r="BH14" s="18" t="s">
        <v>17</v>
      </c>
      <c r="BI14" s="18" t="s">
        <v>17</v>
      </c>
      <c r="BJ14" s="18" t="s">
        <v>17</v>
      </c>
      <c r="BK14" s="18" t="s">
        <v>17</v>
      </c>
    </row>
    <row r="15" spans="1:63" ht="27.95" customHeight="1">
      <c r="A15" s="14" t="s">
        <v>46</v>
      </c>
      <c r="B15" s="15" t="s">
        <v>47</v>
      </c>
      <c r="C15" s="15" t="s">
        <v>26</v>
      </c>
      <c r="D15" s="15"/>
      <c r="E15" s="43"/>
      <c r="F15" s="43"/>
      <c r="G15" s="17" t="str">
        <f>VLOOKUP(A15,'KPI Описание'!A:K,11,0)</f>
        <v>Оператор</v>
      </c>
      <c r="H15" s="17" t="s">
        <v>40</v>
      </c>
      <c r="I15" s="18"/>
      <c r="J15" s="19"/>
      <c r="K15" s="20" t="s">
        <v>17</v>
      </c>
      <c r="L15" s="20">
        <v>2695</v>
      </c>
      <c r="M15" s="20" t="s">
        <v>17</v>
      </c>
      <c r="N15" s="20">
        <v>32</v>
      </c>
      <c r="O15" s="20">
        <v>3557</v>
      </c>
      <c r="P15" s="20">
        <v>75</v>
      </c>
      <c r="Q15" s="20">
        <v>8635</v>
      </c>
      <c r="R15" s="20">
        <v>5190</v>
      </c>
      <c r="S15" s="20">
        <v>342</v>
      </c>
      <c r="T15" s="20">
        <v>2455</v>
      </c>
      <c r="U15" s="20">
        <v>0</v>
      </c>
      <c r="V15" s="20">
        <v>129</v>
      </c>
      <c r="W15" s="20" t="s">
        <v>17</v>
      </c>
      <c r="X15" s="20">
        <v>1161</v>
      </c>
      <c r="Y15" s="20">
        <v>37</v>
      </c>
      <c r="Z15" s="20" t="s">
        <v>17</v>
      </c>
      <c r="AA15" s="20">
        <v>3548</v>
      </c>
      <c r="AB15" s="20" t="s">
        <v>17</v>
      </c>
      <c r="AC15" s="20">
        <v>33</v>
      </c>
      <c r="AD15" s="20">
        <v>2889</v>
      </c>
      <c r="AE15" s="20" t="s">
        <v>17</v>
      </c>
      <c r="AF15" s="20">
        <v>70</v>
      </c>
      <c r="AG15" s="20" t="s">
        <v>17</v>
      </c>
      <c r="AH15" s="20" t="s">
        <v>17</v>
      </c>
      <c r="AI15" s="20" t="s">
        <v>17</v>
      </c>
      <c r="AJ15" s="20" t="s">
        <v>17</v>
      </c>
      <c r="AK15" s="20">
        <v>51</v>
      </c>
      <c r="AL15" s="20">
        <v>1747</v>
      </c>
      <c r="AM15" s="20" t="s">
        <v>17</v>
      </c>
      <c r="AN15" s="20">
        <v>738</v>
      </c>
      <c r="AO15" s="20">
        <v>1229</v>
      </c>
      <c r="AP15" s="26">
        <v>196</v>
      </c>
      <c r="AQ15" s="18" t="s">
        <v>17</v>
      </c>
      <c r="AR15" s="26" t="s">
        <v>17</v>
      </c>
      <c r="AS15" s="26">
        <v>238</v>
      </c>
      <c r="AT15" s="26"/>
      <c r="AU15" s="26">
        <v>77</v>
      </c>
      <c r="AV15" s="26">
        <v>1344</v>
      </c>
      <c r="AW15" s="26">
        <v>395</v>
      </c>
      <c r="AX15" s="26" t="s">
        <v>17</v>
      </c>
      <c r="AY15" s="44" t="s">
        <v>54</v>
      </c>
      <c r="AZ15" s="26">
        <v>621</v>
      </c>
      <c r="BA15" s="26" t="s">
        <v>17</v>
      </c>
      <c r="BB15" s="18" t="s">
        <v>17</v>
      </c>
      <c r="BC15" s="18" t="s">
        <v>17</v>
      </c>
      <c r="BD15" s="18" t="s">
        <v>17</v>
      </c>
      <c r="BE15" s="18" t="s">
        <v>17</v>
      </c>
      <c r="BF15" s="18" t="s">
        <v>17</v>
      </c>
      <c r="BG15" s="18" t="s">
        <v>17</v>
      </c>
      <c r="BH15" s="18" t="s">
        <v>17</v>
      </c>
      <c r="BI15" s="18" t="s">
        <v>17</v>
      </c>
      <c r="BJ15" s="18" t="s">
        <v>17</v>
      </c>
      <c r="BK15" s="18" t="s">
        <v>17</v>
      </c>
    </row>
    <row r="16" spans="1:63" ht="27.95" customHeight="1">
      <c r="A16" s="14" t="s">
        <v>46</v>
      </c>
      <c r="B16" s="15" t="s">
        <v>47</v>
      </c>
      <c r="C16" s="15" t="s">
        <v>26</v>
      </c>
      <c r="D16" s="15"/>
      <c r="E16" s="43"/>
      <c r="F16" s="43"/>
      <c r="G16" s="17" t="str">
        <f>VLOOKUP(A16,'KPI Описание'!A:K,11,0)</f>
        <v>Оператор</v>
      </c>
      <c r="H16" s="17" t="s">
        <v>43</v>
      </c>
      <c r="I16" s="18"/>
      <c r="J16" s="19"/>
      <c r="K16" s="20">
        <v>22328</v>
      </c>
      <c r="L16" s="20">
        <v>21</v>
      </c>
      <c r="M16" s="20">
        <v>47</v>
      </c>
      <c r="N16" s="20">
        <v>18</v>
      </c>
      <c r="O16" s="20">
        <v>1657</v>
      </c>
      <c r="P16" s="20">
        <v>68</v>
      </c>
      <c r="Q16" s="20"/>
      <c r="R16" s="20">
        <v>1076</v>
      </c>
      <c r="S16" s="20">
        <v>1366</v>
      </c>
      <c r="T16" s="20">
        <v>366</v>
      </c>
      <c r="U16" s="20">
        <v>5555</v>
      </c>
      <c r="V16" s="20">
        <v>10922</v>
      </c>
      <c r="W16" s="20">
        <v>10359</v>
      </c>
      <c r="X16" s="20">
        <v>209</v>
      </c>
      <c r="Y16" s="20">
        <v>27180</v>
      </c>
      <c r="Z16" s="20">
        <v>22471</v>
      </c>
      <c r="AA16" s="20">
        <v>18309</v>
      </c>
      <c r="AB16" s="20">
        <v>21003</v>
      </c>
      <c r="AC16" s="20">
        <v>4031</v>
      </c>
      <c r="AD16" s="20">
        <v>9907</v>
      </c>
      <c r="AE16" s="20"/>
      <c r="AF16" s="20">
        <v>12</v>
      </c>
      <c r="AG16" s="20" t="s">
        <v>17</v>
      </c>
      <c r="AH16" s="20" t="s">
        <v>17</v>
      </c>
      <c r="AI16" s="20">
        <v>794</v>
      </c>
      <c r="AJ16" s="20" t="s">
        <v>17</v>
      </c>
      <c r="AK16" s="20">
        <v>1</v>
      </c>
      <c r="AL16" s="20">
        <v>1472</v>
      </c>
      <c r="AM16" s="20" t="s">
        <v>17</v>
      </c>
      <c r="AN16" s="20">
        <v>1104</v>
      </c>
      <c r="AO16" s="20">
        <v>5450</v>
      </c>
      <c r="AP16" s="18" t="s">
        <v>17</v>
      </c>
      <c r="AQ16" s="18" t="s">
        <v>17</v>
      </c>
      <c r="AR16" s="26">
        <v>3369</v>
      </c>
      <c r="AS16" s="26">
        <v>1674</v>
      </c>
      <c r="AT16" s="26">
        <v>9950</v>
      </c>
      <c r="AU16" s="26">
        <v>20959</v>
      </c>
      <c r="AV16" s="26" t="s">
        <v>17</v>
      </c>
      <c r="AW16" s="26">
        <v>7047</v>
      </c>
      <c r="AX16" s="26">
        <v>56</v>
      </c>
      <c r="AY16" s="44" t="s">
        <v>55</v>
      </c>
      <c r="AZ16" s="26">
        <v>976</v>
      </c>
      <c r="BA16" s="26" t="s">
        <v>17</v>
      </c>
      <c r="BB16" s="18" t="s">
        <v>17</v>
      </c>
      <c r="BC16" s="18" t="s">
        <v>17</v>
      </c>
      <c r="BD16" s="18" t="s">
        <v>17</v>
      </c>
      <c r="BE16" s="18" t="s">
        <v>17</v>
      </c>
      <c r="BF16" s="18" t="s">
        <v>17</v>
      </c>
      <c r="BG16" s="18" t="s">
        <v>17</v>
      </c>
      <c r="BH16" s="18" t="s">
        <v>17</v>
      </c>
      <c r="BI16" s="18" t="s">
        <v>17</v>
      </c>
      <c r="BJ16" s="18" t="s">
        <v>17</v>
      </c>
      <c r="BK16" s="18" t="s">
        <v>17</v>
      </c>
    </row>
    <row r="17" spans="1:63" ht="27.95" hidden="1" customHeight="1">
      <c r="A17" s="82" t="s">
        <v>56</v>
      </c>
      <c r="B17" s="84" t="s">
        <v>57</v>
      </c>
      <c r="C17" s="84" t="s">
        <v>58</v>
      </c>
      <c r="D17" s="84" t="s">
        <v>13</v>
      </c>
      <c r="E17" s="86" t="s">
        <v>59</v>
      </c>
      <c r="F17" s="86" t="s">
        <v>60</v>
      </c>
      <c r="G17" s="88" t="str">
        <f>VLOOKUP(A17,'KPI Описание'!A:K,11,0)</f>
        <v>Менеджер смены</v>
      </c>
      <c r="H17" s="88" t="s">
        <v>16</v>
      </c>
      <c r="I17" s="91">
        <f>VLOOKUP(A17,'KPI Описание'!A:P,16,0)</f>
        <v>0.9</v>
      </c>
      <c r="J17" s="95">
        <f>IFERROR(VLOOKUP(A17,'KPI Описание'!A:Q,17,0),0)</f>
        <v>0</v>
      </c>
      <c r="K17" s="91">
        <f>25331/20520</f>
        <v>1.2344541910331384</v>
      </c>
      <c r="L17" s="91">
        <f>9264/9420</f>
        <v>0.98343949044585988</v>
      </c>
      <c r="M17" s="91">
        <f>1089/1800</f>
        <v>0.60499999999999998</v>
      </c>
      <c r="N17" s="91">
        <f>7506/6240</f>
        <v>1.2028846153846153</v>
      </c>
      <c r="O17" s="91">
        <f>8846/17940</f>
        <v>0.49308807134894089</v>
      </c>
      <c r="P17" s="91">
        <f>2045/2580</f>
        <v>0.79263565891472865</v>
      </c>
      <c r="Q17" s="91">
        <v>0.72</v>
      </c>
      <c r="R17" s="91">
        <v>0.46</v>
      </c>
      <c r="S17" s="91">
        <v>0.47</v>
      </c>
      <c r="T17" s="91">
        <v>0.71</v>
      </c>
      <c r="U17" s="91">
        <v>0.94</v>
      </c>
      <c r="V17" s="91">
        <v>0.87</v>
      </c>
      <c r="W17" s="91">
        <v>1.44</v>
      </c>
      <c r="X17" s="91">
        <v>0.93</v>
      </c>
      <c r="Y17" s="91">
        <v>1.1299999999999999</v>
      </c>
      <c r="Z17" s="91">
        <v>1.07</v>
      </c>
      <c r="AA17" s="91">
        <v>1.1000000000000001</v>
      </c>
      <c r="AB17" s="91">
        <v>1.08</v>
      </c>
      <c r="AC17" s="91">
        <v>0.8</v>
      </c>
      <c r="AD17" s="91">
        <v>0.89</v>
      </c>
      <c r="AE17" s="91">
        <v>0.49</v>
      </c>
      <c r="AF17" s="91">
        <v>0.56000000000000005</v>
      </c>
      <c r="AG17" s="91">
        <v>0</v>
      </c>
      <c r="AH17" s="91">
        <v>0</v>
      </c>
      <c r="AI17" s="91">
        <v>1.82</v>
      </c>
      <c r="AJ17" s="91">
        <v>0.98</v>
      </c>
      <c r="AK17" s="91">
        <v>0.88</v>
      </c>
      <c r="AL17" s="91">
        <v>0.67</v>
      </c>
      <c r="AM17" s="91">
        <v>0.86</v>
      </c>
      <c r="AN17" s="91">
        <v>0.72</v>
      </c>
      <c r="AO17" s="91">
        <v>1.21</v>
      </c>
      <c r="AP17" s="91">
        <v>0.91</v>
      </c>
      <c r="AQ17" s="91">
        <v>1.04</v>
      </c>
      <c r="AR17" s="91">
        <v>0.71</v>
      </c>
      <c r="AS17" s="91">
        <v>1.32</v>
      </c>
      <c r="AT17" s="91">
        <v>0.97</v>
      </c>
      <c r="AU17" s="91">
        <v>1.04</v>
      </c>
      <c r="AV17" s="91">
        <v>0.85</v>
      </c>
      <c r="AW17" s="91">
        <v>0.74</v>
      </c>
      <c r="AX17" s="91" t="s">
        <v>17</v>
      </c>
      <c r="AY17" s="91" t="s">
        <v>17</v>
      </c>
      <c r="AZ17" s="91" t="s">
        <v>17</v>
      </c>
      <c r="BA17" s="91" t="s">
        <v>17</v>
      </c>
      <c r="BB17" s="91" t="s">
        <v>17</v>
      </c>
      <c r="BC17" s="91" t="s">
        <v>17</v>
      </c>
      <c r="BD17" s="91" t="s">
        <v>17</v>
      </c>
      <c r="BE17" s="91" t="s">
        <v>17</v>
      </c>
      <c r="BF17" s="91" t="s">
        <v>17</v>
      </c>
      <c r="BG17" s="91" t="s">
        <v>17</v>
      </c>
      <c r="BH17" s="91" t="s">
        <v>17</v>
      </c>
      <c r="BI17" s="91" t="s">
        <v>17</v>
      </c>
      <c r="BJ17" s="91" t="s">
        <v>17</v>
      </c>
      <c r="BK17" s="91" t="s">
        <v>17</v>
      </c>
    </row>
    <row r="18" spans="1:63" s="72" customFormat="1" ht="27.95" customHeight="1">
      <c r="A18" s="5" t="s">
        <v>61</v>
      </c>
      <c r="B18" s="6" t="s">
        <v>62</v>
      </c>
      <c r="C18" s="6" t="s">
        <v>63</v>
      </c>
      <c r="D18" s="6" t="s">
        <v>13</v>
      </c>
      <c r="E18" s="42" t="s">
        <v>64</v>
      </c>
      <c r="F18" s="42" t="s">
        <v>65</v>
      </c>
      <c r="G18" s="8" t="str">
        <f>VLOOKUP(A18,'KPI Описание'!A:K,11,0)</f>
        <v>Оператор</v>
      </c>
      <c r="H18" s="8" t="s">
        <v>16</v>
      </c>
      <c r="I18" s="9">
        <f>VLOOKUP(A18,'KPI Описание'!A:P,16,0)</f>
        <v>0.95</v>
      </c>
      <c r="J18" s="10" t="str">
        <f>IFERROR(VLOOKUP(A18,'KPI Описание'!A:Q,17,0),0)</f>
        <v>higher</v>
      </c>
      <c r="K18" s="9">
        <f>0/910</f>
        <v>0</v>
      </c>
      <c r="L18" s="9">
        <f>0/910</f>
        <v>0</v>
      </c>
      <c r="M18" s="9">
        <f>0/910</f>
        <v>0</v>
      </c>
      <c r="N18" s="9">
        <f>0/910</f>
        <v>0</v>
      </c>
      <c r="O18" s="9">
        <f>0/910</f>
        <v>0</v>
      </c>
      <c r="P18" s="9">
        <f>0/910</f>
        <v>0</v>
      </c>
      <c r="Q18" s="9">
        <f>0/910</f>
        <v>0</v>
      </c>
      <c r="R18" s="9">
        <f>0/910</f>
        <v>0</v>
      </c>
      <c r="S18" s="9">
        <f>0/910</f>
        <v>0</v>
      </c>
      <c r="T18" s="9">
        <f>0/910</f>
        <v>0</v>
      </c>
      <c r="U18" s="9">
        <f>6/204</f>
        <v>2.9411764705882353E-2</v>
      </c>
      <c r="V18" s="9">
        <f>0/937</f>
        <v>0</v>
      </c>
      <c r="W18" s="9">
        <f>0/937</f>
        <v>0</v>
      </c>
      <c r="X18" s="9">
        <f>0/937</f>
        <v>0</v>
      </c>
      <c r="Y18" s="9">
        <f>0/1378</f>
        <v>0</v>
      </c>
      <c r="Z18" s="9">
        <f>0/1378</f>
        <v>0</v>
      </c>
      <c r="AA18" s="9">
        <f>114/2978</f>
        <v>3.8280725319006045E-2</v>
      </c>
      <c r="AB18" s="9">
        <f>0/193</f>
        <v>0</v>
      </c>
      <c r="AC18" s="9">
        <f>0/272</f>
        <v>0</v>
      </c>
      <c r="AD18" s="9">
        <f>0/224</f>
        <v>0</v>
      </c>
      <c r="AE18" s="9">
        <f>0/338</f>
        <v>0</v>
      </c>
      <c r="AF18" s="9">
        <f>0/338</f>
        <v>0</v>
      </c>
      <c r="AG18" s="9">
        <f>0/338</f>
        <v>0</v>
      </c>
      <c r="AH18" s="9">
        <v>0</v>
      </c>
      <c r="AI18" s="9">
        <v>0</v>
      </c>
      <c r="AJ18" s="9">
        <v>0</v>
      </c>
      <c r="AK18" s="9">
        <f>0/4654</f>
        <v>0</v>
      </c>
      <c r="AL18" s="9">
        <f>31/63</f>
        <v>0.49206349206349204</v>
      </c>
      <c r="AM18" s="9">
        <v>0</v>
      </c>
      <c r="AN18" s="9">
        <v>0.52</v>
      </c>
      <c r="AO18" s="9">
        <f>0/226</f>
        <v>0</v>
      </c>
      <c r="AP18" s="9">
        <f>60/84</f>
        <v>0.7142857142857143</v>
      </c>
      <c r="AQ18" s="9">
        <f>55/103</f>
        <v>0.53398058252427183</v>
      </c>
      <c r="AR18" s="9">
        <f>0/103</f>
        <v>0</v>
      </c>
      <c r="AS18" s="9">
        <f>10/336</f>
        <v>2.976190476190476E-2</v>
      </c>
      <c r="AT18" s="9">
        <f>382/382</f>
        <v>1</v>
      </c>
      <c r="AU18" s="9">
        <f>9/72</f>
        <v>0.125</v>
      </c>
      <c r="AV18" s="18">
        <f>2/62</f>
        <v>3.2258064516129031E-2</v>
      </c>
      <c r="AW18" s="18">
        <f>1/54</f>
        <v>1.8518518518518517E-2</v>
      </c>
      <c r="AX18" s="9">
        <v>0</v>
      </c>
      <c r="AY18" s="9">
        <f>0/98</f>
        <v>0</v>
      </c>
      <c r="AZ18" s="9">
        <f>2/207</f>
        <v>9.6618357487922701E-3</v>
      </c>
      <c r="BA18" s="9">
        <v>0</v>
      </c>
      <c r="BB18" s="9" t="s">
        <v>17</v>
      </c>
      <c r="BC18" s="9" t="s">
        <v>17</v>
      </c>
      <c r="BD18" s="9" t="s">
        <v>17</v>
      </c>
      <c r="BE18" s="9" t="s">
        <v>17</v>
      </c>
      <c r="BF18" s="9" t="s">
        <v>17</v>
      </c>
      <c r="BG18" s="9" t="s">
        <v>17</v>
      </c>
      <c r="BH18" s="9" t="s">
        <v>17</v>
      </c>
      <c r="BI18" s="9" t="s">
        <v>17</v>
      </c>
      <c r="BJ18" s="9" t="s">
        <v>17</v>
      </c>
      <c r="BK18" s="9" t="s">
        <v>17</v>
      </c>
    </row>
    <row r="19" spans="1:63" ht="27.95" customHeight="1">
      <c r="A19" s="14" t="s">
        <v>61</v>
      </c>
      <c r="B19" s="15" t="s">
        <v>62</v>
      </c>
      <c r="C19" s="15" t="s">
        <v>63</v>
      </c>
      <c r="D19" s="15"/>
      <c r="E19" s="43"/>
      <c r="F19" s="43"/>
      <c r="G19" s="17" t="str">
        <f>VLOOKUP(A19,'KPI Описание'!A:K,11,0)</f>
        <v>Оператор</v>
      </c>
      <c r="H19" s="17" t="s">
        <v>33</v>
      </c>
      <c r="I19" s="18"/>
      <c r="J19" s="19"/>
      <c r="K19" s="18"/>
      <c r="L19" s="18">
        <f>0/15*100%</f>
        <v>0</v>
      </c>
      <c r="M19" s="18">
        <f>0/14*100%</f>
        <v>0</v>
      </c>
      <c r="N19" s="18">
        <f>0/5*100%</f>
        <v>0</v>
      </c>
      <c r="O19" s="18">
        <f>0/6</f>
        <v>0</v>
      </c>
      <c r="P19" s="18">
        <f>0/324</f>
        <v>0</v>
      </c>
      <c r="Q19" s="18">
        <f>0/22</f>
        <v>0</v>
      </c>
      <c r="R19" s="18">
        <f>0/3</f>
        <v>0</v>
      </c>
      <c r="S19" s="18">
        <f>0/2</f>
        <v>0</v>
      </c>
      <c r="T19" s="18">
        <f>0/113</f>
        <v>0</v>
      </c>
      <c r="U19" s="18" t="s">
        <v>17</v>
      </c>
      <c r="V19" s="18">
        <f>0/4</f>
        <v>0</v>
      </c>
      <c r="W19" s="18">
        <f>0/56</f>
        <v>0</v>
      </c>
      <c r="X19" s="18">
        <f>0/2</f>
        <v>0</v>
      </c>
      <c r="Y19" s="18"/>
      <c r="Z19" s="18" t="s">
        <v>17</v>
      </c>
      <c r="AA19" s="18" t="s">
        <v>17</v>
      </c>
      <c r="AB19" s="18" t="s">
        <v>17</v>
      </c>
      <c r="AC19" s="18" t="s">
        <v>17</v>
      </c>
      <c r="AD19" s="18" t="s">
        <v>17</v>
      </c>
      <c r="AE19" s="18" t="s">
        <v>17</v>
      </c>
      <c r="AF19" s="18" t="s">
        <v>17</v>
      </c>
      <c r="AG19" s="18" t="s">
        <v>17</v>
      </c>
      <c r="AH19" s="18" t="s">
        <v>17</v>
      </c>
      <c r="AI19" s="18" t="s">
        <v>17</v>
      </c>
      <c r="AJ19" s="18" t="s">
        <v>17</v>
      </c>
      <c r="AK19" s="18" t="s">
        <v>17</v>
      </c>
      <c r="AL19" s="18" t="s">
        <v>17</v>
      </c>
      <c r="AM19" s="18" t="s">
        <v>17</v>
      </c>
      <c r="AN19" s="18">
        <v>0.08</v>
      </c>
      <c r="AO19" s="18" t="s">
        <v>17</v>
      </c>
      <c r="AP19" s="18" t="s">
        <v>17</v>
      </c>
      <c r="AQ19" s="18" t="s">
        <v>17</v>
      </c>
      <c r="AR19" s="18" t="s">
        <v>17</v>
      </c>
      <c r="AS19" s="18">
        <f>0/326</f>
        <v>0</v>
      </c>
      <c r="AT19" s="18" t="s">
        <v>17</v>
      </c>
      <c r="AU19" s="18"/>
      <c r="AV19" s="18" t="s">
        <v>17</v>
      </c>
      <c r="AW19" s="18">
        <v>0</v>
      </c>
      <c r="AX19" s="18">
        <v>0</v>
      </c>
      <c r="AY19" s="18">
        <v>0</v>
      </c>
      <c r="AZ19" s="18">
        <f>1/1</f>
        <v>1</v>
      </c>
      <c r="BA19" s="18">
        <v>0</v>
      </c>
      <c r="BB19" s="18" t="s">
        <v>17</v>
      </c>
      <c r="BC19" s="18" t="s">
        <v>17</v>
      </c>
      <c r="BD19" s="18" t="s">
        <v>17</v>
      </c>
      <c r="BE19" s="18" t="s">
        <v>17</v>
      </c>
      <c r="BF19" s="18" t="s">
        <v>17</v>
      </c>
      <c r="BG19" s="18" t="s">
        <v>17</v>
      </c>
      <c r="BH19" s="18" t="s">
        <v>17</v>
      </c>
      <c r="BI19" s="18" t="s">
        <v>17</v>
      </c>
      <c r="BJ19" s="18" t="s">
        <v>17</v>
      </c>
      <c r="BK19" s="18" t="s">
        <v>17</v>
      </c>
    </row>
    <row r="20" spans="1:63" ht="27.95" customHeight="1">
      <c r="A20" s="14" t="s">
        <v>61</v>
      </c>
      <c r="B20" s="15" t="s">
        <v>62</v>
      </c>
      <c r="C20" s="15" t="s">
        <v>63</v>
      </c>
      <c r="D20" s="15"/>
      <c r="E20" s="43"/>
      <c r="F20" s="43"/>
      <c r="G20" s="17" t="str">
        <f>VLOOKUP(A20,'KPI Описание'!A:K,11,0)</f>
        <v>Оператор</v>
      </c>
      <c r="H20" s="17" t="s">
        <v>36</v>
      </c>
      <c r="I20" s="18"/>
      <c r="J20" s="19"/>
      <c r="K20" s="21" t="s">
        <v>17</v>
      </c>
      <c r="L20" s="18" t="s">
        <v>17</v>
      </c>
      <c r="M20" s="18" t="s">
        <v>17</v>
      </c>
      <c r="N20" s="18" t="s">
        <v>17</v>
      </c>
      <c r="O20" s="18">
        <f>0/12</f>
        <v>0</v>
      </c>
      <c r="P20" s="18">
        <f>4/9</f>
        <v>0.44444444444444442</v>
      </c>
      <c r="Q20" s="18">
        <f>0/3</f>
        <v>0</v>
      </c>
      <c r="R20" s="18">
        <f>0/9</f>
        <v>0</v>
      </c>
      <c r="S20" s="18">
        <f>0/5</f>
        <v>0</v>
      </c>
      <c r="T20" s="18">
        <f>0/13</f>
        <v>0</v>
      </c>
      <c r="U20" s="18">
        <f>6/6</f>
        <v>1</v>
      </c>
      <c r="V20" s="18" t="s">
        <v>17</v>
      </c>
      <c r="W20" s="18" t="s">
        <v>17</v>
      </c>
      <c r="X20" s="18">
        <f>0/5</f>
        <v>0</v>
      </c>
      <c r="Y20" s="18"/>
      <c r="Z20" s="18" t="s">
        <v>17</v>
      </c>
      <c r="AA20" s="18" t="s">
        <v>17</v>
      </c>
      <c r="AB20" s="18" t="s">
        <v>17</v>
      </c>
      <c r="AC20" s="18" t="s">
        <v>17</v>
      </c>
      <c r="AD20" s="18" t="s">
        <v>17</v>
      </c>
      <c r="AE20" s="18" t="s">
        <v>17</v>
      </c>
      <c r="AF20" s="18" t="s">
        <v>17</v>
      </c>
      <c r="AG20" s="18" t="s">
        <v>17</v>
      </c>
      <c r="AH20" s="18" t="s">
        <v>17</v>
      </c>
      <c r="AI20" s="18" t="s">
        <v>17</v>
      </c>
      <c r="AJ20" s="18" t="s">
        <v>17</v>
      </c>
      <c r="AK20" s="18" t="s">
        <v>17</v>
      </c>
      <c r="AL20" s="18" t="s">
        <v>17</v>
      </c>
      <c r="AM20" s="18" t="s">
        <v>17</v>
      </c>
      <c r="AN20" s="18" t="s">
        <v>17</v>
      </c>
      <c r="AO20" s="18" t="s">
        <v>17</v>
      </c>
      <c r="AP20" s="18" t="s">
        <v>17</v>
      </c>
      <c r="AQ20" s="18" t="s">
        <v>17</v>
      </c>
      <c r="AR20" s="18" t="s">
        <v>17</v>
      </c>
      <c r="AS20" s="18" t="s">
        <v>17</v>
      </c>
      <c r="AT20" s="18" t="s">
        <v>17</v>
      </c>
      <c r="AU20" s="18">
        <f>0/9</f>
        <v>0</v>
      </c>
      <c r="AV20" s="18" t="s">
        <v>17</v>
      </c>
      <c r="AW20" s="18">
        <v>0</v>
      </c>
      <c r="AX20" s="18">
        <v>0</v>
      </c>
      <c r="AY20" s="18">
        <v>0</v>
      </c>
      <c r="AZ20" s="18">
        <f>1/51</f>
        <v>1.9607843137254902E-2</v>
      </c>
      <c r="BA20" s="18">
        <v>0</v>
      </c>
      <c r="BB20" s="18" t="s">
        <v>17</v>
      </c>
      <c r="BC20" s="18" t="s">
        <v>17</v>
      </c>
      <c r="BD20" s="18" t="s">
        <v>17</v>
      </c>
      <c r="BE20" s="18" t="s">
        <v>17</v>
      </c>
      <c r="BF20" s="18" t="s">
        <v>17</v>
      </c>
      <c r="BG20" s="18" t="s">
        <v>17</v>
      </c>
      <c r="BH20" s="18" t="s">
        <v>17</v>
      </c>
      <c r="BI20" s="18" t="s">
        <v>17</v>
      </c>
      <c r="BJ20" s="18" t="s">
        <v>17</v>
      </c>
      <c r="BK20" s="18" t="s">
        <v>17</v>
      </c>
    </row>
    <row r="21" spans="1:63" ht="27.95" customHeight="1">
      <c r="A21" s="14" t="s">
        <v>61</v>
      </c>
      <c r="B21" s="15" t="s">
        <v>62</v>
      </c>
      <c r="C21" s="15" t="s">
        <v>63</v>
      </c>
      <c r="D21" s="15"/>
      <c r="E21" s="43"/>
      <c r="F21" s="43"/>
      <c r="G21" s="17" t="str">
        <f>VLOOKUP(A21,'KPI Описание'!A:K,11,0)</f>
        <v>Оператор</v>
      </c>
      <c r="H21" s="17" t="s">
        <v>37</v>
      </c>
      <c r="I21" s="18"/>
      <c r="J21" s="19"/>
      <c r="K21" s="21" t="s">
        <v>17</v>
      </c>
      <c r="L21" s="18">
        <f>0/1*100%</f>
        <v>0</v>
      </c>
      <c r="M21" s="18">
        <f>0/1*100%</f>
        <v>0</v>
      </c>
      <c r="N21" s="18" t="s">
        <v>17</v>
      </c>
      <c r="O21" s="18">
        <f>0/2</f>
        <v>0</v>
      </c>
      <c r="P21" s="18">
        <f>3/3</f>
        <v>1</v>
      </c>
      <c r="Q21" s="18">
        <f>0/1</f>
        <v>0</v>
      </c>
      <c r="R21" s="18">
        <f>0/133</f>
        <v>0</v>
      </c>
      <c r="S21" s="18">
        <f>0/710</f>
        <v>0</v>
      </c>
      <c r="T21" s="18">
        <f>0/58</f>
        <v>0</v>
      </c>
      <c r="U21" s="18" t="s">
        <v>17</v>
      </c>
      <c r="V21" s="18">
        <f>0/933</f>
        <v>0</v>
      </c>
      <c r="W21" s="18">
        <f>0/414</f>
        <v>0</v>
      </c>
      <c r="X21" s="18">
        <f>0/710</f>
        <v>0</v>
      </c>
      <c r="Y21" s="18"/>
      <c r="Z21" s="18" t="s">
        <v>17</v>
      </c>
      <c r="AA21" s="18" t="s">
        <v>17</v>
      </c>
      <c r="AB21" s="18" t="s">
        <v>17</v>
      </c>
      <c r="AC21" s="18" t="s">
        <v>17</v>
      </c>
      <c r="AD21" s="18" t="s">
        <v>17</v>
      </c>
      <c r="AE21" s="18" t="s">
        <v>17</v>
      </c>
      <c r="AF21" s="18" t="s">
        <v>17</v>
      </c>
      <c r="AG21" s="18" t="s">
        <v>17</v>
      </c>
      <c r="AH21" s="18" t="s">
        <v>17</v>
      </c>
      <c r="AI21" s="18" t="s">
        <v>17</v>
      </c>
      <c r="AJ21" s="18" t="s">
        <v>17</v>
      </c>
      <c r="AK21" s="18" t="s">
        <v>17</v>
      </c>
      <c r="AL21" s="18" t="s">
        <v>17</v>
      </c>
      <c r="AM21" s="18" t="s">
        <v>17</v>
      </c>
      <c r="AN21" s="18">
        <v>1</v>
      </c>
      <c r="AO21" s="18" t="s">
        <v>17</v>
      </c>
      <c r="AP21" s="18">
        <f>51/51</f>
        <v>1</v>
      </c>
      <c r="AQ21" s="18">
        <f>55/55</f>
        <v>1</v>
      </c>
      <c r="AR21" s="18" t="s">
        <v>17</v>
      </c>
      <c r="AS21" s="18" t="s">
        <v>17</v>
      </c>
      <c r="AT21" s="18" t="s">
        <v>17</v>
      </c>
      <c r="AU21" s="18" t="s">
        <v>17</v>
      </c>
      <c r="AV21" s="18" t="s">
        <v>17</v>
      </c>
      <c r="AW21" s="18">
        <v>0</v>
      </c>
      <c r="AX21" s="18">
        <v>0</v>
      </c>
      <c r="AY21" s="18">
        <v>0</v>
      </c>
      <c r="AZ21" s="18">
        <f>0/91</f>
        <v>0</v>
      </c>
      <c r="BA21" s="18">
        <v>0</v>
      </c>
      <c r="BB21" s="18" t="s">
        <v>17</v>
      </c>
      <c r="BC21" s="18" t="s">
        <v>17</v>
      </c>
      <c r="BD21" s="18" t="s">
        <v>17</v>
      </c>
      <c r="BE21" s="18" t="s">
        <v>17</v>
      </c>
      <c r="BF21" s="18" t="s">
        <v>17</v>
      </c>
      <c r="BG21" s="18" t="s">
        <v>17</v>
      </c>
      <c r="BH21" s="18" t="s">
        <v>17</v>
      </c>
      <c r="BI21" s="18" t="s">
        <v>17</v>
      </c>
      <c r="BJ21" s="18" t="s">
        <v>17</v>
      </c>
      <c r="BK21" s="18" t="s">
        <v>17</v>
      </c>
    </row>
    <row r="22" spans="1:63" ht="27.95" customHeight="1">
      <c r="A22" s="14" t="s">
        <v>61</v>
      </c>
      <c r="B22" s="15" t="s">
        <v>62</v>
      </c>
      <c r="C22" s="15" t="s">
        <v>63</v>
      </c>
      <c r="D22" s="15"/>
      <c r="E22" s="43"/>
      <c r="F22" s="43"/>
      <c r="G22" s="17" t="str">
        <f>VLOOKUP(A22,'KPI Описание'!A:K,11,0)</f>
        <v>Оператор</v>
      </c>
      <c r="H22" s="17" t="s">
        <v>40</v>
      </c>
      <c r="I22" s="18"/>
      <c r="J22" s="19"/>
      <c r="K22" s="21" t="s">
        <v>17</v>
      </c>
      <c r="L22" s="18">
        <f>0/6*100%</f>
        <v>0</v>
      </c>
      <c r="M22" s="18">
        <f>0/39*100%</f>
        <v>0</v>
      </c>
      <c r="N22" s="18">
        <f>0/26*100%</f>
        <v>0</v>
      </c>
      <c r="O22" s="18">
        <f>0/92</f>
        <v>0</v>
      </c>
      <c r="P22" s="18">
        <f>1/401</f>
        <v>2.4937655860349127E-3</v>
      </c>
      <c r="Q22" s="18">
        <f>0/334</f>
        <v>0</v>
      </c>
      <c r="R22" s="18">
        <f>0/81</f>
        <v>0</v>
      </c>
      <c r="S22" s="18">
        <f>0/23</f>
        <v>0</v>
      </c>
      <c r="T22" s="18">
        <f>0/16</f>
        <v>0</v>
      </c>
      <c r="U22" s="18" t="s">
        <v>17</v>
      </c>
      <c r="V22" s="18" t="s">
        <v>17</v>
      </c>
      <c r="W22" s="18">
        <f>0/6%</f>
        <v>0</v>
      </c>
      <c r="X22" s="18">
        <f>0/23</f>
        <v>0</v>
      </c>
      <c r="Y22" s="18"/>
      <c r="Z22" s="18" t="s">
        <v>17</v>
      </c>
      <c r="AA22" s="18" t="s">
        <v>17</v>
      </c>
      <c r="AB22" s="18" t="s">
        <v>17</v>
      </c>
      <c r="AC22" s="18" t="s">
        <v>17</v>
      </c>
      <c r="AD22" s="18" t="s">
        <v>17</v>
      </c>
      <c r="AE22" s="18" t="s">
        <v>17</v>
      </c>
      <c r="AF22" s="18" t="s">
        <v>17</v>
      </c>
      <c r="AG22" s="18" t="s">
        <v>17</v>
      </c>
      <c r="AH22" s="18" t="s">
        <v>17</v>
      </c>
      <c r="AI22" s="18" t="s">
        <v>17</v>
      </c>
      <c r="AJ22" s="18" t="s">
        <v>17</v>
      </c>
      <c r="AK22" s="18" t="s">
        <v>17</v>
      </c>
      <c r="AL22" s="18">
        <f>1/1</f>
        <v>1</v>
      </c>
      <c r="AM22" s="18" t="s">
        <v>17</v>
      </c>
      <c r="AN22" s="18">
        <v>1</v>
      </c>
      <c r="AO22" s="18" t="s">
        <v>17</v>
      </c>
      <c r="AP22" s="18">
        <f>9/33</f>
        <v>0.27272727272727271</v>
      </c>
      <c r="AQ22" s="18">
        <f>0/48</f>
        <v>0</v>
      </c>
      <c r="AR22" s="18" t="s">
        <v>17</v>
      </c>
      <c r="AS22" s="18" t="s">
        <v>17</v>
      </c>
      <c r="AT22" s="18">
        <f>1/1</f>
        <v>1</v>
      </c>
      <c r="AU22" s="18">
        <f>9/65</f>
        <v>0.13846153846153847</v>
      </c>
      <c r="AV22" s="18">
        <f>2/62</f>
        <v>3.2258064516129031E-2</v>
      </c>
      <c r="AW22" s="18">
        <f>1/13</f>
        <v>7.6923076923076927E-2</v>
      </c>
      <c r="AX22" s="18">
        <v>0</v>
      </c>
      <c r="AY22" s="18">
        <v>0</v>
      </c>
      <c r="AZ22" s="18">
        <f>0/5</f>
        <v>0</v>
      </c>
      <c r="BA22" s="18">
        <v>0</v>
      </c>
      <c r="BB22" s="18" t="s">
        <v>17</v>
      </c>
      <c r="BC22" s="18" t="s">
        <v>17</v>
      </c>
      <c r="BD22" s="18" t="s">
        <v>17</v>
      </c>
      <c r="BE22" s="18" t="s">
        <v>17</v>
      </c>
      <c r="BF22" s="18" t="s">
        <v>17</v>
      </c>
      <c r="BG22" s="18" t="s">
        <v>17</v>
      </c>
      <c r="BH22" s="18" t="s">
        <v>17</v>
      </c>
      <c r="BI22" s="18" t="s">
        <v>17</v>
      </c>
      <c r="BJ22" s="18" t="s">
        <v>17</v>
      </c>
      <c r="BK22" s="18" t="s">
        <v>17</v>
      </c>
    </row>
    <row r="23" spans="1:63" ht="27.95" customHeight="1">
      <c r="A23" s="14" t="s">
        <v>61</v>
      </c>
      <c r="B23" s="15" t="s">
        <v>62</v>
      </c>
      <c r="C23" s="15" t="s">
        <v>63</v>
      </c>
      <c r="D23" s="15"/>
      <c r="E23" s="43"/>
      <c r="F23" s="43"/>
      <c r="G23" s="17" t="str">
        <f>VLOOKUP(A23,'KPI Описание'!A:K,11,0)</f>
        <v>Оператор</v>
      </c>
      <c r="H23" s="17" t="s">
        <v>43</v>
      </c>
      <c r="I23" s="18"/>
      <c r="J23" s="19"/>
      <c r="K23" s="18"/>
      <c r="L23" s="18">
        <f>0/4*100%</f>
        <v>0</v>
      </c>
      <c r="M23" s="18">
        <f>0/269*100%</f>
        <v>0</v>
      </c>
      <c r="N23" s="18" t="s">
        <v>17</v>
      </c>
      <c r="O23" s="18" t="s">
        <v>17</v>
      </c>
      <c r="P23" s="18">
        <f>1/22</f>
        <v>4.5454545454545456E-2</v>
      </c>
      <c r="Q23" s="18">
        <f>0/27</f>
        <v>0</v>
      </c>
      <c r="R23" s="18" t="s">
        <v>17</v>
      </c>
      <c r="S23" s="18">
        <f>0/53</f>
        <v>0</v>
      </c>
      <c r="T23" s="18">
        <f>0/504</f>
        <v>0</v>
      </c>
      <c r="U23" s="18">
        <f>0/198</f>
        <v>0</v>
      </c>
      <c r="V23" s="18" t="s">
        <v>17</v>
      </c>
      <c r="W23" s="18">
        <f>0/926%</f>
        <v>0</v>
      </c>
      <c r="X23" s="18">
        <f>0/53</f>
        <v>0</v>
      </c>
      <c r="Y23" s="18"/>
      <c r="Z23" s="18" t="s">
        <v>17</v>
      </c>
      <c r="AA23" s="18" t="s">
        <v>17</v>
      </c>
      <c r="AB23" s="18" t="s">
        <v>17</v>
      </c>
      <c r="AC23" s="18" t="s">
        <v>17</v>
      </c>
      <c r="AD23" s="18" t="s">
        <v>17</v>
      </c>
      <c r="AE23" s="18" t="s">
        <v>17</v>
      </c>
      <c r="AF23" s="18" t="s">
        <v>17</v>
      </c>
      <c r="AG23" s="18" t="s">
        <v>17</v>
      </c>
      <c r="AH23" s="18" t="s">
        <v>17</v>
      </c>
      <c r="AI23" s="18" t="s">
        <v>17</v>
      </c>
      <c r="AJ23" s="18" t="s">
        <v>17</v>
      </c>
      <c r="AK23" s="18" t="s">
        <v>17</v>
      </c>
      <c r="AL23" s="18">
        <f>30/62</f>
        <v>0.4838709677419355</v>
      </c>
      <c r="AM23" s="18" t="s">
        <v>17</v>
      </c>
      <c r="AN23" s="18" t="s">
        <v>17</v>
      </c>
      <c r="AO23" s="18" t="s">
        <v>17</v>
      </c>
      <c r="AP23" s="18" t="s">
        <v>17</v>
      </c>
      <c r="AQ23" s="18" t="s">
        <v>17</v>
      </c>
      <c r="AR23" s="18">
        <f>0/103</f>
        <v>0</v>
      </c>
      <c r="AS23" s="18">
        <f>10/10</f>
        <v>1</v>
      </c>
      <c r="AT23" s="18">
        <f>381/381</f>
        <v>1</v>
      </c>
      <c r="AU23" s="18"/>
      <c r="AV23" s="18" t="s">
        <v>17</v>
      </c>
      <c r="AW23" s="18">
        <f>0/41</f>
        <v>0</v>
      </c>
      <c r="AX23" s="18">
        <v>0</v>
      </c>
      <c r="AY23" s="18">
        <v>0</v>
      </c>
      <c r="AZ23" s="18">
        <f>0/58</f>
        <v>0</v>
      </c>
      <c r="BA23" s="18">
        <v>0</v>
      </c>
      <c r="BB23" s="18" t="s">
        <v>17</v>
      </c>
      <c r="BC23" s="18" t="s">
        <v>17</v>
      </c>
      <c r="BD23" s="18" t="s">
        <v>17</v>
      </c>
      <c r="BE23" s="18" t="s">
        <v>17</v>
      </c>
      <c r="BF23" s="18" t="s">
        <v>17</v>
      </c>
      <c r="BG23" s="18" t="s">
        <v>17</v>
      </c>
      <c r="BH23" s="18" t="s">
        <v>17</v>
      </c>
      <c r="BI23" s="18" t="s">
        <v>17</v>
      </c>
      <c r="BJ23" s="18" t="s">
        <v>17</v>
      </c>
      <c r="BK23" s="18" t="s">
        <v>17</v>
      </c>
    </row>
    <row r="24" spans="1:63" s="72" customFormat="1" ht="42.75" customHeight="1">
      <c r="A24" s="5" t="s">
        <v>66</v>
      </c>
      <c r="B24" s="6" t="s">
        <v>67</v>
      </c>
      <c r="C24" s="6" t="s">
        <v>68</v>
      </c>
      <c r="D24" s="6" t="s">
        <v>13</v>
      </c>
      <c r="E24" s="42" t="s">
        <v>48</v>
      </c>
      <c r="F24" s="42" t="s">
        <v>69</v>
      </c>
      <c r="G24" s="8" t="str">
        <f>VLOOKUP(A24,'KPI Описание'!A:K,11,0)</f>
        <v>Оператор</v>
      </c>
      <c r="H24" s="8" t="s">
        <v>16</v>
      </c>
      <c r="I24" s="9">
        <f>VLOOKUP(A24,'KPI Описание'!A:P,16,0)</f>
        <v>0</v>
      </c>
      <c r="J24" s="10">
        <f>IFERROR(VLOOKUP(A24,'KPI Описание'!A:Q,17,0),0)</f>
        <v>0</v>
      </c>
      <c r="K24" s="12">
        <f>SUM(K25:K29)</f>
        <v>1473</v>
      </c>
      <c r="L24" s="12">
        <f>SUM(L25:L29)</f>
        <v>1897</v>
      </c>
      <c r="M24" s="12">
        <f>SUM(M25:M29)</f>
        <v>7294</v>
      </c>
      <c r="N24" s="12">
        <f>SUM(N25:N29)</f>
        <v>7310</v>
      </c>
      <c r="O24" s="12">
        <f>SUM(O25:O29)</f>
        <v>8276</v>
      </c>
      <c r="P24" s="12">
        <f>SUM(P25:P29)</f>
        <v>5990</v>
      </c>
      <c r="Q24" s="12">
        <f>SUM(Q25:Q29)</f>
        <v>5676</v>
      </c>
      <c r="R24" s="12">
        <f>SUM(R25:R29)</f>
        <v>5214</v>
      </c>
      <c r="S24" s="12">
        <f>SUM(S25:S29)</f>
        <v>8191</v>
      </c>
      <c r="T24" s="12">
        <f>SUM(T25:T29)</f>
        <v>9787</v>
      </c>
      <c r="U24" s="12">
        <f>SUM(U25:U29)</f>
        <v>10077</v>
      </c>
      <c r="V24" s="12">
        <f>SUM(V25:V29)</f>
        <v>7734</v>
      </c>
      <c r="W24" s="12">
        <f>SUM(W25:W29)</f>
        <v>9095</v>
      </c>
      <c r="X24" s="12">
        <f>SUM(X25:X29)</f>
        <v>7992</v>
      </c>
      <c r="Y24" s="12">
        <v>6930</v>
      </c>
      <c r="Z24" s="12">
        <v>6155</v>
      </c>
      <c r="AA24" s="12">
        <v>8742</v>
      </c>
      <c r="AB24" s="12">
        <v>5293</v>
      </c>
      <c r="AC24" s="12">
        <v>6431</v>
      </c>
      <c r="AD24" s="12">
        <v>4987</v>
      </c>
      <c r="AE24" s="12">
        <v>5885</v>
      </c>
      <c r="AF24" s="12">
        <v>4402</v>
      </c>
      <c r="AG24" s="12">
        <v>4809</v>
      </c>
      <c r="AH24" s="12">
        <v>6628</v>
      </c>
      <c r="AI24" s="12">
        <v>1288</v>
      </c>
      <c r="AJ24" s="12">
        <v>6025</v>
      </c>
      <c r="AK24" s="12">
        <v>4650</v>
      </c>
      <c r="AL24" s="12">
        <f>AL25+AL26+AL27+AL28+AL29</f>
        <v>1488</v>
      </c>
      <c r="AM24" s="12">
        <f>AM25+AM26+AM27+AM28+AM29</f>
        <v>1617</v>
      </c>
      <c r="AN24" s="11">
        <v>7792</v>
      </c>
      <c r="AO24" s="11">
        <v>7214</v>
      </c>
      <c r="AP24" s="11">
        <v>8884</v>
      </c>
      <c r="AQ24" s="11">
        <v>9898</v>
      </c>
      <c r="AR24" s="11">
        <v>10731</v>
      </c>
      <c r="AS24" s="11">
        <v>10848</v>
      </c>
      <c r="AT24" s="11">
        <v>8356</v>
      </c>
      <c r="AU24" s="11">
        <v>7731</v>
      </c>
      <c r="AV24" s="11">
        <v>10000</v>
      </c>
      <c r="AW24" s="11">
        <v>10124</v>
      </c>
      <c r="AX24" s="11">
        <v>8666</v>
      </c>
      <c r="AY24" s="35">
        <v>11407</v>
      </c>
      <c r="AZ24" s="11">
        <v>7320</v>
      </c>
      <c r="BA24" s="11">
        <v>8912</v>
      </c>
      <c r="BB24" s="9" t="s">
        <v>17</v>
      </c>
      <c r="BC24" s="9" t="s">
        <v>17</v>
      </c>
      <c r="BD24" s="9" t="s">
        <v>17</v>
      </c>
      <c r="BE24" s="9" t="s">
        <v>17</v>
      </c>
      <c r="BF24" s="9" t="s">
        <v>17</v>
      </c>
      <c r="BG24" s="9" t="s">
        <v>17</v>
      </c>
      <c r="BH24" s="9" t="s">
        <v>17</v>
      </c>
      <c r="BI24" s="9" t="s">
        <v>17</v>
      </c>
      <c r="BJ24" s="9" t="s">
        <v>17</v>
      </c>
      <c r="BK24" s="9" t="s">
        <v>17</v>
      </c>
    </row>
    <row r="25" spans="1:63" s="72" customFormat="1" ht="50.25" customHeight="1">
      <c r="A25" s="81" t="s">
        <v>66</v>
      </c>
      <c r="B25" s="83" t="s">
        <v>67</v>
      </c>
      <c r="C25" s="83" t="s">
        <v>68</v>
      </c>
      <c r="D25" s="83"/>
      <c r="E25" s="85"/>
      <c r="F25" s="85"/>
      <c r="G25" s="87" t="str">
        <f>VLOOKUP(A25,'KPI Описание'!A:K,11,0)</f>
        <v>Оператор</v>
      </c>
      <c r="H25" s="87" t="s">
        <v>33</v>
      </c>
      <c r="I25" s="89"/>
      <c r="J25" s="94"/>
      <c r="K25" s="98">
        <v>386</v>
      </c>
      <c r="L25" s="98">
        <v>753</v>
      </c>
      <c r="M25" s="98">
        <v>3466</v>
      </c>
      <c r="N25" s="98">
        <v>3083</v>
      </c>
      <c r="O25" s="98">
        <v>3311</v>
      </c>
      <c r="P25" s="98">
        <v>2255</v>
      </c>
      <c r="Q25" s="98">
        <v>2116</v>
      </c>
      <c r="R25" s="98">
        <v>2274</v>
      </c>
      <c r="S25" s="98">
        <v>3478</v>
      </c>
      <c r="T25" s="98">
        <v>3375</v>
      </c>
      <c r="U25" s="98">
        <v>4082</v>
      </c>
      <c r="V25" s="98">
        <v>2400</v>
      </c>
      <c r="W25" s="98">
        <v>4455</v>
      </c>
      <c r="X25" s="93">
        <v>3067</v>
      </c>
      <c r="Y25" s="98" t="s">
        <v>17</v>
      </c>
      <c r="Z25" s="98" t="s">
        <v>17</v>
      </c>
      <c r="AA25" s="98" t="s">
        <v>17</v>
      </c>
      <c r="AB25" s="98" t="s">
        <v>17</v>
      </c>
      <c r="AC25" s="98" t="s">
        <v>17</v>
      </c>
      <c r="AD25" s="98" t="s">
        <v>17</v>
      </c>
      <c r="AE25" s="98" t="s">
        <v>17</v>
      </c>
      <c r="AF25" s="98">
        <v>351</v>
      </c>
      <c r="AG25" s="98">
        <v>449</v>
      </c>
      <c r="AH25" s="98">
        <v>399</v>
      </c>
      <c r="AI25" s="98">
        <v>450</v>
      </c>
      <c r="AJ25" s="98">
        <v>536</v>
      </c>
      <c r="AK25" s="98">
        <v>339</v>
      </c>
      <c r="AL25" s="98">
        <v>655</v>
      </c>
      <c r="AM25" s="98">
        <v>607</v>
      </c>
      <c r="AN25" s="93">
        <v>2608</v>
      </c>
      <c r="AO25" s="93">
        <v>3764</v>
      </c>
      <c r="AP25" s="93">
        <v>3074</v>
      </c>
      <c r="AQ25" s="93">
        <v>3910</v>
      </c>
      <c r="AR25" s="93">
        <v>3373</v>
      </c>
      <c r="AS25" s="93">
        <v>3300</v>
      </c>
      <c r="AT25" s="93">
        <v>2722</v>
      </c>
      <c r="AU25" s="93">
        <v>3199</v>
      </c>
      <c r="AV25" s="26">
        <v>2269</v>
      </c>
      <c r="AW25" s="26">
        <v>3273</v>
      </c>
      <c r="AX25" s="93">
        <v>1836</v>
      </c>
      <c r="AY25" s="111">
        <v>4774</v>
      </c>
      <c r="AZ25" s="93">
        <v>2852</v>
      </c>
      <c r="BA25" s="93">
        <v>3684</v>
      </c>
      <c r="BB25" s="89" t="s">
        <v>17</v>
      </c>
      <c r="BC25" s="89" t="s">
        <v>17</v>
      </c>
      <c r="BD25" s="89" t="s">
        <v>17</v>
      </c>
      <c r="BE25" s="89" t="s">
        <v>17</v>
      </c>
      <c r="BF25" s="89" t="s">
        <v>17</v>
      </c>
      <c r="BG25" s="89" t="s">
        <v>17</v>
      </c>
      <c r="BH25" s="89" t="s">
        <v>17</v>
      </c>
      <c r="BI25" s="89" t="s">
        <v>17</v>
      </c>
      <c r="BJ25" s="89" t="s">
        <v>17</v>
      </c>
      <c r="BK25" s="89" t="s">
        <v>17</v>
      </c>
    </row>
    <row r="26" spans="1:63" ht="27.95" customHeight="1">
      <c r="A26" s="14" t="s">
        <v>66</v>
      </c>
      <c r="B26" s="15" t="s">
        <v>67</v>
      </c>
      <c r="C26" s="15" t="s">
        <v>68</v>
      </c>
      <c r="D26" s="15"/>
      <c r="E26" s="43"/>
      <c r="F26" s="43"/>
      <c r="G26" s="17" t="str">
        <f>VLOOKUP(A26,'KPI Описание'!A:K,11,0)</f>
        <v>Оператор</v>
      </c>
      <c r="H26" s="17" t="s">
        <v>36</v>
      </c>
      <c r="I26" s="18"/>
      <c r="J26" s="19"/>
      <c r="K26" s="20">
        <v>117</v>
      </c>
      <c r="L26" s="20">
        <v>152</v>
      </c>
      <c r="M26" s="20">
        <v>158</v>
      </c>
      <c r="N26" s="20">
        <v>266</v>
      </c>
      <c r="O26" s="20">
        <v>211</v>
      </c>
      <c r="P26" s="20">
        <v>242</v>
      </c>
      <c r="Q26" s="20">
        <v>322</v>
      </c>
      <c r="R26" s="20">
        <v>349</v>
      </c>
      <c r="S26" s="20">
        <v>321</v>
      </c>
      <c r="T26" s="20">
        <v>228</v>
      </c>
      <c r="U26" s="20">
        <v>383</v>
      </c>
      <c r="V26" s="20">
        <v>87</v>
      </c>
      <c r="W26" s="20">
        <v>102</v>
      </c>
      <c r="X26" s="26">
        <v>104</v>
      </c>
      <c r="Y26" s="20" t="s">
        <v>17</v>
      </c>
      <c r="Z26" s="20" t="s">
        <v>17</v>
      </c>
      <c r="AA26" s="20" t="s">
        <v>17</v>
      </c>
      <c r="AB26" s="20" t="s">
        <v>17</v>
      </c>
      <c r="AC26" s="20" t="s">
        <v>17</v>
      </c>
      <c r="AD26" s="20" t="s">
        <v>17</v>
      </c>
      <c r="AE26" s="20" t="s">
        <v>17</v>
      </c>
      <c r="AF26" s="20">
        <v>41</v>
      </c>
      <c r="AG26" s="20">
        <v>34</v>
      </c>
      <c r="AH26" s="20">
        <v>74</v>
      </c>
      <c r="AI26" s="20">
        <v>39</v>
      </c>
      <c r="AJ26" s="20">
        <v>4</v>
      </c>
      <c r="AK26" s="20">
        <v>50</v>
      </c>
      <c r="AL26" s="20">
        <v>13</v>
      </c>
      <c r="AM26" s="20">
        <v>44</v>
      </c>
      <c r="AN26" s="26">
        <v>178</v>
      </c>
      <c r="AO26" s="26">
        <v>211</v>
      </c>
      <c r="AP26" s="26">
        <v>186</v>
      </c>
      <c r="AQ26" s="26">
        <v>246</v>
      </c>
      <c r="AR26" s="26">
        <v>480</v>
      </c>
      <c r="AS26" s="26">
        <v>455</v>
      </c>
      <c r="AT26" s="26">
        <v>250</v>
      </c>
      <c r="AU26" s="26">
        <v>565</v>
      </c>
      <c r="AV26" s="26">
        <v>501</v>
      </c>
      <c r="AW26" s="26">
        <v>329</v>
      </c>
      <c r="AX26" s="26">
        <v>284</v>
      </c>
      <c r="AY26" s="44">
        <v>738</v>
      </c>
      <c r="AZ26" s="26">
        <v>336</v>
      </c>
      <c r="BA26" s="26">
        <v>386</v>
      </c>
      <c r="BB26" s="18" t="s">
        <v>17</v>
      </c>
      <c r="BC26" s="18" t="s">
        <v>17</v>
      </c>
      <c r="BD26" s="18" t="s">
        <v>17</v>
      </c>
      <c r="BE26" s="18" t="s">
        <v>17</v>
      </c>
      <c r="BF26" s="18" t="s">
        <v>17</v>
      </c>
      <c r="BG26" s="18" t="s">
        <v>17</v>
      </c>
      <c r="BH26" s="18" t="s">
        <v>17</v>
      </c>
      <c r="BI26" s="18" t="s">
        <v>17</v>
      </c>
      <c r="BJ26" s="18" t="s">
        <v>17</v>
      </c>
      <c r="BK26" s="18" t="s">
        <v>17</v>
      </c>
    </row>
    <row r="27" spans="1:63" ht="27.95" customHeight="1">
      <c r="A27" s="14" t="s">
        <v>66</v>
      </c>
      <c r="B27" s="15" t="s">
        <v>67</v>
      </c>
      <c r="C27" s="15" t="s">
        <v>68</v>
      </c>
      <c r="D27" s="15"/>
      <c r="E27" s="43"/>
      <c r="F27" s="43"/>
      <c r="G27" s="17" t="str">
        <f>VLOOKUP(A27,'KPI Описание'!A:K,11,0)</f>
        <v>Оператор</v>
      </c>
      <c r="H27" s="17" t="s">
        <v>37</v>
      </c>
      <c r="I27" s="18"/>
      <c r="J27" s="19"/>
      <c r="K27" s="20">
        <v>161</v>
      </c>
      <c r="L27" s="20">
        <v>369</v>
      </c>
      <c r="M27" s="20">
        <v>427</v>
      </c>
      <c r="N27" s="20">
        <v>535</v>
      </c>
      <c r="O27" s="20">
        <v>552</v>
      </c>
      <c r="P27" s="20">
        <v>706</v>
      </c>
      <c r="Q27" s="20">
        <v>629</v>
      </c>
      <c r="R27" s="20">
        <v>676</v>
      </c>
      <c r="S27" s="20">
        <v>1297</v>
      </c>
      <c r="T27" s="20">
        <v>808</v>
      </c>
      <c r="U27" s="20">
        <v>777</v>
      </c>
      <c r="V27" s="20">
        <v>892</v>
      </c>
      <c r="W27" s="20">
        <v>892</v>
      </c>
      <c r="X27" s="26">
        <v>849</v>
      </c>
      <c r="Y27" s="20" t="s">
        <v>17</v>
      </c>
      <c r="Z27" s="20" t="s">
        <v>17</v>
      </c>
      <c r="AA27" s="20" t="s">
        <v>17</v>
      </c>
      <c r="AB27" s="20" t="s">
        <v>17</v>
      </c>
      <c r="AC27" s="20" t="s">
        <v>17</v>
      </c>
      <c r="AD27" s="20" t="s">
        <v>17</v>
      </c>
      <c r="AE27" s="20" t="s">
        <v>17</v>
      </c>
      <c r="AF27" s="20">
        <v>96</v>
      </c>
      <c r="AG27" s="20">
        <v>117</v>
      </c>
      <c r="AH27" s="20">
        <v>39</v>
      </c>
      <c r="AI27" s="20">
        <v>170</v>
      </c>
      <c r="AJ27" s="20">
        <v>127</v>
      </c>
      <c r="AK27" s="20">
        <v>121</v>
      </c>
      <c r="AL27" s="20">
        <v>70</v>
      </c>
      <c r="AM27" s="20">
        <v>152</v>
      </c>
      <c r="AN27" s="26">
        <v>758</v>
      </c>
      <c r="AO27" s="26">
        <v>862</v>
      </c>
      <c r="AP27" s="26">
        <v>1279</v>
      </c>
      <c r="AQ27" s="26">
        <v>851</v>
      </c>
      <c r="AR27" s="26">
        <v>524</v>
      </c>
      <c r="AS27" s="26">
        <v>819</v>
      </c>
      <c r="AT27" s="26">
        <v>962</v>
      </c>
      <c r="AU27" s="26">
        <v>1137</v>
      </c>
      <c r="AV27" s="26">
        <v>1347</v>
      </c>
      <c r="AW27" s="26">
        <v>868</v>
      </c>
      <c r="AX27" s="26">
        <v>745</v>
      </c>
      <c r="AY27" s="44">
        <v>1068</v>
      </c>
      <c r="AZ27" s="26">
        <v>787</v>
      </c>
      <c r="BA27" s="26">
        <v>615</v>
      </c>
      <c r="BB27" s="18" t="s">
        <v>17</v>
      </c>
      <c r="BC27" s="18" t="s">
        <v>17</v>
      </c>
      <c r="BD27" s="18" t="s">
        <v>17</v>
      </c>
      <c r="BE27" s="18" t="s">
        <v>17</v>
      </c>
      <c r="BF27" s="18" t="s">
        <v>17</v>
      </c>
      <c r="BG27" s="18" t="s">
        <v>17</v>
      </c>
      <c r="BH27" s="18" t="s">
        <v>17</v>
      </c>
      <c r="BI27" s="18" t="s">
        <v>17</v>
      </c>
      <c r="BJ27" s="18" t="s">
        <v>17</v>
      </c>
      <c r="BK27" s="18" t="s">
        <v>17</v>
      </c>
    </row>
    <row r="28" spans="1:63" ht="27.95" customHeight="1">
      <c r="A28" s="14" t="s">
        <v>66</v>
      </c>
      <c r="B28" s="15" t="s">
        <v>67</v>
      </c>
      <c r="C28" s="15" t="s">
        <v>68</v>
      </c>
      <c r="D28" s="15"/>
      <c r="E28" s="43"/>
      <c r="F28" s="43"/>
      <c r="G28" s="17" t="str">
        <f>VLOOKUP(A28,'KPI Описание'!A:K,11,0)</f>
        <v>Оператор</v>
      </c>
      <c r="H28" s="17" t="s">
        <v>40</v>
      </c>
      <c r="I28" s="18"/>
      <c r="J28" s="19"/>
      <c r="K28" s="22">
        <v>460</v>
      </c>
      <c r="L28" s="22">
        <v>524</v>
      </c>
      <c r="M28" s="22">
        <v>1680</v>
      </c>
      <c r="N28" s="22">
        <v>2070</v>
      </c>
      <c r="O28" s="22">
        <v>2496</v>
      </c>
      <c r="P28" s="22">
        <v>2182</v>
      </c>
      <c r="Q28" s="20">
        <v>1396</v>
      </c>
      <c r="R28" s="20">
        <v>1030</v>
      </c>
      <c r="S28" s="20">
        <v>1446</v>
      </c>
      <c r="T28" s="20">
        <v>2756</v>
      </c>
      <c r="U28" s="20">
        <v>2624</v>
      </c>
      <c r="V28" s="20">
        <v>2132</v>
      </c>
      <c r="W28" s="20">
        <v>1261</v>
      </c>
      <c r="X28" s="26">
        <v>1969</v>
      </c>
      <c r="Y28" s="20" t="s">
        <v>17</v>
      </c>
      <c r="Z28" s="20" t="s">
        <v>17</v>
      </c>
      <c r="AA28" s="20" t="s">
        <v>17</v>
      </c>
      <c r="AB28" s="20" t="s">
        <v>17</v>
      </c>
      <c r="AC28" s="20" t="s">
        <v>17</v>
      </c>
      <c r="AD28" s="20" t="s">
        <v>17</v>
      </c>
      <c r="AE28" s="20" t="s">
        <v>17</v>
      </c>
      <c r="AF28" s="20">
        <v>68</v>
      </c>
      <c r="AG28" s="20">
        <v>132</v>
      </c>
      <c r="AH28" s="20">
        <v>99</v>
      </c>
      <c r="AI28" s="20">
        <v>248</v>
      </c>
      <c r="AJ28" s="20">
        <v>176</v>
      </c>
      <c r="AK28" s="20">
        <v>143</v>
      </c>
      <c r="AL28" s="20">
        <v>245</v>
      </c>
      <c r="AM28" s="20">
        <v>298</v>
      </c>
      <c r="AN28" s="26">
        <v>2863</v>
      </c>
      <c r="AO28" s="26">
        <v>1362</v>
      </c>
      <c r="AP28" s="26">
        <v>2817</v>
      </c>
      <c r="AQ28" s="26">
        <v>2870</v>
      </c>
      <c r="AR28" s="26">
        <v>3765</v>
      </c>
      <c r="AS28" s="26">
        <v>3367</v>
      </c>
      <c r="AT28" s="26">
        <v>2832</v>
      </c>
      <c r="AU28" s="26">
        <v>1268</v>
      </c>
      <c r="AV28" s="26">
        <v>2875</v>
      </c>
      <c r="AW28" s="26">
        <v>3988</v>
      </c>
      <c r="AX28" s="26">
        <v>4615</v>
      </c>
      <c r="AY28" s="44">
        <v>2667</v>
      </c>
      <c r="AZ28" s="26">
        <v>1371</v>
      </c>
      <c r="BA28" s="26">
        <v>2502</v>
      </c>
      <c r="BB28" s="18" t="s">
        <v>17</v>
      </c>
      <c r="BC28" s="18" t="s">
        <v>17</v>
      </c>
      <c r="BD28" s="18" t="s">
        <v>17</v>
      </c>
      <c r="BE28" s="18" t="s">
        <v>17</v>
      </c>
      <c r="BF28" s="18" t="s">
        <v>17</v>
      </c>
      <c r="BG28" s="18" t="s">
        <v>17</v>
      </c>
      <c r="BH28" s="18" t="s">
        <v>17</v>
      </c>
      <c r="BI28" s="18" t="s">
        <v>17</v>
      </c>
      <c r="BJ28" s="18" t="s">
        <v>17</v>
      </c>
      <c r="BK28" s="18" t="s">
        <v>17</v>
      </c>
    </row>
    <row r="29" spans="1:63" ht="27.95" customHeight="1">
      <c r="A29" s="14" t="s">
        <v>66</v>
      </c>
      <c r="B29" s="15" t="s">
        <v>67</v>
      </c>
      <c r="C29" s="15" t="s">
        <v>68</v>
      </c>
      <c r="D29" s="15"/>
      <c r="E29" s="43"/>
      <c r="F29" s="43"/>
      <c r="G29" s="17" t="str">
        <f>VLOOKUP(A29,'KPI Описание'!A:K,11,0)</f>
        <v>Оператор</v>
      </c>
      <c r="H29" s="17" t="s">
        <v>43</v>
      </c>
      <c r="I29" s="18"/>
      <c r="J29" s="19"/>
      <c r="K29" s="22">
        <v>349</v>
      </c>
      <c r="L29" s="22">
        <v>99</v>
      </c>
      <c r="M29" s="22">
        <v>1563</v>
      </c>
      <c r="N29" s="22">
        <v>1356</v>
      </c>
      <c r="O29" s="22">
        <v>1706</v>
      </c>
      <c r="P29" s="22">
        <v>605</v>
      </c>
      <c r="Q29" s="20">
        <v>1213</v>
      </c>
      <c r="R29" s="20">
        <v>885</v>
      </c>
      <c r="S29" s="20">
        <v>1649</v>
      </c>
      <c r="T29" s="20">
        <v>2620</v>
      </c>
      <c r="U29" s="20">
        <v>2211</v>
      </c>
      <c r="V29" s="20">
        <v>2223</v>
      </c>
      <c r="W29" s="20">
        <v>2385</v>
      </c>
      <c r="X29" s="26">
        <v>2003</v>
      </c>
      <c r="Y29" s="20" t="s">
        <v>17</v>
      </c>
      <c r="Z29" s="20" t="s">
        <v>17</v>
      </c>
      <c r="AA29" s="20" t="s">
        <v>17</v>
      </c>
      <c r="AB29" s="20" t="s">
        <v>17</v>
      </c>
      <c r="AC29" s="20" t="s">
        <v>17</v>
      </c>
      <c r="AD29" s="20" t="s">
        <v>17</v>
      </c>
      <c r="AE29" s="20" t="s">
        <v>17</v>
      </c>
      <c r="AF29" s="20">
        <v>41</v>
      </c>
      <c r="AG29" s="20">
        <v>25</v>
      </c>
      <c r="AH29" s="20">
        <v>334</v>
      </c>
      <c r="AI29" s="20">
        <v>119</v>
      </c>
      <c r="AJ29" s="20">
        <v>23</v>
      </c>
      <c r="AK29" s="20">
        <v>237</v>
      </c>
      <c r="AL29" s="20">
        <v>505</v>
      </c>
      <c r="AM29" s="20">
        <v>516</v>
      </c>
      <c r="AN29" s="26">
        <v>1385</v>
      </c>
      <c r="AO29" s="26">
        <v>1008</v>
      </c>
      <c r="AP29" s="26">
        <v>1526</v>
      </c>
      <c r="AQ29" s="26">
        <v>2021</v>
      </c>
      <c r="AR29" s="26">
        <v>2589</v>
      </c>
      <c r="AS29" s="26">
        <v>2907</v>
      </c>
      <c r="AT29" s="26">
        <v>1547</v>
      </c>
      <c r="AU29" s="26">
        <v>1562</v>
      </c>
      <c r="AV29" s="26">
        <v>3008</v>
      </c>
      <c r="AW29" s="26">
        <v>1483</v>
      </c>
      <c r="AX29" s="26">
        <v>1172</v>
      </c>
      <c r="AY29" s="44">
        <v>2160</v>
      </c>
      <c r="AZ29" s="26">
        <v>1974</v>
      </c>
      <c r="BA29" s="26">
        <v>1725</v>
      </c>
      <c r="BB29" s="18" t="s">
        <v>17</v>
      </c>
      <c r="BC29" s="18" t="s">
        <v>17</v>
      </c>
      <c r="BD29" s="18" t="s">
        <v>17</v>
      </c>
      <c r="BE29" s="18" t="s">
        <v>17</v>
      </c>
      <c r="BF29" s="18" t="s">
        <v>17</v>
      </c>
      <c r="BG29" s="18" t="s">
        <v>17</v>
      </c>
      <c r="BH29" s="18" t="s">
        <v>17</v>
      </c>
      <c r="BI29" s="18" t="s">
        <v>17</v>
      </c>
      <c r="BJ29" s="18" t="s">
        <v>17</v>
      </c>
      <c r="BK29" s="18" t="s">
        <v>17</v>
      </c>
    </row>
    <row r="30" spans="1:63" ht="27.95" hidden="1" customHeight="1">
      <c r="A30" s="82" t="s">
        <v>70</v>
      </c>
      <c r="B30" s="84" t="s">
        <v>71</v>
      </c>
      <c r="C30" s="84" t="s">
        <v>63</v>
      </c>
      <c r="D30" s="84" t="s">
        <v>13</v>
      </c>
      <c r="E30" s="86" t="s">
        <v>59</v>
      </c>
      <c r="F30" s="86" t="s">
        <v>72</v>
      </c>
      <c r="G30" s="88" t="str">
        <f>VLOOKUP(A30,'KPI Описание'!A:K,11,0)</f>
        <v>Менеджер смены</v>
      </c>
      <c r="H30" s="88" t="s">
        <v>16</v>
      </c>
      <c r="I30" s="91">
        <f>VLOOKUP(A30,'KPI Описание'!A:P,16,0)</f>
        <v>0.95</v>
      </c>
      <c r="J30" s="95">
        <f>IFERROR(VLOOKUP(A30,'KPI Описание'!A:Q,17,0),0)</f>
        <v>0</v>
      </c>
      <c r="K30" s="91">
        <f>2959/2350</f>
        <v>1.2591489361702128</v>
      </c>
      <c r="L30" s="91">
        <f>2171/2450</f>
        <v>0.8861224489795918</v>
      </c>
      <c r="M30" s="91">
        <f>6881/8100</f>
        <v>0.84950617283950614</v>
      </c>
      <c r="N30" s="91">
        <f>7280/9100</f>
        <v>0.8</v>
      </c>
      <c r="O30" s="91">
        <f>8066/10250</f>
        <v>0.78692682926829272</v>
      </c>
      <c r="P30" s="91">
        <f>5806/7150</f>
        <v>0.81202797202797206</v>
      </c>
      <c r="Q30" s="91">
        <v>0.89211678832116792</v>
      </c>
      <c r="R30" s="91">
        <v>0.7758666666666667</v>
      </c>
      <c r="S30" s="91">
        <v>0.82</v>
      </c>
      <c r="T30" s="91">
        <v>0.93</v>
      </c>
      <c r="U30" s="91">
        <v>0.85</v>
      </c>
      <c r="V30" s="91">
        <v>0.91</v>
      </c>
      <c r="W30" s="91">
        <v>0.79</v>
      </c>
      <c r="X30" s="91">
        <v>0.56999999999999995</v>
      </c>
      <c r="Y30" s="91">
        <v>0.92</v>
      </c>
      <c r="Z30" s="91">
        <v>0.66</v>
      </c>
      <c r="AA30" s="91">
        <v>1.24</v>
      </c>
      <c r="AB30" s="91">
        <v>1</v>
      </c>
      <c r="AC30" s="91">
        <v>1.55</v>
      </c>
      <c r="AD30" s="91">
        <v>1.19</v>
      </c>
      <c r="AE30" s="91">
        <v>1.41</v>
      </c>
      <c r="AF30" s="91">
        <v>1.21</v>
      </c>
      <c r="AG30" s="91">
        <v>1.1000000000000001</v>
      </c>
      <c r="AH30" s="91">
        <v>1.18</v>
      </c>
      <c r="AI30" s="91">
        <v>1.17</v>
      </c>
      <c r="AJ30" s="91">
        <v>0.93</v>
      </c>
      <c r="AK30" s="91">
        <v>1.33</v>
      </c>
      <c r="AL30" s="91">
        <v>1.67</v>
      </c>
      <c r="AM30" s="91">
        <v>1.83</v>
      </c>
      <c r="AN30" s="91">
        <v>1.34</v>
      </c>
      <c r="AO30" s="91">
        <v>1.63</v>
      </c>
      <c r="AP30" s="91">
        <v>1.39</v>
      </c>
      <c r="AQ30" s="91">
        <v>1.54</v>
      </c>
      <c r="AR30" s="91">
        <v>1.67</v>
      </c>
      <c r="AS30" s="91">
        <v>1.47</v>
      </c>
      <c r="AT30" s="91">
        <v>1.36</v>
      </c>
      <c r="AU30" s="91">
        <v>1.48</v>
      </c>
      <c r="AV30" s="91">
        <v>1.28</v>
      </c>
      <c r="AW30" s="91">
        <v>1.32</v>
      </c>
      <c r="AX30" s="91" t="s">
        <v>17</v>
      </c>
      <c r="AY30" s="91" t="s">
        <v>17</v>
      </c>
      <c r="AZ30" s="91" t="s">
        <v>17</v>
      </c>
      <c r="BA30" s="91" t="s">
        <v>17</v>
      </c>
      <c r="BB30" s="91" t="s">
        <v>17</v>
      </c>
      <c r="BC30" s="91" t="s">
        <v>17</v>
      </c>
      <c r="BD30" s="91" t="s">
        <v>17</v>
      </c>
      <c r="BE30" s="91" t="s">
        <v>17</v>
      </c>
      <c r="BF30" s="91" t="s">
        <v>17</v>
      </c>
      <c r="BG30" s="91" t="s">
        <v>17</v>
      </c>
      <c r="BH30" s="91" t="s">
        <v>17</v>
      </c>
      <c r="BI30" s="91" t="s">
        <v>17</v>
      </c>
      <c r="BJ30" s="91" t="s">
        <v>17</v>
      </c>
      <c r="BK30" s="91" t="s">
        <v>17</v>
      </c>
    </row>
    <row r="31" spans="1:63" s="72" customFormat="1" ht="27.95" customHeight="1">
      <c r="A31" s="5" t="s">
        <v>73</v>
      </c>
      <c r="B31" s="6" t="s">
        <v>74</v>
      </c>
      <c r="C31" s="6" t="s">
        <v>68</v>
      </c>
      <c r="D31" s="6" t="s">
        <v>13</v>
      </c>
      <c r="E31" s="42" t="s">
        <v>75</v>
      </c>
      <c r="F31" s="42" t="s">
        <v>76</v>
      </c>
      <c r="G31" s="8" t="str">
        <f>VLOOKUP(A31,'KPI Описание'!A:K,11,0)</f>
        <v>Оператор</v>
      </c>
      <c r="H31" s="8" t="s">
        <v>16</v>
      </c>
      <c r="I31" s="11">
        <f>VLOOKUP(A31,'KPI Описание'!A:P,16,0)</f>
        <v>10</v>
      </c>
      <c r="J31" s="10" t="str">
        <f>IFERROR(VLOOKUP(A31,'KPI Описание'!A:Q,17,0),0)</f>
        <v>lower</v>
      </c>
      <c r="K31" s="11" t="s">
        <v>17</v>
      </c>
      <c r="L31" s="11">
        <v>10</v>
      </c>
      <c r="M31" s="11">
        <v>10</v>
      </c>
      <c r="N31" s="11">
        <v>10</v>
      </c>
      <c r="O31" s="11">
        <v>12</v>
      </c>
      <c r="P31" s="11">
        <v>16</v>
      </c>
      <c r="Q31" s="11">
        <v>31</v>
      </c>
      <c r="R31" s="11">
        <v>11</v>
      </c>
      <c r="S31" s="11">
        <v>8</v>
      </c>
      <c r="T31" s="11">
        <v>17</v>
      </c>
      <c r="U31" s="11">
        <v>15</v>
      </c>
      <c r="V31" s="11">
        <v>8</v>
      </c>
      <c r="W31" s="11">
        <v>9</v>
      </c>
      <c r="X31" s="11">
        <v>12</v>
      </c>
      <c r="Y31" s="11">
        <v>5</v>
      </c>
      <c r="Z31" s="11">
        <v>6</v>
      </c>
      <c r="AA31" s="11">
        <v>5</v>
      </c>
      <c r="AB31" s="11">
        <v>4</v>
      </c>
      <c r="AC31" s="11">
        <v>4</v>
      </c>
      <c r="AD31" s="11">
        <v>13</v>
      </c>
      <c r="AE31" s="11">
        <v>5</v>
      </c>
      <c r="AF31" s="11">
        <v>19</v>
      </c>
      <c r="AG31" s="11">
        <v>1</v>
      </c>
      <c r="AH31" s="11">
        <v>1</v>
      </c>
      <c r="AI31" s="11">
        <v>24</v>
      </c>
      <c r="AJ31" s="11">
        <v>1</v>
      </c>
      <c r="AK31" s="11">
        <v>1</v>
      </c>
      <c r="AL31" s="11">
        <v>2</v>
      </c>
      <c r="AM31" s="11">
        <v>3</v>
      </c>
      <c r="AN31" s="11">
        <v>1</v>
      </c>
      <c r="AO31" s="11">
        <v>3</v>
      </c>
      <c r="AP31" s="11">
        <v>1</v>
      </c>
      <c r="AQ31" s="11">
        <v>1</v>
      </c>
      <c r="AR31" s="11">
        <v>2</v>
      </c>
      <c r="AS31" s="11">
        <v>0</v>
      </c>
      <c r="AT31" s="11">
        <v>23</v>
      </c>
      <c r="AU31" s="11">
        <v>3</v>
      </c>
      <c r="AV31" s="11">
        <v>3</v>
      </c>
      <c r="AW31" s="11">
        <v>268</v>
      </c>
      <c r="AX31" s="11">
        <v>4</v>
      </c>
      <c r="AY31" s="11">
        <v>5</v>
      </c>
      <c r="AZ31" s="11">
        <v>6</v>
      </c>
      <c r="BA31" s="11">
        <v>3</v>
      </c>
      <c r="BB31" s="11" t="s">
        <v>17</v>
      </c>
      <c r="BC31" s="11" t="s">
        <v>17</v>
      </c>
      <c r="BD31" s="11" t="s">
        <v>17</v>
      </c>
      <c r="BE31" s="11" t="s">
        <v>17</v>
      </c>
      <c r="BF31" s="11" t="s">
        <v>17</v>
      </c>
      <c r="BG31" s="11" t="s">
        <v>17</v>
      </c>
      <c r="BH31" s="11" t="s">
        <v>17</v>
      </c>
      <c r="BI31" s="11" t="s">
        <v>17</v>
      </c>
      <c r="BJ31" s="11" t="s">
        <v>17</v>
      </c>
      <c r="BK31" s="11" t="s">
        <v>17</v>
      </c>
    </row>
    <row r="32" spans="1:63" ht="27.95" customHeight="1">
      <c r="A32" s="82" t="s">
        <v>77</v>
      </c>
      <c r="B32" s="84" t="s">
        <v>78</v>
      </c>
      <c r="C32" s="84" t="s">
        <v>63</v>
      </c>
      <c r="D32" s="84" t="s">
        <v>13</v>
      </c>
      <c r="E32" s="86" t="s">
        <v>79</v>
      </c>
      <c r="F32" s="86" t="s">
        <v>80</v>
      </c>
      <c r="G32" s="88" t="str">
        <f>VLOOKUP(A32,'KPI Описание'!A:K,11,0)</f>
        <v>Оператор</v>
      </c>
      <c r="H32" s="88" t="s">
        <v>16</v>
      </c>
      <c r="I32" s="91">
        <f>VLOOKUP(A32,'KPI Описание'!A:P,16,0)</f>
        <v>0.95</v>
      </c>
      <c r="J32" s="95" t="str">
        <f>IFERROR(VLOOKUP(A32,'KPI Описание'!A:Q,17,0),0)</f>
        <v>higher</v>
      </c>
      <c r="K32" s="104">
        <f>AVERAGE(K33:K37)</f>
        <v>0.96904806394684928</v>
      </c>
      <c r="L32" s="104">
        <f>AVERAGE(L33:L37)</f>
        <v>0.98525005272886546</v>
      </c>
      <c r="M32" s="104">
        <f>AVERAGE(M33:M37)</f>
        <v>0.99853818216591572</v>
      </c>
      <c r="N32" s="104">
        <f>AVERAGE(N33:N37)</f>
        <v>0.99304982130704733</v>
      </c>
      <c r="O32" s="104">
        <f>AVERAGE(O33:O37)</f>
        <v>0.99711071847185795</v>
      </c>
      <c r="P32" s="104">
        <f>AVERAGE(P33:P37)</f>
        <v>0.98869463869463869</v>
      </c>
      <c r="Q32" s="104">
        <f>AVERAGE(Q33:Q37)</f>
        <v>0.99513897812630425</v>
      </c>
      <c r="R32" s="104">
        <f>AVERAGE(R33:R37)</f>
        <v>0.99598791229851924</v>
      </c>
      <c r="S32" s="104">
        <f>AVERAGE(S33:S37)</f>
        <v>0.99680588281720683</v>
      </c>
      <c r="T32" s="104">
        <f>AVERAGE(T33:T37)</f>
        <v>0.99827041839688613</v>
      </c>
      <c r="U32" s="104">
        <f>AVERAGE(U33:U37)</f>
        <v>0.99659347426439171</v>
      </c>
      <c r="V32" s="104">
        <f>AVERAGE(V33:V37)</f>
        <v>0.95897702657809847</v>
      </c>
      <c r="W32" s="104">
        <f>AVERAGE(W33:W37)</f>
        <v>0.99510171623760402</v>
      </c>
      <c r="X32" s="104">
        <f>AVERAGE(X33:X37)</f>
        <v>0.99183499081622806</v>
      </c>
      <c r="Y32" s="104">
        <f>8114/8228</f>
        <v>0.98614487117160909</v>
      </c>
      <c r="Z32" s="91">
        <f>6154/6155</f>
        <v>0.99983753046303814</v>
      </c>
      <c r="AA32" s="91">
        <f>7964/7992</f>
        <v>0.99649649649649652</v>
      </c>
      <c r="AB32" s="91">
        <f>4334/4342</f>
        <v>0.99815753109166283</v>
      </c>
      <c r="AC32" s="91">
        <f>5634/5659</f>
        <v>0.99558225834953173</v>
      </c>
      <c r="AD32" s="91">
        <f>5315/5334</f>
        <v>0.99643794525684293</v>
      </c>
      <c r="AE32" s="91">
        <f>5885/5903</f>
        <v>0.99695070303235644</v>
      </c>
      <c r="AF32" s="91">
        <f>4474/4498</f>
        <v>0.99466429524232991</v>
      </c>
      <c r="AG32" s="91">
        <f>4792/4820</f>
        <v>0.99419087136929463</v>
      </c>
      <c r="AH32" s="90">
        <v>0.980908687</v>
      </c>
      <c r="AI32" s="91">
        <f>4830/4833</f>
        <v>0.99937926753569206</v>
      </c>
      <c r="AJ32" s="90">
        <v>0.99455265800000003</v>
      </c>
      <c r="AK32" s="91">
        <v>0.99</v>
      </c>
      <c r="AL32" s="91">
        <f>5138/5194</f>
        <v>0.98921832884097038</v>
      </c>
      <c r="AM32" s="91">
        <f>9131/9183</f>
        <v>0.99433736251769578</v>
      </c>
      <c r="AN32" s="91">
        <v>0.99680184199999999</v>
      </c>
      <c r="AO32" s="91">
        <f>7214/7313</f>
        <v>0.98646246410501848</v>
      </c>
      <c r="AP32" s="91">
        <v>0.99641094699999999</v>
      </c>
      <c r="AQ32" s="91">
        <v>0.99367533399999997</v>
      </c>
      <c r="AR32" s="91">
        <v>0.99333518499999995</v>
      </c>
      <c r="AS32" s="91">
        <v>0.98743855800000002</v>
      </c>
      <c r="AT32" s="91">
        <v>0.98</v>
      </c>
      <c r="AU32" s="91">
        <v>0.99</v>
      </c>
      <c r="AV32" s="91">
        <v>0.97115664800000001</v>
      </c>
      <c r="AW32" s="91">
        <v>0.98</v>
      </c>
      <c r="AX32" s="91">
        <v>0.96107352800000001</v>
      </c>
      <c r="AY32" s="91">
        <v>0.98873190600000005</v>
      </c>
      <c r="AZ32" s="91">
        <v>0.97808658500000001</v>
      </c>
      <c r="BA32" s="91">
        <v>0.95</v>
      </c>
      <c r="BB32" s="91" t="s">
        <v>17</v>
      </c>
      <c r="BC32" s="91" t="s">
        <v>17</v>
      </c>
      <c r="BD32" s="91" t="s">
        <v>17</v>
      </c>
      <c r="BE32" s="91" t="s">
        <v>17</v>
      </c>
      <c r="BF32" s="91" t="s">
        <v>17</v>
      </c>
      <c r="BG32" s="91" t="s">
        <v>17</v>
      </c>
      <c r="BH32" s="91" t="s">
        <v>17</v>
      </c>
      <c r="BI32" s="91" t="s">
        <v>17</v>
      </c>
      <c r="BJ32" s="91" t="s">
        <v>17</v>
      </c>
      <c r="BK32" s="91" t="s">
        <v>17</v>
      </c>
    </row>
    <row r="33" spans="1:64" ht="27.95" customHeight="1">
      <c r="A33" s="14" t="s">
        <v>77</v>
      </c>
      <c r="B33" s="15" t="s">
        <v>78</v>
      </c>
      <c r="C33" s="15" t="s">
        <v>63</v>
      </c>
      <c r="D33" s="15"/>
      <c r="E33" s="43"/>
      <c r="F33" s="43"/>
      <c r="G33" s="17" t="str">
        <f>VLOOKUP(A33,'KPI Описание'!A:K,11,0)</f>
        <v>Оператор</v>
      </c>
      <c r="H33" s="17" t="s">
        <v>33</v>
      </c>
      <c r="I33" s="18"/>
      <c r="J33" s="19"/>
      <c r="K33" s="24">
        <f>386/390*100%</f>
        <v>0.98974358974358978</v>
      </c>
      <c r="L33" s="24">
        <f>753/758*100%</f>
        <v>0.99340369393139838</v>
      </c>
      <c r="M33" s="24">
        <f>3467/3470*100%</f>
        <v>0.99913544668587895</v>
      </c>
      <c r="N33" s="24">
        <f>3082/3085*100%</f>
        <v>0.99902755267423016</v>
      </c>
      <c r="O33" s="24">
        <f>1609/1610*100%</f>
        <v>0.99937888198757763</v>
      </c>
      <c r="P33" s="24">
        <f>1318/1318*100%</f>
        <v>1</v>
      </c>
      <c r="Q33" s="24">
        <f>1073/1074*100%</f>
        <v>0.9990689013035382</v>
      </c>
      <c r="R33" s="24">
        <f>2274/2275*100%</f>
        <v>0.99956043956043961</v>
      </c>
      <c r="S33" s="18">
        <f>3478/3480</f>
        <v>0.99942528735632186</v>
      </c>
      <c r="T33" s="18">
        <f>1891/1891</f>
        <v>1</v>
      </c>
      <c r="U33" s="24">
        <f>3524/3540</f>
        <v>0.99548022598870056</v>
      </c>
      <c r="V33" s="24">
        <f>4441/4521</f>
        <v>0.98230479982304797</v>
      </c>
      <c r="W33" s="18">
        <f>3303/3306</f>
        <v>0.99909255898366611</v>
      </c>
      <c r="X33" s="18">
        <f>3375/3387</f>
        <v>0.9964570416297609</v>
      </c>
      <c r="Y33" s="18" t="s">
        <v>17</v>
      </c>
      <c r="Z33" s="18" t="s">
        <v>17</v>
      </c>
      <c r="AA33" s="18" t="s">
        <v>17</v>
      </c>
      <c r="AB33" s="18" t="s">
        <v>17</v>
      </c>
      <c r="AC33" s="18" t="s">
        <v>17</v>
      </c>
      <c r="AD33" s="18" t="s">
        <v>17</v>
      </c>
      <c r="AE33" s="18" t="s">
        <v>17</v>
      </c>
      <c r="AF33" s="18">
        <f>263/264</f>
        <v>0.99621212121212122</v>
      </c>
      <c r="AG33" s="18">
        <f>445/461</f>
        <v>0.96529284164858997</v>
      </c>
      <c r="AH33" s="18">
        <v>0.89261745000000003</v>
      </c>
      <c r="AI33" s="18">
        <f>510/522</f>
        <v>0.97701149425287359</v>
      </c>
      <c r="AJ33" s="18">
        <v>0.94532627899999999</v>
      </c>
      <c r="AK33" s="18">
        <v>0.97</v>
      </c>
      <c r="AL33" s="18">
        <f>654/674</f>
        <v>0.97032640949554894</v>
      </c>
      <c r="AM33" s="18">
        <f>607/616</f>
        <v>0.98538961038961037</v>
      </c>
      <c r="AN33" s="18">
        <v>0.99770466700000005</v>
      </c>
      <c r="AO33" s="18">
        <f>3764/3836</f>
        <v>0.98123044838373308</v>
      </c>
      <c r="AP33" s="18">
        <v>0.99805194799999997</v>
      </c>
      <c r="AQ33" s="18">
        <v>0.99643221199999998</v>
      </c>
      <c r="AR33" s="18">
        <v>0.99293494299999996</v>
      </c>
      <c r="AS33" s="18">
        <v>0.98478066200000003</v>
      </c>
      <c r="AT33" s="18">
        <v>0.99</v>
      </c>
      <c r="AU33" s="18">
        <v>0.99</v>
      </c>
      <c r="AV33" s="18">
        <v>0.99126256000000001</v>
      </c>
      <c r="AW33" s="18">
        <v>0.99</v>
      </c>
      <c r="AX33" s="18">
        <v>0.99136069100000002</v>
      </c>
      <c r="AY33" s="18">
        <v>0.99582811800000004</v>
      </c>
      <c r="AZ33" s="18">
        <v>0.99303621200000003</v>
      </c>
      <c r="BA33" s="18">
        <v>0.91</v>
      </c>
      <c r="BB33" s="18" t="s">
        <v>17</v>
      </c>
      <c r="BC33" s="18" t="s">
        <v>17</v>
      </c>
      <c r="BD33" s="18" t="s">
        <v>17</v>
      </c>
      <c r="BE33" s="18" t="s">
        <v>17</v>
      </c>
      <c r="BF33" s="18" t="s">
        <v>17</v>
      </c>
      <c r="BG33" s="18" t="s">
        <v>17</v>
      </c>
      <c r="BH33" s="18" t="s">
        <v>17</v>
      </c>
      <c r="BI33" s="18" t="s">
        <v>17</v>
      </c>
      <c r="BJ33" s="18" t="s">
        <v>17</v>
      </c>
      <c r="BK33" s="18" t="s">
        <v>17</v>
      </c>
    </row>
    <row r="34" spans="1:64" ht="27.95" customHeight="1">
      <c r="A34" s="14" t="s">
        <v>77</v>
      </c>
      <c r="B34" s="15" t="s">
        <v>78</v>
      </c>
      <c r="C34" s="15" t="s">
        <v>63</v>
      </c>
      <c r="D34" s="15"/>
      <c r="E34" s="43"/>
      <c r="F34" s="43"/>
      <c r="G34" s="17" t="str">
        <f>VLOOKUP(A34,'KPI Описание'!A:K,11,0)</f>
        <v>Оператор</v>
      </c>
      <c r="H34" s="17" t="s">
        <v>36</v>
      </c>
      <c r="I34" s="18"/>
      <c r="J34" s="19"/>
      <c r="K34" s="24">
        <f>117/117*100%</f>
        <v>1</v>
      </c>
      <c r="L34" s="24">
        <f>152/154*100%</f>
        <v>0.98701298701298701</v>
      </c>
      <c r="M34" s="24">
        <f>158/158*100%</f>
        <v>1</v>
      </c>
      <c r="N34" s="24">
        <f>386/390*100%</f>
        <v>0.98974358974358978</v>
      </c>
      <c r="O34" s="24">
        <f>386/390*100%</f>
        <v>0.98974358974358978</v>
      </c>
      <c r="P34" s="24">
        <f>386/390*100%</f>
        <v>0.98974358974358978</v>
      </c>
      <c r="Q34" s="24">
        <f>386/390*100%</f>
        <v>0.98974358974358978</v>
      </c>
      <c r="R34" s="24">
        <f>386/390*100%</f>
        <v>0.98974358974358978</v>
      </c>
      <c r="S34" s="18">
        <f>321/322</f>
        <v>0.99689440993788825</v>
      </c>
      <c r="T34" s="18">
        <f>222/223</f>
        <v>0.99551569506726456</v>
      </c>
      <c r="U34" s="24">
        <f>170/170</f>
        <v>1</v>
      </c>
      <c r="V34" s="24">
        <f>306/312</f>
        <v>0.98076923076923073</v>
      </c>
      <c r="W34" s="18">
        <f>96/96</f>
        <v>1</v>
      </c>
      <c r="X34" s="18">
        <f>110/110</f>
        <v>1</v>
      </c>
      <c r="Y34" s="18" t="s">
        <v>17</v>
      </c>
      <c r="Z34" s="18" t="s">
        <v>17</v>
      </c>
      <c r="AA34" s="18" t="s">
        <v>17</v>
      </c>
      <c r="AB34" s="18" t="s">
        <v>17</v>
      </c>
      <c r="AC34" s="18" t="s">
        <v>17</v>
      </c>
      <c r="AD34" s="18" t="s">
        <v>17</v>
      </c>
      <c r="AE34" s="18" t="s">
        <v>17</v>
      </c>
      <c r="AF34" s="18">
        <f>41/42</f>
        <v>0.97619047619047616</v>
      </c>
      <c r="AG34" s="18">
        <f>34/42</f>
        <v>0.80952380952380953</v>
      </c>
      <c r="AH34" s="18">
        <v>0.68518518500000003</v>
      </c>
      <c r="AI34" s="18">
        <f>37/38</f>
        <v>0.97368421052631582</v>
      </c>
      <c r="AJ34" s="18">
        <v>1</v>
      </c>
      <c r="AK34" s="18">
        <v>1</v>
      </c>
      <c r="AL34" s="18">
        <f>13/15</f>
        <v>0.8666666666666667</v>
      </c>
      <c r="AM34" s="18">
        <f>44/44</f>
        <v>1</v>
      </c>
      <c r="AN34" s="18">
        <v>1</v>
      </c>
      <c r="AO34" s="18">
        <f>211/212</f>
        <v>0.99528301886792447</v>
      </c>
      <c r="AP34" s="18">
        <v>1</v>
      </c>
      <c r="AQ34" s="18">
        <v>0.98795180699999996</v>
      </c>
      <c r="AR34" s="18">
        <v>0.97560975599999999</v>
      </c>
      <c r="AS34" s="18">
        <v>0.97014925399999996</v>
      </c>
      <c r="AT34" s="18">
        <v>0.99</v>
      </c>
      <c r="AU34" s="18">
        <v>0.97</v>
      </c>
      <c r="AV34" s="18">
        <v>0.95977011499999998</v>
      </c>
      <c r="AW34" s="18">
        <v>0.97</v>
      </c>
      <c r="AX34" s="18">
        <v>0.98954703799999999</v>
      </c>
      <c r="AY34" s="18">
        <v>0.99327052500000002</v>
      </c>
      <c r="AZ34" s="18">
        <v>0.99408284000000002</v>
      </c>
      <c r="BA34" s="18">
        <v>0.98</v>
      </c>
      <c r="BB34" s="18" t="s">
        <v>17</v>
      </c>
      <c r="BC34" s="18" t="s">
        <v>17</v>
      </c>
      <c r="BD34" s="18" t="s">
        <v>17</v>
      </c>
      <c r="BE34" s="18" t="s">
        <v>17</v>
      </c>
      <c r="BF34" s="18" t="s">
        <v>17</v>
      </c>
      <c r="BG34" s="18" t="s">
        <v>17</v>
      </c>
      <c r="BH34" s="18" t="s">
        <v>17</v>
      </c>
      <c r="BI34" s="18" t="s">
        <v>17</v>
      </c>
      <c r="BJ34" s="18" t="s">
        <v>17</v>
      </c>
      <c r="BK34" s="18" t="s">
        <v>17</v>
      </c>
    </row>
    <row r="35" spans="1:64" ht="27.95" customHeight="1">
      <c r="A35" s="14" t="s">
        <v>77</v>
      </c>
      <c r="B35" s="15" t="s">
        <v>78</v>
      </c>
      <c r="C35" s="15" t="s">
        <v>63</v>
      </c>
      <c r="D35" s="15"/>
      <c r="E35" s="43"/>
      <c r="F35" s="43"/>
      <c r="G35" s="17" t="str">
        <f>VLOOKUP(A35,'KPI Описание'!A:K,11,0)</f>
        <v>Оператор</v>
      </c>
      <c r="H35" s="17" t="s">
        <v>37</v>
      </c>
      <c r="I35" s="18"/>
      <c r="J35" s="19"/>
      <c r="K35" s="24">
        <f>161/169*100%</f>
        <v>0.9526627218934911</v>
      </c>
      <c r="L35" s="24">
        <f>369/385*100%</f>
        <v>0.95844155844155843</v>
      </c>
      <c r="M35" s="24">
        <f>427/429*100%</f>
        <v>0.99533799533799538</v>
      </c>
      <c r="N35" s="24">
        <f>535/544*100%</f>
        <v>0.98345588235294112</v>
      </c>
      <c r="O35" s="24">
        <f>246/246*100%</f>
        <v>1</v>
      </c>
      <c r="P35" s="24">
        <f>138/143*100%</f>
        <v>0.965034965034965</v>
      </c>
      <c r="Q35" s="24">
        <f>165/167*100%</f>
        <v>0.9880239520958084</v>
      </c>
      <c r="R35" s="24">
        <f>655/656*100%</f>
        <v>0.99847560975609762</v>
      </c>
      <c r="S35" s="18">
        <f>1301/1310</f>
        <v>0.99312977099236643</v>
      </c>
      <c r="T35" s="18">
        <f>805/806</f>
        <v>0.99875930521091816</v>
      </c>
      <c r="U35" s="24">
        <f>572/575</f>
        <v>0.99478260869565216</v>
      </c>
      <c r="V35" s="24">
        <f>1099/1162</f>
        <v>0.94578313253012047</v>
      </c>
      <c r="W35" s="18">
        <f>532/538</f>
        <v>0.98884758364312264</v>
      </c>
      <c r="X35" s="18">
        <f>1208/1211</f>
        <v>0.99752270850536751</v>
      </c>
      <c r="Y35" s="18" t="s">
        <v>17</v>
      </c>
      <c r="Z35" s="18" t="s">
        <v>17</v>
      </c>
      <c r="AA35" s="18" t="s">
        <v>17</v>
      </c>
      <c r="AB35" s="18" t="s">
        <v>17</v>
      </c>
      <c r="AC35" s="18" t="s">
        <v>17</v>
      </c>
      <c r="AD35" s="18" t="s">
        <v>17</v>
      </c>
      <c r="AE35" s="18" t="s">
        <v>17</v>
      </c>
      <c r="AF35" s="18">
        <f>96/116</f>
        <v>0.82758620689655171</v>
      </c>
      <c r="AG35" s="18">
        <f>116/116</f>
        <v>1</v>
      </c>
      <c r="AH35" s="18">
        <v>0.78</v>
      </c>
      <c r="AI35" s="18">
        <f>182/185</f>
        <v>0.98378378378378384</v>
      </c>
      <c r="AJ35" s="18">
        <v>1</v>
      </c>
      <c r="AK35" s="18">
        <v>0.99</v>
      </c>
      <c r="AL35" s="18">
        <f>70/71</f>
        <v>0.9859154929577465</v>
      </c>
      <c r="AM35" s="18">
        <f>152/153</f>
        <v>0.99346405228758172</v>
      </c>
      <c r="AN35" s="18">
        <v>1</v>
      </c>
      <c r="AO35" s="18">
        <f>862/862</f>
        <v>1</v>
      </c>
      <c r="AP35" s="18">
        <v>0.99843872</v>
      </c>
      <c r="AQ35" s="18">
        <v>1</v>
      </c>
      <c r="AR35" s="18">
        <v>0.99430759499999999</v>
      </c>
      <c r="AS35" s="18">
        <v>1</v>
      </c>
      <c r="AT35" s="18">
        <v>1</v>
      </c>
      <c r="AU35" s="18">
        <v>0.97</v>
      </c>
      <c r="AV35" s="18">
        <v>0.91446028499999998</v>
      </c>
      <c r="AW35" s="18">
        <v>0.99</v>
      </c>
      <c r="AX35" s="18">
        <v>0.99069148900000004</v>
      </c>
      <c r="AY35" s="18">
        <v>0.994413408</v>
      </c>
      <c r="AZ35" s="18">
        <v>0.98252184799999998</v>
      </c>
      <c r="BA35" s="18">
        <v>1</v>
      </c>
      <c r="BB35" s="18" t="s">
        <v>17</v>
      </c>
      <c r="BC35" s="18" t="s">
        <v>17</v>
      </c>
      <c r="BD35" s="18" t="s">
        <v>17</v>
      </c>
      <c r="BE35" s="18" t="s">
        <v>17</v>
      </c>
      <c r="BF35" s="18" t="s">
        <v>17</v>
      </c>
      <c r="BG35" s="18" t="s">
        <v>17</v>
      </c>
      <c r="BH35" s="18" t="s">
        <v>17</v>
      </c>
      <c r="BI35" s="18" t="s">
        <v>17</v>
      </c>
      <c r="BJ35" s="18" t="s">
        <v>17</v>
      </c>
      <c r="BK35" s="18" t="s">
        <v>17</v>
      </c>
    </row>
    <row r="36" spans="1:64" ht="27.95" customHeight="1">
      <c r="A36" s="14" t="s">
        <v>77</v>
      </c>
      <c r="B36" s="15" t="s">
        <v>78</v>
      </c>
      <c r="C36" s="15" t="s">
        <v>63</v>
      </c>
      <c r="D36" s="15"/>
      <c r="E36" s="43"/>
      <c r="F36" s="43"/>
      <c r="G36" s="17" t="str">
        <f>VLOOKUP(A36,'KPI Описание'!A:K,11,0)</f>
        <v>Оператор</v>
      </c>
      <c r="H36" s="17" t="s">
        <v>40</v>
      </c>
      <c r="I36" s="18"/>
      <c r="J36" s="19"/>
      <c r="K36" s="24">
        <f>446/494*100%</f>
        <v>0.90283400809716596</v>
      </c>
      <c r="L36" s="24">
        <f>538/539*100%</f>
        <v>0.99814471243042668</v>
      </c>
      <c r="M36" s="24">
        <f>1680/1683*100%</f>
        <v>0.99821746880570406</v>
      </c>
      <c r="N36" s="24">
        <f>2070/2083*100%</f>
        <v>0.99375900144023044</v>
      </c>
      <c r="O36" s="24">
        <f>1396/1401*100%</f>
        <v>0.99643112062812278</v>
      </c>
      <c r="P36" s="24">
        <f>486/486*100%</f>
        <v>1</v>
      </c>
      <c r="Q36" s="24">
        <f>574/574*100%</f>
        <v>1</v>
      </c>
      <c r="R36" s="24">
        <f>1036/1043*100%</f>
        <v>0.99328859060402686</v>
      </c>
      <c r="S36" s="24">
        <f>1468/1476</f>
        <v>0.99457994579945797</v>
      </c>
      <c r="T36" s="18">
        <f>2729/2737</f>
        <v>0.9970770917062477</v>
      </c>
      <c r="U36" s="24">
        <f>2125/2130</f>
        <v>0.99765258215962438</v>
      </c>
      <c r="V36" s="24">
        <f>2654/2831</f>
        <v>0.937477922995408</v>
      </c>
      <c r="W36" s="18">
        <f>1216/1228</f>
        <v>0.99022801302931596</v>
      </c>
      <c r="X36" s="18">
        <f>2005/2054</f>
        <v>0.97614410905550142</v>
      </c>
      <c r="Y36" s="18" t="s">
        <v>17</v>
      </c>
      <c r="Z36" s="18" t="s">
        <v>17</v>
      </c>
      <c r="AA36" s="18" t="s">
        <v>17</v>
      </c>
      <c r="AB36" s="18" t="s">
        <v>17</v>
      </c>
      <c r="AC36" s="18" t="s">
        <v>17</v>
      </c>
      <c r="AD36" s="18" t="s">
        <v>17</v>
      </c>
      <c r="AE36" s="18" t="s">
        <v>17</v>
      </c>
      <c r="AF36" s="18">
        <f>53/53</f>
        <v>1</v>
      </c>
      <c r="AG36" s="18">
        <f>125/129</f>
        <v>0.96899224806201545</v>
      </c>
      <c r="AH36" s="18">
        <v>0.98019802</v>
      </c>
      <c r="AI36" s="18">
        <f>205/283</f>
        <v>0.72438162544169615</v>
      </c>
      <c r="AJ36" s="18">
        <v>0.98876404500000004</v>
      </c>
      <c r="AK36" s="18">
        <v>0.89</v>
      </c>
      <c r="AL36" s="18">
        <f>245/251</f>
        <v>0.9760956175298805</v>
      </c>
      <c r="AM36" s="18">
        <f>297/300</f>
        <v>0.99</v>
      </c>
      <c r="AN36" s="18">
        <v>0.99825662500000001</v>
      </c>
      <c r="AO36" s="18">
        <f>1362/1383</f>
        <v>0.98481561822125818</v>
      </c>
      <c r="AP36" s="18">
        <v>0.99540636000000005</v>
      </c>
      <c r="AQ36" s="18">
        <v>0.98456260699999998</v>
      </c>
      <c r="AR36" s="18">
        <v>0.99708686400000002</v>
      </c>
      <c r="AS36" s="18">
        <v>0.99175257699999997</v>
      </c>
      <c r="AT36" s="18">
        <v>0.98</v>
      </c>
      <c r="AU36" s="18">
        <v>0.98</v>
      </c>
      <c r="AV36" s="18">
        <v>0.970955758</v>
      </c>
      <c r="AW36" s="18">
        <v>0.98</v>
      </c>
      <c r="AX36" s="18">
        <v>0.93724614100000003</v>
      </c>
      <c r="AY36" s="18">
        <v>0.98449612399999997</v>
      </c>
      <c r="AZ36" s="18">
        <v>0.97027600800000002</v>
      </c>
      <c r="BA36" s="18">
        <v>0.98</v>
      </c>
      <c r="BB36" s="18" t="s">
        <v>17</v>
      </c>
      <c r="BC36" s="18" t="s">
        <v>17</v>
      </c>
      <c r="BD36" s="18" t="s">
        <v>17</v>
      </c>
      <c r="BE36" s="18" t="s">
        <v>17</v>
      </c>
      <c r="BF36" s="18" t="s">
        <v>17</v>
      </c>
      <c r="BG36" s="18" t="s">
        <v>17</v>
      </c>
      <c r="BH36" s="18" t="s">
        <v>17</v>
      </c>
      <c r="BI36" s="18" t="s">
        <v>17</v>
      </c>
      <c r="BJ36" s="18" t="s">
        <v>17</v>
      </c>
      <c r="BK36" s="18" t="s">
        <v>17</v>
      </c>
    </row>
    <row r="37" spans="1:64" s="72" customFormat="1" ht="27.95" customHeight="1">
      <c r="A37" s="81" t="s">
        <v>77</v>
      </c>
      <c r="B37" s="83" t="s">
        <v>78</v>
      </c>
      <c r="C37" s="83" t="s">
        <v>63</v>
      </c>
      <c r="D37" s="83"/>
      <c r="E37" s="85"/>
      <c r="F37" s="85"/>
      <c r="G37" s="87" t="str">
        <f>VLOOKUP(A37,'KPI Описание'!A:K,11,0)</f>
        <v>Оператор</v>
      </c>
      <c r="H37" s="87" t="s">
        <v>43</v>
      </c>
      <c r="I37" s="89"/>
      <c r="J37" s="94"/>
      <c r="K37" s="99">
        <f>348/348*100%</f>
        <v>1</v>
      </c>
      <c r="L37" s="99">
        <f>92/93*100%</f>
        <v>0.989247311827957</v>
      </c>
      <c r="M37" s="99">
        <f>1562/1562*100%</f>
        <v>1</v>
      </c>
      <c r="N37" s="99">
        <f>1356/1357*100%</f>
        <v>0.99926308032424471</v>
      </c>
      <c r="O37" s="99">
        <f>1005/1005*100%</f>
        <v>1</v>
      </c>
      <c r="P37" s="99" t="s">
        <v>17</v>
      </c>
      <c r="Q37" s="99">
        <f>875/876*100%</f>
        <v>0.99885844748858443</v>
      </c>
      <c r="R37" s="99">
        <f>885/886*100%</f>
        <v>0.99887133182844245</v>
      </c>
      <c r="S37" s="99">
        <f>1646/1646</f>
        <v>1</v>
      </c>
      <c r="T37" s="89">
        <f>203/203</f>
        <v>1</v>
      </c>
      <c r="U37" s="99">
        <f>2011/2021</f>
        <v>0.99505195447798123</v>
      </c>
      <c r="V37" s="99">
        <f>3042/3207</f>
        <v>0.94855004677268473</v>
      </c>
      <c r="W37" s="89">
        <f>1875/1880</f>
        <v>0.99734042553191493</v>
      </c>
      <c r="X37" s="89">
        <f>2168/2192</f>
        <v>0.98905109489051091</v>
      </c>
      <c r="Y37" s="89" t="s">
        <v>17</v>
      </c>
      <c r="Z37" s="89" t="s">
        <v>17</v>
      </c>
      <c r="AA37" s="89" t="s">
        <v>17</v>
      </c>
      <c r="AB37" s="89" t="s">
        <v>17</v>
      </c>
      <c r="AC37" s="89" t="s">
        <v>17</v>
      </c>
      <c r="AD37" s="89" t="s">
        <v>17</v>
      </c>
      <c r="AE37" s="89" t="s">
        <v>17</v>
      </c>
      <c r="AF37" s="89">
        <f>44/53</f>
        <v>0.83018867924528306</v>
      </c>
      <c r="AG37" s="89">
        <f>25/25</f>
        <v>1</v>
      </c>
      <c r="AH37" s="89">
        <v>0.90760869600000005</v>
      </c>
      <c r="AI37" s="89">
        <f>119/226</f>
        <v>0.52654867256637172</v>
      </c>
      <c r="AJ37" s="89">
        <v>1</v>
      </c>
      <c r="AK37" s="89">
        <v>1</v>
      </c>
      <c r="AL37" s="89">
        <f>505/528</f>
        <v>0.95643939393939392</v>
      </c>
      <c r="AM37" s="89">
        <f>516/555</f>
        <v>0.92972972972972978</v>
      </c>
      <c r="AN37" s="89">
        <v>0.98999285199999998</v>
      </c>
      <c r="AO37" s="89">
        <f>1008/1009</f>
        <v>0.9990089197224975</v>
      </c>
      <c r="AP37" s="89">
        <v>0.99284320100000001</v>
      </c>
      <c r="AQ37" s="89">
        <v>0.99950543999999997</v>
      </c>
      <c r="AR37" s="89">
        <v>0.99157410999999995</v>
      </c>
      <c r="AS37" s="89">
        <v>0.98475609799999997</v>
      </c>
      <c r="AT37" s="89">
        <v>0.97</v>
      </c>
      <c r="AU37" s="89">
        <v>0.99</v>
      </c>
      <c r="AV37" s="89">
        <v>0.98558322399999998</v>
      </c>
      <c r="AW37" s="89">
        <v>0.98</v>
      </c>
      <c r="AX37" s="89">
        <v>0.986531987</v>
      </c>
      <c r="AY37" s="89">
        <v>0.97428958099999996</v>
      </c>
      <c r="AZ37" s="89">
        <v>0.95825242700000002</v>
      </c>
      <c r="BA37" s="89">
        <v>0.97</v>
      </c>
      <c r="BB37" s="89" t="s">
        <v>17</v>
      </c>
      <c r="BC37" s="89" t="s">
        <v>17</v>
      </c>
      <c r="BD37" s="89" t="s">
        <v>17</v>
      </c>
      <c r="BE37" s="89" t="s">
        <v>17</v>
      </c>
      <c r="BF37" s="89" t="s">
        <v>17</v>
      </c>
      <c r="BG37" s="89" t="s">
        <v>17</v>
      </c>
      <c r="BH37" s="89" t="s">
        <v>17</v>
      </c>
      <c r="BI37" s="89" t="s">
        <v>17</v>
      </c>
      <c r="BJ37" s="89" t="s">
        <v>17</v>
      </c>
      <c r="BK37" s="89" t="s">
        <v>17</v>
      </c>
    </row>
    <row r="38" spans="1:64" s="72" customFormat="1" ht="41.25" customHeight="1">
      <c r="A38" s="5" t="s">
        <v>81</v>
      </c>
      <c r="B38" s="6" t="s">
        <v>82</v>
      </c>
      <c r="C38" s="6" t="s">
        <v>63</v>
      </c>
      <c r="D38" s="6" t="s">
        <v>13</v>
      </c>
      <c r="E38" s="42" t="s">
        <v>79</v>
      </c>
      <c r="F38" s="42" t="s">
        <v>83</v>
      </c>
      <c r="G38" s="8" t="str">
        <f>VLOOKUP(A38,'KPI Описание'!A:K,11,0)</f>
        <v>Оператор</v>
      </c>
      <c r="H38" s="8" t="s">
        <v>16</v>
      </c>
      <c r="I38" s="9">
        <f>VLOOKUP(A38,'KPI Описание'!A:P,16,0)</f>
        <v>0.95</v>
      </c>
      <c r="J38" s="10" t="str">
        <f>IFERROR(VLOOKUP(A38,'KPI Описание'!A:Q,17,0),0)</f>
        <v>higher</v>
      </c>
      <c r="K38" s="23">
        <v>1</v>
      </c>
      <c r="L38" s="23">
        <f>AVERAGE(L39:L43)</f>
        <v>0.9904477129465008</v>
      </c>
      <c r="M38" s="23">
        <f>AVERAGE(M39:M43)</f>
        <v>0.92279762326942527</v>
      </c>
      <c r="N38" s="23">
        <f>AVERAGE(N39:N43)</f>
        <v>0.99497584541062811</v>
      </c>
      <c r="O38" s="23">
        <f>AVERAGE(O39:O43)</f>
        <v>0.97572927814409494</v>
      </c>
      <c r="P38" s="23">
        <f>AVERAGE(P39:P43)</f>
        <v>1</v>
      </c>
      <c r="Q38" s="23">
        <f>AVERAGE(Q39:Q43)</f>
        <v>1</v>
      </c>
      <c r="R38" s="23">
        <f>AVERAGE(R39:R43)</f>
        <v>0.96972541708689464</v>
      </c>
      <c r="S38" s="23">
        <f>AVERAGE(S39:S43)</f>
        <v>0.54622817278276625</v>
      </c>
      <c r="T38" s="23">
        <f>AVERAGE(T39:T43)</f>
        <v>0.35793645493943949</v>
      </c>
      <c r="U38" s="23">
        <f>AVERAGE(U39:U43)</f>
        <v>0.10766178310334044</v>
      </c>
      <c r="V38" s="23">
        <f>AVERAGE(V39:V43)</f>
        <v>0.17966448811041841</v>
      </c>
      <c r="W38" s="23">
        <f>AVERAGE(W39:W43)</f>
        <v>0.79198811087664667</v>
      </c>
      <c r="X38" s="23">
        <f>AVERAGE(X39:X43)</f>
        <v>0.69536771319796742</v>
      </c>
      <c r="Y38" s="23">
        <f>5633/7400</f>
        <v>0.76121621621621627</v>
      </c>
      <c r="Z38" s="9">
        <f>5823/6154</f>
        <v>0.9462138446538837</v>
      </c>
      <c r="AA38" s="9">
        <f>6379/7964</f>
        <v>0.80097940733299844</v>
      </c>
      <c r="AB38" s="9">
        <f>4264/4334</f>
        <v>0.98384863867097372</v>
      </c>
      <c r="AC38" s="9">
        <f>4155/5634</f>
        <v>0.73748668796592121</v>
      </c>
      <c r="AD38" s="9">
        <f>4545/5315</f>
        <v>0.85512699905926626</v>
      </c>
      <c r="AE38" s="9">
        <f>5364/5885</f>
        <v>0.9114698385726423</v>
      </c>
      <c r="AF38" s="9">
        <f>2831/4474</f>
        <v>0.63276709879302639</v>
      </c>
      <c r="AG38" s="9">
        <f>4449/4792</f>
        <v>0.92842237061769617</v>
      </c>
      <c r="AH38" s="9">
        <v>0.69387447199999996</v>
      </c>
      <c r="AI38" s="9">
        <f>3918/4830</f>
        <v>0.81118012422360253</v>
      </c>
      <c r="AJ38" s="9">
        <v>0.902572614</v>
      </c>
      <c r="AK38" s="9">
        <v>0.99</v>
      </c>
      <c r="AL38" s="9">
        <v>0.87</v>
      </c>
      <c r="AM38" s="9">
        <f>9102/9131</f>
        <v>0.99682400613295363</v>
      </c>
      <c r="AN38" s="9">
        <v>1</v>
      </c>
      <c r="AO38" s="9">
        <f>7197/7214</f>
        <v>0.99764347102855555</v>
      </c>
      <c r="AP38" s="9">
        <v>0.77127420099999999</v>
      </c>
      <c r="AQ38" s="9">
        <v>0.88139018000000002</v>
      </c>
      <c r="AR38" s="9">
        <v>0.45242754600000001</v>
      </c>
      <c r="AS38" s="9">
        <v>0.67293510300000003</v>
      </c>
      <c r="AT38" s="9">
        <v>0.76</v>
      </c>
      <c r="AU38" s="9">
        <v>0.94</v>
      </c>
      <c r="AV38" s="9">
        <v>0.35</v>
      </c>
      <c r="AW38" s="9">
        <v>0.88</v>
      </c>
      <c r="AX38" s="9">
        <v>0.419570736</v>
      </c>
      <c r="AY38" s="9">
        <v>0.38467607599999998</v>
      </c>
      <c r="AZ38" s="9">
        <v>0.84959016399999998</v>
      </c>
      <c r="BA38" s="9">
        <v>0.92</v>
      </c>
      <c r="BB38" s="9" t="s">
        <v>17</v>
      </c>
      <c r="BC38" s="9" t="s">
        <v>17</v>
      </c>
      <c r="BD38" s="9" t="s">
        <v>17</v>
      </c>
      <c r="BE38" s="9" t="s">
        <v>17</v>
      </c>
      <c r="BF38" s="9" t="s">
        <v>17</v>
      </c>
      <c r="BG38" s="9" t="s">
        <v>17</v>
      </c>
      <c r="BH38" s="9" t="s">
        <v>17</v>
      </c>
      <c r="BI38" s="9" t="s">
        <v>17</v>
      </c>
      <c r="BJ38" s="9" t="s">
        <v>17</v>
      </c>
      <c r="BK38" s="9" t="s">
        <v>17</v>
      </c>
      <c r="BL38" s="74"/>
    </row>
    <row r="39" spans="1:64" s="72" customFormat="1" ht="27.95" customHeight="1">
      <c r="A39" s="81" t="s">
        <v>81</v>
      </c>
      <c r="B39" s="83" t="s">
        <v>82</v>
      </c>
      <c r="C39" s="83" t="s">
        <v>63</v>
      </c>
      <c r="D39" s="83"/>
      <c r="E39" s="85"/>
      <c r="F39" s="85"/>
      <c r="G39" s="87" t="str">
        <f>VLOOKUP(A39,'KPI Описание'!A:K,11,0)</f>
        <v>Оператор</v>
      </c>
      <c r="H39" s="87" t="s">
        <v>33</v>
      </c>
      <c r="I39" s="89"/>
      <c r="J39" s="94"/>
      <c r="K39" s="99">
        <f>386/386*100%</f>
        <v>1</v>
      </c>
      <c r="L39" s="99">
        <f>753/753*100%</f>
        <v>1</v>
      </c>
      <c r="M39" s="99">
        <f>3450/3467*100%</f>
        <v>0.99509662532448806</v>
      </c>
      <c r="N39" s="99">
        <f>3082/3082*100%</f>
        <v>1</v>
      </c>
      <c r="O39" s="99">
        <f>1609/1609*100%</f>
        <v>1</v>
      </c>
      <c r="P39" s="99">
        <f>1318/1318*100%</f>
        <v>1</v>
      </c>
      <c r="Q39" s="99">
        <f>1073/1073*100%</f>
        <v>1</v>
      </c>
      <c r="R39" s="99">
        <f>2270/2274*100%</f>
        <v>0.99824098504837289</v>
      </c>
      <c r="S39" s="99">
        <f>938/3478*100%</f>
        <v>0.26969522714203564</v>
      </c>
      <c r="T39" s="99">
        <f>868/1023*100%</f>
        <v>0.84848484848484851</v>
      </c>
      <c r="U39" s="99">
        <f>104/2040*100%</f>
        <v>5.0980392156862744E-2</v>
      </c>
      <c r="V39" s="99">
        <f>406/4441*100%</f>
        <v>9.1420851159648722E-2</v>
      </c>
      <c r="W39" s="89">
        <f>2916/3303</f>
        <v>0.8828337874659401</v>
      </c>
      <c r="X39" s="89">
        <f>1914/3375</f>
        <v>0.56711111111111112</v>
      </c>
      <c r="Y39" s="89" t="s">
        <v>17</v>
      </c>
      <c r="Z39" s="89" t="s">
        <v>17</v>
      </c>
      <c r="AA39" s="89" t="s">
        <v>17</v>
      </c>
      <c r="AB39" s="89" t="s">
        <v>17</v>
      </c>
      <c r="AC39" s="89" t="s">
        <v>17</v>
      </c>
      <c r="AD39" s="89" t="s">
        <v>17</v>
      </c>
      <c r="AE39" s="89" t="s">
        <v>17</v>
      </c>
      <c r="AF39" s="89">
        <f>140/263</f>
        <v>0.53231939163498099</v>
      </c>
      <c r="AG39" s="89">
        <f>102/445</f>
        <v>0.2292134831460674</v>
      </c>
      <c r="AH39" s="89">
        <v>0.94486215500000004</v>
      </c>
      <c r="AI39" s="89">
        <f>382/510</f>
        <v>0.74901960784313726</v>
      </c>
      <c r="AJ39" s="89">
        <v>0.60261193999999996</v>
      </c>
      <c r="AK39" s="89">
        <v>1</v>
      </c>
      <c r="AL39" s="89">
        <f>361/654</f>
        <v>0.55198776758409784</v>
      </c>
      <c r="AM39" s="89">
        <f>578/607</f>
        <v>0.9522240527182867</v>
      </c>
      <c r="AN39" s="89">
        <v>1</v>
      </c>
      <c r="AO39" s="89">
        <f>3747/3764</f>
        <v>0.9954835281615303</v>
      </c>
      <c r="AP39" s="89">
        <v>0.96096291499999997</v>
      </c>
      <c r="AQ39" s="89">
        <v>0.95319693100000003</v>
      </c>
      <c r="AR39" s="89">
        <v>0.45152683100000002</v>
      </c>
      <c r="AS39" s="89">
        <v>0.88303030299999996</v>
      </c>
      <c r="AT39" s="89">
        <v>0.54</v>
      </c>
      <c r="AU39" s="89">
        <v>0.89</v>
      </c>
      <c r="AV39" s="89">
        <v>8.8144556999999998E-2</v>
      </c>
      <c r="AW39" s="89">
        <v>0.93</v>
      </c>
      <c r="AX39" s="89">
        <v>0.61056644900000001</v>
      </c>
      <c r="AY39" s="89">
        <v>0.451822371</v>
      </c>
      <c r="AZ39" s="89">
        <v>0.90287517500000003</v>
      </c>
      <c r="BA39" s="89">
        <v>0.93</v>
      </c>
      <c r="BB39" s="89" t="s">
        <v>17</v>
      </c>
      <c r="BC39" s="89" t="s">
        <v>17</v>
      </c>
      <c r="BD39" s="89" t="s">
        <v>17</v>
      </c>
      <c r="BE39" s="89" t="s">
        <v>17</v>
      </c>
      <c r="BF39" s="89" t="s">
        <v>17</v>
      </c>
      <c r="BG39" s="89" t="s">
        <v>17</v>
      </c>
      <c r="BH39" s="89" t="s">
        <v>17</v>
      </c>
      <c r="BI39" s="89" t="s">
        <v>17</v>
      </c>
      <c r="BJ39" s="89" t="s">
        <v>17</v>
      </c>
      <c r="BK39" s="89" t="s">
        <v>17</v>
      </c>
    </row>
    <row r="40" spans="1:64" ht="27.95" customHeight="1">
      <c r="A40" s="14" t="s">
        <v>81</v>
      </c>
      <c r="B40" s="15" t="s">
        <v>82</v>
      </c>
      <c r="C40" s="15" t="s">
        <v>63</v>
      </c>
      <c r="D40" s="15"/>
      <c r="E40" s="43"/>
      <c r="F40" s="43"/>
      <c r="G40" s="17" t="str">
        <f>VLOOKUP(A40,'KPI Описание'!A:K,11,0)</f>
        <v>Оператор</v>
      </c>
      <c r="H40" s="17" t="s">
        <v>36</v>
      </c>
      <c r="I40" s="18"/>
      <c r="J40" s="19"/>
      <c r="K40" s="24">
        <f>117/117*100%</f>
        <v>1</v>
      </c>
      <c r="L40" s="24">
        <f>152/152*100%</f>
        <v>1</v>
      </c>
      <c r="M40" s="24">
        <f>158/158*100%</f>
        <v>1</v>
      </c>
      <c r="N40" s="24">
        <f>266/266*100%</f>
        <v>1</v>
      </c>
      <c r="O40" s="24">
        <f>165/166*100%</f>
        <v>0.99397590361445787</v>
      </c>
      <c r="P40" s="24">
        <f>112/112*100%</f>
        <v>1</v>
      </c>
      <c r="Q40" s="24">
        <f>259/259*100%</f>
        <v>1</v>
      </c>
      <c r="R40" s="24">
        <f>112/112*100%</f>
        <v>1</v>
      </c>
      <c r="S40" s="24">
        <f>223/321*100%</f>
        <v>0.69470404984423673</v>
      </c>
      <c r="T40" s="24">
        <f>12/210*100%</f>
        <v>5.7142857142857141E-2</v>
      </c>
      <c r="U40" s="24">
        <f>0/170*100%</f>
        <v>0</v>
      </c>
      <c r="V40" s="24">
        <f>27/306*100%</f>
        <v>8.8235294117647065E-2</v>
      </c>
      <c r="W40" s="18">
        <f>73/96</f>
        <v>0.76041666666666663</v>
      </c>
      <c r="X40" s="18">
        <f>104/110</f>
        <v>0.94545454545454544</v>
      </c>
      <c r="Y40" s="18" t="s">
        <v>17</v>
      </c>
      <c r="Z40" s="18" t="s">
        <v>17</v>
      </c>
      <c r="AA40" s="18" t="s">
        <v>17</v>
      </c>
      <c r="AB40" s="18" t="s">
        <v>17</v>
      </c>
      <c r="AC40" s="18" t="s">
        <v>17</v>
      </c>
      <c r="AD40" s="18" t="s">
        <v>17</v>
      </c>
      <c r="AE40" s="18" t="s">
        <v>17</v>
      </c>
      <c r="AF40" s="18">
        <f>36/41</f>
        <v>0.87804878048780488</v>
      </c>
      <c r="AG40" s="18">
        <f>34/34</f>
        <v>1</v>
      </c>
      <c r="AH40" s="18">
        <v>1</v>
      </c>
      <c r="AI40" s="18">
        <f>29/37</f>
        <v>0.78378378378378377</v>
      </c>
      <c r="AJ40" s="18">
        <v>1</v>
      </c>
      <c r="AK40" s="18">
        <v>1</v>
      </c>
      <c r="AL40" s="18">
        <f>13/13</f>
        <v>1</v>
      </c>
      <c r="AM40" s="18">
        <f>44/44</f>
        <v>1</v>
      </c>
      <c r="AN40" s="18">
        <v>1</v>
      </c>
      <c r="AO40" s="18">
        <f>211/211</f>
        <v>1</v>
      </c>
      <c r="AP40" s="18">
        <v>0.67204301099999997</v>
      </c>
      <c r="AQ40" s="18">
        <v>0.78861788600000005</v>
      </c>
      <c r="AR40" s="18">
        <v>0.65416666700000003</v>
      </c>
      <c r="AS40" s="18">
        <v>0.36483516500000002</v>
      </c>
      <c r="AT40" s="18">
        <v>0.89</v>
      </c>
      <c r="AU40" s="18">
        <v>0.82</v>
      </c>
      <c r="AV40" s="18">
        <v>0.80239521000000003</v>
      </c>
      <c r="AW40" s="18">
        <v>0.86</v>
      </c>
      <c r="AX40" s="18">
        <v>0.47887323900000001</v>
      </c>
      <c r="AY40" s="18">
        <v>0.61246612499999997</v>
      </c>
      <c r="AZ40" s="18">
        <v>0.571428571</v>
      </c>
      <c r="BA40" s="18">
        <v>1</v>
      </c>
      <c r="BB40" s="18" t="s">
        <v>17</v>
      </c>
      <c r="BC40" s="18" t="s">
        <v>17</v>
      </c>
      <c r="BD40" s="18" t="s">
        <v>17</v>
      </c>
      <c r="BE40" s="18" t="s">
        <v>17</v>
      </c>
      <c r="BF40" s="18" t="s">
        <v>17</v>
      </c>
      <c r="BG40" s="18" t="s">
        <v>17</v>
      </c>
      <c r="BH40" s="18" t="s">
        <v>17</v>
      </c>
      <c r="BI40" s="18" t="s">
        <v>17</v>
      </c>
      <c r="BJ40" s="18" t="s">
        <v>17</v>
      </c>
      <c r="BK40" s="18" t="s">
        <v>17</v>
      </c>
    </row>
    <row r="41" spans="1:64" ht="27.95" customHeight="1">
      <c r="A41" s="14" t="s">
        <v>81</v>
      </c>
      <c r="B41" s="15" t="s">
        <v>82</v>
      </c>
      <c r="C41" s="15" t="s">
        <v>63</v>
      </c>
      <c r="D41" s="15"/>
      <c r="E41" s="43"/>
      <c r="F41" s="43"/>
      <c r="G41" s="17" t="str">
        <f>VLOOKUP(A41,'KPI Описание'!A:K,11,0)</f>
        <v>Оператор</v>
      </c>
      <c r="H41" s="17" t="s">
        <v>37</v>
      </c>
      <c r="I41" s="18"/>
      <c r="J41" s="19"/>
      <c r="K41" s="24">
        <f>161/161*100%</f>
        <v>1</v>
      </c>
      <c r="L41" s="24">
        <f>369/369*100%</f>
        <v>1</v>
      </c>
      <c r="M41" s="24">
        <f>309/427*100%</f>
        <v>0.72365339578454335</v>
      </c>
      <c r="N41" s="24">
        <f>535/535*100%</f>
        <v>1</v>
      </c>
      <c r="O41" s="24">
        <f>246/246*100%</f>
        <v>1</v>
      </c>
      <c r="P41" s="24">
        <f>138/138*100%</f>
        <v>1</v>
      </c>
      <c r="Q41" s="24">
        <f>165/165*100%</f>
        <v>1</v>
      </c>
      <c r="R41" s="24">
        <f>655/655*100%</f>
        <v>1</v>
      </c>
      <c r="S41" s="24">
        <f>1000/1301*100%</f>
        <v>0.76863950807071479</v>
      </c>
      <c r="T41" s="24">
        <f>158/647*100%</f>
        <v>0.24420401854714066</v>
      </c>
      <c r="U41" s="24">
        <f>53/572</f>
        <v>9.2657342657342656E-2</v>
      </c>
      <c r="V41" s="24">
        <f>315/1099</f>
        <v>0.28662420382165604</v>
      </c>
      <c r="W41" s="18">
        <f>436/532</f>
        <v>0.81954887218045114</v>
      </c>
      <c r="X41" s="18">
        <f>737/1208</f>
        <v>0.61009933774834435</v>
      </c>
      <c r="Y41" s="18" t="s">
        <v>17</v>
      </c>
      <c r="Z41" s="18" t="s">
        <v>17</v>
      </c>
      <c r="AA41" s="18" t="s">
        <v>17</v>
      </c>
      <c r="AB41" s="18" t="s">
        <v>17</v>
      </c>
      <c r="AC41" s="18" t="s">
        <v>17</v>
      </c>
      <c r="AD41" s="18" t="s">
        <v>17</v>
      </c>
      <c r="AE41" s="18" t="s">
        <v>17</v>
      </c>
      <c r="AF41" s="18">
        <f>39/96</f>
        <v>0.40625</v>
      </c>
      <c r="AG41" s="18">
        <f>116/116</f>
        <v>1</v>
      </c>
      <c r="AH41" s="18">
        <v>1</v>
      </c>
      <c r="AI41" s="18">
        <f>171/182</f>
        <v>0.93956043956043955</v>
      </c>
      <c r="AJ41" s="18">
        <v>0.87401574800000004</v>
      </c>
      <c r="AK41" s="18">
        <v>1</v>
      </c>
      <c r="AL41" s="18">
        <f>70/70</f>
        <v>1</v>
      </c>
      <c r="AM41" s="18">
        <f>152/152</f>
        <v>1</v>
      </c>
      <c r="AN41" s="18">
        <v>1</v>
      </c>
      <c r="AO41" s="18">
        <f>862/862</f>
        <v>1</v>
      </c>
      <c r="AP41" s="18">
        <v>0.67552775600000003</v>
      </c>
      <c r="AQ41" s="18">
        <v>0.49823736800000001</v>
      </c>
      <c r="AR41" s="18">
        <v>0.433225576</v>
      </c>
      <c r="AS41" s="18">
        <v>0.76800976799999998</v>
      </c>
      <c r="AT41" s="18">
        <v>0.85</v>
      </c>
      <c r="AU41" s="18">
        <v>1</v>
      </c>
      <c r="AV41" s="18">
        <v>0.72011878200000001</v>
      </c>
      <c r="AW41" s="18">
        <v>0.8</v>
      </c>
      <c r="AX41" s="18">
        <v>0.28187919500000003</v>
      </c>
      <c r="AY41" s="18">
        <v>0.63108614200000002</v>
      </c>
      <c r="AZ41" s="18">
        <v>0.526048285</v>
      </c>
      <c r="BA41" s="18">
        <v>0.89</v>
      </c>
      <c r="BB41" s="18" t="s">
        <v>17</v>
      </c>
      <c r="BC41" s="18" t="s">
        <v>17</v>
      </c>
      <c r="BD41" s="18" t="s">
        <v>17</v>
      </c>
      <c r="BE41" s="18" t="s">
        <v>17</v>
      </c>
      <c r="BF41" s="18" t="s">
        <v>17</v>
      </c>
      <c r="BG41" s="18" t="s">
        <v>17</v>
      </c>
      <c r="BH41" s="18" t="s">
        <v>17</v>
      </c>
      <c r="BI41" s="18" t="s">
        <v>17</v>
      </c>
      <c r="BJ41" s="18" t="s">
        <v>17</v>
      </c>
      <c r="BK41" s="18" t="s">
        <v>17</v>
      </c>
    </row>
    <row r="42" spans="1:64" ht="27.95" customHeight="1">
      <c r="A42" s="14" t="s">
        <v>81</v>
      </c>
      <c r="B42" s="15" t="s">
        <v>82</v>
      </c>
      <c r="C42" s="15" t="s">
        <v>63</v>
      </c>
      <c r="D42" s="15"/>
      <c r="E42" s="43"/>
      <c r="F42" s="43"/>
      <c r="G42" s="17" t="str">
        <f>VLOOKUP(A42,'KPI Описание'!A:K,11,0)</f>
        <v>Оператор</v>
      </c>
      <c r="H42" s="17" t="s">
        <v>40</v>
      </c>
      <c r="I42" s="18"/>
      <c r="J42" s="19"/>
      <c r="K42" s="24">
        <f>446/446*100%</f>
        <v>1</v>
      </c>
      <c r="L42" s="24">
        <f>524/538*100%</f>
        <v>0.97397769516728627</v>
      </c>
      <c r="M42" s="24">
        <f>1504/1680*100%</f>
        <v>0.89523809523809528</v>
      </c>
      <c r="N42" s="24">
        <f>2018/2070*100%</f>
        <v>0.97487922705314012</v>
      </c>
      <c r="O42" s="24">
        <f>1235/1396*100%</f>
        <v>0.88467048710601714</v>
      </c>
      <c r="P42" s="24">
        <f>486/486*100%</f>
        <v>1</v>
      </c>
      <c r="Q42" s="24">
        <f>574/574*100%</f>
        <v>1</v>
      </c>
      <c r="R42" s="24">
        <f>881/1036*100%</f>
        <v>0.85038610038610041</v>
      </c>
      <c r="S42" s="24">
        <f>667/1468*100%</f>
        <v>0.45435967302452318</v>
      </c>
      <c r="T42" s="24">
        <f>667/1468*100%</f>
        <v>0.45435967302452318</v>
      </c>
      <c r="U42" s="24">
        <f>484/2125*100%</f>
        <v>0.22776470588235295</v>
      </c>
      <c r="V42" s="24">
        <f>638/2654*100%</f>
        <v>0.24039186134137153</v>
      </c>
      <c r="W42" s="18">
        <f>814/1216</f>
        <v>0.66940789473684215</v>
      </c>
      <c r="X42" s="18">
        <f>1660/2004</f>
        <v>0.82834331337325351</v>
      </c>
      <c r="Y42" s="18" t="s">
        <v>17</v>
      </c>
      <c r="Z42" s="18" t="s">
        <v>17</v>
      </c>
      <c r="AA42" s="18" t="s">
        <v>17</v>
      </c>
      <c r="AB42" s="18" t="s">
        <v>17</v>
      </c>
      <c r="AC42" s="18" t="s">
        <v>17</v>
      </c>
      <c r="AD42" s="18" t="s">
        <v>17</v>
      </c>
      <c r="AE42" s="18" t="s">
        <v>17</v>
      </c>
      <c r="AF42" s="18">
        <f>51/53</f>
        <v>0.96226415094339623</v>
      </c>
      <c r="AG42" s="18">
        <f>125/125</f>
        <v>1</v>
      </c>
      <c r="AH42" s="18">
        <v>1</v>
      </c>
      <c r="AI42" s="18">
        <f>37/205</f>
        <v>0.18048780487804877</v>
      </c>
      <c r="AJ42" s="18">
        <v>1</v>
      </c>
      <c r="AK42" s="18">
        <v>0.56999999999999995</v>
      </c>
      <c r="AL42" s="18">
        <f>245/245</f>
        <v>1</v>
      </c>
      <c r="AM42" s="18">
        <f>297/297</f>
        <v>1</v>
      </c>
      <c r="AN42" s="18">
        <v>1</v>
      </c>
      <c r="AO42" s="18">
        <f>1362/1362</f>
        <v>1</v>
      </c>
      <c r="AP42" s="18">
        <v>0.59353922599999998</v>
      </c>
      <c r="AQ42" s="18">
        <v>0.88327526099999998</v>
      </c>
      <c r="AR42" s="18">
        <v>0.25418326699999999</v>
      </c>
      <c r="AS42" s="18">
        <v>0.45856845899999998</v>
      </c>
      <c r="AT42" s="18">
        <v>0.97</v>
      </c>
      <c r="AU42" s="18">
        <v>0.99</v>
      </c>
      <c r="AV42" s="18">
        <v>0.60139130399999996</v>
      </c>
      <c r="AW42" s="18">
        <v>0.85</v>
      </c>
      <c r="AX42" s="18">
        <v>0.31224268700000002</v>
      </c>
      <c r="AY42" s="18">
        <v>0.19385076900000001</v>
      </c>
      <c r="AZ42" s="18">
        <v>0.78920495999999996</v>
      </c>
      <c r="BA42" s="18">
        <v>0.82</v>
      </c>
      <c r="BB42" s="18" t="s">
        <v>17</v>
      </c>
      <c r="BC42" s="18" t="s">
        <v>17</v>
      </c>
      <c r="BD42" s="18" t="s">
        <v>17</v>
      </c>
      <c r="BE42" s="18" t="s">
        <v>17</v>
      </c>
      <c r="BF42" s="18" t="s">
        <v>17</v>
      </c>
      <c r="BG42" s="18" t="s">
        <v>17</v>
      </c>
      <c r="BH42" s="18" t="s">
        <v>17</v>
      </c>
      <c r="BI42" s="18" t="s">
        <v>17</v>
      </c>
      <c r="BJ42" s="18" t="s">
        <v>17</v>
      </c>
      <c r="BK42" s="18" t="s">
        <v>17</v>
      </c>
    </row>
    <row r="43" spans="1:64" ht="27.95" customHeight="1">
      <c r="A43" s="14" t="s">
        <v>81</v>
      </c>
      <c r="B43" s="15" t="s">
        <v>82</v>
      </c>
      <c r="C43" s="15" t="s">
        <v>63</v>
      </c>
      <c r="D43" s="15"/>
      <c r="E43" s="43"/>
      <c r="F43" s="43"/>
      <c r="G43" s="17" t="str">
        <f>VLOOKUP(A43,'KPI Описание'!A:K,11,0)</f>
        <v>Оператор</v>
      </c>
      <c r="H43" s="17" t="s">
        <v>43</v>
      </c>
      <c r="I43" s="18"/>
      <c r="J43" s="19"/>
      <c r="K43" s="24">
        <f>348/348*100%</f>
        <v>1</v>
      </c>
      <c r="L43" s="24">
        <f>90/92*100%</f>
        <v>0.97826086956521741</v>
      </c>
      <c r="M43" s="24">
        <f>1562/1562*100%</f>
        <v>1</v>
      </c>
      <c r="N43" s="24">
        <f>1356/1356*100%</f>
        <v>1</v>
      </c>
      <c r="O43" s="24">
        <f>1005/1005*100%</f>
        <v>1</v>
      </c>
      <c r="P43" s="24" t="s">
        <v>17</v>
      </c>
      <c r="Q43" s="24">
        <f>875/875*100%</f>
        <v>1</v>
      </c>
      <c r="R43" s="24">
        <f>885/885*100%</f>
        <v>1</v>
      </c>
      <c r="S43" s="24">
        <f>895/1646*100%</f>
        <v>0.54374240583232081</v>
      </c>
      <c r="T43" s="24">
        <f>427/2302*100%</f>
        <v>0.18549087749782797</v>
      </c>
      <c r="U43" s="24">
        <f>232/1390*100%</f>
        <v>0.1669064748201439</v>
      </c>
      <c r="V43" s="24">
        <f>583/3042*100%</f>
        <v>0.19165023011176857</v>
      </c>
      <c r="W43" s="18">
        <f>1552/1875</f>
        <v>0.82773333333333332</v>
      </c>
      <c r="X43" s="18">
        <f>1140/2168</f>
        <v>0.52583025830258301</v>
      </c>
      <c r="Y43" s="18" t="s">
        <v>17</v>
      </c>
      <c r="Z43" s="18" t="s">
        <v>17</v>
      </c>
      <c r="AA43" s="18" t="s">
        <v>17</v>
      </c>
      <c r="AB43" s="18" t="s">
        <v>17</v>
      </c>
      <c r="AC43" s="18" t="s">
        <v>17</v>
      </c>
      <c r="AD43" s="18" t="s">
        <v>17</v>
      </c>
      <c r="AE43" s="18" t="s">
        <v>17</v>
      </c>
      <c r="AF43" s="18">
        <f>44/44</f>
        <v>1</v>
      </c>
      <c r="AG43" s="18">
        <f>25/25</f>
        <v>1</v>
      </c>
      <c r="AH43" s="18">
        <v>0.55389221600000005</v>
      </c>
      <c r="AI43" s="18">
        <f>22/119</f>
        <v>0.18487394957983194</v>
      </c>
      <c r="AJ43" s="18">
        <v>0.39130434800000002</v>
      </c>
      <c r="AK43" s="18">
        <v>1</v>
      </c>
      <c r="AL43" s="18">
        <f>128/505</f>
        <v>0.25346534653465347</v>
      </c>
      <c r="AM43" s="18">
        <f>516/516</f>
        <v>1</v>
      </c>
      <c r="AN43" s="18">
        <v>1</v>
      </c>
      <c r="AO43" s="18">
        <f>1008/1008</f>
        <v>1</v>
      </c>
      <c r="AP43" s="18">
        <v>0.80930537400000002</v>
      </c>
      <c r="AQ43" s="18">
        <v>0.91241959399999994</v>
      </c>
      <c r="AR43" s="18">
        <v>0.70838161499999996</v>
      </c>
      <c r="AS43" s="18">
        <v>0.70416236700000001</v>
      </c>
      <c r="AT43" s="18">
        <v>0.69</v>
      </c>
      <c r="AU43" s="18">
        <v>0.99</v>
      </c>
      <c r="AV43" s="18">
        <v>6.6156914999999997E-2</v>
      </c>
      <c r="AW43" s="18">
        <v>0.92</v>
      </c>
      <c r="AX43" s="18">
        <v>0.60921501700000003</v>
      </c>
      <c r="AY43" s="18">
        <v>0.27222222200000001</v>
      </c>
      <c r="AZ43" s="18">
        <v>0.99088145900000002</v>
      </c>
      <c r="BA43" s="18">
        <v>1</v>
      </c>
      <c r="BB43" s="18" t="s">
        <v>17</v>
      </c>
      <c r="BC43" s="18" t="s">
        <v>17</v>
      </c>
      <c r="BD43" s="18" t="s">
        <v>17</v>
      </c>
      <c r="BE43" s="18" t="s">
        <v>17</v>
      </c>
      <c r="BF43" s="18" t="s">
        <v>17</v>
      </c>
      <c r="BG43" s="18" t="s">
        <v>17</v>
      </c>
      <c r="BH43" s="18" t="s">
        <v>17</v>
      </c>
      <c r="BI43" s="18" t="s">
        <v>17</v>
      </c>
      <c r="BJ43" s="18" t="s">
        <v>17</v>
      </c>
      <c r="BK43" s="18" t="s">
        <v>17</v>
      </c>
    </row>
    <row r="44" spans="1:64" ht="27.95" customHeight="1">
      <c r="A44" s="82" t="s">
        <v>84</v>
      </c>
      <c r="B44" s="84" t="s">
        <v>85</v>
      </c>
      <c r="C44" s="84" t="s">
        <v>86</v>
      </c>
      <c r="D44" s="84" t="s">
        <v>13</v>
      </c>
      <c r="E44" s="86" t="s">
        <v>87</v>
      </c>
      <c r="F44" s="86" t="s">
        <v>88</v>
      </c>
      <c r="G44" s="88" t="str">
        <f>VLOOKUP(A44,'KPI Описание'!A:K,11,0)</f>
        <v>Оператор</v>
      </c>
      <c r="H44" s="88" t="s">
        <v>16</v>
      </c>
      <c r="I44" s="91">
        <f>VLOOKUP(A44,'KPI Описание'!A:P,16,0)</f>
        <v>0.9</v>
      </c>
      <c r="J44" s="95" t="str">
        <f>IFERROR(VLOOKUP(A44,'KPI Описание'!A:Q,17,0),0)</f>
        <v>higher</v>
      </c>
      <c r="K44" s="100" t="s">
        <v>17</v>
      </c>
      <c r="L44" s="100">
        <f>5/5</f>
        <v>1</v>
      </c>
      <c r="M44" s="91">
        <f>5/15</f>
        <v>0.33333333333333331</v>
      </c>
      <c r="N44" s="91">
        <f>7/16</f>
        <v>0.4375</v>
      </c>
      <c r="O44" s="91">
        <f>1/21</f>
        <v>4.7619047619047616E-2</v>
      </c>
      <c r="P44" s="91">
        <f>0/23</f>
        <v>0</v>
      </c>
      <c r="Q44" s="91">
        <f>12/42</f>
        <v>0.2857142857142857</v>
      </c>
      <c r="R44" s="91">
        <f>5/25</f>
        <v>0.2</v>
      </c>
      <c r="S44" s="91">
        <f>13/38</f>
        <v>0.34210526315789475</v>
      </c>
      <c r="T44" s="91">
        <f>0/24</f>
        <v>0</v>
      </c>
      <c r="U44" s="91">
        <f>16/37</f>
        <v>0.43243243243243246</v>
      </c>
      <c r="V44" s="91">
        <f>9/29</f>
        <v>0.31034482758620691</v>
      </c>
      <c r="W44" s="91">
        <f>18/21</f>
        <v>0.8571428571428571</v>
      </c>
      <c r="X44" s="91">
        <f>0/21</f>
        <v>0</v>
      </c>
      <c r="Y44" s="91">
        <f>0/11</f>
        <v>0</v>
      </c>
      <c r="Z44" s="91">
        <f>21/26</f>
        <v>0.80769230769230771</v>
      </c>
      <c r="AA44" s="91">
        <f>29/35</f>
        <v>0.82857142857142863</v>
      </c>
      <c r="AB44" s="90">
        <v>0</v>
      </c>
      <c r="AC44" s="107">
        <v>0</v>
      </c>
      <c r="AD44" s="91">
        <f>0/1</f>
        <v>0</v>
      </c>
      <c r="AE44" s="91">
        <v>0</v>
      </c>
      <c r="AF44" s="91">
        <f>10/15</f>
        <v>0.66666666666666663</v>
      </c>
      <c r="AG44" s="91">
        <v>0</v>
      </c>
      <c r="AH44" s="91">
        <v>0</v>
      </c>
      <c r="AI44" s="91">
        <v>0</v>
      </c>
      <c r="AJ44" s="91">
        <f>10/10</f>
        <v>1</v>
      </c>
      <c r="AK44" s="91">
        <f>0.333333333333333*100%</f>
        <v>0.33333333333333298</v>
      </c>
      <c r="AL44" s="91">
        <f>13/24</f>
        <v>0.54166666666666663</v>
      </c>
      <c r="AM44" s="91">
        <f>9/9</f>
        <v>1</v>
      </c>
      <c r="AN44" s="91">
        <f>9/24</f>
        <v>0.375</v>
      </c>
      <c r="AO44" s="91">
        <f>15/25</f>
        <v>0.6</v>
      </c>
      <c r="AP44" s="91">
        <f>11/26</f>
        <v>0.42307692307692307</v>
      </c>
      <c r="AQ44" s="91">
        <f>16/20</f>
        <v>0.8</v>
      </c>
      <c r="AR44" s="91">
        <f>5/20</f>
        <v>0.25</v>
      </c>
      <c r="AS44" s="91">
        <f>30/34</f>
        <v>0.88235294117647056</v>
      </c>
      <c r="AT44" s="91">
        <f>0/10</f>
        <v>0</v>
      </c>
      <c r="AU44" s="91">
        <f>0/15</f>
        <v>0</v>
      </c>
      <c r="AV44" s="91">
        <f>14/29</f>
        <v>0.48275862068965519</v>
      </c>
      <c r="AW44" s="91">
        <v>2E-3</v>
      </c>
      <c r="AX44" s="91">
        <v>0</v>
      </c>
      <c r="AY44" s="91">
        <f>5/38</f>
        <v>0.13157894736842105</v>
      </c>
      <c r="AZ44" s="91">
        <f>25/25</f>
        <v>1</v>
      </c>
      <c r="BA44" s="91">
        <f>22/37</f>
        <v>0.59459459459459463</v>
      </c>
      <c r="BB44" s="91" t="s">
        <v>17</v>
      </c>
      <c r="BC44" s="91" t="s">
        <v>17</v>
      </c>
      <c r="BD44" s="91" t="s">
        <v>17</v>
      </c>
      <c r="BE44" s="91" t="s">
        <v>17</v>
      </c>
      <c r="BF44" s="91" t="s">
        <v>17</v>
      </c>
      <c r="BG44" s="91" t="s">
        <v>17</v>
      </c>
      <c r="BH44" s="91" t="s">
        <v>17</v>
      </c>
      <c r="BI44" s="91" t="s">
        <v>17</v>
      </c>
      <c r="BJ44" s="91" t="s">
        <v>17</v>
      </c>
      <c r="BK44" s="91" t="s">
        <v>17</v>
      </c>
    </row>
    <row r="45" spans="1:64" s="72" customFormat="1" ht="27.95" hidden="1" customHeight="1">
      <c r="A45" s="5" t="s">
        <v>89</v>
      </c>
      <c r="B45" s="6" t="s">
        <v>90</v>
      </c>
      <c r="C45" s="6" t="s">
        <v>58</v>
      </c>
      <c r="D45" s="6" t="s">
        <v>13</v>
      </c>
      <c r="E45" s="42" t="s">
        <v>59</v>
      </c>
      <c r="F45" s="42" t="s">
        <v>91</v>
      </c>
      <c r="G45" s="8" t="str">
        <f>VLOOKUP(A45,'KPI Описание'!A:K,11,0)</f>
        <v>Менеджер смены</v>
      </c>
      <c r="H45" s="8" t="s">
        <v>16</v>
      </c>
      <c r="I45" s="9">
        <f>VLOOKUP(A45,'KPI Описание'!A:P,16,0)</f>
        <v>0.9</v>
      </c>
      <c r="J45" s="10">
        <f>IFERROR(VLOOKUP(A45,'KPI Описание'!A:Q,17,0),0)</f>
        <v>0</v>
      </c>
      <c r="K45" s="9">
        <f>803/800</f>
        <v>1.0037499999999999</v>
      </c>
      <c r="L45" s="9">
        <f>1483/1950</f>
        <v>0.76051282051282054</v>
      </c>
      <c r="M45" s="9">
        <f>1252/2050</f>
        <v>0.61073170731707316</v>
      </c>
      <c r="N45" s="9">
        <f>1856/2850</f>
        <v>0.6512280701754386</v>
      </c>
      <c r="O45" s="9">
        <f>2007/3250</f>
        <v>0.61753846153846159</v>
      </c>
      <c r="P45" s="9">
        <f>2062/3850</f>
        <v>0.53558441558441561</v>
      </c>
      <c r="Q45" s="9">
        <v>0.57999999999999996</v>
      </c>
      <c r="R45" s="9">
        <v>0.65</v>
      </c>
      <c r="S45" s="9">
        <v>0.47</v>
      </c>
      <c r="T45" s="9">
        <v>0.61</v>
      </c>
      <c r="U45" s="9">
        <v>0.85</v>
      </c>
      <c r="V45" s="9">
        <v>0.67</v>
      </c>
      <c r="W45" s="9">
        <v>0.75</v>
      </c>
      <c r="X45" s="9">
        <v>1.27</v>
      </c>
      <c r="Y45" s="9">
        <v>0.73</v>
      </c>
      <c r="Z45" s="9">
        <v>1.34</v>
      </c>
      <c r="AA45" s="9">
        <v>1.1299999999999999</v>
      </c>
      <c r="AB45" s="9">
        <v>1</v>
      </c>
      <c r="AC45" s="9">
        <v>0</v>
      </c>
      <c r="AD45" s="9">
        <v>0.97</v>
      </c>
      <c r="AE45" s="9">
        <v>1.2</v>
      </c>
      <c r="AF45" s="9">
        <v>1.18</v>
      </c>
      <c r="AG45" s="9">
        <v>1.2</v>
      </c>
      <c r="AH45" s="9">
        <v>1.52</v>
      </c>
      <c r="AI45" s="9">
        <v>0.99</v>
      </c>
      <c r="AJ45" s="9">
        <v>0.87</v>
      </c>
      <c r="AK45" s="9">
        <v>0.83</v>
      </c>
      <c r="AL45" s="9">
        <v>0.71</v>
      </c>
      <c r="AM45" s="9">
        <v>1.05</v>
      </c>
      <c r="AN45" s="9">
        <v>1.1000000000000001</v>
      </c>
      <c r="AO45" s="9">
        <v>0.77</v>
      </c>
      <c r="AP45" s="9">
        <v>1</v>
      </c>
      <c r="AQ45" s="9">
        <v>1.01</v>
      </c>
      <c r="AR45" s="9">
        <v>1.29</v>
      </c>
      <c r="AS45" s="9">
        <v>1.08</v>
      </c>
      <c r="AT45" s="9">
        <v>1.02</v>
      </c>
      <c r="AU45" s="9">
        <v>0.84</v>
      </c>
      <c r="AV45" s="9">
        <v>1.17</v>
      </c>
      <c r="AW45" s="9">
        <v>1.37</v>
      </c>
      <c r="AX45" s="9" t="s">
        <v>17</v>
      </c>
      <c r="AY45" s="9" t="s">
        <v>17</v>
      </c>
      <c r="AZ45" s="9" t="s">
        <v>17</v>
      </c>
      <c r="BA45" s="9" t="s">
        <v>17</v>
      </c>
      <c r="BB45" s="9" t="s">
        <v>17</v>
      </c>
      <c r="BC45" s="9" t="s">
        <v>17</v>
      </c>
      <c r="BD45" s="9" t="s">
        <v>17</v>
      </c>
      <c r="BE45" s="9" t="s">
        <v>17</v>
      </c>
      <c r="BF45" s="9" t="s">
        <v>17</v>
      </c>
      <c r="BG45" s="9" t="s">
        <v>17</v>
      </c>
      <c r="BH45" s="9" t="s">
        <v>17</v>
      </c>
      <c r="BI45" s="9" t="s">
        <v>17</v>
      </c>
      <c r="BJ45" s="9" t="s">
        <v>17</v>
      </c>
      <c r="BK45" s="9" t="s">
        <v>17</v>
      </c>
    </row>
    <row r="46" spans="1:64" ht="27.95" customHeight="1">
      <c r="A46" s="82" t="s">
        <v>92</v>
      </c>
      <c r="B46" s="84" t="s">
        <v>93</v>
      </c>
      <c r="C46" s="84" t="s">
        <v>26</v>
      </c>
      <c r="D46" s="84" t="s">
        <v>13</v>
      </c>
      <c r="E46" s="86" t="s">
        <v>87</v>
      </c>
      <c r="F46" s="86" t="s">
        <v>94</v>
      </c>
      <c r="G46" s="88" t="str">
        <f>VLOOKUP(A46,'KPI Описание'!A:K,11,0)</f>
        <v>Оператор</v>
      </c>
      <c r="H46" s="88" t="s">
        <v>16</v>
      </c>
      <c r="I46" s="91">
        <f>VLOOKUP(A46,'KPI Описание'!A:P,16,0)</f>
        <v>0</v>
      </c>
      <c r="J46" s="95">
        <f>IFERROR(VLOOKUP(A46,'KPI Описание'!A:Q,17,0),0)</f>
        <v>0</v>
      </c>
      <c r="K46" s="90">
        <f>SUM(K47:K51)</f>
        <v>0</v>
      </c>
      <c r="L46" s="90">
        <f>SUM(L47:L51)</f>
        <v>3327</v>
      </c>
      <c r="M46" s="90">
        <f>SUM(M47:M51)</f>
        <v>10756</v>
      </c>
      <c r="N46" s="90">
        <f>SUM(N47:N51)</f>
        <v>1867</v>
      </c>
      <c r="O46" s="90">
        <f>SUM(O47:O51)</f>
        <v>18084</v>
      </c>
      <c r="P46" s="90">
        <f>SUM(P47:P51)</f>
        <v>3645</v>
      </c>
      <c r="Q46" s="90">
        <f>SUM(Q47:Q51)</f>
        <v>4108</v>
      </c>
      <c r="R46" s="90">
        <f>SUM(R47:R51)</f>
        <v>3692</v>
      </c>
      <c r="S46" s="90">
        <f>SUM(S47:S51)</f>
        <v>3701</v>
      </c>
      <c r="T46" s="90">
        <f>SUM(T47:T51)</f>
        <v>3231</v>
      </c>
      <c r="U46" s="90">
        <f>SUM(U47:U51)</f>
        <v>3108</v>
      </c>
      <c r="V46" s="90">
        <f>SUM(V47:V51)</f>
        <v>3085</v>
      </c>
      <c r="W46" s="90">
        <f>SUM(W47:W51)</f>
        <v>2159</v>
      </c>
      <c r="X46" s="90">
        <f>SUM(X47:X51)</f>
        <v>1024</v>
      </c>
      <c r="Y46" s="90">
        <f>SUM(Y47:Y51)</f>
        <v>2053</v>
      </c>
      <c r="Z46" s="90">
        <f>SUM(Z47:Z51)</f>
        <v>4644</v>
      </c>
      <c r="AA46" s="90">
        <f>SUM(AA47:AA51)</f>
        <v>4117</v>
      </c>
      <c r="AB46" s="90">
        <v>0</v>
      </c>
      <c r="AC46" s="90">
        <v>0</v>
      </c>
      <c r="AD46" s="90">
        <f>SUM(AD47:AD51)</f>
        <v>2134</v>
      </c>
      <c r="AE46" s="90">
        <v>0</v>
      </c>
      <c r="AF46" s="90">
        <v>2686</v>
      </c>
      <c r="AG46" s="90">
        <v>0</v>
      </c>
      <c r="AH46" s="90">
        <v>0</v>
      </c>
      <c r="AI46" s="90">
        <v>18838</v>
      </c>
      <c r="AJ46" s="90">
        <v>8229</v>
      </c>
      <c r="AK46" s="90">
        <v>4487</v>
      </c>
      <c r="AL46" s="90">
        <f>AL47+AL49+AL50+AL51+40</f>
        <v>6095</v>
      </c>
      <c r="AM46" s="90">
        <v>595</v>
      </c>
      <c r="AN46" s="90">
        <v>5438</v>
      </c>
      <c r="AO46" s="90">
        <v>15900</v>
      </c>
      <c r="AP46" s="90">
        <v>2625</v>
      </c>
      <c r="AQ46" s="90">
        <v>3981</v>
      </c>
      <c r="AR46" s="90">
        <v>3825</v>
      </c>
      <c r="AS46" s="90">
        <v>3738</v>
      </c>
      <c r="AT46" s="90">
        <v>2906</v>
      </c>
      <c r="AU46" s="90">
        <v>4033</v>
      </c>
      <c r="AV46" s="90">
        <v>6704</v>
      </c>
      <c r="AW46" s="90">
        <v>3771</v>
      </c>
      <c r="AX46" s="90">
        <v>5077</v>
      </c>
      <c r="AY46" s="90">
        <v>14948</v>
      </c>
      <c r="AZ46" s="90">
        <v>10211</v>
      </c>
      <c r="BA46" s="90">
        <v>9488</v>
      </c>
      <c r="BB46" s="90" t="s">
        <v>17</v>
      </c>
      <c r="BC46" s="90" t="s">
        <v>17</v>
      </c>
      <c r="BD46" s="90" t="s">
        <v>17</v>
      </c>
      <c r="BE46" s="90" t="s">
        <v>17</v>
      </c>
      <c r="BF46" s="90" t="s">
        <v>17</v>
      </c>
      <c r="BG46" s="90" t="s">
        <v>17</v>
      </c>
      <c r="BH46" s="90" t="s">
        <v>17</v>
      </c>
      <c r="BI46" s="90" t="s">
        <v>17</v>
      </c>
      <c r="BJ46" s="90" t="s">
        <v>17</v>
      </c>
      <c r="BK46" s="90" t="s">
        <v>17</v>
      </c>
    </row>
    <row r="47" spans="1:64" ht="27.95" customHeight="1">
      <c r="A47" s="14" t="s">
        <v>92</v>
      </c>
      <c r="B47" s="15" t="s">
        <v>93</v>
      </c>
      <c r="C47" s="15" t="s">
        <v>26</v>
      </c>
      <c r="D47" s="15"/>
      <c r="E47" s="43"/>
      <c r="F47" s="43"/>
      <c r="G47" s="17" t="str">
        <f>VLOOKUP(A47,'KPI Описание'!A:K,11,0)</f>
        <v>Оператор</v>
      </c>
      <c r="H47" s="17" t="s">
        <v>33</v>
      </c>
      <c r="I47" s="18"/>
      <c r="J47" s="19"/>
      <c r="K47" s="16" t="s">
        <v>17</v>
      </c>
      <c r="L47" s="16">
        <v>716</v>
      </c>
      <c r="M47" s="16">
        <v>6255</v>
      </c>
      <c r="N47" s="16">
        <v>818</v>
      </c>
      <c r="O47" s="16">
        <v>3780</v>
      </c>
      <c r="P47" s="16">
        <v>701</v>
      </c>
      <c r="Q47" s="16">
        <v>1180</v>
      </c>
      <c r="R47" s="16">
        <v>1867</v>
      </c>
      <c r="S47" s="16">
        <v>1121</v>
      </c>
      <c r="T47" s="16">
        <v>1211</v>
      </c>
      <c r="U47" s="16">
        <v>957</v>
      </c>
      <c r="V47" s="16">
        <v>1003</v>
      </c>
      <c r="W47" s="26">
        <v>818</v>
      </c>
      <c r="X47" s="26">
        <v>427</v>
      </c>
      <c r="Y47" s="26">
        <v>685</v>
      </c>
      <c r="Z47" s="26">
        <v>2084</v>
      </c>
      <c r="AA47" s="26">
        <v>1481</v>
      </c>
      <c r="AB47" s="18" t="s">
        <v>17</v>
      </c>
      <c r="AC47" s="18" t="s">
        <v>17</v>
      </c>
      <c r="AD47" s="26">
        <v>878</v>
      </c>
      <c r="AE47" s="18" t="s">
        <v>17</v>
      </c>
      <c r="AF47" s="26">
        <v>1298</v>
      </c>
      <c r="AG47" s="18" t="s">
        <v>17</v>
      </c>
      <c r="AH47" s="18" t="s">
        <v>17</v>
      </c>
      <c r="AI47" s="16">
        <v>4670</v>
      </c>
      <c r="AJ47" s="26">
        <v>2077</v>
      </c>
      <c r="AK47" s="26">
        <v>2699</v>
      </c>
      <c r="AL47" s="26">
        <v>3751</v>
      </c>
      <c r="AM47" s="26">
        <v>428</v>
      </c>
      <c r="AN47" s="26">
        <v>2759</v>
      </c>
      <c r="AO47" s="26">
        <v>6650</v>
      </c>
      <c r="AP47" s="26">
        <v>770</v>
      </c>
      <c r="AQ47" s="44">
        <v>1330</v>
      </c>
      <c r="AR47" s="26">
        <v>1632</v>
      </c>
      <c r="AS47" s="26">
        <v>1273</v>
      </c>
      <c r="AT47" s="26">
        <v>721</v>
      </c>
      <c r="AU47" s="26">
        <v>925</v>
      </c>
      <c r="AV47" s="26">
        <v>1871</v>
      </c>
      <c r="AW47" s="26">
        <v>1084</v>
      </c>
      <c r="AX47" s="26">
        <v>745</v>
      </c>
      <c r="AY47" s="26">
        <v>1951</v>
      </c>
      <c r="AZ47" s="26">
        <v>2891</v>
      </c>
      <c r="BA47" s="26">
        <v>3091</v>
      </c>
      <c r="BB47" s="18" t="s">
        <v>17</v>
      </c>
      <c r="BC47" s="18" t="s">
        <v>17</v>
      </c>
      <c r="BD47" s="18" t="s">
        <v>17</v>
      </c>
      <c r="BE47" s="18" t="s">
        <v>17</v>
      </c>
      <c r="BF47" s="18" t="s">
        <v>17</v>
      </c>
      <c r="BG47" s="18" t="s">
        <v>17</v>
      </c>
      <c r="BH47" s="18" t="s">
        <v>17</v>
      </c>
      <c r="BI47" s="18" t="s">
        <v>17</v>
      </c>
      <c r="BJ47" s="18" t="s">
        <v>17</v>
      </c>
      <c r="BK47" s="18" t="s">
        <v>17</v>
      </c>
    </row>
    <row r="48" spans="1:64" ht="27.95" customHeight="1">
      <c r="A48" s="14" t="s">
        <v>92</v>
      </c>
      <c r="B48" s="15" t="s">
        <v>93</v>
      </c>
      <c r="C48" s="15" t="s">
        <v>26</v>
      </c>
      <c r="D48" s="15"/>
      <c r="E48" s="43"/>
      <c r="F48" s="43"/>
      <c r="G48" s="17" t="str">
        <f>VLOOKUP(A48,'KPI Описание'!A:K,11,0)</f>
        <v>Оператор</v>
      </c>
      <c r="H48" s="17" t="s">
        <v>36</v>
      </c>
      <c r="I48" s="18"/>
      <c r="J48" s="19"/>
      <c r="K48" s="16" t="s">
        <v>17</v>
      </c>
      <c r="L48" s="16" t="s">
        <v>17</v>
      </c>
      <c r="M48" s="16" t="s">
        <v>17</v>
      </c>
      <c r="N48" s="16" t="s">
        <v>17</v>
      </c>
      <c r="O48" s="16" t="s">
        <v>17</v>
      </c>
      <c r="P48" s="16">
        <v>138</v>
      </c>
      <c r="Q48" s="16">
        <v>29</v>
      </c>
      <c r="R48" s="16">
        <v>7</v>
      </c>
      <c r="S48" s="16" t="s">
        <v>17</v>
      </c>
      <c r="T48" s="16" t="s">
        <v>17</v>
      </c>
      <c r="U48" s="16" t="s">
        <v>17</v>
      </c>
      <c r="V48" s="16" t="s">
        <v>17</v>
      </c>
      <c r="W48" s="26" t="s">
        <v>17</v>
      </c>
      <c r="X48" s="26" t="s">
        <v>17</v>
      </c>
      <c r="Y48" s="26" t="s">
        <v>17</v>
      </c>
      <c r="Z48" s="26" t="s">
        <v>17</v>
      </c>
      <c r="AA48" s="26" t="s">
        <v>17</v>
      </c>
      <c r="AB48" s="18" t="s">
        <v>17</v>
      </c>
      <c r="AC48" s="18" t="s">
        <v>17</v>
      </c>
      <c r="AD48" s="26" t="s">
        <v>17</v>
      </c>
      <c r="AE48" s="18" t="s">
        <v>17</v>
      </c>
      <c r="AF48" s="26" t="s">
        <v>17</v>
      </c>
      <c r="AG48" s="18" t="s">
        <v>17</v>
      </c>
      <c r="AH48" s="18" t="s">
        <v>17</v>
      </c>
      <c r="AI48" s="16" t="s">
        <v>17</v>
      </c>
      <c r="AJ48" s="34" t="s">
        <v>17</v>
      </c>
      <c r="AK48" s="26">
        <v>270</v>
      </c>
      <c r="AL48" s="26" t="s">
        <v>17</v>
      </c>
      <c r="AM48" s="26" t="s">
        <v>17</v>
      </c>
      <c r="AN48" s="26" t="s">
        <v>17</v>
      </c>
      <c r="AO48" s="26">
        <v>419</v>
      </c>
      <c r="AP48" s="26" t="s">
        <v>17</v>
      </c>
      <c r="AQ48" s="44">
        <v>20</v>
      </c>
      <c r="AR48" s="77"/>
      <c r="AS48" s="26" t="s">
        <v>17</v>
      </c>
      <c r="AT48" s="26" t="s">
        <v>17</v>
      </c>
      <c r="AU48" s="26">
        <v>321</v>
      </c>
      <c r="AV48" s="26" t="s">
        <v>17</v>
      </c>
      <c r="AW48" s="26" t="s">
        <v>17</v>
      </c>
      <c r="AX48" s="26" t="s">
        <v>17</v>
      </c>
      <c r="AY48" s="26">
        <v>49</v>
      </c>
      <c r="AZ48" s="26" t="s">
        <v>17</v>
      </c>
      <c r="BA48" s="26" t="s">
        <v>17</v>
      </c>
      <c r="BB48" s="18" t="s">
        <v>17</v>
      </c>
      <c r="BC48" s="18" t="s">
        <v>17</v>
      </c>
      <c r="BD48" s="18" t="s">
        <v>17</v>
      </c>
      <c r="BE48" s="18" t="s">
        <v>17</v>
      </c>
      <c r="BF48" s="18" t="s">
        <v>17</v>
      </c>
      <c r="BG48" s="18" t="s">
        <v>17</v>
      </c>
      <c r="BH48" s="18" t="s">
        <v>17</v>
      </c>
      <c r="BI48" s="18" t="s">
        <v>17</v>
      </c>
      <c r="BJ48" s="18" t="s">
        <v>17</v>
      </c>
      <c r="BK48" s="18" t="s">
        <v>17</v>
      </c>
    </row>
    <row r="49" spans="1:64" ht="27.95" customHeight="1">
      <c r="A49" s="14" t="s">
        <v>92</v>
      </c>
      <c r="B49" s="15" t="s">
        <v>93</v>
      </c>
      <c r="C49" s="15" t="s">
        <v>26</v>
      </c>
      <c r="D49" s="15"/>
      <c r="E49" s="43"/>
      <c r="F49" s="43"/>
      <c r="G49" s="17" t="str">
        <f>VLOOKUP(A49,'KPI Описание'!A:K,11,0)</f>
        <v>Оператор</v>
      </c>
      <c r="H49" s="17" t="s">
        <v>37</v>
      </c>
      <c r="I49" s="18"/>
      <c r="J49" s="19"/>
      <c r="K49" s="16" t="s">
        <v>17</v>
      </c>
      <c r="L49" s="16">
        <v>1160</v>
      </c>
      <c r="M49" s="16">
        <v>1066</v>
      </c>
      <c r="N49" s="16">
        <v>223</v>
      </c>
      <c r="O49" s="16">
        <v>1689</v>
      </c>
      <c r="P49" s="16">
        <v>863</v>
      </c>
      <c r="Q49" s="16">
        <v>1050</v>
      </c>
      <c r="R49" s="16">
        <v>1056</v>
      </c>
      <c r="S49" s="16">
        <v>463</v>
      </c>
      <c r="T49" s="16">
        <v>368</v>
      </c>
      <c r="U49" s="16">
        <v>450</v>
      </c>
      <c r="V49" s="16">
        <v>367</v>
      </c>
      <c r="W49" s="26">
        <v>217</v>
      </c>
      <c r="X49" s="26">
        <v>75</v>
      </c>
      <c r="Y49" s="26">
        <v>321</v>
      </c>
      <c r="Z49" s="26">
        <v>281</v>
      </c>
      <c r="AA49" s="26">
        <v>971</v>
      </c>
      <c r="AB49" s="18" t="s">
        <v>17</v>
      </c>
      <c r="AC49" s="18" t="s">
        <v>17</v>
      </c>
      <c r="AD49" s="26">
        <v>186</v>
      </c>
      <c r="AE49" s="18" t="s">
        <v>17</v>
      </c>
      <c r="AF49" s="26">
        <v>218</v>
      </c>
      <c r="AG49" s="18" t="s">
        <v>17</v>
      </c>
      <c r="AH49" s="18" t="s">
        <v>17</v>
      </c>
      <c r="AI49" s="16">
        <v>4550</v>
      </c>
      <c r="AJ49" s="26">
        <v>3415</v>
      </c>
      <c r="AK49" s="26">
        <v>525</v>
      </c>
      <c r="AL49" s="26">
        <v>237</v>
      </c>
      <c r="AM49" s="26" t="s">
        <v>17</v>
      </c>
      <c r="AN49" s="26">
        <v>457</v>
      </c>
      <c r="AO49" s="26">
        <v>1570</v>
      </c>
      <c r="AP49" s="26">
        <v>164</v>
      </c>
      <c r="AQ49" s="44">
        <v>540</v>
      </c>
      <c r="AR49" s="26">
        <v>481</v>
      </c>
      <c r="AS49" s="26">
        <v>335</v>
      </c>
      <c r="AT49" s="26">
        <v>96</v>
      </c>
      <c r="AU49" s="26" t="s">
        <v>17</v>
      </c>
      <c r="AV49" s="26">
        <v>1307</v>
      </c>
      <c r="AW49" s="26">
        <v>184</v>
      </c>
      <c r="AX49" s="26">
        <v>3090</v>
      </c>
      <c r="AY49" s="26">
        <v>7050</v>
      </c>
      <c r="AZ49" s="26">
        <v>2108</v>
      </c>
      <c r="BA49" s="26">
        <v>309</v>
      </c>
      <c r="BB49" s="18" t="s">
        <v>17</v>
      </c>
      <c r="BC49" s="18" t="s">
        <v>17</v>
      </c>
      <c r="BD49" s="18" t="s">
        <v>17</v>
      </c>
      <c r="BE49" s="18" t="s">
        <v>17</v>
      </c>
      <c r="BF49" s="18" t="s">
        <v>17</v>
      </c>
      <c r="BG49" s="18" t="s">
        <v>17</v>
      </c>
      <c r="BH49" s="18" t="s">
        <v>17</v>
      </c>
      <c r="BI49" s="18" t="s">
        <v>17</v>
      </c>
      <c r="BJ49" s="18" t="s">
        <v>17</v>
      </c>
      <c r="BK49" s="18" t="s">
        <v>17</v>
      </c>
    </row>
    <row r="50" spans="1:64" ht="27.95" customHeight="1">
      <c r="A50" s="14" t="s">
        <v>92</v>
      </c>
      <c r="B50" s="15" t="s">
        <v>93</v>
      </c>
      <c r="C50" s="15" t="s">
        <v>26</v>
      </c>
      <c r="D50" s="15"/>
      <c r="E50" s="43"/>
      <c r="F50" s="43"/>
      <c r="G50" s="17" t="str">
        <f>VLOOKUP(A50,'KPI Описание'!A:K,11,0)</f>
        <v>Оператор</v>
      </c>
      <c r="H50" s="17" t="s">
        <v>40</v>
      </c>
      <c r="I50" s="18"/>
      <c r="J50" s="19"/>
      <c r="K50" s="16" t="s">
        <v>17</v>
      </c>
      <c r="L50" s="16">
        <v>732</v>
      </c>
      <c r="M50" s="16">
        <v>2764</v>
      </c>
      <c r="N50" s="16">
        <v>376</v>
      </c>
      <c r="O50" s="16">
        <v>3826</v>
      </c>
      <c r="P50" s="16">
        <v>393</v>
      </c>
      <c r="Q50" s="16">
        <v>975</v>
      </c>
      <c r="R50" s="16">
        <v>299</v>
      </c>
      <c r="S50" s="16">
        <v>1171</v>
      </c>
      <c r="T50" s="16">
        <v>773</v>
      </c>
      <c r="U50" s="16">
        <v>943</v>
      </c>
      <c r="V50" s="16">
        <v>914</v>
      </c>
      <c r="W50" s="26">
        <v>558</v>
      </c>
      <c r="X50" s="26">
        <v>249</v>
      </c>
      <c r="Y50" s="26">
        <v>641</v>
      </c>
      <c r="Z50" s="26">
        <v>945</v>
      </c>
      <c r="AA50" s="26">
        <v>940</v>
      </c>
      <c r="AB50" s="18" t="s">
        <v>17</v>
      </c>
      <c r="AC50" s="18" t="s">
        <v>17</v>
      </c>
      <c r="AD50" s="26">
        <v>335</v>
      </c>
      <c r="AE50" s="18" t="s">
        <v>17</v>
      </c>
      <c r="AF50" s="26">
        <v>470</v>
      </c>
      <c r="AG50" s="18" t="s">
        <v>17</v>
      </c>
      <c r="AH50" s="18" t="s">
        <v>17</v>
      </c>
      <c r="AI50" s="16">
        <v>1890</v>
      </c>
      <c r="AJ50" s="26">
        <v>983</v>
      </c>
      <c r="AK50" s="26">
        <v>749</v>
      </c>
      <c r="AL50" s="26">
        <v>1123</v>
      </c>
      <c r="AM50" s="26">
        <v>47</v>
      </c>
      <c r="AN50" s="26">
        <v>924</v>
      </c>
      <c r="AO50" s="26">
        <v>870</v>
      </c>
      <c r="AP50" s="26">
        <v>459</v>
      </c>
      <c r="AQ50" s="44">
        <v>610</v>
      </c>
      <c r="AR50" s="26">
        <v>614</v>
      </c>
      <c r="AS50" s="26">
        <v>410</v>
      </c>
      <c r="AT50" s="26">
        <v>250</v>
      </c>
      <c r="AU50" s="26">
        <v>569</v>
      </c>
      <c r="AV50" s="26">
        <v>1344</v>
      </c>
      <c r="AW50" s="26">
        <v>631</v>
      </c>
      <c r="AX50" s="26">
        <v>421</v>
      </c>
      <c r="AY50" s="26">
        <v>972</v>
      </c>
      <c r="AZ50" s="26">
        <v>2574</v>
      </c>
      <c r="BA50" s="26">
        <v>2688</v>
      </c>
      <c r="BB50" s="18" t="s">
        <v>17</v>
      </c>
      <c r="BC50" s="18" t="s">
        <v>17</v>
      </c>
      <c r="BD50" s="18" t="s">
        <v>17</v>
      </c>
      <c r="BE50" s="18" t="s">
        <v>17</v>
      </c>
      <c r="BF50" s="18" t="s">
        <v>17</v>
      </c>
      <c r="BG50" s="18" t="s">
        <v>17</v>
      </c>
      <c r="BH50" s="18" t="s">
        <v>17</v>
      </c>
      <c r="BI50" s="18" t="s">
        <v>17</v>
      </c>
      <c r="BJ50" s="18" t="s">
        <v>17</v>
      </c>
      <c r="BK50" s="18" t="s">
        <v>17</v>
      </c>
    </row>
    <row r="51" spans="1:64" s="72" customFormat="1" ht="38.25" customHeight="1">
      <c r="A51" s="81" t="s">
        <v>92</v>
      </c>
      <c r="B51" s="83" t="s">
        <v>93</v>
      </c>
      <c r="C51" s="83" t="s">
        <v>26</v>
      </c>
      <c r="D51" s="83"/>
      <c r="E51" s="85"/>
      <c r="F51" s="85"/>
      <c r="G51" s="87" t="str">
        <f>VLOOKUP(A51,'KPI Описание'!A:K,11,0)</f>
        <v>Оператор</v>
      </c>
      <c r="H51" s="87" t="s">
        <v>43</v>
      </c>
      <c r="I51" s="89"/>
      <c r="J51" s="94"/>
      <c r="K51" s="101" t="s">
        <v>17</v>
      </c>
      <c r="L51" s="101">
        <v>719</v>
      </c>
      <c r="M51" s="101">
        <v>671</v>
      </c>
      <c r="N51" s="101">
        <v>450</v>
      </c>
      <c r="O51" s="101">
        <v>8789</v>
      </c>
      <c r="P51" s="101">
        <v>1550</v>
      </c>
      <c r="Q51" s="101">
        <v>874</v>
      </c>
      <c r="R51" s="101">
        <v>463</v>
      </c>
      <c r="S51" s="101">
        <v>946</v>
      </c>
      <c r="T51" s="101">
        <v>879</v>
      </c>
      <c r="U51" s="101">
        <v>758</v>
      </c>
      <c r="V51" s="101">
        <v>801</v>
      </c>
      <c r="W51" s="93">
        <v>566</v>
      </c>
      <c r="X51" s="93">
        <v>273</v>
      </c>
      <c r="Y51" s="93">
        <v>406</v>
      </c>
      <c r="Z51" s="93">
        <v>1334</v>
      </c>
      <c r="AA51" s="93">
        <v>725</v>
      </c>
      <c r="AB51" s="89" t="s">
        <v>17</v>
      </c>
      <c r="AC51" s="89" t="s">
        <v>17</v>
      </c>
      <c r="AD51" s="93">
        <v>735</v>
      </c>
      <c r="AE51" s="89" t="s">
        <v>17</v>
      </c>
      <c r="AF51" s="93">
        <v>679</v>
      </c>
      <c r="AG51" s="89" t="s">
        <v>17</v>
      </c>
      <c r="AH51" s="89" t="s">
        <v>17</v>
      </c>
      <c r="AI51" s="101">
        <v>5658</v>
      </c>
      <c r="AJ51" s="93">
        <v>1650</v>
      </c>
      <c r="AK51" s="93">
        <v>244</v>
      </c>
      <c r="AL51" s="93">
        <v>944</v>
      </c>
      <c r="AM51" s="93">
        <v>103</v>
      </c>
      <c r="AN51" s="93">
        <v>1259</v>
      </c>
      <c r="AO51" s="93">
        <v>6297</v>
      </c>
      <c r="AP51" s="93">
        <v>1144</v>
      </c>
      <c r="AQ51" s="111">
        <v>1427</v>
      </c>
      <c r="AR51" s="93">
        <v>1056</v>
      </c>
      <c r="AS51" s="93">
        <v>1664</v>
      </c>
      <c r="AT51" s="93">
        <v>1369</v>
      </c>
      <c r="AU51" s="93">
        <v>2164</v>
      </c>
      <c r="AV51" s="93">
        <v>2092</v>
      </c>
      <c r="AW51" s="93">
        <v>1852</v>
      </c>
      <c r="AX51" s="93">
        <v>789</v>
      </c>
      <c r="AY51" s="93">
        <v>4833</v>
      </c>
      <c r="AZ51" s="93">
        <v>2550</v>
      </c>
      <c r="BA51" s="111" t="s">
        <v>95</v>
      </c>
      <c r="BB51" s="89" t="s">
        <v>17</v>
      </c>
      <c r="BC51" s="89" t="s">
        <v>17</v>
      </c>
      <c r="BD51" s="89" t="s">
        <v>17</v>
      </c>
      <c r="BE51" s="89" t="s">
        <v>17</v>
      </c>
      <c r="BF51" s="89" t="s">
        <v>17</v>
      </c>
      <c r="BG51" s="89" t="s">
        <v>17</v>
      </c>
      <c r="BH51" s="89" t="s">
        <v>17</v>
      </c>
      <c r="BI51" s="89" t="s">
        <v>17</v>
      </c>
      <c r="BJ51" s="89" t="s">
        <v>17</v>
      </c>
      <c r="BK51" s="89" t="s">
        <v>17</v>
      </c>
    </row>
    <row r="52" spans="1:64" s="72" customFormat="1" ht="27.95" customHeight="1">
      <c r="A52" s="5" t="s">
        <v>96</v>
      </c>
      <c r="B52" s="6" t="s">
        <v>97</v>
      </c>
      <c r="C52" s="6" t="s">
        <v>26</v>
      </c>
      <c r="D52" s="6" t="s">
        <v>13</v>
      </c>
      <c r="E52" s="42" t="s">
        <v>98</v>
      </c>
      <c r="F52" s="42" t="s">
        <v>99</v>
      </c>
      <c r="G52" s="8" t="str">
        <f>VLOOKUP(A52,'KPI Описание'!A:K,11,0)</f>
        <v>Оператор</v>
      </c>
      <c r="H52" s="8" t="s">
        <v>16</v>
      </c>
      <c r="I52" s="11">
        <f>VLOOKUP(A52,'KPI Описание'!A:P,16,0)</f>
        <v>1000</v>
      </c>
      <c r="J52" s="10" t="str">
        <f>IFERROR(VLOOKUP(A52,'KPI Описание'!A:Q,17,0),0)</f>
        <v>lower</v>
      </c>
      <c r="K52" s="11">
        <f>SUM(K53:K57)</f>
        <v>16966</v>
      </c>
      <c r="L52" s="11">
        <f>SUM(L53:L57)</f>
        <v>18287</v>
      </c>
      <c r="M52" s="11">
        <f>SUM(M53:M57)</f>
        <v>17677</v>
      </c>
      <c r="N52" s="11">
        <f>SUM(N53:N57)</f>
        <v>17390</v>
      </c>
      <c r="O52" s="11">
        <f>SUM(O53:O57)</f>
        <v>19153</v>
      </c>
      <c r="P52" s="11">
        <f>SUM(P53:P57)</f>
        <v>18962</v>
      </c>
      <c r="Q52" s="11">
        <f>SUM(Q53:Q57)</f>
        <v>17497</v>
      </c>
      <c r="R52" s="11">
        <f>SUM(R53:R57)</f>
        <v>17771</v>
      </c>
      <c r="S52" s="11">
        <f>SUM(S53:S57)</f>
        <v>22638</v>
      </c>
      <c r="T52" s="11">
        <f>SUM(T53:T57)</f>
        <v>22054</v>
      </c>
      <c r="U52" s="11">
        <f>SUM(U53:U57)</f>
        <v>23593</v>
      </c>
      <c r="V52" s="11">
        <f>SUM(V53:V57)</f>
        <v>23349</v>
      </c>
      <c r="W52" s="11">
        <f>SUM(W53:W57)</f>
        <v>23470</v>
      </c>
      <c r="X52" s="11">
        <f>SUM(X53:X57)</f>
        <v>23233</v>
      </c>
      <c r="Y52" s="11">
        <f>SUM(Y53:Y57)</f>
        <v>18772</v>
      </c>
      <c r="Z52" s="11">
        <f>SUM(Z53:Z57)</f>
        <v>17890</v>
      </c>
      <c r="AA52" s="11">
        <f>SUM(AA53:AA57)</f>
        <v>17760</v>
      </c>
      <c r="AB52" s="11">
        <f>SUM(AB53:AB57)</f>
        <v>16929</v>
      </c>
      <c r="AC52" s="11">
        <f>SUM(AC53:AC57)</f>
        <v>16354</v>
      </c>
      <c r="AD52" s="11">
        <f>SUM(AD53:AD57)</f>
        <v>18151</v>
      </c>
      <c r="AE52" s="11">
        <f>SUM(AE53:AE57)</f>
        <v>16732</v>
      </c>
      <c r="AF52" s="11">
        <v>16977</v>
      </c>
      <c r="AG52" s="11">
        <v>17112</v>
      </c>
      <c r="AH52" s="11">
        <v>16501</v>
      </c>
      <c r="AI52" s="11">
        <v>16501</v>
      </c>
      <c r="AJ52" s="11">
        <v>22119</v>
      </c>
      <c r="AK52" s="11">
        <v>22168</v>
      </c>
      <c r="AL52" s="11">
        <v>22169</v>
      </c>
      <c r="AM52" s="11">
        <f>SUM(AM53:AM57)</f>
        <v>18299</v>
      </c>
      <c r="AN52" s="11">
        <v>18454</v>
      </c>
      <c r="AO52" s="11">
        <v>17629</v>
      </c>
      <c r="AP52" s="11">
        <v>17433</v>
      </c>
      <c r="AQ52" s="11">
        <v>15287</v>
      </c>
      <c r="AR52" s="11">
        <v>14829</v>
      </c>
      <c r="AS52" s="11">
        <v>11119</v>
      </c>
      <c r="AT52" s="11">
        <v>9948</v>
      </c>
      <c r="AU52" s="11">
        <v>9590</v>
      </c>
      <c r="AV52" s="11">
        <v>9449</v>
      </c>
      <c r="AW52" s="11">
        <v>9327</v>
      </c>
      <c r="AX52" s="11">
        <v>10554</v>
      </c>
      <c r="AY52" s="11">
        <v>11229</v>
      </c>
      <c r="AZ52" s="11">
        <v>9513</v>
      </c>
      <c r="BA52" s="11">
        <v>9058</v>
      </c>
      <c r="BB52" s="11" t="s">
        <v>17</v>
      </c>
      <c r="BC52" s="11" t="s">
        <v>17</v>
      </c>
      <c r="BD52" s="11" t="s">
        <v>17</v>
      </c>
      <c r="BE52" s="11" t="s">
        <v>17</v>
      </c>
      <c r="BF52" s="11" t="s">
        <v>17</v>
      </c>
      <c r="BG52" s="11" t="s">
        <v>17</v>
      </c>
      <c r="BH52" s="11" t="s">
        <v>17</v>
      </c>
      <c r="BI52" s="11" t="s">
        <v>17</v>
      </c>
      <c r="BJ52" s="11" t="s">
        <v>17</v>
      </c>
      <c r="BK52" s="11" t="s">
        <v>17</v>
      </c>
    </row>
    <row r="53" spans="1:64" s="72" customFormat="1" ht="39" customHeight="1">
      <c r="A53" s="81" t="s">
        <v>96</v>
      </c>
      <c r="B53" s="83" t="s">
        <v>97</v>
      </c>
      <c r="C53" s="83" t="s">
        <v>26</v>
      </c>
      <c r="D53" s="83"/>
      <c r="E53" s="85"/>
      <c r="F53" s="85"/>
      <c r="G53" s="87" t="str">
        <f>VLOOKUP(A53,'KPI Описание'!A:K,11,0)</f>
        <v>Оператор</v>
      </c>
      <c r="H53" s="87" t="s">
        <v>33</v>
      </c>
      <c r="I53" s="89"/>
      <c r="J53" s="94"/>
      <c r="K53" s="98">
        <v>6448</v>
      </c>
      <c r="L53" s="98">
        <v>7518</v>
      </c>
      <c r="M53" s="98">
        <v>6698</v>
      </c>
      <c r="N53" s="98">
        <v>6415</v>
      </c>
      <c r="O53" s="98">
        <v>7191</v>
      </c>
      <c r="P53" s="98">
        <v>7322</v>
      </c>
      <c r="Q53" s="98">
        <v>6981</v>
      </c>
      <c r="R53" s="98">
        <v>6474</v>
      </c>
      <c r="S53" s="98">
        <v>9473</v>
      </c>
      <c r="T53" s="93">
        <v>10500</v>
      </c>
      <c r="U53" s="93">
        <v>10795</v>
      </c>
      <c r="V53" s="93">
        <v>9980</v>
      </c>
      <c r="W53" s="93">
        <v>10093</v>
      </c>
      <c r="X53" s="93">
        <v>9591</v>
      </c>
      <c r="Y53" s="93">
        <v>9639</v>
      </c>
      <c r="Z53" s="93">
        <v>8314</v>
      </c>
      <c r="AA53" s="93">
        <v>8522</v>
      </c>
      <c r="AB53" s="93">
        <v>8513</v>
      </c>
      <c r="AC53" s="93">
        <v>8159</v>
      </c>
      <c r="AD53" s="93">
        <v>8652</v>
      </c>
      <c r="AE53" s="93">
        <v>8532</v>
      </c>
      <c r="AF53" s="89" t="s">
        <v>100</v>
      </c>
      <c r="AG53" s="89" t="s">
        <v>101</v>
      </c>
      <c r="AH53" s="93">
        <v>8202</v>
      </c>
      <c r="AI53" s="93">
        <v>8202</v>
      </c>
      <c r="AJ53" s="93">
        <v>8003</v>
      </c>
      <c r="AK53" s="93">
        <v>3168</v>
      </c>
      <c r="AL53" s="93">
        <v>8486</v>
      </c>
      <c r="AM53" s="93">
        <v>8341</v>
      </c>
      <c r="AN53" s="93">
        <v>7483</v>
      </c>
      <c r="AO53" s="93">
        <v>6971</v>
      </c>
      <c r="AP53" s="93">
        <v>7348</v>
      </c>
      <c r="AQ53" s="111" t="s">
        <v>102</v>
      </c>
      <c r="AR53" s="93">
        <v>5319</v>
      </c>
      <c r="AS53" s="93">
        <v>3794</v>
      </c>
      <c r="AT53" s="93">
        <v>3774</v>
      </c>
      <c r="AU53" s="93">
        <v>3883</v>
      </c>
      <c r="AV53" s="93">
        <v>1804</v>
      </c>
      <c r="AW53" s="93">
        <v>3540</v>
      </c>
      <c r="AX53" s="93">
        <v>3761</v>
      </c>
      <c r="AY53" s="93">
        <v>1817</v>
      </c>
      <c r="AZ53" s="93">
        <v>1502</v>
      </c>
      <c r="BA53" s="93">
        <v>3661</v>
      </c>
      <c r="BB53" s="89" t="s">
        <v>17</v>
      </c>
      <c r="BC53" s="89" t="s">
        <v>17</v>
      </c>
      <c r="BD53" s="89" t="s">
        <v>17</v>
      </c>
      <c r="BE53" s="89" t="s">
        <v>17</v>
      </c>
      <c r="BF53" s="89" t="s">
        <v>17</v>
      </c>
      <c r="BG53" s="89" t="s">
        <v>17</v>
      </c>
      <c r="BH53" s="89" t="s">
        <v>17</v>
      </c>
      <c r="BI53" s="89" t="s">
        <v>17</v>
      </c>
      <c r="BJ53" s="89" t="s">
        <v>17</v>
      </c>
      <c r="BK53" s="89" t="s">
        <v>17</v>
      </c>
      <c r="BL53" s="74"/>
    </row>
    <row r="54" spans="1:64" ht="27.95" customHeight="1">
      <c r="A54" s="14" t="s">
        <v>96</v>
      </c>
      <c r="B54" s="15" t="s">
        <v>97</v>
      </c>
      <c r="C54" s="15" t="s">
        <v>26</v>
      </c>
      <c r="D54" s="15"/>
      <c r="E54" s="43"/>
      <c r="F54" s="43"/>
      <c r="G54" s="17" t="str">
        <f>VLOOKUP(A54,'KPI Описание'!A:K,11,0)</f>
        <v>Оператор</v>
      </c>
      <c r="H54" s="17" t="s">
        <v>36</v>
      </c>
      <c r="I54" s="18"/>
      <c r="J54" s="19"/>
      <c r="K54" s="16">
        <v>1</v>
      </c>
      <c r="L54" s="16">
        <v>1</v>
      </c>
      <c r="M54" s="16">
        <v>1</v>
      </c>
      <c r="N54" s="16">
        <v>1</v>
      </c>
      <c r="O54" s="16">
        <v>1</v>
      </c>
      <c r="P54" s="16">
        <v>8</v>
      </c>
      <c r="Q54" s="16">
        <v>8</v>
      </c>
      <c r="R54" s="16">
        <v>9</v>
      </c>
      <c r="S54" s="16">
        <v>9</v>
      </c>
      <c r="T54" s="26">
        <v>12</v>
      </c>
      <c r="U54" s="26">
        <v>12</v>
      </c>
      <c r="V54" s="26">
        <v>12</v>
      </c>
      <c r="W54" s="26">
        <v>12</v>
      </c>
      <c r="X54" s="26" t="s">
        <v>17</v>
      </c>
      <c r="Y54" s="26" t="s">
        <v>17</v>
      </c>
      <c r="Z54" s="26" t="s">
        <v>17</v>
      </c>
      <c r="AA54" s="26" t="s">
        <v>17</v>
      </c>
      <c r="AB54" s="26" t="s">
        <v>17</v>
      </c>
      <c r="AC54" s="26" t="s">
        <v>17</v>
      </c>
      <c r="AD54" s="26" t="s">
        <v>17</v>
      </c>
      <c r="AE54" s="26" t="s">
        <v>17</v>
      </c>
      <c r="AF54" s="26">
        <v>24</v>
      </c>
      <c r="AG54" s="18" t="s">
        <v>17</v>
      </c>
      <c r="AH54" s="26" t="s">
        <v>17</v>
      </c>
      <c r="AI54" s="26" t="s">
        <v>17</v>
      </c>
      <c r="AJ54" s="18" t="s">
        <v>17</v>
      </c>
      <c r="AK54" s="26" t="s">
        <v>17</v>
      </c>
      <c r="AL54" s="18" t="s">
        <v>17</v>
      </c>
      <c r="AM54" s="34" t="s">
        <v>17</v>
      </c>
      <c r="AN54" s="26" t="s">
        <v>17</v>
      </c>
      <c r="AO54" s="26" t="s">
        <v>17</v>
      </c>
      <c r="AP54" s="26" t="s">
        <v>17</v>
      </c>
      <c r="AQ54" s="44" t="s">
        <v>17</v>
      </c>
      <c r="AR54" s="26" t="s">
        <v>17</v>
      </c>
      <c r="AS54" s="26" t="s">
        <v>17</v>
      </c>
      <c r="AT54" s="26" t="s">
        <v>17</v>
      </c>
      <c r="AU54" s="26" t="s">
        <v>17</v>
      </c>
      <c r="AV54" s="26" t="s">
        <v>17</v>
      </c>
      <c r="AW54" s="26" t="s">
        <v>17</v>
      </c>
      <c r="AX54" s="26" t="s">
        <v>17</v>
      </c>
      <c r="AY54" s="26" t="s">
        <v>17</v>
      </c>
      <c r="AZ54" s="26" t="s">
        <v>17</v>
      </c>
      <c r="BA54" s="26" t="s">
        <v>17</v>
      </c>
      <c r="BB54" s="18" t="s">
        <v>17</v>
      </c>
      <c r="BC54" s="18" t="s">
        <v>17</v>
      </c>
      <c r="BD54" s="18" t="s">
        <v>17</v>
      </c>
      <c r="BE54" s="18" t="s">
        <v>17</v>
      </c>
      <c r="BF54" s="18" t="s">
        <v>17</v>
      </c>
      <c r="BG54" s="18" t="s">
        <v>17</v>
      </c>
      <c r="BH54" s="18" t="s">
        <v>17</v>
      </c>
      <c r="BI54" s="18" t="s">
        <v>17</v>
      </c>
      <c r="BJ54" s="18" t="s">
        <v>17</v>
      </c>
      <c r="BK54" s="18" t="s">
        <v>17</v>
      </c>
    </row>
    <row r="55" spans="1:64" ht="27.95" customHeight="1">
      <c r="A55" s="14" t="s">
        <v>96</v>
      </c>
      <c r="B55" s="15" t="s">
        <v>97</v>
      </c>
      <c r="C55" s="15" t="s">
        <v>26</v>
      </c>
      <c r="D55" s="15"/>
      <c r="E55" s="43"/>
      <c r="F55" s="43"/>
      <c r="G55" s="17" t="str">
        <f>VLOOKUP(A55,'KPI Описание'!A:K,11,0)</f>
        <v>Оператор</v>
      </c>
      <c r="H55" s="17" t="s">
        <v>37</v>
      </c>
      <c r="I55" s="18"/>
      <c r="J55" s="19"/>
      <c r="K55" s="20">
        <v>1376</v>
      </c>
      <c r="L55" s="20">
        <v>1438</v>
      </c>
      <c r="M55" s="20">
        <v>1523</v>
      </c>
      <c r="N55" s="20">
        <v>1330</v>
      </c>
      <c r="O55" s="20">
        <v>1465</v>
      </c>
      <c r="P55" s="20">
        <v>1477</v>
      </c>
      <c r="Q55" s="20">
        <v>1384</v>
      </c>
      <c r="R55" s="20">
        <v>1416</v>
      </c>
      <c r="S55" s="20">
        <v>1454</v>
      </c>
      <c r="T55" s="26">
        <v>1474</v>
      </c>
      <c r="U55" s="26">
        <v>1631</v>
      </c>
      <c r="V55" s="26">
        <v>1690</v>
      </c>
      <c r="W55" s="26">
        <v>1729</v>
      </c>
      <c r="X55" s="26">
        <v>1767</v>
      </c>
      <c r="Y55" s="26">
        <v>1768</v>
      </c>
      <c r="Z55" s="26">
        <v>1789</v>
      </c>
      <c r="AA55" s="26">
        <v>1756</v>
      </c>
      <c r="AB55" s="26">
        <v>1731</v>
      </c>
      <c r="AC55" s="26">
        <v>1738</v>
      </c>
      <c r="AD55" s="26">
        <v>1779</v>
      </c>
      <c r="AE55" s="26">
        <v>1736</v>
      </c>
      <c r="AF55" s="18" t="s">
        <v>103</v>
      </c>
      <c r="AG55" s="18" t="s">
        <v>104</v>
      </c>
      <c r="AH55" s="25">
        <v>1731</v>
      </c>
      <c r="AI55" s="26">
        <v>1731</v>
      </c>
      <c r="AJ55" s="26">
        <v>3168</v>
      </c>
      <c r="AK55" s="26">
        <v>2702</v>
      </c>
      <c r="AL55" s="26">
        <v>3022</v>
      </c>
      <c r="AM55" s="26">
        <v>2319</v>
      </c>
      <c r="AN55" s="26">
        <v>2651</v>
      </c>
      <c r="AO55" s="26">
        <v>2640</v>
      </c>
      <c r="AP55" s="26">
        <v>2655</v>
      </c>
      <c r="AQ55" s="44">
        <v>2483</v>
      </c>
      <c r="AR55" s="26">
        <v>2501</v>
      </c>
      <c r="AS55" s="26">
        <v>2406</v>
      </c>
      <c r="AT55" s="26">
        <v>1858</v>
      </c>
      <c r="AU55" s="26">
        <v>1812</v>
      </c>
      <c r="AV55" s="26">
        <v>1781</v>
      </c>
      <c r="AW55" s="26">
        <v>1519</v>
      </c>
      <c r="AX55" s="26">
        <v>1674</v>
      </c>
      <c r="AY55" s="26">
        <v>2747</v>
      </c>
      <c r="AZ55" s="26">
        <v>2195</v>
      </c>
      <c r="BA55" s="26">
        <v>1424</v>
      </c>
      <c r="BB55" s="18" t="s">
        <v>17</v>
      </c>
      <c r="BC55" s="18" t="s">
        <v>17</v>
      </c>
      <c r="BD55" s="18" t="s">
        <v>17</v>
      </c>
      <c r="BE55" s="18" t="s">
        <v>17</v>
      </c>
      <c r="BF55" s="18" t="s">
        <v>17</v>
      </c>
      <c r="BG55" s="18" t="s">
        <v>17</v>
      </c>
      <c r="BH55" s="18" t="s">
        <v>17</v>
      </c>
      <c r="BI55" s="18" t="s">
        <v>17</v>
      </c>
      <c r="BJ55" s="18" t="s">
        <v>17</v>
      </c>
      <c r="BK55" s="18" t="s">
        <v>17</v>
      </c>
    </row>
    <row r="56" spans="1:64" ht="27.95" customHeight="1">
      <c r="A56" s="14" t="s">
        <v>96</v>
      </c>
      <c r="B56" s="15" t="s">
        <v>97</v>
      </c>
      <c r="C56" s="15" t="s">
        <v>26</v>
      </c>
      <c r="D56" s="15"/>
      <c r="E56" s="43"/>
      <c r="F56" s="43"/>
      <c r="G56" s="17" t="str">
        <f>VLOOKUP(A56,'KPI Описание'!A:K,11,0)</f>
        <v>Оператор</v>
      </c>
      <c r="H56" s="17" t="s">
        <v>40</v>
      </c>
      <c r="I56" s="18"/>
      <c r="J56" s="19"/>
      <c r="K56" s="20">
        <v>4905</v>
      </c>
      <c r="L56" s="20">
        <v>5013</v>
      </c>
      <c r="M56" s="20">
        <v>5085</v>
      </c>
      <c r="N56" s="20">
        <v>5235</v>
      </c>
      <c r="O56" s="20">
        <v>5697</v>
      </c>
      <c r="P56" s="20">
        <v>5231</v>
      </c>
      <c r="Q56" s="20">
        <v>5174</v>
      </c>
      <c r="R56" s="20">
        <v>6336</v>
      </c>
      <c r="S56" s="20">
        <v>7587</v>
      </c>
      <c r="T56" s="26">
        <v>5674</v>
      </c>
      <c r="U56" s="26">
        <v>5789</v>
      </c>
      <c r="V56" s="26">
        <v>6235</v>
      </c>
      <c r="W56" s="26">
        <v>6464</v>
      </c>
      <c r="X56" s="26">
        <v>6753</v>
      </c>
      <c r="Y56" s="26">
        <v>2141</v>
      </c>
      <c r="Z56" s="26">
        <v>2154</v>
      </c>
      <c r="AA56" s="26">
        <v>2249</v>
      </c>
      <c r="AB56" s="26">
        <v>2246</v>
      </c>
      <c r="AC56" s="26">
        <v>2248</v>
      </c>
      <c r="AD56" s="26">
        <v>2292</v>
      </c>
      <c r="AE56" s="26">
        <v>1950</v>
      </c>
      <c r="AF56" s="18" t="s">
        <v>105</v>
      </c>
      <c r="AG56" s="18" t="s">
        <v>106</v>
      </c>
      <c r="AH56" s="25">
        <v>1647</v>
      </c>
      <c r="AI56" s="26">
        <v>1647</v>
      </c>
      <c r="AJ56" s="26">
        <v>2554</v>
      </c>
      <c r="AK56" s="26">
        <v>8432</v>
      </c>
      <c r="AL56" s="26">
        <v>2775</v>
      </c>
      <c r="AM56" s="26">
        <v>2216</v>
      </c>
      <c r="AN56" s="26">
        <v>2431</v>
      </c>
      <c r="AO56" s="26">
        <v>2450</v>
      </c>
      <c r="AP56" s="26">
        <v>2636</v>
      </c>
      <c r="AQ56" s="44">
        <v>2493</v>
      </c>
      <c r="AR56" s="26">
        <v>2792</v>
      </c>
      <c r="AS56" s="26">
        <v>2709</v>
      </c>
      <c r="AT56" s="26">
        <v>1858</v>
      </c>
      <c r="AU56" s="26">
        <v>1762</v>
      </c>
      <c r="AV56" s="26">
        <v>2078</v>
      </c>
      <c r="AW56" s="26">
        <v>2060</v>
      </c>
      <c r="AX56" s="26">
        <v>2520</v>
      </c>
      <c r="AY56" s="26">
        <v>2387</v>
      </c>
      <c r="AZ56" s="26">
        <v>2087</v>
      </c>
      <c r="BA56" s="26">
        <v>2042</v>
      </c>
      <c r="BB56" s="18" t="s">
        <v>17</v>
      </c>
      <c r="BC56" s="18" t="s">
        <v>17</v>
      </c>
      <c r="BD56" s="18" t="s">
        <v>17</v>
      </c>
      <c r="BE56" s="18" t="s">
        <v>17</v>
      </c>
      <c r="BF56" s="18" t="s">
        <v>17</v>
      </c>
      <c r="BG56" s="18" t="s">
        <v>17</v>
      </c>
      <c r="BH56" s="18" t="s">
        <v>17</v>
      </c>
      <c r="BI56" s="18" t="s">
        <v>17</v>
      </c>
      <c r="BJ56" s="18" t="s">
        <v>17</v>
      </c>
      <c r="BK56" s="18" t="s">
        <v>17</v>
      </c>
    </row>
    <row r="57" spans="1:64" ht="27.95" customHeight="1">
      <c r="A57" s="14" t="s">
        <v>96</v>
      </c>
      <c r="B57" s="15" t="s">
        <v>97</v>
      </c>
      <c r="C57" s="15" t="s">
        <v>26</v>
      </c>
      <c r="D57" s="15"/>
      <c r="E57" s="43"/>
      <c r="F57" s="43"/>
      <c r="G57" s="17" t="str">
        <f>VLOOKUP(A57,'KPI Описание'!A:K,11,0)</f>
        <v>Оператор</v>
      </c>
      <c r="H57" s="17" t="s">
        <v>43</v>
      </c>
      <c r="I57" s="18"/>
      <c r="J57" s="19"/>
      <c r="K57" s="20">
        <v>4236</v>
      </c>
      <c r="L57" s="20">
        <v>4317</v>
      </c>
      <c r="M57" s="20">
        <v>4370</v>
      </c>
      <c r="N57" s="20">
        <v>4409</v>
      </c>
      <c r="O57" s="20">
        <v>4799</v>
      </c>
      <c r="P57" s="20">
        <v>4924</v>
      </c>
      <c r="Q57" s="20">
        <v>3950</v>
      </c>
      <c r="R57" s="20">
        <v>3536</v>
      </c>
      <c r="S57" s="20">
        <v>4115</v>
      </c>
      <c r="T57" s="26">
        <v>4394</v>
      </c>
      <c r="U57" s="26">
        <v>5366</v>
      </c>
      <c r="V57" s="26">
        <v>5432</v>
      </c>
      <c r="W57" s="26">
        <v>5172</v>
      </c>
      <c r="X57" s="26">
        <v>5122</v>
      </c>
      <c r="Y57" s="26">
        <v>5224</v>
      </c>
      <c r="Z57" s="26">
        <v>5633</v>
      </c>
      <c r="AA57" s="26">
        <v>5233</v>
      </c>
      <c r="AB57" s="26">
        <v>4439</v>
      </c>
      <c r="AC57" s="26">
        <v>4209</v>
      </c>
      <c r="AD57" s="26">
        <v>5428</v>
      </c>
      <c r="AE57" s="26">
        <v>4514</v>
      </c>
      <c r="AF57" s="18" t="s">
        <v>107</v>
      </c>
      <c r="AG57" s="18" t="s">
        <v>108</v>
      </c>
      <c r="AH57" s="25">
        <v>4897</v>
      </c>
      <c r="AI57" s="26">
        <v>4897</v>
      </c>
      <c r="AJ57" s="26">
        <v>8369</v>
      </c>
      <c r="AK57" s="26">
        <v>7841</v>
      </c>
      <c r="AL57" s="26">
        <v>7861</v>
      </c>
      <c r="AM57" s="26">
        <v>5423</v>
      </c>
      <c r="AN57" s="26">
        <v>5797</v>
      </c>
      <c r="AO57" s="26">
        <v>5480</v>
      </c>
      <c r="AP57" s="26">
        <v>4701</v>
      </c>
      <c r="AQ57" s="44">
        <v>3377</v>
      </c>
      <c r="AR57" s="26">
        <v>4186</v>
      </c>
      <c r="AS57" s="26">
        <v>2179</v>
      </c>
      <c r="AT57" s="26">
        <v>2136</v>
      </c>
      <c r="AU57" s="26">
        <v>2084</v>
      </c>
      <c r="AV57" s="26">
        <v>3741</v>
      </c>
      <c r="AW57" s="26">
        <v>2163</v>
      </c>
      <c r="AX57" s="26">
        <v>2554</v>
      </c>
      <c r="AY57" s="26">
        <v>4193</v>
      </c>
      <c r="AZ57" s="26">
        <v>3681</v>
      </c>
      <c r="BA57" s="26">
        <v>1893</v>
      </c>
      <c r="BB57" s="18" t="s">
        <v>17</v>
      </c>
      <c r="BC57" s="18" t="s">
        <v>17</v>
      </c>
      <c r="BD57" s="18" t="s">
        <v>17</v>
      </c>
      <c r="BE57" s="18" t="s">
        <v>17</v>
      </c>
      <c r="BF57" s="18" t="s">
        <v>17</v>
      </c>
      <c r="BG57" s="18" t="s">
        <v>17</v>
      </c>
      <c r="BH57" s="18" t="s">
        <v>17</v>
      </c>
      <c r="BI57" s="18" t="s">
        <v>17</v>
      </c>
      <c r="BJ57" s="18" t="s">
        <v>17</v>
      </c>
      <c r="BK57" s="18" t="s">
        <v>17</v>
      </c>
    </row>
    <row r="58" spans="1:64" ht="27.95" hidden="1" customHeight="1">
      <c r="A58" s="82" t="s">
        <v>109</v>
      </c>
      <c r="B58" s="84" t="s">
        <v>110</v>
      </c>
      <c r="C58" s="84" t="s">
        <v>58</v>
      </c>
      <c r="D58" s="84" t="s">
        <v>13</v>
      </c>
      <c r="E58" s="86" t="s">
        <v>59</v>
      </c>
      <c r="F58" s="86" t="s">
        <v>111</v>
      </c>
      <c r="G58" s="88" t="str">
        <f>VLOOKUP(A58,'KPI Описание'!A:K,11,0)</f>
        <v>Менеджер смены</v>
      </c>
      <c r="H58" s="88" t="s">
        <v>16</v>
      </c>
      <c r="I58" s="91">
        <f>VLOOKUP(A58,'KPI Описание'!A:P,16,0)</f>
        <v>0.9</v>
      </c>
      <c r="J58" s="95">
        <f>IFERROR(VLOOKUP(A58,'KPI Описание'!A:Q,17,0),0)</f>
        <v>0</v>
      </c>
      <c r="K58" s="91">
        <f>4675/6090</f>
        <v>0.76765188834154352</v>
      </c>
      <c r="L58" s="91">
        <f>3380/2220</f>
        <v>1.5225225225225225</v>
      </c>
      <c r="M58" s="91">
        <f>5007/3030</f>
        <v>1.6524752475247524</v>
      </c>
      <c r="N58" s="91">
        <f>9033/10440</f>
        <v>0.86522988505747123</v>
      </c>
      <c r="O58" s="91">
        <f>5610/8610</f>
        <v>0.65156794425087106</v>
      </c>
      <c r="P58" s="91">
        <f>6503/7380</f>
        <v>0.88116531165311651</v>
      </c>
      <c r="Q58" s="91">
        <v>0.87</v>
      </c>
      <c r="R58" s="91">
        <v>0.5</v>
      </c>
      <c r="S58" s="91">
        <v>0.67</v>
      </c>
      <c r="T58" s="91">
        <v>0.82</v>
      </c>
      <c r="U58" s="91">
        <v>0.65</v>
      </c>
      <c r="V58" s="91">
        <v>0.73</v>
      </c>
      <c r="W58" s="91">
        <v>0.95</v>
      </c>
      <c r="X58" s="91">
        <v>0.8</v>
      </c>
      <c r="Y58" s="91">
        <v>0.91</v>
      </c>
      <c r="Z58" s="91">
        <v>0.9</v>
      </c>
      <c r="AA58" s="91">
        <v>1.2</v>
      </c>
      <c r="AB58" s="91">
        <v>1.47</v>
      </c>
      <c r="AC58" s="91">
        <v>0.89</v>
      </c>
      <c r="AD58" s="91">
        <v>0.96</v>
      </c>
      <c r="AE58" s="91">
        <v>1.1399999999999999</v>
      </c>
      <c r="AF58" s="91">
        <v>0.76</v>
      </c>
      <c r="AG58" s="91">
        <v>0</v>
      </c>
      <c r="AH58" s="91">
        <v>0</v>
      </c>
      <c r="AI58" s="91">
        <v>1</v>
      </c>
      <c r="AJ58" s="91">
        <v>0.97</v>
      </c>
      <c r="AK58" s="91">
        <v>0.63</v>
      </c>
      <c r="AL58" s="91">
        <v>0.94</v>
      </c>
      <c r="AM58" s="91">
        <v>1.07</v>
      </c>
      <c r="AN58" s="91">
        <v>0.69</v>
      </c>
      <c r="AO58" s="91">
        <v>0.72</v>
      </c>
      <c r="AP58" s="91">
        <v>0.56999999999999995</v>
      </c>
      <c r="AQ58" s="91">
        <v>1.41</v>
      </c>
      <c r="AR58" s="91">
        <v>1.1399999999999999</v>
      </c>
      <c r="AS58" s="91">
        <v>0.86</v>
      </c>
      <c r="AT58" s="91">
        <v>0.98</v>
      </c>
      <c r="AU58" s="91">
        <v>1.1000000000000001</v>
      </c>
      <c r="AV58" s="91">
        <v>0.85</v>
      </c>
      <c r="AW58" s="91">
        <v>0.92</v>
      </c>
      <c r="AX58" s="91" t="s">
        <v>17</v>
      </c>
      <c r="AY58" s="91" t="s">
        <v>17</v>
      </c>
      <c r="AZ58" s="91" t="s">
        <v>17</v>
      </c>
      <c r="BA58" s="91" t="s">
        <v>17</v>
      </c>
      <c r="BB58" s="91" t="s">
        <v>17</v>
      </c>
      <c r="BC58" s="91" t="s">
        <v>17</v>
      </c>
      <c r="BD58" s="91" t="s">
        <v>17</v>
      </c>
      <c r="BE58" s="91" t="s">
        <v>17</v>
      </c>
      <c r="BF58" s="91" t="s">
        <v>17</v>
      </c>
      <c r="BG58" s="91" t="s">
        <v>17</v>
      </c>
      <c r="BH58" s="91" t="s">
        <v>17</v>
      </c>
      <c r="BI58" s="91" t="s">
        <v>17</v>
      </c>
      <c r="BJ58" s="91" t="s">
        <v>17</v>
      </c>
      <c r="BK58" s="91" t="s">
        <v>17</v>
      </c>
    </row>
    <row r="59" spans="1:64" s="72" customFormat="1" ht="27.95" hidden="1" customHeight="1">
      <c r="A59" s="5" t="s">
        <v>112</v>
      </c>
      <c r="B59" s="6" t="s">
        <v>113</v>
      </c>
      <c r="C59" s="6" t="s">
        <v>58</v>
      </c>
      <c r="D59" s="6" t="s">
        <v>13</v>
      </c>
      <c r="E59" s="42" t="s">
        <v>59</v>
      </c>
      <c r="F59" s="42" t="s">
        <v>114</v>
      </c>
      <c r="G59" s="8" t="str">
        <f>VLOOKUP(A59,'KPI Описание'!A:K,11,0)</f>
        <v>Менеджер смены</v>
      </c>
      <c r="H59" s="8" t="s">
        <v>16</v>
      </c>
      <c r="I59" s="9">
        <f>VLOOKUP(A59,'KPI Описание'!A:P,16,0)</f>
        <v>0.9</v>
      </c>
      <c r="J59" s="10">
        <f>IFERROR(VLOOKUP(A59,'KPI Описание'!A:Q,17,0),0)</f>
        <v>0</v>
      </c>
      <c r="K59" s="13" t="s">
        <v>17</v>
      </c>
      <c r="L59" s="13" t="s">
        <v>17</v>
      </c>
      <c r="M59" s="9">
        <f>26882/33300</f>
        <v>0.80726726726726727</v>
      </c>
      <c r="N59" s="9">
        <f>49028/39300</f>
        <v>1.2475318066157761</v>
      </c>
      <c r="O59" s="9">
        <f>29804/24600</f>
        <v>1.2115447154471544</v>
      </c>
      <c r="P59" s="9">
        <f>81682/60500</f>
        <v>1.3501157024793389</v>
      </c>
      <c r="Q59" s="9">
        <v>1.04</v>
      </c>
      <c r="R59" s="9">
        <v>0.92</v>
      </c>
      <c r="S59" s="9">
        <v>0.86</v>
      </c>
      <c r="T59" s="9">
        <v>0.63</v>
      </c>
      <c r="U59" s="9">
        <v>0.86</v>
      </c>
      <c r="V59" s="9">
        <v>0.67</v>
      </c>
      <c r="W59" s="9">
        <v>0.89</v>
      </c>
      <c r="X59" s="9">
        <v>0.93</v>
      </c>
      <c r="Y59" s="9">
        <v>1.08</v>
      </c>
      <c r="Z59" s="9">
        <v>0.99</v>
      </c>
      <c r="AA59" s="9">
        <v>0.9</v>
      </c>
      <c r="AB59" s="9">
        <v>0.82</v>
      </c>
      <c r="AC59" s="9">
        <v>1.05</v>
      </c>
      <c r="AD59" s="9">
        <v>0.77</v>
      </c>
      <c r="AE59" s="9">
        <v>1.05</v>
      </c>
      <c r="AF59" s="9">
        <v>1.1499999999999999</v>
      </c>
      <c r="AG59" s="9">
        <v>0</v>
      </c>
      <c r="AH59" s="9">
        <v>0</v>
      </c>
      <c r="AI59" s="9">
        <v>0.81</v>
      </c>
      <c r="AJ59" s="9">
        <v>0.91</v>
      </c>
      <c r="AK59" s="9">
        <v>0</v>
      </c>
      <c r="AL59" s="9">
        <v>1.04</v>
      </c>
      <c r="AM59" s="9">
        <v>0.82</v>
      </c>
      <c r="AN59" s="9">
        <v>0.84</v>
      </c>
      <c r="AO59" s="9">
        <v>0.92</v>
      </c>
      <c r="AP59" s="9">
        <v>0.91</v>
      </c>
      <c r="AQ59" s="9">
        <v>0.74</v>
      </c>
      <c r="AR59" s="9">
        <v>0.67</v>
      </c>
      <c r="AS59" s="9">
        <v>0.64</v>
      </c>
      <c r="AT59" s="9">
        <v>0.9</v>
      </c>
      <c r="AU59" s="9">
        <v>0.78</v>
      </c>
      <c r="AV59" s="9">
        <v>0.78</v>
      </c>
      <c r="AW59" s="9">
        <v>0.83</v>
      </c>
      <c r="AX59" s="9" t="s">
        <v>17</v>
      </c>
      <c r="AY59" s="9" t="s">
        <v>17</v>
      </c>
      <c r="AZ59" s="9" t="s">
        <v>17</v>
      </c>
      <c r="BA59" s="9" t="s">
        <v>17</v>
      </c>
      <c r="BB59" s="9" t="s">
        <v>17</v>
      </c>
      <c r="BC59" s="9" t="s">
        <v>17</v>
      </c>
      <c r="BD59" s="9" t="s">
        <v>17</v>
      </c>
      <c r="BE59" s="9" t="s">
        <v>17</v>
      </c>
      <c r="BF59" s="9" t="s">
        <v>17</v>
      </c>
      <c r="BG59" s="9" t="s">
        <v>17</v>
      </c>
      <c r="BH59" s="9" t="s">
        <v>17</v>
      </c>
      <c r="BI59" s="9" t="s">
        <v>17</v>
      </c>
      <c r="BJ59" s="9" t="s">
        <v>17</v>
      </c>
      <c r="BK59" s="9" t="s">
        <v>17</v>
      </c>
      <c r="BL59" s="74"/>
    </row>
    <row r="60" spans="1:64" ht="27.95" customHeight="1">
      <c r="A60" s="82" t="s">
        <v>115</v>
      </c>
      <c r="B60" s="84" t="s">
        <v>116</v>
      </c>
      <c r="C60" s="84" t="s">
        <v>58</v>
      </c>
      <c r="D60" s="84" t="s">
        <v>13</v>
      </c>
      <c r="E60" s="86" t="s">
        <v>117</v>
      </c>
      <c r="F60" s="86" t="s">
        <v>118</v>
      </c>
      <c r="G60" s="88" t="str">
        <f>VLOOKUP(A60,'KPI Описание'!A:K,11,0)</f>
        <v>Оператор</v>
      </c>
      <c r="H60" s="88" t="s">
        <v>16</v>
      </c>
      <c r="I60" s="91">
        <f>VLOOKUP(A60,'KPI Описание'!A:P,16,0)</f>
        <v>0.95</v>
      </c>
      <c r="J60" s="95" t="str">
        <f>IFERROR(VLOOKUP(A60,'KPI Описание'!A:Q,17,0),0)</f>
        <v>higher</v>
      </c>
      <c r="K60" s="91">
        <f>AVERAGE(K61:K65)</f>
        <v>1</v>
      </c>
      <c r="L60" s="91">
        <f>AVERAGE(L61:L65)</f>
        <v>0.99157842622125403</v>
      </c>
      <c r="M60" s="91">
        <f>AVERAGE(M61:M65)</f>
        <v>0.93333333333333324</v>
      </c>
      <c r="N60" s="91">
        <f>AVERAGE(N61:N65)</f>
        <v>0.9102291519017246</v>
      </c>
      <c r="O60" s="91">
        <f>AVERAGE(O61:O65)</f>
        <v>0.90078349476757458</v>
      </c>
      <c r="P60" s="91">
        <f>AVERAGE(P61:P65)</f>
        <v>0.70783264246614586</v>
      </c>
      <c r="Q60" s="91">
        <f>AVERAGE(Q61:Q65)</f>
        <v>0.85348654009045455</v>
      </c>
      <c r="R60" s="91">
        <f>AVERAGE(R61:R65)</f>
        <v>0.88334391318476202</v>
      </c>
      <c r="S60" s="91">
        <f>AVERAGE(S61:S65)</f>
        <v>0.7693478517469311</v>
      </c>
      <c r="T60" s="91">
        <f>AVERAGE(T61:T65)</f>
        <v>0.92987620353768585</v>
      </c>
      <c r="U60" s="91">
        <f>AVERAGE(U61:U65)</f>
        <v>0.93724177832072075</v>
      </c>
      <c r="V60" s="91">
        <f>AVERAGE(V61:V65)</f>
        <v>0.9863614223088164</v>
      </c>
      <c r="W60" s="91">
        <f>AVERAGE(W61:W65)</f>
        <v>0.97215686274509805</v>
      </c>
      <c r="X60" s="91">
        <f>AVERAGE(X61:X65)</f>
        <v>0.96306202453455869</v>
      </c>
      <c r="Y60" s="91">
        <f>AVERAGE(Y61:Y65)</f>
        <v>0.9728537449114778</v>
      </c>
      <c r="Z60" s="91">
        <f>AVERAGE(Z61:Z65)</f>
        <v>0.77583412671498442</v>
      </c>
      <c r="AA60" s="91">
        <f>AVERAGE(AA61:AA65)</f>
        <v>0.94295622948200164</v>
      </c>
      <c r="AB60" s="91">
        <f>AVERAGE(AB61:AB65)</f>
        <v>0.98520511096166774</v>
      </c>
      <c r="AC60" s="91">
        <f>AVERAGE(AC61:AC65)</f>
        <v>0.98911454839110646</v>
      </c>
      <c r="AD60" s="91">
        <f>AVERAGE(AD61:AD65)</f>
        <v>0.79938565784530191</v>
      </c>
      <c r="AE60" s="91">
        <f>AVERAGE(AE61:AE65)</f>
        <v>0.84665797332612847</v>
      </c>
      <c r="AF60" s="91">
        <f>AVERAGE(AF61:AF65)</f>
        <v>0.88129247261116572</v>
      </c>
      <c r="AG60" s="91">
        <v>0</v>
      </c>
      <c r="AH60" s="91">
        <v>0</v>
      </c>
      <c r="AI60" s="91">
        <f>19499/19768</f>
        <v>0.98639214892755966</v>
      </c>
      <c r="AJ60" s="91">
        <v>0.92513319900000002</v>
      </c>
      <c r="AK60" s="91">
        <f>911/936</f>
        <v>0.97329059829059827</v>
      </c>
      <c r="AL60" s="91">
        <f>1719/1785</f>
        <v>0.96302521008403363</v>
      </c>
      <c r="AM60" s="91">
        <f>27423/28296</f>
        <v>0.96914758269720103</v>
      </c>
      <c r="AN60" s="91">
        <v>0.95544809100000005</v>
      </c>
      <c r="AO60" s="91">
        <f>5143/5569</f>
        <v>0.9235051176153708</v>
      </c>
      <c r="AP60" s="91">
        <v>0.88456549900000003</v>
      </c>
      <c r="AQ60" s="91">
        <v>0.96</v>
      </c>
      <c r="AR60" s="91">
        <v>0.96923800100000002</v>
      </c>
      <c r="AS60" s="91">
        <v>0.98074398200000001</v>
      </c>
      <c r="AT60" s="91">
        <v>0.84</v>
      </c>
      <c r="AU60" s="91">
        <v>0.97</v>
      </c>
      <c r="AV60" s="91">
        <v>0.96329447700000004</v>
      </c>
      <c r="AW60" s="91">
        <v>0.95</v>
      </c>
      <c r="AX60" s="91">
        <v>0.95977666399999995</v>
      </c>
      <c r="AY60" s="91">
        <v>0.976144075</v>
      </c>
      <c r="AZ60" s="91">
        <v>0.68125028799999998</v>
      </c>
      <c r="BA60" s="91">
        <v>0.97</v>
      </c>
      <c r="BB60" s="91" t="s">
        <v>17</v>
      </c>
      <c r="BC60" s="91" t="s">
        <v>17</v>
      </c>
      <c r="BD60" s="91" t="s">
        <v>17</v>
      </c>
      <c r="BE60" s="91" t="s">
        <v>17</v>
      </c>
      <c r="BF60" s="91" t="s">
        <v>17</v>
      </c>
      <c r="BG60" s="91" t="s">
        <v>17</v>
      </c>
      <c r="BH60" s="91" t="s">
        <v>17</v>
      </c>
      <c r="BI60" s="91" t="s">
        <v>17</v>
      </c>
      <c r="BJ60" s="91" t="s">
        <v>17</v>
      </c>
      <c r="BK60" s="91" t="s">
        <v>17</v>
      </c>
    </row>
    <row r="61" spans="1:64" ht="27.95" customHeight="1">
      <c r="A61" s="14" t="s">
        <v>115</v>
      </c>
      <c r="B61" s="15" t="s">
        <v>116</v>
      </c>
      <c r="C61" s="15" t="s">
        <v>58</v>
      </c>
      <c r="D61" s="15"/>
      <c r="E61" s="43"/>
      <c r="F61" s="43"/>
      <c r="G61" s="17" t="str">
        <f>VLOOKUP(A61,'KPI Описание'!A:K,11,0)</f>
        <v>Оператор</v>
      </c>
      <c r="H61" s="17" t="s">
        <v>33</v>
      </c>
      <c r="I61" s="18"/>
      <c r="J61" s="19"/>
      <c r="K61" s="18" t="s">
        <v>17</v>
      </c>
      <c r="L61" s="18">
        <f>1747/1747</f>
        <v>1</v>
      </c>
      <c r="M61" s="18">
        <f>2996/2996</f>
        <v>1</v>
      </c>
      <c r="N61" s="18" t="s">
        <v>17</v>
      </c>
      <c r="O61" s="18">
        <f>9448/11911</f>
        <v>0.79321635463017381</v>
      </c>
      <c r="P61" s="18">
        <f>756/2937</f>
        <v>0.25740551583248211</v>
      </c>
      <c r="Q61" s="18">
        <f>1979/2126</f>
        <v>0.93085606773283158</v>
      </c>
      <c r="R61" s="18" t="s">
        <v>17</v>
      </c>
      <c r="S61" s="18">
        <f>14/25</f>
        <v>0.56000000000000005</v>
      </c>
      <c r="T61" s="18">
        <f>475/567</f>
        <v>0.83774250440917108</v>
      </c>
      <c r="U61" s="18">
        <f>1578/1789</f>
        <v>0.88205701509223033</v>
      </c>
      <c r="V61" s="18" t="s">
        <v>17</v>
      </c>
      <c r="W61" s="18">
        <f>4958/5100</f>
        <v>0.97215686274509805</v>
      </c>
      <c r="X61" s="18">
        <f>615/688</f>
        <v>0.89389534883720934</v>
      </c>
      <c r="Y61" s="18">
        <f>2062/2136</f>
        <v>0.96535580524344566</v>
      </c>
      <c r="Z61" s="18">
        <f>4564/4663</f>
        <v>0.97876903281149474</v>
      </c>
      <c r="AA61" s="18">
        <f>2106/2106</f>
        <v>1</v>
      </c>
      <c r="AB61" s="18" t="s">
        <v>17</v>
      </c>
      <c r="AC61" s="18">
        <f>9/9</f>
        <v>1</v>
      </c>
      <c r="AD61" s="18">
        <f>2545/2617</f>
        <v>0.97248758119984713</v>
      </c>
      <c r="AE61" s="18">
        <f>2684/2892</f>
        <v>0.92807745504840944</v>
      </c>
      <c r="AF61" s="18">
        <f>1709/2941</f>
        <v>0.58109486569194146</v>
      </c>
      <c r="AG61" s="18" t="s">
        <v>17</v>
      </c>
      <c r="AH61" s="18" t="s">
        <v>17</v>
      </c>
      <c r="AI61" s="18">
        <f>17082/17351</f>
        <v>0.98449657080283559</v>
      </c>
      <c r="AJ61" s="18">
        <v>1</v>
      </c>
      <c r="AK61" s="18">
        <f>0.971653543307087*100%</f>
        <v>0.97165354330708698</v>
      </c>
      <c r="AL61" s="18">
        <f>83/98</f>
        <v>0.84693877551020413</v>
      </c>
      <c r="AM61" s="18" t="s">
        <v>17</v>
      </c>
      <c r="AN61" s="18">
        <v>0.85267645700000005</v>
      </c>
      <c r="AO61" s="18">
        <f>4023/4330</f>
        <v>0.92909930715935329</v>
      </c>
      <c r="AP61" s="18">
        <v>0.91382113799999998</v>
      </c>
      <c r="AQ61" s="18" t="s">
        <v>17</v>
      </c>
      <c r="AR61" s="18">
        <f>1014/1019</f>
        <v>0.99509322865554461</v>
      </c>
      <c r="AS61" s="18">
        <v>0.98098663900000005</v>
      </c>
      <c r="AT61" s="18">
        <v>1</v>
      </c>
      <c r="AU61" s="18">
        <v>1</v>
      </c>
      <c r="AV61" s="18">
        <v>0.89280676999999997</v>
      </c>
      <c r="AW61" s="18">
        <v>0.96</v>
      </c>
      <c r="AX61" s="18">
        <v>0.47962962999999997</v>
      </c>
      <c r="AY61" s="18">
        <v>0.95710613700000002</v>
      </c>
      <c r="AZ61" s="18">
        <v>0.99585635400000005</v>
      </c>
      <c r="BA61" s="18">
        <v>0.95</v>
      </c>
      <c r="BB61" s="18" t="s">
        <v>17</v>
      </c>
      <c r="BC61" s="18" t="s">
        <v>17</v>
      </c>
      <c r="BD61" s="18" t="s">
        <v>17</v>
      </c>
      <c r="BE61" s="18" t="s">
        <v>17</v>
      </c>
      <c r="BF61" s="18" t="s">
        <v>17</v>
      </c>
      <c r="BG61" s="18" t="s">
        <v>17</v>
      </c>
      <c r="BH61" s="18" t="s">
        <v>17</v>
      </c>
      <c r="BI61" s="18" t="s">
        <v>17</v>
      </c>
      <c r="BJ61" s="18" t="s">
        <v>17</v>
      </c>
      <c r="BK61" s="18" t="s">
        <v>17</v>
      </c>
    </row>
    <row r="62" spans="1:64" ht="27.95" customHeight="1">
      <c r="A62" s="14" t="s">
        <v>115</v>
      </c>
      <c r="B62" s="15" t="s">
        <v>116</v>
      </c>
      <c r="C62" s="15" t="s">
        <v>58</v>
      </c>
      <c r="D62" s="15"/>
      <c r="E62" s="43"/>
      <c r="F62" s="43"/>
      <c r="G62" s="17" t="str">
        <f>VLOOKUP(A62,'KPI Описание'!A:K,11,0)</f>
        <v>Оператор</v>
      </c>
      <c r="H62" s="17" t="s">
        <v>36</v>
      </c>
      <c r="I62" s="18"/>
      <c r="J62" s="19"/>
      <c r="K62" s="18" t="s">
        <v>17</v>
      </c>
      <c r="L62" s="18" t="s">
        <v>17</v>
      </c>
      <c r="M62" s="18" t="s">
        <v>17</v>
      </c>
      <c r="N62" s="18" t="s">
        <v>17</v>
      </c>
      <c r="O62" s="18" t="s">
        <v>17</v>
      </c>
      <c r="P62" s="18" t="s">
        <v>17</v>
      </c>
      <c r="Q62" s="18">
        <f>133/133</f>
        <v>1</v>
      </c>
      <c r="R62" s="18">
        <f>2/2</f>
        <v>1</v>
      </c>
      <c r="S62" s="18" t="s">
        <v>17</v>
      </c>
      <c r="T62" s="18" t="s">
        <v>17</v>
      </c>
      <c r="U62" s="18" t="s">
        <v>17</v>
      </c>
      <c r="V62" s="18">
        <f>152/152</f>
        <v>1</v>
      </c>
      <c r="W62" s="18" t="s">
        <v>17</v>
      </c>
      <c r="X62" s="18">
        <f>2/2</f>
        <v>1</v>
      </c>
      <c r="Y62" s="18">
        <f>3/3</f>
        <v>1</v>
      </c>
      <c r="Z62" s="18" t="s">
        <v>17</v>
      </c>
      <c r="AA62" s="18" t="s">
        <v>17</v>
      </c>
      <c r="AB62" s="18" t="s">
        <v>17</v>
      </c>
      <c r="AC62" s="18" t="s">
        <v>17</v>
      </c>
      <c r="AD62" s="18" t="s">
        <v>17</v>
      </c>
      <c r="AE62" s="18" t="s">
        <v>17</v>
      </c>
      <c r="AF62" s="18" t="s">
        <v>17</v>
      </c>
      <c r="AG62" s="18" t="s">
        <v>17</v>
      </c>
      <c r="AH62" s="18" t="s">
        <v>17</v>
      </c>
      <c r="AI62" s="18" t="s">
        <v>17</v>
      </c>
      <c r="AJ62" s="18">
        <v>1</v>
      </c>
      <c r="AK62" s="18" t="s">
        <v>17</v>
      </c>
      <c r="AL62" s="18" t="s">
        <v>17</v>
      </c>
      <c r="AM62" s="18" t="s">
        <v>17</v>
      </c>
      <c r="AN62" s="18">
        <v>1</v>
      </c>
      <c r="AO62" s="18" t="s">
        <v>17</v>
      </c>
      <c r="AP62" s="18">
        <v>0.83246977499999997</v>
      </c>
      <c r="AQ62" s="18">
        <v>1</v>
      </c>
      <c r="AR62" s="18">
        <v>1</v>
      </c>
      <c r="AS62" s="18">
        <v>1</v>
      </c>
      <c r="AT62" s="18">
        <v>1</v>
      </c>
      <c r="AU62" s="18">
        <v>1</v>
      </c>
      <c r="AV62" s="18" t="s">
        <v>17</v>
      </c>
      <c r="AW62" s="18">
        <v>0.6</v>
      </c>
      <c r="AX62" s="18" t="s">
        <v>17</v>
      </c>
      <c r="AY62" s="18">
        <v>1</v>
      </c>
      <c r="AZ62" s="18">
        <v>1</v>
      </c>
      <c r="BA62" s="18">
        <v>1</v>
      </c>
      <c r="BB62" s="18" t="s">
        <v>17</v>
      </c>
      <c r="BC62" s="18" t="s">
        <v>17</v>
      </c>
      <c r="BD62" s="18" t="s">
        <v>17</v>
      </c>
      <c r="BE62" s="18" t="s">
        <v>17</v>
      </c>
      <c r="BF62" s="18" t="s">
        <v>17</v>
      </c>
      <c r="BG62" s="18" t="s">
        <v>17</v>
      </c>
      <c r="BH62" s="18" t="s">
        <v>17</v>
      </c>
      <c r="BI62" s="18" t="s">
        <v>17</v>
      </c>
      <c r="BJ62" s="18" t="s">
        <v>17</v>
      </c>
      <c r="BK62" s="18" t="s">
        <v>17</v>
      </c>
    </row>
    <row r="63" spans="1:64" ht="27.95" customHeight="1">
      <c r="A63" s="14" t="s">
        <v>115</v>
      </c>
      <c r="B63" s="15" t="s">
        <v>116</v>
      </c>
      <c r="C63" s="15" t="s">
        <v>58</v>
      </c>
      <c r="D63" s="15"/>
      <c r="E63" s="43"/>
      <c r="F63" s="43"/>
      <c r="G63" s="17" t="str">
        <f>VLOOKUP(A63,'KPI Описание'!A:K,11,0)</f>
        <v>Оператор</v>
      </c>
      <c r="H63" s="17" t="s">
        <v>37</v>
      </c>
      <c r="I63" s="18"/>
      <c r="J63" s="19"/>
      <c r="K63" s="18">
        <f>64/64</f>
        <v>1</v>
      </c>
      <c r="L63" s="18">
        <f>1156/1157</f>
        <v>0.99913569576490924</v>
      </c>
      <c r="M63" s="18">
        <f>1/1</f>
        <v>1</v>
      </c>
      <c r="N63" s="18">
        <f>3853/4233</f>
        <v>0.9102291519017246</v>
      </c>
      <c r="O63" s="18">
        <f>9/9</f>
        <v>1</v>
      </c>
      <c r="P63" s="18">
        <f>227/227</f>
        <v>1</v>
      </c>
      <c r="Q63" s="18">
        <f>4/5</f>
        <v>0.8</v>
      </c>
      <c r="R63" s="18">
        <f>934/1014</f>
        <v>0.92110453648915191</v>
      </c>
      <c r="S63" s="18">
        <f>1273/1412</f>
        <v>0.90155807365439089</v>
      </c>
      <c r="T63" s="18">
        <f>9160/9623</f>
        <v>0.95188610620388647</v>
      </c>
      <c r="U63" s="18">
        <f>4/4</f>
        <v>1</v>
      </c>
      <c r="V63" s="18">
        <f>1997/2053</f>
        <v>0.9727228446176327</v>
      </c>
      <c r="W63" s="18" t="s">
        <v>17</v>
      </c>
      <c r="X63" s="18">
        <f>19/19</f>
        <v>1</v>
      </c>
      <c r="Y63" s="18">
        <f>611/612</f>
        <v>0.99836601307189543</v>
      </c>
      <c r="Z63" s="18">
        <f>36/36</f>
        <v>1</v>
      </c>
      <c r="AA63" s="18">
        <f>8808/9042</f>
        <v>0.97412076974120765</v>
      </c>
      <c r="AB63" s="18">
        <f>2/2</f>
        <v>1</v>
      </c>
      <c r="AC63" s="18">
        <f>11920/12196</f>
        <v>0.97736962938668415</v>
      </c>
      <c r="AD63" s="18">
        <f>2398/2398</f>
        <v>1</v>
      </c>
      <c r="AE63" s="18">
        <f>140/142</f>
        <v>0.9859154929577465</v>
      </c>
      <c r="AF63" s="18">
        <f>8501/8687</f>
        <v>0.97858869575227347</v>
      </c>
      <c r="AG63" s="18" t="s">
        <v>17</v>
      </c>
      <c r="AH63" s="18" t="s">
        <v>17</v>
      </c>
      <c r="AI63" s="18">
        <v>1</v>
      </c>
      <c r="AJ63" s="18">
        <v>0.90614269400000003</v>
      </c>
      <c r="AK63" s="18">
        <f>0.989417989417989*100%</f>
        <v>0.98941798941798897</v>
      </c>
      <c r="AL63" s="18">
        <f>1495/1517</f>
        <v>0.98549769281476596</v>
      </c>
      <c r="AM63" s="18">
        <f>47/47</f>
        <v>1</v>
      </c>
      <c r="AN63" s="18">
        <v>0.95924139100000005</v>
      </c>
      <c r="AO63" s="18">
        <f>838/839</f>
        <v>0.99880810488676997</v>
      </c>
      <c r="AP63" s="18">
        <v>0.94630872499999996</v>
      </c>
      <c r="AQ63" s="18">
        <v>0.99363057300000002</v>
      </c>
      <c r="AR63" s="18">
        <f>848/855</f>
        <v>0.99181286549707603</v>
      </c>
      <c r="AS63" s="18">
        <v>1</v>
      </c>
      <c r="AT63" s="18">
        <v>0.52</v>
      </c>
      <c r="AU63" s="18">
        <v>0.95</v>
      </c>
      <c r="AV63" s="18">
        <v>0.96694154600000004</v>
      </c>
      <c r="AW63" s="18">
        <v>0.92</v>
      </c>
      <c r="AX63" s="18">
        <v>0.83333333300000001</v>
      </c>
      <c r="AY63" s="18">
        <v>0.99465634800000002</v>
      </c>
      <c r="AZ63" s="18">
        <v>0.97684309999999996</v>
      </c>
      <c r="BA63" s="18">
        <v>0.97</v>
      </c>
      <c r="BB63" s="18" t="s">
        <v>17</v>
      </c>
      <c r="BC63" s="18" t="s">
        <v>17</v>
      </c>
      <c r="BD63" s="18" t="s">
        <v>17</v>
      </c>
      <c r="BE63" s="18" t="s">
        <v>17</v>
      </c>
      <c r="BF63" s="18" t="s">
        <v>17</v>
      </c>
      <c r="BG63" s="18" t="s">
        <v>17</v>
      </c>
      <c r="BH63" s="18" t="s">
        <v>17</v>
      </c>
      <c r="BI63" s="18" t="s">
        <v>17</v>
      </c>
      <c r="BJ63" s="18" t="s">
        <v>17</v>
      </c>
      <c r="BK63" s="18" t="s">
        <v>17</v>
      </c>
    </row>
    <row r="64" spans="1:64" ht="27.95" customHeight="1">
      <c r="A64" s="14" t="s">
        <v>115</v>
      </c>
      <c r="B64" s="15" t="s">
        <v>116</v>
      </c>
      <c r="C64" s="15" t="s">
        <v>58</v>
      </c>
      <c r="D64" s="15"/>
      <c r="E64" s="43"/>
      <c r="F64" s="43"/>
      <c r="G64" s="17" t="str">
        <f>VLOOKUP(A64,'KPI Описание'!A:K,11,0)</f>
        <v>Оператор</v>
      </c>
      <c r="H64" s="17" t="s">
        <v>40</v>
      </c>
      <c r="I64" s="18"/>
      <c r="J64" s="19"/>
      <c r="K64" s="18" t="s">
        <v>17</v>
      </c>
      <c r="L64" s="18" t="s">
        <v>17</v>
      </c>
      <c r="M64" s="18" t="s">
        <v>17</v>
      </c>
      <c r="N64" s="18" t="s">
        <v>17</v>
      </c>
      <c r="O64" s="18" t="s">
        <v>17</v>
      </c>
      <c r="P64" s="18">
        <f>3144/4543</f>
        <v>0.69205370900286156</v>
      </c>
      <c r="Q64" s="18">
        <f>100/168</f>
        <v>0.59523809523809523</v>
      </c>
      <c r="R64" s="18">
        <f>1522/2088</f>
        <v>0.72892720306513414</v>
      </c>
      <c r="S64" s="18">
        <f>3/3</f>
        <v>1</v>
      </c>
      <c r="T64" s="18">
        <f>6/6</f>
        <v>1</v>
      </c>
      <c r="U64" s="18">
        <f>11889/13070</f>
        <v>0.90964039785768935</v>
      </c>
      <c r="V64" s="18" t="s">
        <v>17</v>
      </c>
      <c r="W64" s="18" t="s">
        <v>17</v>
      </c>
      <c r="X64" s="18" t="s">
        <v>17</v>
      </c>
      <c r="Y64" s="18">
        <f>102/106</f>
        <v>0.96226415094339623</v>
      </c>
      <c r="Z64" s="18">
        <f>7/7</f>
        <v>1</v>
      </c>
      <c r="AA64" s="18">
        <f>3205/3833</f>
        <v>0.83615966605791803</v>
      </c>
      <c r="AB64" s="18" t="s">
        <v>17</v>
      </c>
      <c r="AC64" s="18" t="s">
        <v>17</v>
      </c>
      <c r="AD64" s="18" t="s">
        <v>17</v>
      </c>
      <c r="AE64" s="18" t="s">
        <v>17</v>
      </c>
      <c r="AF64" s="18">
        <f>104/104</f>
        <v>1</v>
      </c>
      <c r="AG64" s="18" t="s">
        <v>17</v>
      </c>
      <c r="AH64" s="18" t="s">
        <v>17</v>
      </c>
      <c r="AI64" s="18">
        <v>1</v>
      </c>
      <c r="AJ64" s="18">
        <v>0.97378395500000003</v>
      </c>
      <c r="AK64" s="18">
        <f>30/34</f>
        <v>0.88235294117647056</v>
      </c>
      <c r="AL64" s="18">
        <f>72/85</f>
        <v>0.84705882352941175</v>
      </c>
      <c r="AM64" s="18" t="s">
        <v>17</v>
      </c>
      <c r="AN64" s="18">
        <v>1</v>
      </c>
      <c r="AO64" s="18">
        <f>3/3</f>
        <v>1</v>
      </c>
      <c r="AP64" s="18">
        <v>0.96551724100000003</v>
      </c>
      <c r="AQ64" s="18">
        <v>1</v>
      </c>
      <c r="AR64" s="18">
        <f>0/1</f>
        <v>0</v>
      </c>
      <c r="AS64" s="18">
        <v>0</v>
      </c>
      <c r="AT64" s="18">
        <v>0</v>
      </c>
      <c r="AU64" s="18">
        <v>0.98</v>
      </c>
      <c r="AV64" s="18" t="s">
        <v>17</v>
      </c>
      <c r="AW64" s="18">
        <v>1</v>
      </c>
      <c r="AX64" s="18">
        <v>0.98063455300000002</v>
      </c>
      <c r="AY64" s="18">
        <v>0.70370370400000004</v>
      </c>
      <c r="AZ64" s="18">
        <v>1</v>
      </c>
      <c r="BA64" s="18">
        <v>0.52</v>
      </c>
      <c r="BB64" s="18" t="s">
        <v>17</v>
      </c>
      <c r="BC64" s="18" t="s">
        <v>17</v>
      </c>
      <c r="BD64" s="18" t="s">
        <v>17</v>
      </c>
      <c r="BE64" s="18" t="s">
        <v>17</v>
      </c>
      <c r="BF64" s="18" t="s">
        <v>17</v>
      </c>
      <c r="BG64" s="18" t="s">
        <v>17</v>
      </c>
      <c r="BH64" s="18" t="s">
        <v>17</v>
      </c>
      <c r="BI64" s="18" t="s">
        <v>17</v>
      </c>
      <c r="BJ64" s="18" t="s">
        <v>17</v>
      </c>
      <c r="BK64" s="18" t="s">
        <v>17</v>
      </c>
    </row>
    <row r="65" spans="1:64" s="72" customFormat="1" ht="27.95" customHeight="1">
      <c r="A65" s="81" t="s">
        <v>115</v>
      </c>
      <c r="B65" s="83" t="s">
        <v>116</v>
      </c>
      <c r="C65" s="83" t="s">
        <v>58</v>
      </c>
      <c r="D65" s="83"/>
      <c r="E65" s="85"/>
      <c r="F65" s="85"/>
      <c r="G65" s="87" t="str">
        <f>VLOOKUP(A65,'KPI Описание'!A:K,11,0)</f>
        <v>Оператор</v>
      </c>
      <c r="H65" s="87" t="s">
        <v>43</v>
      </c>
      <c r="I65" s="89"/>
      <c r="J65" s="94"/>
      <c r="K65" s="89" t="s">
        <v>17</v>
      </c>
      <c r="L65" s="89">
        <f>4678/4795</f>
        <v>0.97559958289885296</v>
      </c>
      <c r="M65" s="89">
        <f>4/5</f>
        <v>0.8</v>
      </c>
      <c r="N65" s="89" t="s">
        <v>17</v>
      </c>
      <c r="O65" s="89">
        <f>15298/16827</f>
        <v>0.90913412967255003</v>
      </c>
      <c r="P65" s="89">
        <f>3770/4275</f>
        <v>0.88187134502923981</v>
      </c>
      <c r="Q65" s="89">
        <f>16400/17422</f>
        <v>0.94133853748134544</v>
      </c>
      <c r="R65" s="89" t="s">
        <v>17</v>
      </c>
      <c r="S65" s="89">
        <f>3695/6000</f>
        <v>0.61583333333333334</v>
      </c>
      <c r="T65" s="89" t="s">
        <v>17</v>
      </c>
      <c r="U65" s="89">
        <f>3450/3604</f>
        <v>0.95726970033296332</v>
      </c>
      <c r="V65" s="89" t="s">
        <v>17</v>
      </c>
      <c r="W65" s="89" t="s">
        <v>17</v>
      </c>
      <c r="X65" s="89">
        <f>16453/17168</f>
        <v>0.95835274930102521</v>
      </c>
      <c r="Y65" s="89">
        <f>15583/16608</f>
        <v>0.93828275529865124</v>
      </c>
      <c r="Z65" s="89">
        <f>72/578</f>
        <v>0.1245674740484429</v>
      </c>
      <c r="AA65" s="89">
        <f>18428/19165</f>
        <v>0.96154448212888077</v>
      </c>
      <c r="AB65" s="89">
        <f>2886/2974</f>
        <v>0.97041022192333559</v>
      </c>
      <c r="AC65" s="89">
        <f>40385/40794</f>
        <v>0.98997401578663524</v>
      </c>
      <c r="AD65" s="89">
        <f>26549/62370</f>
        <v>0.42566939233605899</v>
      </c>
      <c r="AE65" s="89">
        <f>60861/97225</f>
        <v>0.62598097197222935</v>
      </c>
      <c r="AF65" s="89">
        <f>2154/2231</f>
        <v>0.96548632900044828</v>
      </c>
      <c r="AG65" s="89" t="s">
        <v>17</v>
      </c>
      <c r="AH65" s="89" t="s">
        <v>17</v>
      </c>
      <c r="AI65" s="89">
        <v>1</v>
      </c>
      <c r="AJ65" s="89">
        <v>0.89931634599999999</v>
      </c>
      <c r="AK65" s="89">
        <f>0.987012987012987*100%</f>
        <v>0.98701298701298701</v>
      </c>
      <c r="AL65" s="89">
        <f>69/85</f>
        <v>0.81176470588235294</v>
      </c>
      <c r="AM65" s="89">
        <f>27376/28249</f>
        <v>0.96909625119473253</v>
      </c>
      <c r="AN65" s="89">
        <v>0.96978588099999996</v>
      </c>
      <c r="AO65" s="89">
        <f>279/397</f>
        <v>0.70277078085642319</v>
      </c>
      <c r="AP65" s="89">
        <v>0.88522847999999998</v>
      </c>
      <c r="AQ65" s="89">
        <v>0.95933190099999999</v>
      </c>
      <c r="AR65" s="89">
        <v>0.965177438</v>
      </c>
      <c r="AS65" s="89">
        <v>0.97276264599999995</v>
      </c>
      <c r="AT65" s="89">
        <v>0.98</v>
      </c>
      <c r="AU65" s="89">
        <v>0.96</v>
      </c>
      <c r="AV65" s="89" t="s">
        <v>17</v>
      </c>
      <c r="AW65" s="89">
        <v>0.99</v>
      </c>
      <c r="AX65" s="89">
        <v>0.79342723000000004</v>
      </c>
      <c r="AY65" s="89">
        <v>0.99061861900000003</v>
      </c>
      <c r="AZ65" s="89">
        <v>0.62162745500000005</v>
      </c>
      <c r="BA65" s="89">
        <v>0.98</v>
      </c>
      <c r="BB65" s="89" t="s">
        <v>17</v>
      </c>
      <c r="BC65" s="89" t="s">
        <v>17</v>
      </c>
      <c r="BD65" s="89" t="s">
        <v>17</v>
      </c>
      <c r="BE65" s="89" t="s">
        <v>17</v>
      </c>
      <c r="BF65" s="89" t="s">
        <v>17</v>
      </c>
      <c r="BG65" s="89" t="s">
        <v>17</v>
      </c>
      <c r="BH65" s="89" t="s">
        <v>17</v>
      </c>
      <c r="BI65" s="89" t="s">
        <v>17</v>
      </c>
      <c r="BJ65" s="89" t="s">
        <v>17</v>
      </c>
      <c r="BK65" s="89" t="s">
        <v>17</v>
      </c>
    </row>
    <row r="66" spans="1:64" s="72" customFormat="1" ht="36" customHeight="1">
      <c r="A66" s="5" t="s">
        <v>119</v>
      </c>
      <c r="B66" s="6" t="s">
        <v>120</v>
      </c>
      <c r="C66" s="6" t="s">
        <v>86</v>
      </c>
      <c r="D66" s="6" t="s">
        <v>13</v>
      </c>
      <c r="E66" s="42" t="s">
        <v>121</v>
      </c>
      <c r="F66" s="42" t="s">
        <v>122</v>
      </c>
      <c r="G66" s="8" t="str">
        <f>VLOOKUP(A66,'KPI Описание'!A:K,11,0)</f>
        <v>Оператор</v>
      </c>
      <c r="H66" s="8" t="s">
        <v>16</v>
      </c>
      <c r="I66" s="9">
        <f>VLOOKUP(A66,'KPI Описание'!A:P,16,0)</f>
        <v>0.95</v>
      </c>
      <c r="J66" s="10" t="str">
        <f>IFERROR(VLOOKUP(A66,'KPI Описание'!A:Q,17,0),0)</f>
        <v>higher</v>
      </c>
      <c r="K66" s="9">
        <f>AVERAGE(K67:K71)</f>
        <v>1</v>
      </c>
      <c r="L66" s="9">
        <f>AVERAGE(L67:L71)</f>
        <v>1</v>
      </c>
      <c r="M66" s="9">
        <f>AVERAGE(M67:M71)</f>
        <v>0.31159420289855072</v>
      </c>
      <c r="N66" s="9">
        <f>AVERAGE(N67:N71)</f>
        <v>0.625</v>
      </c>
      <c r="O66" s="9">
        <f>AVERAGE(O67:O71)</f>
        <v>1</v>
      </c>
      <c r="P66" s="9">
        <f>AVERAGE(P67:P71)</f>
        <v>0.83333333333333337</v>
      </c>
      <c r="Q66" s="9">
        <f>AVERAGE(Q67:Q71)</f>
        <v>0.7984251968503937</v>
      </c>
      <c r="R66" s="9">
        <f>AVERAGE(R67:R71)</f>
        <v>0.83333333333333337</v>
      </c>
      <c r="S66" s="9">
        <f>AVERAGE(S67:S71)</f>
        <v>0.20454545454545456</v>
      </c>
      <c r="T66" s="9">
        <f>AVERAGE(T67:T71)</f>
        <v>0.51041666666666663</v>
      </c>
      <c r="U66" s="9">
        <f>AVERAGE(U67:U71)</f>
        <v>0.83333333333333337</v>
      </c>
      <c r="V66" s="9">
        <f>AVERAGE(V67:V71)</f>
        <v>1</v>
      </c>
      <c r="W66" s="9">
        <f>AVERAGE(W67:W71)</f>
        <v>0.75</v>
      </c>
      <c r="X66" s="9">
        <f>AVERAGE(X67:X71)</f>
        <v>0.58750000000000002</v>
      </c>
      <c r="Y66" s="9">
        <f>AVERAGE(Y67:Y71)</f>
        <v>0.95</v>
      </c>
      <c r="Z66" s="9">
        <f>AVERAGE(Z67:Z71)</f>
        <v>0.1875</v>
      </c>
      <c r="AA66" s="9">
        <f>AVERAGE(AA67:AA71)</f>
        <v>1</v>
      </c>
      <c r="AB66" s="9">
        <f>AVERAGE(AB67:AB71)</f>
        <v>1</v>
      </c>
      <c r="AC66" s="9">
        <f>AVERAGE(AC67:AC71)</f>
        <v>1</v>
      </c>
      <c r="AD66" s="9">
        <f>AVERAGE(AD67:AD71)</f>
        <v>1</v>
      </c>
      <c r="AE66" s="9">
        <f>AVERAGE(AE67:AE71)</f>
        <v>1</v>
      </c>
      <c r="AF66" s="9">
        <f>AVERAGE(AF67:AF71)</f>
        <v>0.69180672268907561</v>
      </c>
      <c r="AG66" s="9">
        <v>0</v>
      </c>
      <c r="AH66" s="9">
        <v>0</v>
      </c>
      <c r="AI66" s="9">
        <v>1</v>
      </c>
      <c r="AJ66" s="9">
        <v>0.96551724100000003</v>
      </c>
      <c r="AK66" s="9">
        <v>0.98</v>
      </c>
      <c r="AL66" s="9">
        <f>22/22</f>
        <v>1</v>
      </c>
      <c r="AM66" s="9">
        <f>13/13</f>
        <v>1</v>
      </c>
      <c r="AN66" s="9">
        <v>0.91489361700000005</v>
      </c>
      <c r="AO66" s="9">
        <f>66/69</f>
        <v>0.95652173913043481</v>
      </c>
      <c r="AP66" s="9">
        <f>14/18</f>
        <v>0.77777777777777779</v>
      </c>
      <c r="AQ66" s="9">
        <v>0.9375</v>
      </c>
      <c r="AR66" s="9">
        <v>1</v>
      </c>
      <c r="AS66" s="9">
        <v>0.88888888899999996</v>
      </c>
      <c r="AT66" s="9">
        <f>78/80</f>
        <v>0.97499999999999998</v>
      </c>
      <c r="AU66" s="9">
        <v>1</v>
      </c>
      <c r="AV66" s="9">
        <v>1</v>
      </c>
      <c r="AW66" s="9">
        <v>0.72</v>
      </c>
      <c r="AX66" s="9">
        <v>1</v>
      </c>
      <c r="AY66" s="9">
        <v>0.94055555599999996</v>
      </c>
      <c r="AZ66" s="18">
        <v>0.97272727299999995</v>
      </c>
      <c r="BA66" s="9">
        <v>0.94</v>
      </c>
      <c r="BB66" s="9" t="s">
        <v>17</v>
      </c>
      <c r="BC66" s="9" t="s">
        <v>17</v>
      </c>
      <c r="BD66" s="9" t="s">
        <v>17</v>
      </c>
      <c r="BE66" s="9" t="s">
        <v>17</v>
      </c>
      <c r="BF66" s="9" t="s">
        <v>17</v>
      </c>
      <c r="BG66" s="9" t="s">
        <v>17</v>
      </c>
      <c r="BH66" s="9" t="s">
        <v>17</v>
      </c>
      <c r="BI66" s="9" t="s">
        <v>17</v>
      </c>
      <c r="BJ66" s="9" t="s">
        <v>17</v>
      </c>
      <c r="BK66" s="9" t="s">
        <v>17</v>
      </c>
    </row>
    <row r="67" spans="1:64" s="72" customFormat="1" ht="41.25" customHeight="1">
      <c r="A67" s="81" t="s">
        <v>119</v>
      </c>
      <c r="B67" s="83" t="s">
        <v>120</v>
      </c>
      <c r="C67" s="83" t="s">
        <v>86</v>
      </c>
      <c r="D67" s="83"/>
      <c r="E67" s="85"/>
      <c r="F67" s="85"/>
      <c r="G67" s="87" t="str">
        <f>VLOOKUP(A67,'KPI Описание'!A:K,11,0)</f>
        <v>Оператор</v>
      </c>
      <c r="H67" s="87" t="s">
        <v>33</v>
      </c>
      <c r="I67" s="89"/>
      <c r="J67" s="94"/>
      <c r="K67" s="89" t="s">
        <v>17</v>
      </c>
      <c r="L67" s="89">
        <f>113/113</f>
        <v>1</v>
      </c>
      <c r="M67" s="89">
        <f>43/46</f>
        <v>0.93478260869565222</v>
      </c>
      <c r="N67" s="89" t="s">
        <v>17</v>
      </c>
      <c r="O67" s="89">
        <f>4/4</f>
        <v>1</v>
      </c>
      <c r="P67" s="89">
        <f>3/3</f>
        <v>1</v>
      </c>
      <c r="Q67" s="89">
        <f>126/127</f>
        <v>0.99212598425196852</v>
      </c>
      <c r="R67" s="89" t="s">
        <v>17</v>
      </c>
      <c r="S67" s="89">
        <f>0/4</f>
        <v>0</v>
      </c>
      <c r="T67" s="89">
        <f>2/3</f>
        <v>0.66666666666666663</v>
      </c>
      <c r="U67" s="89">
        <f>8/8</f>
        <v>1</v>
      </c>
      <c r="V67" s="89" t="s">
        <v>17</v>
      </c>
      <c r="W67" s="89">
        <f>3/4</f>
        <v>0.75</v>
      </c>
      <c r="X67" s="89">
        <f>3/4</f>
        <v>0.75</v>
      </c>
      <c r="Y67" s="89">
        <f>5/5</f>
        <v>1</v>
      </c>
      <c r="Z67" s="89">
        <f>2/12</f>
        <v>0.16666666666666666</v>
      </c>
      <c r="AA67" s="89">
        <f>149/149</f>
        <v>1</v>
      </c>
      <c r="AB67" s="89" t="s">
        <v>17</v>
      </c>
      <c r="AC67" s="89">
        <f>1/1</f>
        <v>1</v>
      </c>
      <c r="AD67" s="89">
        <f>6/6</f>
        <v>1</v>
      </c>
      <c r="AE67" s="89">
        <f>23/23</f>
        <v>1</v>
      </c>
      <c r="AF67" s="89">
        <f>65/75</f>
        <v>0.8666666666666667</v>
      </c>
      <c r="AG67" s="89" t="s">
        <v>17</v>
      </c>
      <c r="AH67" s="89" t="s">
        <v>17</v>
      </c>
      <c r="AI67" s="89">
        <v>1</v>
      </c>
      <c r="AJ67" s="89">
        <v>1</v>
      </c>
      <c r="AK67" s="89">
        <v>1</v>
      </c>
      <c r="AL67" s="89">
        <f>4/4</f>
        <v>1</v>
      </c>
      <c r="AM67" s="89" t="s">
        <v>17</v>
      </c>
      <c r="AN67" s="89">
        <v>0.83333333300000001</v>
      </c>
      <c r="AO67" s="89">
        <f>49/50</f>
        <v>0.98</v>
      </c>
      <c r="AP67" s="89">
        <f>3/3</f>
        <v>1</v>
      </c>
      <c r="AQ67" s="89" t="s">
        <v>17</v>
      </c>
      <c r="AR67" s="89">
        <v>1</v>
      </c>
      <c r="AS67" s="89">
        <v>0</v>
      </c>
      <c r="AT67" s="89">
        <f>53/53</f>
        <v>1</v>
      </c>
      <c r="AU67" s="89">
        <v>1</v>
      </c>
      <c r="AV67" s="89">
        <v>1</v>
      </c>
      <c r="AW67" s="89">
        <v>0.8</v>
      </c>
      <c r="AX67" s="89">
        <v>1</v>
      </c>
      <c r="AY67" s="89">
        <v>0.94545454500000004</v>
      </c>
      <c r="AZ67" s="89">
        <v>1</v>
      </c>
      <c r="BA67" s="89">
        <v>1</v>
      </c>
      <c r="BB67" s="89" t="s">
        <v>17</v>
      </c>
      <c r="BC67" s="89" t="s">
        <v>17</v>
      </c>
      <c r="BD67" s="89" t="s">
        <v>17</v>
      </c>
      <c r="BE67" s="89" t="s">
        <v>17</v>
      </c>
      <c r="BF67" s="89" t="s">
        <v>17</v>
      </c>
      <c r="BG67" s="89" t="s">
        <v>17</v>
      </c>
      <c r="BH67" s="89" t="s">
        <v>17</v>
      </c>
      <c r="BI67" s="89" t="s">
        <v>17</v>
      </c>
      <c r="BJ67" s="89" t="s">
        <v>17</v>
      </c>
      <c r="BK67" s="89" t="s">
        <v>17</v>
      </c>
    </row>
    <row r="68" spans="1:64" ht="27.95" customHeight="1">
      <c r="A68" s="14" t="s">
        <v>119</v>
      </c>
      <c r="B68" s="15" t="s">
        <v>120</v>
      </c>
      <c r="C68" s="15" t="s">
        <v>86</v>
      </c>
      <c r="D68" s="15"/>
      <c r="E68" s="43"/>
      <c r="F68" s="43"/>
      <c r="G68" s="17" t="str">
        <f>VLOOKUP(A68,'KPI Описание'!A:K,11,0)</f>
        <v>Оператор</v>
      </c>
      <c r="H68" s="17" t="s">
        <v>36</v>
      </c>
      <c r="I68" s="18"/>
      <c r="J68" s="19"/>
      <c r="K68" s="18" t="s">
        <v>17</v>
      </c>
      <c r="L68" s="18" t="s">
        <v>17</v>
      </c>
      <c r="M68" s="18" t="s">
        <v>17</v>
      </c>
      <c r="N68" s="18" t="s">
        <v>17</v>
      </c>
      <c r="O68" s="18" t="s">
        <v>17</v>
      </c>
      <c r="P68" s="18" t="s">
        <v>17</v>
      </c>
      <c r="Q68" s="18">
        <f>5/5</f>
        <v>1</v>
      </c>
      <c r="R68" s="18">
        <f>2/2</f>
        <v>1</v>
      </c>
      <c r="S68" s="18" t="s">
        <v>17</v>
      </c>
      <c r="T68" s="18" t="s">
        <v>17</v>
      </c>
      <c r="U68" s="18" t="s">
        <v>17</v>
      </c>
      <c r="V68" s="18">
        <f>3/3</f>
        <v>1</v>
      </c>
      <c r="W68" s="18" t="s">
        <v>17</v>
      </c>
      <c r="X68" s="18">
        <f>1/1</f>
        <v>1</v>
      </c>
      <c r="Y68" s="18">
        <f>1/1</f>
        <v>1</v>
      </c>
      <c r="Z68" s="18" t="s">
        <v>17</v>
      </c>
      <c r="AA68" s="18" t="s">
        <v>17</v>
      </c>
      <c r="AB68" s="18" t="s">
        <v>17</v>
      </c>
      <c r="AC68" s="18" t="s">
        <v>17</v>
      </c>
      <c r="AD68" s="18" t="s">
        <v>17</v>
      </c>
      <c r="AE68" s="18" t="s">
        <v>17</v>
      </c>
      <c r="AF68" s="18" t="s">
        <v>17</v>
      </c>
      <c r="AG68" s="18" t="s">
        <v>17</v>
      </c>
      <c r="AH68" s="18" t="s">
        <v>17</v>
      </c>
      <c r="AI68" s="18" t="s">
        <v>17</v>
      </c>
      <c r="AJ68" s="18">
        <v>1</v>
      </c>
      <c r="AK68" s="18" t="s">
        <v>17</v>
      </c>
      <c r="AL68" s="18" t="s">
        <v>17</v>
      </c>
      <c r="AM68" s="18" t="s">
        <v>17</v>
      </c>
      <c r="AN68" s="18">
        <v>1</v>
      </c>
      <c r="AO68" s="18" t="s">
        <v>17</v>
      </c>
      <c r="AP68" s="18">
        <v>0.75</v>
      </c>
      <c r="AQ68" s="18">
        <v>1</v>
      </c>
      <c r="AR68" s="18">
        <v>1</v>
      </c>
      <c r="AS68" s="18">
        <v>1</v>
      </c>
      <c r="AT68" s="18">
        <v>1</v>
      </c>
      <c r="AU68" s="18">
        <v>1</v>
      </c>
      <c r="AV68" s="18" t="s">
        <v>17</v>
      </c>
      <c r="AW68" s="18">
        <v>0.75</v>
      </c>
      <c r="AX68" s="18" t="s">
        <v>17</v>
      </c>
      <c r="AY68" s="18">
        <v>0.5</v>
      </c>
      <c r="AZ68" s="18">
        <v>0.75</v>
      </c>
      <c r="BA68" s="18">
        <v>1</v>
      </c>
      <c r="BB68" s="18" t="s">
        <v>17</v>
      </c>
      <c r="BC68" s="18" t="s">
        <v>17</v>
      </c>
      <c r="BD68" s="18" t="s">
        <v>17</v>
      </c>
      <c r="BE68" s="18" t="s">
        <v>17</v>
      </c>
      <c r="BF68" s="18" t="s">
        <v>17</v>
      </c>
      <c r="BG68" s="18" t="s">
        <v>17</v>
      </c>
      <c r="BH68" s="18" t="s">
        <v>17</v>
      </c>
      <c r="BI68" s="18" t="s">
        <v>17</v>
      </c>
      <c r="BJ68" s="18" t="s">
        <v>17</v>
      </c>
      <c r="BK68" s="18" t="s">
        <v>17</v>
      </c>
    </row>
    <row r="69" spans="1:64" ht="27.95" customHeight="1">
      <c r="A69" s="14" t="s">
        <v>119</v>
      </c>
      <c r="B69" s="15" t="s">
        <v>120</v>
      </c>
      <c r="C69" s="15" t="s">
        <v>86</v>
      </c>
      <c r="D69" s="15"/>
      <c r="E69" s="43"/>
      <c r="F69" s="43"/>
      <c r="G69" s="17" t="str">
        <f>VLOOKUP(A69,'KPI Описание'!A:K,11,0)</f>
        <v>Оператор</v>
      </c>
      <c r="H69" s="17" t="s">
        <v>37</v>
      </c>
      <c r="I69" s="18"/>
      <c r="J69" s="19"/>
      <c r="K69" s="18">
        <f>6/6</f>
        <v>1</v>
      </c>
      <c r="L69" s="18">
        <f>8/8</f>
        <v>1</v>
      </c>
      <c r="M69" s="18">
        <f>0/1</f>
        <v>0</v>
      </c>
      <c r="N69" s="18">
        <f>5/8</f>
        <v>0.625</v>
      </c>
      <c r="O69" s="18">
        <f>2/2</f>
        <v>1</v>
      </c>
      <c r="P69" s="18">
        <f>1/1</f>
        <v>1</v>
      </c>
      <c r="Q69" s="18">
        <f>1/1</f>
        <v>1</v>
      </c>
      <c r="R69" s="18">
        <f>1/2</f>
        <v>0.5</v>
      </c>
      <c r="S69" s="18">
        <f>0/5</f>
        <v>0</v>
      </c>
      <c r="T69" s="18">
        <f>7/8</f>
        <v>0.875</v>
      </c>
      <c r="U69" s="18">
        <f>1/1</f>
        <v>1</v>
      </c>
      <c r="V69" s="18">
        <f>8/8</f>
        <v>1</v>
      </c>
      <c r="W69" s="18" t="s">
        <v>17</v>
      </c>
      <c r="X69" s="18">
        <f>0/4</f>
        <v>0</v>
      </c>
      <c r="Y69" s="18">
        <f>3/4</f>
        <v>0.75</v>
      </c>
      <c r="Z69" s="18">
        <f>2/8</f>
        <v>0.25</v>
      </c>
      <c r="AA69" s="18">
        <f>6/6</f>
        <v>1</v>
      </c>
      <c r="AB69" s="18">
        <f>1/1</f>
        <v>1</v>
      </c>
      <c r="AC69" s="18">
        <f>7/7</f>
        <v>1</v>
      </c>
      <c r="AD69" s="18">
        <f>5/5</f>
        <v>1</v>
      </c>
      <c r="AE69" s="18">
        <f>8/8</f>
        <v>1</v>
      </c>
      <c r="AF69" s="18">
        <f>20/28</f>
        <v>0.7142857142857143</v>
      </c>
      <c r="AG69" s="18" t="s">
        <v>17</v>
      </c>
      <c r="AH69" s="18" t="s">
        <v>17</v>
      </c>
      <c r="AI69" s="18">
        <v>1</v>
      </c>
      <c r="AJ69" s="18">
        <v>1</v>
      </c>
      <c r="AK69" s="18">
        <v>1</v>
      </c>
      <c r="AL69" s="18">
        <f>10/10</f>
        <v>1</v>
      </c>
      <c r="AM69" s="18">
        <f>7/7</f>
        <v>1</v>
      </c>
      <c r="AN69" s="18">
        <v>0.625</v>
      </c>
      <c r="AO69" s="18">
        <f>6/7</f>
        <v>0.8571428571428571</v>
      </c>
      <c r="AP69" s="18">
        <f>6/6</f>
        <v>1</v>
      </c>
      <c r="AQ69" s="18">
        <v>1</v>
      </c>
      <c r="AR69" s="18">
        <v>1</v>
      </c>
      <c r="AS69" s="18">
        <v>1</v>
      </c>
      <c r="AT69" s="18">
        <v>0.91</v>
      </c>
      <c r="AU69" s="18">
        <v>1</v>
      </c>
      <c r="AV69" s="18">
        <v>1</v>
      </c>
      <c r="AW69" s="18">
        <v>0.85</v>
      </c>
      <c r="AX69" s="18">
        <v>1</v>
      </c>
      <c r="AY69" s="18">
        <v>1</v>
      </c>
      <c r="AZ69" s="18">
        <v>0.88888888899999996</v>
      </c>
      <c r="BA69" s="18">
        <v>0.9</v>
      </c>
      <c r="BB69" s="18" t="s">
        <v>17</v>
      </c>
      <c r="BC69" s="18" t="s">
        <v>17</v>
      </c>
      <c r="BD69" s="18" t="s">
        <v>17</v>
      </c>
      <c r="BE69" s="18" t="s">
        <v>17</v>
      </c>
      <c r="BF69" s="18" t="s">
        <v>17</v>
      </c>
      <c r="BG69" s="18" t="s">
        <v>17</v>
      </c>
      <c r="BH69" s="18" t="s">
        <v>17</v>
      </c>
      <c r="BI69" s="18" t="s">
        <v>17</v>
      </c>
      <c r="BJ69" s="18" t="s">
        <v>17</v>
      </c>
      <c r="BK69" s="18" t="s">
        <v>17</v>
      </c>
    </row>
    <row r="70" spans="1:64" ht="27.95" customHeight="1">
      <c r="A70" s="14" t="s">
        <v>119</v>
      </c>
      <c r="B70" s="15" t="s">
        <v>120</v>
      </c>
      <c r="C70" s="15" t="s">
        <v>86</v>
      </c>
      <c r="D70" s="15"/>
      <c r="E70" s="43"/>
      <c r="F70" s="43"/>
      <c r="G70" s="17" t="str">
        <f>VLOOKUP(A70,'KPI Описание'!A:K,11,0)</f>
        <v>Оператор</v>
      </c>
      <c r="H70" s="17" t="s">
        <v>40</v>
      </c>
      <c r="I70" s="18"/>
      <c r="J70" s="19"/>
      <c r="K70" s="18" t="s">
        <v>17</v>
      </c>
      <c r="L70" s="18" t="s">
        <v>17</v>
      </c>
      <c r="M70" s="18" t="s">
        <v>17</v>
      </c>
      <c r="N70" s="18" t="s">
        <v>17</v>
      </c>
      <c r="O70" s="18" t="s">
        <v>17</v>
      </c>
      <c r="P70" s="18">
        <f>1/3</f>
        <v>0.33333333333333331</v>
      </c>
      <c r="Q70" s="18">
        <f>1/1</f>
        <v>1</v>
      </c>
      <c r="R70" s="18">
        <f>4/4</f>
        <v>1</v>
      </c>
      <c r="S70" s="18">
        <f>0/1</f>
        <v>0</v>
      </c>
      <c r="T70" s="18">
        <f>1/2</f>
        <v>0.5</v>
      </c>
      <c r="U70" s="18">
        <f>1/3</f>
        <v>0.33333333333333331</v>
      </c>
      <c r="V70" s="18" t="s">
        <v>17</v>
      </c>
      <c r="W70" s="18" t="s">
        <v>17</v>
      </c>
      <c r="X70" s="18" t="s">
        <v>17</v>
      </c>
      <c r="Y70" s="18">
        <f>2/2</f>
        <v>1</v>
      </c>
      <c r="Z70" s="18">
        <f>0/2</f>
        <v>0</v>
      </c>
      <c r="AA70" s="18">
        <f>3/3</f>
        <v>1</v>
      </c>
      <c r="AB70" s="18" t="s">
        <v>17</v>
      </c>
      <c r="AC70" s="18" t="s">
        <v>17</v>
      </c>
      <c r="AD70" s="18" t="s">
        <v>17</v>
      </c>
      <c r="AE70" s="18" t="s">
        <v>17</v>
      </c>
      <c r="AF70" s="18">
        <f>1/3</f>
        <v>0.33333333333333331</v>
      </c>
      <c r="AG70" s="18" t="s">
        <v>17</v>
      </c>
      <c r="AH70" s="18" t="s">
        <v>17</v>
      </c>
      <c r="AI70" s="18">
        <v>1</v>
      </c>
      <c r="AJ70" s="18">
        <v>0</v>
      </c>
      <c r="AK70" s="18">
        <v>0.875</v>
      </c>
      <c r="AL70" s="18">
        <f>4/4</f>
        <v>1</v>
      </c>
      <c r="AM70" s="18" t="s">
        <v>17</v>
      </c>
      <c r="AN70" s="18">
        <v>1</v>
      </c>
      <c r="AO70" s="18">
        <f>1/1</f>
        <v>1</v>
      </c>
      <c r="AP70" s="18">
        <f>1/1</f>
        <v>1</v>
      </c>
      <c r="AQ70" s="18">
        <v>1</v>
      </c>
      <c r="AR70" s="18">
        <v>1</v>
      </c>
      <c r="AS70" s="18">
        <v>0</v>
      </c>
      <c r="AT70" s="18">
        <v>0</v>
      </c>
      <c r="AU70" s="18">
        <v>1</v>
      </c>
      <c r="AV70" s="18" t="s">
        <v>17</v>
      </c>
      <c r="AW70" s="18">
        <v>0</v>
      </c>
      <c r="AX70" s="18">
        <v>1</v>
      </c>
      <c r="AY70" s="18">
        <v>1</v>
      </c>
      <c r="AZ70" s="18">
        <v>1</v>
      </c>
      <c r="BA70" s="18">
        <v>1</v>
      </c>
      <c r="BB70" s="18" t="s">
        <v>17</v>
      </c>
      <c r="BC70" s="18" t="s">
        <v>17</v>
      </c>
      <c r="BD70" s="18" t="s">
        <v>17</v>
      </c>
      <c r="BE70" s="18" t="s">
        <v>17</v>
      </c>
      <c r="BF70" s="18" t="s">
        <v>17</v>
      </c>
      <c r="BG70" s="18" t="s">
        <v>17</v>
      </c>
      <c r="BH70" s="18" t="s">
        <v>17</v>
      </c>
      <c r="BI70" s="18" t="s">
        <v>17</v>
      </c>
      <c r="BJ70" s="18" t="s">
        <v>17</v>
      </c>
      <c r="BK70" s="18" t="s">
        <v>17</v>
      </c>
    </row>
    <row r="71" spans="1:64" ht="27.95" customHeight="1">
      <c r="A71" s="14" t="s">
        <v>119</v>
      </c>
      <c r="B71" s="15" t="s">
        <v>120</v>
      </c>
      <c r="C71" s="15" t="s">
        <v>86</v>
      </c>
      <c r="D71" s="15"/>
      <c r="E71" s="43"/>
      <c r="F71" s="43"/>
      <c r="G71" s="17" t="str">
        <f>VLOOKUP(A71,'KPI Описание'!A:K,11,0)</f>
        <v>Оператор</v>
      </c>
      <c r="H71" s="17" t="s">
        <v>43</v>
      </c>
      <c r="I71" s="18"/>
      <c r="J71" s="19"/>
      <c r="K71" s="18" t="s">
        <v>17</v>
      </c>
      <c r="L71" s="18">
        <f>3/3</f>
        <v>1</v>
      </c>
      <c r="M71" s="18">
        <f>0/2</f>
        <v>0</v>
      </c>
      <c r="N71" s="18" t="s">
        <v>17</v>
      </c>
      <c r="O71" s="18">
        <f>1/1</f>
        <v>1</v>
      </c>
      <c r="P71" s="18">
        <f>2/2</f>
        <v>1</v>
      </c>
      <c r="Q71" s="18">
        <f>0/5</f>
        <v>0</v>
      </c>
      <c r="R71" s="18" t="s">
        <v>17</v>
      </c>
      <c r="S71" s="18">
        <f>9/11</f>
        <v>0.81818181818181823</v>
      </c>
      <c r="T71" s="18">
        <f>0/3</f>
        <v>0</v>
      </c>
      <c r="U71" s="18">
        <f>2/2</f>
        <v>1</v>
      </c>
      <c r="V71" s="18" t="s">
        <v>17</v>
      </c>
      <c r="W71" s="18" t="s">
        <v>17</v>
      </c>
      <c r="X71" s="18">
        <f>3/5</f>
        <v>0.6</v>
      </c>
      <c r="Y71" s="18">
        <f>2/2</f>
        <v>1</v>
      </c>
      <c r="Z71" s="18">
        <f>3/9</f>
        <v>0.33333333333333331</v>
      </c>
      <c r="AA71" s="18">
        <f>1/1</f>
        <v>1</v>
      </c>
      <c r="AB71" s="18">
        <f>1/1</f>
        <v>1</v>
      </c>
      <c r="AC71" s="18">
        <f>16/16</f>
        <v>1</v>
      </c>
      <c r="AD71" s="18">
        <f>7/7</f>
        <v>1</v>
      </c>
      <c r="AE71" s="18">
        <f>15/15</f>
        <v>1</v>
      </c>
      <c r="AF71" s="18">
        <f>29/34</f>
        <v>0.8529411764705882</v>
      </c>
      <c r="AG71" s="18" t="s">
        <v>17</v>
      </c>
      <c r="AH71" s="18" t="s">
        <v>17</v>
      </c>
      <c r="AI71" s="18">
        <v>1</v>
      </c>
      <c r="AJ71" s="18">
        <v>1</v>
      </c>
      <c r="AK71" s="18">
        <v>1</v>
      </c>
      <c r="AL71" s="18">
        <f>4/4</f>
        <v>1</v>
      </c>
      <c r="AM71" s="18">
        <f>6/6</f>
        <v>1</v>
      </c>
      <c r="AN71" s="18">
        <v>1</v>
      </c>
      <c r="AO71" s="18">
        <f>10/11</f>
        <v>0.90909090909090906</v>
      </c>
      <c r="AP71" s="18">
        <f>2/4</f>
        <v>0.5</v>
      </c>
      <c r="AQ71" s="18">
        <v>0.75</v>
      </c>
      <c r="AR71" s="18">
        <f>4/4</f>
        <v>1</v>
      </c>
      <c r="AS71" s="18">
        <v>0.75</v>
      </c>
      <c r="AT71" s="18">
        <v>0.88</v>
      </c>
      <c r="AU71" s="18">
        <v>1</v>
      </c>
      <c r="AV71" s="18" t="s">
        <v>17</v>
      </c>
      <c r="AW71" s="18">
        <v>0</v>
      </c>
      <c r="AX71" s="18">
        <v>1</v>
      </c>
      <c r="AY71" s="18">
        <v>1</v>
      </c>
      <c r="AZ71" s="18">
        <v>1</v>
      </c>
      <c r="BA71" s="18">
        <v>0.33</v>
      </c>
      <c r="BB71" s="18" t="s">
        <v>17</v>
      </c>
      <c r="BC71" s="18" t="s">
        <v>17</v>
      </c>
      <c r="BD71" s="18" t="s">
        <v>17</v>
      </c>
      <c r="BE71" s="18" t="s">
        <v>17</v>
      </c>
      <c r="BF71" s="18" t="s">
        <v>17</v>
      </c>
      <c r="BG71" s="18" t="s">
        <v>17</v>
      </c>
      <c r="BH71" s="18" t="s">
        <v>17</v>
      </c>
      <c r="BI71" s="18" t="s">
        <v>17</v>
      </c>
      <c r="BJ71" s="18" t="s">
        <v>17</v>
      </c>
      <c r="BK71" s="18" t="s">
        <v>17</v>
      </c>
    </row>
    <row r="72" spans="1:64" ht="27.95" customHeight="1">
      <c r="A72" s="82" t="s">
        <v>123</v>
      </c>
      <c r="B72" s="84" t="s">
        <v>124</v>
      </c>
      <c r="C72" s="84" t="s">
        <v>68</v>
      </c>
      <c r="D72" s="84" t="s">
        <v>13</v>
      </c>
      <c r="E72" s="86" t="s">
        <v>125</v>
      </c>
      <c r="F72" s="86" t="s">
        <v>126</v>
      </c>
      <c r="G72" s="88" t="str">
        <f>VLOOKUP(A72,'KPI Описание'!A:K,11,0)</f>
        <v>Оператор</v>
      </c>
      <c r="H72" s="88" t="s">
        <v>16</v>
      </c>
      <c r="I72" s="90">
        <f>VLOOKUP(A72,'KPI Описание'!A:P,16,0)</f>
        <v>0</v>
      </c>
      <c r="J72" s="95">
        <f>IFERROR(VLOOKUP(A72,'KPI Описание'!A:Q,17,0),0)</f>
        <v>0</v>
      </c>
      <c r="K72" s="90">
        <f>SUM(K73:K77)</f>
        <v>1330</v>
      </c>
      <c r="L72" s="90">
        <f>SUM(L73:L77)</f>
        <v>1813</v>
      </c>
      <c r="M72" s="90">
        <f>SUM(M73:M77)</f>
        <v>7743</v>
      </c>
      <c r="N72" s="90">
        <f>SUM(N73:N77)</f>
        <v>7746</v>
      </c>
      <c r="O72" s="90">
        <f>SUM(O73:O77)</f>
        <v>7802</v>
      </c>
      <c r="P72" s="90">
        <f>SUM(P73:P77)</f>
        <v>5220</v>
      </c>
      <c r="Q72" s="90">
        <f>SUM(Q73:Q77)</f>
        <v>6529</v>
      </c>
      <c r="R72" s="90">
        <f>SUM(R73:R77)</f>
        <v>4628</v>
      </c>
      <c r="S72" s="90">
        <f>SUM(S73:S77)</f>
        <v>6993.5699719999993</v>
      </c>
      <c r="T72" s="90">
        <f>SUM(T73:T77)</f>
        <v>7498</v>
      </c>
      <c r="U72" s="90">
        <f>SUM(U73:U77)</f>
        <v>6553</v>
      </c>
      <c r="V72" s="90">
        <f>SUM(V73:V77)</f>
        <v>7354</v>
      </c>
      <c r="W72" s="90">
        <f>SUM(W73:W77)</f>
        <v>7867</v>
      </c>
      <c r="X72" s="90">
        <f>SUM(X73:X77)</f>
        <v>6573</v>
      </c>
      <c r="Y72" s="90">
        <f>SUM(Y73:Y77)</f>
        <v>1846</v>
      </c>
      <c r="Z72" s="90">
        <v>5548</v>
      </c>
      <c r="AA72" s="90">
        <v>7727</v>
      </c>
      <c r="AB72" s="90">
        <v>4920</v>
      </c>
      <c r="AC72" s="107">
        <f>5636</f>
        <v>5636</v>
      </c>
      <c r="AD72" s="90">
        <v>4642</v>
      </c>
      <c r="AE72" s="90">
        <v>5854</v>
      </c>
      <c r="AF72" s="90">
        <v>5199</v>
      </c>
      <c r="AG72" s="90">
        <v>4804</v>
      </c>
      <c r="AH72" s="90">
        <v>5684</v>
      </c>
      <c r="AI72" s="90">
        <v>5723</v>
      </c>
      <c r="AJ72" s="90">
        <v>4281</v>
      </c>
      <c r="AK72" s="90">
        <v>4914</v>
      </c>
      <c r="AL72" s="90">
        <f>AL73+AL74+AL75+AL76+AL77+3631</f>
        <v>4964</v>
      </c>
      <c r="AM72" s="90">
        <v>9184</v>
      </c>
      <c r="AN72" s="90">
        <v>8045</v>
      </c>
      <c r="AO72" s="90">
        <v>6865</v>
      </c>
      <c r="AP72" s="90">
        <v>7118</v>
      </c>
      <c r="AQ72" s="107" t="s">
        <v>127</v>
      </c>
      <c r="AR72" s="90">
        <v>8478</v>
      </c>
      <c r="AS72" s="90">
        <v>12684</v>
      </c>
      <c r="AT72" s="90">
        <v>7492</v>
      </c>
      <c r="AU72" s="90">
        <v>6863</v>
      </c>
      <c r="AV72" s="90">
        <v>9086</v>
      </c>
      <c r="AW72" s="90">
        <v>9768</v>
      </c>
      <c r="AX72" s="90">
        <v>8107</v>
      </c>
      <c r="AY72" s="90">
        <v>11990</v>
      </c>
      <c r="AZ72" s="90">
        <v>6706</v>
      </c>
      <c r="BA72" s="90">
        <v>9642</v>
      </c>
      <c r="BB72" s="90" t="s">
        <v>17</v>
      </c>
      <c r="BC72" s="90" t="s">
        <v>17</v>
      </c>
      <c r="BD72" s="90" t="s">
        <v>17</v>
      </c>
      <c r="BE72" s="90" t="s">
        <v>17</v>
      </c>
      <c r="BF72" s="90" t="s">
        <v>17</v>
      </c>
      <c r="BG72" s="90" t="s">
        <v>17</v>
      </c>
      <c r="BH72" s="90" t="s">
        <v>17</v>
      </c>
      <c r="BI72" s="90" t="s">
        <v>17</v>
      </c>
      <c r="BJ72" s="90" t="s">
        <v>17</v>
      </c>
      <c r="BK72" s="90" t="s">
        <v>17</v>
      </c>
    </row>
    <row r="73" spans="1:64" s="72" customFormat="1" ht="39.75" customHeight="1">
      <c r="A73" s="81" t="s">
        <v>123</v>
      </c>
      <c r="B73" s="83" t="s">
        <v>124</v>
      </c>
      <c r="C73" s="83" t="s">
        <v>68</v>
      </c>
      <c r="D73" s="83"/>
      <c r="E73" s="85"/>
      <c r="F73" s="85"/>
      <c r="G73" s="87" t="str">
        <f>VLOOKUP(A73,'KPI Описание'!A:K,11,0)</f>
        <v>Оператор</v>
      </c>
      <c r="H73" s="87" t="s">
        <v>33</v>
      </c>
      <c r="I73" s="89"/>
      <c r="J73" s="94"/>
      <c r="K73" s="98">
        <v>369</v>
      </c>
      <c r="L73" s="98">
        <v>527</v>
      </c>
      <c r="M73" s="98">
        <v>4356</v>
      </c>
      <c r="N73" s="98">
        <v>3395</v>
      </c>
      <c r="O73" s="98">
        <v>2927</v>
      </c>
      <c r="P73" s="98">
        <v>2011</v>
      </c>
      <c r="Q73" s="98">
        <v>3474</v>
      </c>
      <c r="R73" s="98">
        <v>2049</v>
      </c>
      <c r="S73" s="98">
        <v>3688.5699719999998</v>
      </c>
      <c r="T73" s="98">
        <v>2006</v>
      </c>
      <c r="U73" s="93">
        <v>2389</v>
      </c>
      <c r="V73" s="93">
        <v>1793</v>
      </c>
      <c r="W73" s="93">
        <v>3593</v>
      </c>
      <c r="X73" s="93">
        <v>2828</v>
      </c>
      <c r="Y73" s="93">
        <v>680</v>
      </c>
      <c r="Z73" s="89" t="s">
        <v>17</v>
      </c>
      <c r="AA73" s="89" t="s">
        <v>17</v>
      </c>
      <c r="AB73" s="89" t="s">
        <v>17</v>
      </c>
      <c r="AC73" s="89" t="s">
        <v>17</v>
      </c>
      <c r="AD73" s="89" t="s">
        <v>17</v>
      </c>
      <c r="AE73" s="89" t="s">
        <v>17</v>
      </c>
      <c r="AF73" s="93">
        <v>756</v>
      </c>
      <c r="AG73" s="93">
        <v>350</v>
      </c>
      <c r="AH73" s="93">
        <v>249</v>
      </c>
      <c r="AI73" s="93">
        <v>326</v>
      </c>
      <c r="AJ73" s="93">
        <v>36</v>
      </c>
      <c r="AK73" s="93">
        <v>524</v>
      </c>
      <c r="AL73" s="93">
        <v>516</v>
      </c>
      <c r="AM73" s="93">
        <v>384</v>
      </c>
      <c r="AN73" s="93">
        <v>2991</v>
      </c>
      <c r="AO73" s="93">
        <v>3410</v>
      </c>
      <c r="AP73" s="93">
        <v>3722</v>
      </c>
      <c r="AQ73" s="111" t="s">
        <v>128</v>
      </c>
      <c r="AR73" s="101">
        <v>2623</v>
      </c>
      <c r="AS73" s="93">
        <v>3560</v>
      </c>
      <c r="AT73" s="93">
        <v>2411</v>
      </c>
      <c r="AU73" s="93">
        <v>2349</v>
      </c>
      <c r="AV73" s="93">
        <v>2073</v>
      </c>
      <c r="AW73" s="93">
        <v>3377</v>
      </c>
      <c r="AX73" s="93">
        <v>1719</v>
      </c>
      <c r="AY73" s="93">
        <v>5518</v>
      </c>
      <c r="AZ73" s="93">
        <v>2889</v>
      </c>
      <c r="BA73" s="93">
        <v>3651</v>
      </c>
      <c r="BB73" s="89" t="s">
        <v>17</v>
      </c>
      <c r="BC73" s="89" t="s">
        <v>17</v>
      </c>
      <c r="BD73" s="89" t="s">
        <v>17</v>
      </c>
      <c r="BE73" s="89" t="s">
        <v>17</v>
      </c>
      <c r="BF73" s="89" t="s">
        <v>17</v>
      </c>
      <c r="BG73" s="89" t="s">
        <v>17</v>
      </c>
      <c r="BH73" s="89" t="s">
        <v>17</v>
      </c>
      <c r="BI73" s="89" t="s">
        <v>17</v>
      </c>
      <c r="BJ73" s="89" t="s">
        <v>17</v>
      </c>
      <c r="BK73" s="89" t="s">
        <v>17</v>
      </c>
    </row>
    <row r="74" spans="1:64" ht="27.95" customHeight="1">
      <c r="A74" s="14" t="s">
        <v>123</v>
      </c>
      <c r="B74" s="15" t="s">
        <v>124</v>
      </c>
      <c r="C74" s="15" t="s">
        <v>68</v>
      </c>
      <c r="D74" s="15"/>
      <c r="E74" s="43"/>
      <c r="F74" s="43"/>
      <c r="G74" s="17" t="str">
        <f>VLOOKUP(A74,'KPI Описание'!A:K,11,0)</f>
        <v>Оператор</v>
      </c>
      <c r="H74" s="17" t="s">
        <v>36</v>
      </c>
      <c r="I74" s="18"/>
      <c r="J74" s="19"/>
      <c r="K74" s="20">
        <v>117</v>
      </c>
      <c r="L74" s="20">
        <v>148</v>
      </c>
      <c r="M74" s="20">
        <v>162</v>
      </c>
      <c r="N74" s="20">
        <v>268</v>
      </c>
      <c r="O74" s="20">
        <v>204</v>
      </c>
      <c r="P74" s="20">
        <v>226</v>
      </c>
      <c r="Q74" s="20">
        <v>244</v>
      </c>
      <c r="R74" s="20">
        <v>163</v>
      </c>
      <c r="S74" s="20">
        <v>297</v>
      </c>
      <c r="T74" s="20">
        <v>411</v>
      </c>
      <c r="U74" s="26">
        <v>158</v>
      </c>
      <c r="V74" s="26">
        <v>72</v>
      </c>
      <c r="W74" s="26">
        <v>327</v>
      </c>
      <c r="X74" s="26">
        <v>103</v>
      </c>
      <c r="Y74" s="26">
        <v>61</v>
      </c>
      <c r="Z74" s="18" t="s">
        <v>17</v>
      </c>
      <c r="AA74" s="18" t="s">
        <v>17</v>
      </c>
      <c r="AB74" s="18" t="s">
        <v>17</v>
      </c>
      <c r="AC74" s="18" t="s">
        <v>17</v>
      </c>
      <c r="AD74" s="18" t="s">
        <v>17</v>
      </c>
      <c r="AE74" s="18" t="s">
        <v>17</v>
      </c>
      <c r="AF74" s="26">
        <v>304</v>
      </c>
      <c r="AG74" s="26">
        <v>41</v>
      </c>
      <c r="AH74" s="26">
        <v>1</v>
      </c>
      <c r="AI74" s="26">
        <v>35</v>
      </c>
      <c r="AJ74" s="26">
        <v>3</v>
      </c>
      <c r="AK74" s="26">
        <v>51</v>
      </c>
      <c r="AL74" s="26">
        <v>11</v>
      </c>
      <c r="AM74" s="26">
        <v>45</v>
      </c>
      <c r="AN74" s="26">
        <v>175</v>
      </c>
      <c r="AO74" s="26">
        <v>187</v>
      </c>
      <c r="AP74" s="26">
        <v>175</v>
      </c>
      <c r="AQ74" s="44" t="s">
        <v>129</v>
      </c>
      <c r="AR74" s="16">
        <v>279</v>
      </c>
      <c r="AS74" s="26">
        <v>609</v>
      </c>
      <c r="AT74" s="26">
        <v>272</v>
      </c>
      <c r="AU74" s="26">
        <v>600</v>
      </c>
      <c r="AV74" s="26">
        <v>475</v>
      </c>
      <c r="AW74" s="26">
        <v>325</v>
      </c>
      <c r="AX74" s="26">
        <v>238</v>
      </c>
      <c r="AY74" s="26">
        <v>648</v>
      </c>
      <c r="AZ74" s="26">
        <v>286</v>
      </c>
      <c r="BA74" s="26">
        <v>487</v>
      </c>
      <c r="BB74" s="18" t="s">
        <v>17</v>
      </c>
      <c r="BC74" s="18" t="s">
        <v>17</v>
      </c>
      <c r="BD74" s="18" t="s">
        <v>17</v>
      </c>
      <c r="BE74" s="18" t="s">
        <v>17</v>
      </c>
      <c r="BF74" s="18" t="s">
        <v>17</v>
      </c>
      <c r="BG74" s="18" t="s">
        <v>17</v>
      </c>
      <c r="BH74" s="18" t="s">
        <v>17</v>
      </c>
      <c r="BI74" s="18" t="s">
        <v>17</v>
      </c>
      <c r="BJ74" s="18" t="s">
        <v>17</v>
      </c>
      <c r="BK74" s="18" t="s">
        <v>17</v>
      </c>
    </row>
    <row r="75" spans="1:64" ht="27.95" customHeight="1">
      <c r="A75" s="14" t="s">
        <v>123</v>
      </c>
      <c r="B75" s="15" t="s">
        <v>124</v>
      </c>
      <c r="C75" s="15" t="s">
        <v>68</v>
      </c>
      <c r="D75" s="15"/>
      <c r="E75" s="43"/>
      <c r="F75" s="43"/>
      <c r="G75" s="17" t="str">
        <f>VLOOKUP(A75,'KPI Описание'!A:K,11,0)</f>
        <v>Оператор</v>
      </c>
      <c r="H75" s="17" t="s">
        <v>37</v>
      </c>
      <c r="I75" s="18"/>
      <c r="J75" s="19"/>
      <c r="K75" s="20">
        <v>148</v>
      </c>
      <c r="L75" s="20">
        <v>372</v>
      </c>
      <c r="M75" s="20">
        <v>465</v>
      </c>
      <c r="N75" s="20">
        <v>523</v>
      </c>
      <c r="O75" s="20">
        <v>579</v>
      </c>
      <c r="P75" s="20">
        <v>652</v>
      </c>
      <c r="Q75" s="20">
        <v>493</v>
      </c>
      <c r="R75" s="20">
        <v>534</v>
      </c>
      <c r="S75" s="20">
        <v>593</v>
      </c>
      <c r="T75" s="20">
        <v>603</v>
      </c>
      <c r="U75" s="26">
        <v>408</v>
      </c>
      <c r="V75" s="26">
        <v>644</v>
      </c>
      <c r="W75" s="26">
        <v>569</v>
      </c>
      <c r="X75" s="26">
        <v>754</v>
      </c>
      <c r="Y75" s="26">
        <v>297</v>
      </c>
      <c r="Z75" s="18" t="s">
        <v>17</v>
      </c>
      <c r="AA75" s="18" t="s">
        <v>17</v>
      </c>
      <c r="AB75" s="18" t="s">
        <v>17</v>
      </c>
      <c r="AC75" s="18" t="s">
        <v>17</v>
      </c>
      <c r="AD75" s="18" t="s">
        <v>17</v>
      </c>
      <c r="AE75" s="18" t="s">
        <v>17</v>
      </c>
      <c r="AF75" s="26">
        <v>81</v>
      </c>
      <c r="AG75" s="26">
        <v>110</v>
      </c>
      <c r="AH75" s="26">
        <v>52</v>
      </c>
      <c r="AI75" s="26">
        <v>164</v>
      </c>
      <c r="AJ75" s="26">
        <v>54</v>
      </c>
      <c r="AK75" s="26">
        <v>166</v>
      </c>
      <c r="AL75" s="26">
        <v>86</v>
      </c>
      <c r="AM75" s="26">
        <v>146</v>
      </c>
      <c r="AN75" s="26">
        <v>744</v>
      </c>
      <c r="AO75" s="26">
        <v>782</v>
      </c>
      <c r="AP75" s="26">
        <v>862</v>
      </c>
      <c r="AQ75" s="44" t="s">
        <v>130</v>
      </c>
      <c r="AR75" s="16">
        <v>532</v>
      </c>
      <c r="AS75" s="26">
        <v>832</v>
      </c>
      <c r="AT75" s="26">
        <v>842</v>
      </c>
      <c r="AU75" s="26">
        <v>1207</v>
      </c>
      <c r="AV75" s="26">
        <v>1475</v>
      </c>
      <c r="AW75" s="26">
        <v>784</v>
      </c>
      <c r="AX75" s="26">
        <v>675</v>
      </c>
      <c r="AY75" s="26">
        <v>944</v>
      </c>
      <c r="AZ75" s="26">
        <v>763</v>
      </c>
      <c r="BA75" s="26">
        <v>578</v>
      </c>
      <c r="BB75" s="18" t="s">
        <v>17</v>
      </c>
      <c r="BC75" s="18" t="s">
        <v>17</v>
      </c>
      <c r="BD75" s="18" t="s">
        <v>17</v>
      </c>
      <c r="BE75" s="18" t="s">
        <v>17</v>
      </c>
      <c r="BF75" s="18" t="s">
        <v>17</v>
      </c>
      <c r="BG75" s="18" t="s">
        <v>17</v>
      </c>
      <c r="BH75" s="18" t="s">
        <v>17</v>
      </c>
      <c r="BI75" s="18" t="s">
        <v>17</v>
      </c>
      <c r="BJ75" s="18" t="s">
        <v>17</v>
      </c>
      <c r="BK75" s="18" t="s">
        <v>17</v>
      </c>
    </row>
    <row r="76" spans="1:64" ht="27.95" customHeight="1">
      <c r="A76" s="14" t="s">
        <v>123</v>
      </c>
      <c r="B76" s="15" t="s">
        <v>124</v>
      </c>
      <c r="C76" s="15" t="s">
        <v>68</v>
      </c>
      <c r="D76" s="15"/>
      <c r="E76" s="43"/>
      <c r="F76" s="43"/>
      <c r="G76" s="17" t="str">
        <f>VLOOKUP(A76,'KPI Описание'!A:K,11,0)</f>
        <v>Оператор</v>
      </c>
      <c r="H76" s="17" t="s">
        <v>40</v>
      </c>
      <c r="I76" s="18"/>
      <c r="J76" s="19"/>
      <c r="K76" s="20">
        <v>352</v>
      </c>
      <c r="L76" s="20">
        <v>674</v>
      </c>
      <c r="M76" s="20">
        <v>1636</v>
      </c>
      <c r="N76" s="20">
        <v>2066</v>
      </c>
      <c r="O76" s="20">
        <v>2306</v>
      </c>
      <c r="P76" s="20">
        <v>1649</v>
      </c>
      <c r="Q76" s="20">
        <v>1065</v>
      </c>
      <c r="R76" s="20">
        <v>975</v>
      </c>
      <c r="S76" s="20">
        <v>1052</v>
      </c>
      <c r="T76" s="20">
        <v>2667</v>
      </c>
      <c r="U76" s="26">
        <v>2218</v>
      </c>
      <c r="V76" s="26">
        <v>1957</v>
      </c>
      <c r="W76" s="26">
        <v>1812</v>
      </c>
      <c r="X76" s="26">
        <v>1965</v>
      </c>
      <c r="Y76" s="26">
        <v>411</v>
      </c>
      <c r="Z76" s="18" t="s">
        <v>17</v>
      </c>
      <c r="AA76" s="18" t="s">
        <v>17</v>
      </c>
      <c r="AB76" s="18" t="s">
        <v>17</v>
      </c>
      <c r="AC76" s="18" t="s">
        <v>17</v>
      </c>
      <c r="AD76" s="18" t="s">
        <v>17</v>
      </c>
      <c r="AE76" s="18" t="s">
        <v>17</v>
      </c>
      <c r="AF76" s="26">
        <v>66</v>
      </c>
      <c r="AG76" s="26">
        <v>131</v>
      </c>
      <c r="AH76" s="26">
        <v>82</v>
      </c>
      <c r="AI76" s="26">
        <v>89</v>
      </c>
      <c r="AJ76" s="26">
        <v>175</v>
      </c>
      <c r="AK76" s="26">
        <v>85</v>
      </c>
      <c r="AL76" s="26">
        <v>254</v>
      </c>
      <c r="AM76" s="26">
        <v>286</v>
      </c>
      <c r="AN76" s="26">
        <v>2823</v>
      </c>
      <c r="AO76" s="26">
        <v>1343</v>
      </c>
      <c r="AP76" s="26">
        <v>1347</v>
      </c>
      <c r="AQ76" s="44" t="s">
        <v>131</v>
      </c>
      <c r="AR76" s="16">
        <v>3450</v>
      </c>
      <c r="AS76" s="26">
        <v>4169</v>
      </c>
      <c r="AT76" s="26">
        <v>2461</v>
      </c>
      <c r="AU76" s="26">
        <v>1177</v>
      </c>
      <c r="AV76" s="26">
        <v>2846</v>
      </c>
      <c r="AW76" s="26">
        <v>3636</v>
      </c>
      <c r="AX76" s="26">
        <v>4329</v>
      </c>
      <c r="AY76" s="26">
        <v>2773</v>
      </c>
      <c r="AZ76" s="26">
        <v>1150</v>
      </c>
      <c r="BA76" s="26">
        <v>2943</v>
      </c>
      <c r="BB76" s="18" t="s">
        <v>17</v>
      </c>
      <c r="BC76" s="18" t="s">
        <v>17</v>
      </c>
      <c r="BD76" s="18" t="s">
        <v>17</v>
      </c>
      <c r="BE76" s="18" t="s">
        <v>17</v>
      </c>
      <c r="BF76" s="18" t="s">
        <v>17</v>
      </c>
      <c r="BG76" s="18" t="s">
        <v>17</v>
      </c>
      <c r="BH76" s="18" t="s">
        <v>17</v>
      </c>
      <c r="BI76" s="18" t="s">
        <v>17</v>
      </c>
      <c r="BJ76" s="18" t="s">
        <v>17</v>
      </c>
      <c r="BK76" s="18" t="s">
        <v>17</v>
      </c>
    </row>
    <row r="77" spans="1:64" ht="27.95" customHeight="1">
      <c r="A77" s="14" t="s">
        <v>123</v>
      </c>
      <c r="B77" s="15" t="s">
        <v>124</v>
      </c>
      <c r="C77" s="15" t="s">
        <v>68</v>
      </c>
      <c r="D77" s="15"/>
      <c r="E77" s="43"/>
      <c r="F77" s="43"/>
      <c r="G77" s="17" t="str">
        <f>VLOOKUP(A77,'KPI Описание'!A:K,11,0)</f>
        <v>Оператор</v>
      </c>
      <c r="H77" s="17" t="s">
        <v>43</v>
      </c>
      <c r="I77" s="18"/>
      <c r="J77" s="19"/>
      <c r="K77" s="20">
        <v>344</v>
      </c>
      <c r="L77" s="20">
        <v>92</v>
      </c>
      <c r="M77" s="20">
        <v>1124</v>
      </c>
      <c r="N77" s="20">
        <v>1494</v>
      </c>
      <c r="O77" s="20">
        <v>1786</v>
      </c>
      <c r="P77" s="20">
        <v>682</v>
      </c>
      <c r="Q77" s="20">
        <v>1253</v>
      </c>
      <c r="R77" s="20">
        <v>907</v>
      </c>
      <c r="S77" s="20">
        <v>1363</v>
      </c>
      <c r="T77" s="20">
        <v>1811</v>
      </c>
      <c r="U77" s="26">
        <v>1380</v>
      </c>
      <c r="V77" s="26">
        <v>2888</v>
      </c>
      <c r="W77" s="26">
        <v>1566</v>
      </c>
      <c r="X77" s="26">
        <v>923</v>
      </c>
      <c r="Y77" s="26">
        <v>397</v>
      </c>
      <c r="Z77" s="18" t="s">
        <v>17</v>
      </c>
      <c r="AA77" s="18" t="s">
        <v>17</v>
      </c>
      <c r="AB77" s="18" t="s">
        <v>17</v>
      </c>
      <c r="AC77" s="18" t="s">
        <v>17</v>
      </c>
      <c r="AD77" s="18" t="s">
        <v>17</v>
      </c>
      <c r="AE77" s="18" t="s">
        <v>17</v>
      </c>
      <c r="AF77" s="26">
        <v>182</v>
      </c>
      <c r="AG77" s="26">
        <v>35</v>
      </c>
      <c r="AH77" s="26" t="s">
        <v>17</v>
      </c>
      <c r="AI77" s="26">
        <v>309</v>
      </c>
      <c r="AJ77" s="26">
        <v>9</v>
      </c>
      <c r="AK77" s="26">
        <v>323</v>
      </c>
      <c r="AL77" s="26">
        <v>466</v>
      </c>
      <c r="AM77" s="26">
        <v>37</v>
      </c>
      <c r="AN77" s="26">
        <v>1311</v>
      </c>
      <c r="AO77" s="26">
        <v>981</v>
      </c>
      <c r="AP77" s="26">
        <v>1001</v>
      </c>
      <c r="AQ77" s="44" t="s">
        <v>132</v>
      </c>
      <c r="AR77" s="16">
        <v>1594</v>
      </c>
      <c r="AS77" s="26">
        <v>3514</v>
      </c>
      <c r="AT77" s="26">
        <v>1503</v>
      </c>
      <c r="AU77" s="26">
        <v>1530</v>
      </c>
      <c r="AV77" s="26">
        <v>2217</v>
      </c>
      <c r="AW77" s="26">
        <v>1646</v>
      </c>
      <c r="AX77" s="26">
        <v>1146</v>
      </c>
      <c r="AY77" s="26">
        <v>2107</v>
      </c>
      <c r="AZ77" s="26">
        <v>1618</v>
      </c>
      <c r="BA77" s="26">
        <v>1983</v>
      </c>
      <c r="BB77" s="18" t="s">
        <v>17</v>
      </c>
      <c r="BC77" s="18" t="s">
        <v>17</v>
      </c>
      <c r="BD77" s="18" t="s">
        <v>17</v>
      </c>
      <c r="BE77" s="18" t="s">
        <v>17</v>
      </c>
      <c r="BF77" s="18" t="s">
        <v>17</v>
      </c>
      <c r="BG77" s="18" t="s">
        <v>17</v>
      </c>
      <c r="BH77" s="18" t="s">
        <v>17</v>
      </c>
      <c r="BI77" s="18" t="s">
        <v>17</v>
      </c>
      <c r="BJ77" s="18" t="s">
        <v>17</v>
      </c>
      <c r="BK77" s="18" t="s">
        <v>17</v>
      </c>
    </row>
    <row r="78" spans="1:64" ht="27.95" customHeight="1">
      <c r="A78" s="82" t="s">
        <v>133</v>
      </c>
      <c r="B78" s="84" t="s">
        <v>134</v>
      </c>
      <c r="C78" s="84" t="s">
        <v>68</v>
      </c>
      <c r="D78" s="84" t="s">
        <v>13</v>
      </c>
      <c r="E78" s="86" t="s">
        <v>125</v>
      </c>
      <c r="F78" s="86" t="s">
        <v>135</v>
      </c>
      <c r="G78" s="88" t="str">
        <f>VLOOKUP(A78,'KPI Описание'!A:K,11,0)</f>
        <v>Оператор</v>
      </c>
      <c r="H78" s="88" t="s">
        <v>16</v>
      </c>
      <c r="I78" s="90">
        <f>VLOOKUP(A78,'KPI Описание'!A:P,16,0)</f>
        <v>0</v>
      </c>
      <c r="J78" s="95">
        <f>IFERROR(VLOOKUP(A78,'KPI Описание'!A:Q,17,0),0)</f>
        <v>0</v>
      </c>
      <c r="K78" s="90">
        <f>SUM(K79:K83)</f>
        <v>24</v>
      </c>
      <c r="L78" s="90">
        <f>SUM(L79:L83)</f>
        <v>301</v>
      </c>
      <c r="M78" s="90">
        <f>SUM(M79:M83)</f>
        <v>123</v>
      </c>
      <c r="N78" s="90">
        <f>SUM(N79:N83)</f>
        <v>39</v>
      </c>
      <c r="O78" s="90">
        <f>SUM(O79:O83)</f>
        <v>375</v>
      </c>
      <c r="P78" s="90">
        <f>SUM(P79:P83)</f>
        <v>3276</v>
      </c>
      <c r="Q78" s="90">
        <f>SUM(Q79:Q83)</f>
        <v>1640</v>
      </c>
      <c r="R78" s="90">
        <f>SUM(R79:R83)</f>
        <v>186</v>
      </c>
      <c r="S78" s="90">
        <f>SUM(S79:S83)</f>
        <v>407</v>
      </c>
      <c r="T78" s="90">
        <f>SUM(T79:T83)</f>
        <v>1625</v>
      </c>
      <c r="U78" s="90">
        <f>SUM(U79:U83)</f>
        <v>724</v>
      </c>
      <c r="V78" s="90">
        <f>SUM(V79:V83)</f>
        <v>32</v>
      </c>
      <c r="W78" s="90">
        <f>SUM(W79:W83)</f>
        <v>3021</v>
      </c>
      <c r="X78" s="90">
        <f>SUM(X79:X83)</f>
        <v>915</v>
      </c>
      <c r="Y78" s="90">
        <f>SUM(Y79:Y83)</f>
        <v>1</v>
      </c>
      <c r="Z78" s="90">
        <f>SUM(Z79:Z83)</f>
        <v>283</v>
      </c>
      <c r="AA78" s="90">
        <f>SUM(AA79:AA83)</f>
        <v>1389</v>
      </c>
      <c r="AB78" s="90">
        <f>SUM(AB79:AB83)</f>
        <v>1745</v>
      </c>
      <c r="AC78" s="90">
        <f>SUM(AC79:AC83)</f>
        <v>4189</v>
      </c>
      <c r="AD78" s="90">
        <f>SUM(AD79:AD83)</f>
        <v>2385</v>
      </c>
      <c r="AE78" s="90">
        <f>SUM(AE79:AE83)</f>
        <v>226</v>
      </c>
      <c r="AF78" s="90">
        <v>6667</v>
      </c>
      <c r="AG78" s="90">
        <v>0</v>
      </c>
      <c r="AH78" s="90">
        <v>0</v>
      </c>
      <c r="AI78" s="90">
        <v>672</v>
      </c>
      <c r="AJ78" s="90">
        <v>32</v>
      </c>
      <c r="AK78" s="90">
        <f>SUM(AK79:AK83)</f>
        <v>581</v>
      </c>
      <c r="AL78" s="90">
        <v>1166</v>
      </c>
      <c r="AM78" s="92">
        <f>AM81+AM82</f>
        <v>106</v>
      </c>
      <c r="AN78" s="90">
        <v>12</v>
      </c>
      <c r="AO78" s="90">
        <v>503</v>
      </c>
      <c r="AP78" s="90">
        <v>676</v>
      </c>
      <c r="AQ78" s="107" t="s">
        <v>136</v>
      </c>
      <c r="AR78" s="90">
        <v>6917</v>
      </c>
      <c r="AS78" s="90">
        <v>2345</v>
      </c>
      <c r="AT78" s="90">
        <v>6409</v>
      </c>
      <c r="AU78" s="90">
        <v>5085</v>
      </c>
      <c r="AV78" s="90">
        <v>198</v>
      </c>
      <c r="AW78" s="90">
        <v>3925</v>
      </c>
      <c r="AX78" s="90">
        <v>3</v>
      </c>
      <c r="AY78" s="90">
        <v>61</v>
      </c>
      <c r="AZ78" s="90">
        <v>199</v>
      </c>
      <c r="BA78" s="90">
        <v>3710</v>
      </c>
      <c r="BB78" s="90" t="s">
        <v>17</v>
      </c>
      <c r="BC78" s="90" t="s">
        <v>17</v>
      </c>
      <c r="BD78" s="90" t="s">
        <v>17</v>
      </c>
      <c r="BE78" s="90" t="s">
        <v>17</v>
      </c>
      <c r="BF78" s="90" t="s">
        <v>17</v>
      </c>
      <c r="BG78" s="90" t="s">
        <v>17</v>
      </c>
      <c r="BH78" s="90" t="s">
        <v>17</v>
      </c>
      <c r="BI78" s="90" t="s">
        <v>17</v>
      </c>
      <c r="BJ78" s="90" t="s">
        <v>17</v>
      </c>
      <c r="BK78" s="90" t="s">
        <v>17</v>
      </c>
    </row>
    <row r="79" spans="1:64" s="72" customFormat="1" ht="27.95" customHeight="1">
      <c r="A79" s="81" t="s">
        <v>133</v>
      </c>
      <c r="B79" s="83" t="s">
        <v>134</v>
      </c>
      <c r="C79" s="83" t="s">
        <v>68</v>
      </c>
      <c r="D79" s="83"/>
      <c r="E79" s="85"/>
      <c r="F79" s="85"/>
      <c r="G79" s="87" t="str">
        <f>VLOOKUP(A79,'KPI Описание'!A:K,11,0)</f>
        <v>Оператор</v>
      </c>
      <c r="H79" s="87" t="s">
        <v>33</v>
      </c>
      <c r="I79" s="89"/>
      <c r="J79" s="94"/>
      <c r="K79" s="89" t="s">
        <v>17</v>
      </c>
      <c r="L79" s="101">
        <v>272</v>
      </c>
      <c r="M79" s="101">
        <v>123</v>
      </c>
      <c r="N79" s="101">
        <v>4</v>
      </c>
      <c r="O79" s="101" t="s">
        <v>17</v>
      </c>
      <c r="P79" s="101">
        <v>1359</v>
      </c>
      <c r="Q79" s="101">
        <v>323</v>
      </c>
      <c r="R79" s="101">
        <v>37</v>
      </c>
      <c r="S79" s="101">
        <v>85</v>
      </c>
      <c r="T79" s="89" t="s">
        <v>17</v>
      </c>
      <c r="U79" s="93">
        <v>102</v>
      </c>
      <c r="V79" s="89" t="s">
        <v>17</v>
      </c>
      <c r="W79" s="93">
        <v>1027</v>
      </c>
      <c r="X79" s="93">
        <v>1</v>
      </c>
      <c r="Y79" s="89" t="s">
        <v>17</v>
      </c>
      <c r="Z79" s="93">
        <v>260</v>
      </c>
      <c r="AA79" s="93">
        <v>419</v>
      </c>
      <c r="AB79" s="93">
        <v>142</v>
      </c>
      <c r="AC79" s="93">
        <v>60</v>
      </c>
      <c r="AD79" s="93">
        <v>934</v>
      </c>
      <c r="AE79" s="93">
        <v>202</v>
      </c>
      <c r="AF79" s="93">
        <v>495</v>
      </c>
      <c r="AG79" s="89" t="s">
        <v>17</v>
      </c>
      <c r="AH79" s="89" t="s">
        <v>17</v>
      </c>
      <c r="AI79" s="89" t="s">
        <v>17</v>
      </c>
      <c r="AJ79" s="93">
        <v>26</v>
      </c>
      <c r="AK79" s="93">
        <v>121</v>
      </c>
      <c r="AL79" s="93">
        <v>23</v>
      </c>
      <c r="AM79" s="101" t="s">
        <v>17</v>
      </c>
      <c r="AN79" s="93" t="s">
        <v>17</v>
      </c>
      <c r="AO79" s="93">
        <v>81</v>
      </c>
      <c r="AP79" s="93">
        <v>553</v>
      </c>
      <c r="AQ79" s="111" t="s">
        <v>17</v>
      </c>
      <c r="AR79" s="101">
        <v>1584</v>
      </c>
      <c r="AS79" s="93">
        <v>615</v>
      </c>
      <c r="AT79" s="93">
        <v>53</v>
      </c>
      <c r="AU79" s="93">
        <v>205</v>
      </c>
      <c r="AV79" s="93">
        <v>168</v>
      </c>
      <c r="AW79" s="93">
        <v>2</v>
      </c>
      <c r="AX79" s="89" t="s">
        <v>17</v>
      </c>
      <c r="AY79" s="89" t="s">
        <v>17</v>
      </c>
      <c r="AZ79" s="93">
        <v>94</v>
      </c>
      <c r="BA79" s="93">
        <v>130</v>
      </c>
      <c r="BB79" s="89" t="s">
        <v>17</v>
      </c>
      <c r="BC79" s="89" t="s">
        <v>17</v>
      </c>
      <c r="BD79" s="89" t="s">
        <v>17</v>
      </c>
      <c r="BE79" s="89" t="s">
        <v>17</v>
      </c>
      <c r="BF79" s="89" t="s">
        <v>17</v>
      </c>
      <c r="BG79" s="89" t="s">
        <v>17</v>
      </c>
      <c r="BH79" s="89" t="s">
        <v>17</v>
      </c>
      <c r="BI79" s="89" t="s">
        <v>17</v>
      </c>
      <c r="BJ79" s="89" t="s">
        <v>17</v>
      </c>
      <c r="BK79" s="89" t="s">
        <v>17</v>
      </c>
      <c r="BL79" s="74"/>
    </row>
    <row r="80" spans="1:64" ht="27.95" customHeight="1">
      <c r="A80" s="14" t="s">
        <v>133</v>
      </c>
      <c r="B80" s="15" t="s">
        <v>134</v>
      </c>
      <c r="C80" s="15" t="s">
        <v>68</v>
      </c>
      <c r="D80" s="15"/>
      <c r="E80" s="43"/>
      <c r="F80" s="43"/>
      <c r="G80" s="17" t="str">
        <f>VLOOKUP(A80,'KPI Описание'!A:K,11,0)</f>
        <v>Оператор</v>
      </c>
      <c r="H80" s="17" t="s">
        <v>36</v>
      </c>
      <c r="I80" s="18"/>
      <c r="J80" s="19"/>
      <c r="K80" s="18" t="s">
        <v>17</v>
      </c>
      <c r="L80" s="16" t="s">
        <v>17</v>
      </c>
      <c r="M80" s="16" t="s">
        <v>17</v>
      </c>
      <c r="N80" s="16" t="s">
        <v>17</v>
      </c>
      <c r="O80" s="16" t="s">
        <v>17</v>
      </c>
      <c r="P80" s="16" t="s">
        <v>17</v>
      </c>
      <c r="Q80" s="16">
        <v>9</v>
      </c>
      <c r="R80" s="16">
        <v>1</v>
      </c>
      <c r="S80" s="16" t="s">
        <v>17</v>
      </c>
      <c r="T80" s="18" t="s">
        <v>17</v>
      </c>
      <c r="U80" s="26" t="s">
        <v>17</v>
      </c>
      <c r="V80" s="26">
        <v>9</v>
      </c>
      <c r="W80" s="26" t="s">
        <v>17</v>
      </c>
      <c r="X80" s="26">
        <v>1</v>
      </c>
      <c r="Y80" s="26">
        <v>1</v>
      </c>
      <c r="Z80" s="18" t="s">
        <v>17</v>
      </c>
      <c r="AA80" s="18" t="s">
        <v>17</v>
      </c>
      <c r="AB80" s="18" t="s">
        <v>17</v>
      </c>
      <c r="AC80" s="18" t="s">
        <v>17</v>
      </c>
      <c r="AD80" s="18" t="s">
        <v>17</v>
      </c>
      <c r="AE80" s="18" t="s">
        <v>17</v>
      </c>
      <c r="AF80" s="26"/>
      <c r="AG80" s="18" t="s">
        <v>17</v>
      </c>
      <c r="AH80" s="18" t="s">
        <v>17</v>
      </c>
      <c r="AI80" s="18" t="s">
        <v>17</v>
      </c>
      <c r="AJ80" s="26">
        <v>2</v>
      </c>
      <c r="AK80" s="26" t="s">
        <v>17</v>
      </c>
      <c r="AL80" s="26" t="s">
        <v>17</v>
      </c>
      <c r="AM80" s="16" t="s">
        <v>17</v>
      </c>
      <c r="AN80" s="26" t="s">
        <v>17</v>
      </c>
      <c r="AO80" s="26" t="s">
        <v>17</v>
      </c>
      <c r="AP80" s="26">
        <v>22</v>
      </c>
      <c r="AQ80" s="44" t="s">
        <v>137</v>
      </c>
      <c r="AR80" s="16">
        <v>443</v>
      </c>
      <c r="AS80" s="26">
        <v>0</v>
      </c>
      <c r="AT80" s="26">
        <v>71</v>
      </c>
      <c r="AU80" s="26">
        <v>108</v>
      </c>
      <c r="AV80" s="26">
        <v>3</v>
      </c>
      <c r="AW80" s="26">
        <v>3</v>
      </c>
      <c r="AX80" s="18" t="s">
        <v>17</v>
      </c>
      <c r="AY80" s="34">
        <v>12</v>
      </c>
      <c r="AZ80" s="26">
        <v>62</v>
      </c>
      <c r="BA80" s="26">
        <v>42</v>
      </c>
      <c r="BB80" s="18" t="s">
        <v>17</v>
      </c>
      <c r="BC80" s="18" t="s">
        <v>17</v>
      </c>
      <c r="BD80" s="18" t="s">
        <v>17</v>
      </c>
      <c r="BE80" s="18" t="s">
        <v>17</v>
      </c>
      <c r="BF80" s="18" t="s">
        <v>17</v>
      </c>
      <c r="BG80" s="18" t="s">
        <v>17</v>
      </c>
      <c r="BH80" s="18" t="s">
        <v>17</v>
      </c>
      <c r="BI80" s="18" t="s">
        <v>17</v>
      </c>
      <c r="BJ80" s="18" t="s">
        <v>17</v>
      </c>
      <c r="BK80" s="18" t="s">
        <v>17</v>
      </c>
    </row>
    <row r="81" spans="1:64" ht="27.95" customHeight="1">
      <c r="A81" s="14" t="s">
        <v>133</v>
      </c>
      <c r="B81" s="15" t="s">
        <v>134</v>
      </c>
      <c r="C81" s="15" t="s">
        <v>68</v>
      </c>
      <c r="D81" s="15"/>
      <c r="E81" s="43"/>
      <c r="F81" s="43"/>
      <c r="G81" s="17" t="str">
        <f>VLOOKUP(A81,'KPI Описание'!A:K,11,0)</f>
        <v>Оператор</v>
      </c>
      <c r="H81" s="17" t="s">
        <v>37</v>
      </c>
      <c r="I81" s="18"/>
      <c r="J81" s="19"/>
      <c r="K81" s="16">
        <v>24</v>
      </c>
      <c r="L81" s="16">
        <v>29</v>
      </c>
      <c r="M81" s="16" t="s">
        <v>17</v>
      </c>
      <c r="N81" s="16">
        <v>33</v>
      </c>
      <c r="O81" s="16">
        <v>375</v>
      </c>
      <c r="P81" s="16" t="s">
        <v>17</v>
      </c>
      <c r="Q81" s="16">
        <v>16</v>
      </c>
      <c r="R81" s="16">
        <v>103</v>
      </c>
      <c r="S81" s="16">
        <v>117</v>
      </c>
      <c r="T81" s="18" t="s">
        <v>17</v>
      </c>
      <c r="U81" s="26">
        <v>619</v>
      </c>
      <c r="V81" s="26">
        <v>23</v>
      </c>
      <c r="W81" s="26">
        <v>140</v>
      </c>
      <c r="X81" s="26">
        <v>19</v>
      </c>
      <c r="Y81" s="18" t="s">
        <v>17</v>
      </c>
      <c r="Z81" s="18" t="s">
        <v>17</v>
      </c>
      <c r="AA81" s="26">
        <v>29</v>
      </c>
      <c r="AB81" s="26">
        <v>1212</v>
      </c>
      <c r="AC81" s="26">
        <v>30</v>
      </c>
      <c r="AD81" s="26">
        <v>1446</v>
      </c>
      <c r="AE81" s="26">
        <v>24</v>
      </c>
      <c r="AF81" s="26">
        <v>802</v>
      </c>
      <c r="AG81" s="18" t="s">
        <v>17</v>
      </c>
      <c r="AH81" s="18" t="s">
        <v>17</v>
      </c>
      <c r="AI81" s="26">
        <v>672</v>
      </c>
      <c r="AJ81" s="26">
        <v>4</v>
      </c>
      <c r="AK81" s="26">
        <v>384</v>
      </c>
      <c r="AL81" s="26">
        <v>1092</v>
      </c>
      <c r="AM81" s="16">
        <v>19</v>
      </c>
      <c r="AN81" s="26">
        <v>9</v>
      </c>
      <c r="AO81" s="26">
        <v>14</v>
      </c>
      <c r="AP81" s="26">
        <v>21</v>
      </c>
      <c r="AQ81" s="44" t="s">
        <v>137</v>
      </c>
      <c r="AR81" s="16">
        <v>1000</v>
      </c>
      <c r="AS81" s="26">
        <v>38</v>
      </c>
      <c r="AT81" s="26">
        <v>4310</v>
      </c>
      <c r="AU81" s="26">
        <v>3884</v>
      </c>
      <c r="AV81" s="26">
        <v>27</v>
      </c>
      <c r="AW81" s="26">
        <v>1727</v>
      </c>
      <c r="AX81" s="34">
        <v>3</v>
      </c>
      <c r="AY81" s="34">
        <v>49</v>
      </c>
      <c r="AZ81" s="26">
        <v>43</v>
      </c>
      <c r="BA81" s="26">
        <v>1464</v>
      </c>
      <c r="BB81" s="18" t="s">
        <v>17</v>
      </c>
      <c r="BC81" s="18" t="s">
        <v>17</v>
      </c>
      <c r="BD81" s="18" t="s">
        <v>17</v>
      </c>
      <c r="BE81" s="18" t="s">
        <v>17</v>
      </c>
      <c r="BF81" s="18" t="s">
        <v>17</v>
      </c>
      <c r="BG81" s="18" t="s">
        <v>17</v>
      </c>
      <c r="BH81" s="18" t="s">
        <v>17</v>
      </c>
      <c r="BI81" s="18" t="s">
        <v>17</v>
      </c>
      <c r="BJ81" s="18" t="s">
        <v>17</v>
      </c>
      <c r="BK81" s="18" t="s">
        <v>17</v>
      </c>
    </row>
    <row r="82" spans="1:64" ht="27.95" customHeight="1">
      <c r="A82" s="14" t="s">
        <v>133</v>
      </c>
      <c r="B82" s="15" t="s">
        <v>134</v>
      </c>
      <c r="C82" s="15" t="s">
        <v>68</v>
      </c>
      <c r="D82" s="15"/>
      <c r="E82" s="43"/>
      <c r="F82" s="43"/>
      <c r="G82" s="17" t="str">
        <f>VLOOKUP(A82,'KPI Описание'!A:K,11,0)</f>
        <v>Оператор</v>
      </c>
      <c r="H82" s="17" t="s">
        <v>40</v>
      </c>
      <c r="I82" s="18"/>
      <c r="J82" s="19"/>
      <c r="K82" s="18" t="s">
        <v>17</v>
      </c>
      <c r="L82" s="16"/>
      <c r="M82" s="16"/>
      <c r="N82" s="16"/>
      <c r="O82" s="16"/>
      <c r="P82" s="16"/>
      <c r="Q82" s="16">
        <v>349</v>
      </c>
      <c r="R82" s="16">
        <v>20</v>
      </c>
      <c r="S82" s="16">
        <v>204</v>
      </c>
      <c r="T82" s="18" t="s">
        <v>17</v>
      </c>
      <c r="U82" s="26" t="s">
        <v>17</v>
      </c>
      <c r="V82" s="18" t="s">
        <v>17</v>
      </c>
      <c r="W82" s="26">
        <v>1345</v>
      </c>
      <c r="X82" s="26" t="s">
        <v>17</v>
      </c>
      <c r="Y82" s="18" t="s">
        <v>17</v>
      </c>
      <c r="Z82" s="26">
        <v>23</v>
      </c>
      <c r="AA82" s="26">
        <v>7</v>
      </c>
      <c r="AB82" s="26">
        <v>391</v>
      </c>
      <c r="AC82" s="26" t="s">
        <v>17</v>
      </c>
      <c r="AD82" s="26" t="s">
        <v>17</v>
      </c>
      <c r="AE82" s="18" t="s">
        <v>17</v>
      </c>
      <c r="AF82" s="26">
        <v>1362</v>
      </c>
      <c r="AG82" s="18" t="s">
        <v>17</v>
      </c>
      <c r="AH82" s="18" t="s">
        <v>17</v>
      </c>
      <c r="AI82" s="18" t="s">
        <v>17</v>
      </c>
      <c r="AJ82" s="18" t="s">
        <v>17</v>
      </c>
      <c r="AK82" s="26">
        <v>54</v>
      </c>
      <c r="AL82" s="26">
        <v>16</v>
      </c>
      <c r="AM82" s="16">
        <v>87</v>
      </c>
      <c r="AN82" s="26" t="s">
        <v>17</v>
      </c>
      <c r="AO82" s="26">
        <v>5</v>
      </c>
      <c r="AP82" s="26"/>
      <c r="AQ82" s="44" t="s">
        <v>138</v>
      </c>
      <c r="AR82" s="16" t="s">
        <v>17</v>
      </c>
      <c r="AS82" s="26">
        <v>0</v>
      </c>
      <c r="AT82" s="26">
        <v>0</v>
      </c>
      <c r="AU82" s="26" t="s">
        <v>17</v>
      </c>
      <c r="AV82" s="26" t="s">
        <v>17</v>
      </c>
      <c r="AW82" s="26">
        <v>2060</v>
      </c>
      <c r="AX82" s="18" t="s">
        <v>17</v>
      </c>
      <c r="AY82" s="18" t="s">
        <v>17</v>
      </c>
      <c r="AZ82" s="26">
        <v>0</v>
      </c>
      <c r="BA82" s="26">
        <v>4</v>
      </c>
      <c r="BB82" s="18" t="s">
        <v>17</v>
      </c>
      <c r="BC82" s="18" t="s">
        <v>17</v>
      </c>
      <c r="BD82" s="18" t="s">
        <v>17</v>
      </c>
      <c r="BE82" s="18" t="s">
        <v>17</v>
      </c>
      <c r="BF82" s="18" t="s">
        <v>17</v>
      </c>
      <c r="BG82" s="18" t="s">
        <v>17</v>
      </c>
      <c r="BH82" s="18" t="s">
        <v>17</v>
      </c>
      <c r="BI82" s="18" t="s">
        <v>17</v>
      </c>
      <c r="BJ82" s="18" t="s">
        <v>17</v>
      </c>
      <c r="BK82" s="18" t="s">
        <v>17</v>
      </c>
    </row>
    <row r="83" spans="1:64" ht="27.95" customHeight="1">
      <c r="A83" s="14" t="s">
        <v>133</v>
      </c>
      <c r="B83" s="15" t="s">
        <v>134</v>
      </c>
      <c r="C83" s="15" t="s">
        <v>68</v>
      </c>
      <c r="D83" s="15"/>
      <c r="E83" s="43"/>
      <c r="F83" s="43"/>
      <c r="G83" s="17" t="str">
        <f>VLOOKUP(A83,'KPI Описание'!A:K,11,0)</f>
        <v>Оператор</v>
      </c>
      <c r="H83" s="17" t="s">
        <v>43</v>
      </c>
      <c r="I83" s="18"/>
      <c r="J83" s="19"/>
      <c r="K83" s="18" t="s">
        <v>17</v>
      </c>
      <c r="L83" s="16" t="s">
        <v>17</v>
      </c>
      <c r="M83" s="16" t="s">
        <v>17</v>
      </c>
      <c r="N83" s="16">
        <v>2</v>
      </c>
      <c r="O83" s="16" t="s">
        <v>17</v>
      </c>
      <c r="P83" s="16">
        <v>1917</v>
      </c>
      <c r="Q83" s="16">
        <v>943</v>
      </c>
      <c r="R83" s="16">
        <v>25</v>
      </c>
      <c r="S83" s="16">
        <v>1</v>
      </c>
      <c r="T83" s="16">
        <v>1625</v>
      </c>
      <c r="U83" s="26">
        <v>3</v>
      </c>
      <c r="V83" s="18" t="s">
        <v>17</v>
      </c>
      <c r="W83" s="26">
        <v>509</v>
      </c>
      <c r="X83" s="26">
        <v>894</v>
      </c>
      <c r="Y83" s="18" t="s">
        <v>17</v>
      </c>
      <c r="Z83" s="18" t="s">
        <v>17</v>
      </c>
      <c r="AA83" s="26">
        <v>934</v>
      </c>
      <c r="AB83" s="26" t="s">
        <v>17</v>
      </c>
      <c r="AC83" s="26">
        <v>4099</v>
      </c>
      <c r="AD83" s="26">
        <v>5</v>
      </c>
      <c r="AE83" s="18" t="s">
        <v>17</v>
      </c>
      <c r="AF83" s="26">
        <v>4008</v>
      </c>
      <c r="AG83" s="18" t="s">
        <v>17</v>
      </c>
      <c r="AH83" s="18" t="s">
        <v>17</v>
      </c>
      <c r="AI83" s="18" t="s">
        <v>17</v>
      </c>
      <c r="AJ83" s="18" t="s">
        <v>17</v>
      </c>
      <c r="AK83" s="26">
        <v>22</v>
      </c>
      <c r="AL83" s="26">
        <v>35</v>
      </c>
      <c r="AM83" s="16" t="s">
        <v>17</v>
      </c>
      <c r="AN83" s="26">
        <v>3</v>
      </c>
      <c r="AO83" s="26">
        <v>403</v>
      </c>
      <c r="AP83" s="26">
        <v>80</v>
      </c>
      <c r="AQ83" s="44" t="s">
        <v>17</v>
      </c>
      <c r="AR83" s="16">
        <v>3890</v>
      </c>
      <c r="AS83" s="26">
        <v>1692</v>
      </c>
      <c r="AT83" s="26">
        <v>1975</v>
      </c>
      <c r="AU83" s="26">
        <v>888</v>
      </c>
      <c r="AV83" s="26" t="s">
        <v>17</v>
      </c>
      <c r="AW83" s="26">
        <v>3</v>
      </c>
      <c r="AX83" s="18" t="s">
        <v>17</v>
      </c>
      <c r="AY83" s="18" t="s">
        <v>17</v>
      </c>
      <c r="AZ83" s="26">
        <v>0</v>
      </c>
      <c r="BA83" s="26">
        <v>2071</v>
      </c>
      <c r="BB83" s="18" t="s">
        <v>17</v>
      </c>
      <c r="BC83" s="18" t="s">
        <v>17</v>
      </c>
      <c r="BD83" s="18" t="s">
        <v>17</v>
      </c>
      <c r="BE83" s="18" t="s">
        <v>17</v>
      </c>
      <c r="BF83" s="18" t="s">
        <v>17</v>
      </c>
      <c r="BG83" s="18" t="s">
        <v>17</v>
      </c>
      <c r="BH83" s="18" t="s">
        <v>17</v>
      </c>
      <c r="BI83" s="18" t="s">
        <v>17</v>
      </c>
      <c r="BJ83" s="18" t="s">
        <v>17</v>
      </c>
      <c r="BK83" s="18" t="s">
        <v>17</v>
      </c>
    </row>
    <row r="84" spans="1:64" ht="27.95" customHeight="1">
      <c r="A84" s="82" t="s">
        <v>139</v>
      </c>
      <c r="B84" s="84" t="s">
        <v>140</v>
      </c>
      <c r="C84" s="84" t="s">
        <v>63</v>
      </c>
      <c r="D84" s="84" t="s">
        <v>13</v>
      </c>
      <c r="E84" s="86" t="s">
        <v>141</v>
      </c>
      <c r="F84" s="86" t="s">
        <v>142</v>
      </c>
      <c r="G84" s="88" t="str">
        <f>VLOOKUP(A84,'KPI Описание'!A:K,11,0)</f>
        <v>Оператор</v>
      </c>
      <c r="H84" s="88" t="s">
        <v>16</v>
      </c>
      <c r="I84" s="91">
        <f>VLOOKUP(A84,'KPI Описание'!A:P,16,0)</f>
        <v>1</v>
      </c>
      <c r="J84" s="95" t="str">
        <f>IFERROR(VLOOKUP(A84,'KPI Описание'!A:Q,17,0),0)</f>
        <v>higher</v>
      </c>
      <c r="K84" s="91">
        <v>1</v>
      </c>
      <c r="L84" s="91">
        <v>1</v>
      </c>
      <c r="M84" s="91">
        <v>1</v>
      </c>
      <c r="N84" s="91">
        <v>1</v>
      </c>
      <c r="O84" s="91">
        <v>1</v>
      </c>
      <c r="P84" s="91">
        <v>1</v>
      </c>
      <c r="Q84" s="91">
        <f>(5524-0)/5524</f>
        <v>1</v>
      </c>
      <c r="R84" s="91">
        <f>(182168-0)/182168</f>
        <v>1</v>
      </c>
      <c r="S84" s="91" t="s">
        <v>17</v>
      </c>
      <c r="T84" s="91" t="s">
        <v>17</v>
      </c>
      <c r="U84" s="91">
        <v>1</v>
      </c>
      <c r="V84" s="91">
        <f>8616/8639</f>
        <v>0.99733765482115988</v>
      </c>
      <c r="W84" s="91">
        <f>10763/10763</f>
        <v>1</v>
      </c>
      <c r="X84" s="91">
        <f>12652/12652</f>
        <v>1</v>
      </c>
      <c r="Y84" s="91">
        <f>6479/6479</f>
        <v>1</v>
      </c>
      <c r="Z84" s="91">
        <v>1</v>
      </c>
      <c r="AA84" s="91">
        <v>1</v>
      </c>
      <c r="AB84" s="91">
        <v>1</v>
      </c>
      <c r="AC84" s="91">
        <v>1</v>
      </c>
      <c r="AD84" s="91">
        <v>1</v>
      </c>
      <c r="AE84" s="91">
        <v>1</v>
      </c>
      <c r="AF84" s="91">
        <v>1</v>
      </c>
      <c r="AG84" s="91">
        <v>1</v>
      </c>
      <c r="AH84" s="91">
        <v>1</v>
      </c>
      <c r="AI84" s="91">
        <v>1</v>
      </c>
      <c r="AJ84" s="91">
        <v>1</v>
      </c>
      <c r="AK84" s="91">
        <v>1</v>
      </c>
      <c r="AL84" s="91">
        <v>1</v>
      </c>
      <c r="AM84" s="91">
        <v>1</v>
      </c>
      <c r="AN84" s="91">
        <v>1</v>
      </c>
      <c r="AO84" s="91">
        <v>1</v>
      </c>
      <c r="AP84" s="91">
        <v>1</v>
      </c>
      <c r="AQ84" s="91">
        <v>1</v>
      </c>
      <c r="AR84" s="91">
        <v>1</v>
      </c>
      <c r="AS84" s="91">
        <v>1</v>
      </c>
      <c r="AT84" s="91">
        <v>1</v>
      </c>
      <c r="AU84" s="91">
        <v>1</v>
      </c>
      <c r="AV84" s="91">
        <v>1</v>
      </c>
      <c r="AW84" s="91">
        <v>1</v>
      </c>
      <c r="AX84" s="91">
        <v>1</v>
      </c>
      <c r="AY84" s="91">
        <v>1</v>
      </c>
      <c r="AZ84" s="91">
        <v>1</v>
      </c>
      <c r="BA84" s="91">
        <v>1</v>
      </c>
      <c r="BB84" s="91" t="s">
        <v>17</v>
      </c>
      <c r="BC84" s="91" t="s">
        <v>17</v>
      </c>
      <c r="BD84" s="91" t="s">
        <v>17</v>
      </c>
      <c r="BE84" s="91" t="s">
        <v>17</v>
      </c>
      <c r="BF84" s="91" t="s">
        <v>17</v>
      </c>
      <c r="BG84" s="91" t="s">
        <v>17</v>
      </c>
      <c r="BH84" s="91" t="s">
        <v>17</v>
      </c>
      <c r="BI84" s="91" t="s">
        <v>17</v>
      </c>
      <c r="BJ84" s="91" t="s">
        <v>17</v>
      </c>
      <c r="BK84" s="91" t="s">
        <v>17</v>
      </c>
    </row>
    <row r="85" spans="1:64" s="72" customFormat="1" ht="27.95" customHeight="1">
      <c r="A85" s="81" t="s">
        <v>139</v>
      </c>
      <c r="B85" s="83" t="s">
        <v>143</v>
      </c>
      <c r="C85" s="83" t="s">
        <v>68</v>
      </c>
      <c r="D85" s="83"/>
      <c r="E85" s="85"/>
      <c r="F85" s="85"/>
      <c r="G85" s="87" t="str">
        <f>VLOOKUP(A85,'KPI Описание'!A:K,11,0)</f>
        <v>Оператор</v>
      </c>
      <c r="H85" s="87" t="s">
        <v>33</v>
      </c>
      <c r="I85" s="89"/>
      <c r="J85" s="94"/>
      <c r="K85" s="93">
        <v>0</v>
      </c>
      <c r="L85" s="93">
        <v>0</v>
      </c>
      <c r="M85" s="93">
        <v>0</v>
      </c>
      <c r="N85" s="93">
        <v>0</v>
      </c>
      <c r="O85" s="93">
        <v>0</v>
      </c>
      <c r="P85" s="93">
        <v>0</v>
      </c>
      <c r="Q85" s="93">
        <v>0</v>
      </c>
      <c r="R85" s="93">
        <v>0</v>
      </c>
      <c r="S85" s="93" t="s">
        <v>17</v>
      </c>
      <c r="T85" s="93" t="s">
        <v>17</v>
      </c>
      <c r="U85" s="93" t="s">
        <v>17</v>
      </c>
      <c r="V85" s="93" t="s">
        <v>17</v>
      </c>
      <c r="W85" s="93" t="s">
        <v>17</v>
      </c>
      <c r="X85" s="93" t="s">
        <v>17</v>
      </c>
      <c r="Y85" s="93" t="s">
        <v>17</v>
      </c>
      <c r="Z85" s="89" t="s">
        <v>17</v>
      </c>
      <c r="AA85" s="89" t="s">
        <v>17</v>
      </c>
      <c r="AB85" s="89" t="s">
        <v>17</v>
      </c>
      <c r="AC85" s="89" t="s">
        <v>17</v>
      </c>
      <c r="AD85" s="89" t="s">
        <v>17</v>
      </c>
      <c r="AE85" s="89" t="s">
        <v>17</v>
      </c>
      <c r="AF85" s="89" t="s">
        <v>17</v>
      </c>
      <c r="AG85" s="89" t="s">
        <v>17</v>
      </c>
      <c r="AH85" s="89" t="s">
        <v>17</v>
      </c>
      <c r="AI85" s="89" t="s">
        <v>17</v>
      </c>
      <c r="AJ85" s="89"/>
      <c r="AK85" s="89">
        <v>1</v>
      </c>
      <c r="AL85" s="89">
        <v>1</v>
      </c>
      <c r="AM85" s="89">
        <v>1</v>
      </c>
      <c r="AN85" s="89">
        <v>1</v>
      </c>
      <c r="AO85" s="89">
        <f>3939/3939</f>
        <v>1</v>
      </c>
      <c r="AP85" s="89">
        <v>1</v>
      </c>
      <c r="AQ85" s="89">
        <v>1</v>
      </c>
      <c r="AR85" s="89">
        <v>1</v>
      </c>
      <c r="AS85" s="89">
        <v>1</v>
      </c>
      <c r="AT85" s="89">
        <v>1</v>
      </c>
      <c r="AU85" s="89">
        <v>1</v>
      </c>
      <c r="AV85" s="89">
        <v>1</v>
      </c>
      <c r="AW85" s="89">
        <v>1</v>
      </c>
      <c r="AX85" s="89">
        <v>1</v>
      </c>
      <c r="AY85" s="89">
        <v>1</v>
      </c>
      <c r="AZ85" s="89">
        <v>1</v>
      </c>
      <c r="BA85" s="89">
        <v>1</v>
      </c>
      <c r="BB85" s="89" t="s">
        <v>17</v>
      </c>
      <c r="BC85" s="89" t="s">
        <v>17</v>
      </c>
      <c r="BD85" s="89" t="s">
        <v>17</v>
      </c>
      <c r="BE85" s="89" t="s">
        <v>17</v>
      </c>
      <c r="BF85" s="89" t="s">
        <v>17</v>
      </c>
      <c r="BG85" s="89" t="s">
        <v>17</v>
      </c>
      <c r="BH85" s="89" t="s">
        <v>17</v>
      </c>
      <c r="BI85" s="89" t="s">
        <v>17</v>
      </c>
      <c r="BJ85" s="89" t="s">
        <v>17</v>
      </c>
      <c r="BK85" s="89" t="s">
        <v>17</v>
      </c>
      <c r="BL85" s="74"/>
    </row>
    <row r="86" spans="1:64" ht="27.95" customHeight="1">
      <c r="A86" s="14" t="s">
        <v>139</v>
      </c>
      <c r="B86" s="15" t="s">
        <v>143</v>
      </c>
      <c r="C86" s="15" t="s">
        <v>68</v>
      </c>
      <c r="D86" s="15"/>
      <c r="E86" s="43"/>
      <c r="F86" s="43"/>
      <c r="G86" s="17" t="str">
        <f>VLOOKUP(A86,'KPI Описание'!A:K,11,0)</f>
        <v>Оператор</v>
      </c>
      <c r="H86" s="17" t="s">
        <v>36</v>
      </c>
      <c r="I86" s="18"/>
      <c r="J86" s="19"/>
      <c r="K86" s="26">
        <v>0</v>
      </c>
      <c r="L86" s="26">
        <v>0</v>
      </c>
      <c r="M86" s="26">
        <v>0</v>
      </c>
      <c r="N86" s="26">
        <v>0</v>
      </c>
      <c r="O86" s="26">
        <v>0</v>
      </c>
      <c r="P86" s="26">
        <v>0</v>
      </c>
      <c r="Q86" s="26">
        <v>0</v>
      </c>
      <c r="R86" s="26">
        <v>0</v>
      </c>
      <c r="S86" s="26" t="s">
        <v>17</v>
      </c>
      <c r="T86" s="26" t="s">
        <v>17</v>
      </c>
      <c r="U86" s="26" t="s">
        <v>17</v>
      </c>
      <c r="V86" s="26">
        <v>13</v>
      </c>
      <c r="W86" s="26" t="s">
        <v>17</v>
      </c>
      <c r="X86" s="26" t="s">
        <v>17</v>
      </c>
      <c r="Y86" s="26" t="s">
        <v>17</v>
      </c>
      <c r="Z86" s="18" t="s">
        <v>17</v>
      </c>
      <c r="AA86" s="18" t="s">
        <v>17</v>
      </c>
      <c r="AB86" s="18" t="s">
        <v>17</v>
      </c>
      <c r="AC86" s="18" t="s">
        <v>17</v>
      </c>
      <c r="AD86" s="18" t="s">
        <v>17</v>
      </c>
      <c r="AE86" s="18" t="s">
        <v>17</v>
      </c>
      <c r="AF86" s="18" t="s">
        <v>17</v>
      </c>
      <c r="AG86" s="18" t="s">
        <v>17</v>
      </c>
      <c r="AH86" s="18" t="s">
        <v>17</v>
      </c>
      <c r="AI86" s="18" t="s">
        <v>17</v>
      </c>
      <c r="AJ86" s="18"/>
      <c r="AK86" s="18">
        <v>1</v>
      </c>
      <c r="AL86" s="18">
        <v>1</v>
      </c>
      <c r="AM86" s="18">
        <v>1</v>
      </c>
      <c r="AN86" s="18">
        <v>1</v>
      </c>
      <c r="AO86" s="18">
        <f>211/211</f>
        <v>1</v>
      </c>
      <c r="AP86" s="18">
        <v>1</v>
      </c>
      <c r="AQ86" s="18">
        <v>1</v>
      </c>
      <c r="AR86" s="18">
        <v>1</v>
      </c>
      <c r="AS86" s="18">
        <v>1</v>
      </c>
      <c r="AT86" s="18">
        <v>1</v>
      </c>
      <c r="AU86" s="18">
        <v>1</v>
      </c>
      <c r="AV86" s="18">
        <v>1</v>
      </c>
      <c r="AW86" s="18">
        <v>1</v>
      </c>
      <c r="AX86" s="18">
        <v>1</v>
      </c>
      <c r="AY86" s="18">
        <v>1</v>
      </c>
      <c r="AZ86" s="18">
        <v>1</v>
      </c>
      <c r="BA86" s="18">
        <v>1</v>
      </c>
      <c r="BB86" s="18" t="s">
        <v>17</v>
      </c>
      <c r="BC86" s="18" t="s">
        <v>17</v>
      </c>
      <c r="BD86" s="18" t="s">
        <v>17</v>
      </c>
      <c r="BE86" s="18" t="s">
        <v>17</v>
      </c>
      <c r="BF86" s="18" t="s">
        <v>17</v>
      </c>
      <c r="BG86" s="18" t="s">
        <v>17</v>
      </c>
      <c r="BH86" s="18" t="s">
        <v>17</v>
      </c>
      <c r="BI86" s="18" t="s">
        <v>17</v>
      </c>
      <c r="BJ86" s="18" t="s">
        <v>17</v>
      </c>
      <c r="BK86" s="18" t="s">
        <v>17</v>
      </c>
    </row>
    <row r="87" spans="1:64" ht="27.95" customHeight="1">
      <c r="A87" s="14" t="s">
        <v>139</v>
      </c>
      <c r="B87" s="15" t="s">
        <v>143</v>
      </c>
      <c r="C87" s="15" t="s">
        <v>68</v>
      </c>
      <c r="D87" s="15"/>
      <c r="E87" s="43"/>
      <c r="F87" s="43"/>
      <c r="G87" s="17" t="str">
        <f>VLOOKUP(A87,'KPI Описание'!A:K,11,0)</f>
        <v>Оператор</v>
      </c>
      <c r="H87" s="17" t="s">
        <v>37</v>
      </c>
      <c r="I87" s="18"/>
      <c r="J87" s="19"/>
      <c r="K87" s="26">
        <v>0</v>
      </c>
      <c r="L87" s="26">
        <v>0</v>
      </c>
      <c r="M87" s="26">
        <v>0</v>
      </c>
      <c r="N87" s="26">
        <v>0</v>
      </c>
      <c r="O87" s="26">
        <v>0</v>
      </c>
      <c r="P87" s="26">
        <v>0</v>
      </c>
      <c r="Q87" s="26">
        <v>0</v>
      </c>
      <c r="R87" s="26">
        <v>0</v>
      </c>
      <c r="S87" s="26" t="s">
        <v>17</v>
      </c>
      <c r="T87" s="26" t="s">
        <v>17</v>
      </c>
      <c r="U87" s="26" t="s">
        <v>17</v>
      </c>
      <c r="V87" s="26">
        <v>5</v>
      </c>
      <c r="W87" s="26" t="s">
        <v>17</v>
      </c>
      <c r="X87" s="26" t="s">
        <v>17</v>
      </c>
      <c r="Y87" s="26" t="s">
        <v>17</v>
      </c>
      <c r="Z87" s="18" t="s">
        <v>17</v>
      </c>
      <c r="AA87" s="18" t="s">
        <v>17</v>
      </c>
      <c r="AB87" s="18" t="s">
        <v>17</v>
      </c>
      <c r="AC87" s="18" t="s">
        <v>17</v>
      </c>
      <c r="AD87" s="18" t="s">
        <v>17</v>
      </c>
      <c r="AE87" s="18" t="s">
        <v>17</v>
      </c>
      <c r="AF87" s="18" t="s">
        <v>17</v>
      </c>
      <c r="AG87" s="18" t="s">
        <v>17</v>
      </c>
      <c r="AH87" s="18" t="s">
        <v>17</v>
      </c>
      <c r="AI87" s="18" t="s">
        <v>17</v>
      </c>
      <c r="AJ87" s="18"/>
      <c r="AK87" s="18">
        <v>1</v>
      </c>
      <c r="AL87" s="18">
        <v>1</v>
      </c>
      <c r="AM87" s="18">
        <v>1</v>
      </c>
      <c r="AN87" s="18">
        <v>1</v>
      </c>
      <c r="AO87" s="18">
        <f>810/810</f>
        <v>1</v>
      </c>
      <c r="AP87" s="18">
        <v>1</v>
      </c>
      <c r="AQ87" s="18">
        <v>1</v>
      </c>
      <c r="AR87" s="18">
        <v>1</v>
      </c>
      <c r="AS87" s="18">
        <v>1</v>
      </c>
      <c r="AT87" s="18">
        <v>1</v>
      </c>
      <c r="AU87" s="18">
        <v>1</v>
      </c>
      <c r="AV87" s="18">
        <v>1</v>
      </c>
      <c r="AW87" s="18">
        <v>1</v>
      </c>
      <c r="AX87" s="18">
        <v>1</v>
      </c>
      <c r="AY87" s="18">
        <v>1</v>
      </c>
      <c r="AZ87" s="18">
        <v>1</v>
      </c>
      <c r="BA87" s="18">
        <v>1</v>
      </c>
      <c r="BB87" s="18" t="s">
        <v>17</v>
      </c>
      <c r="BC87" s="18" t="s">
        <v>17</v>
      </c>
      <c r="BD87" s="18" t="s">
        <v>17</v>
      </c>
      <c r="BE87" s="18" t="s">
        <v>17</v>
      </c>
      <c r="BF87" s="18" t="s">
        <v>17</v>
      </c>
      <c r="BG87" s="18" t="s">
        <v>17</v>
      </c>
      <c r="BH87" s="18" t="s">
        <v>17</v>
      </c>
      <c r="BI87" s="18" t="s">
        <v>17</v>
      </c>
      <c r="BJ87" s="18" t="s">
        <v>17</v>
      </c>
      <c r="BK87" s="18" t="s">
        <v>17</v>
      </c>
    </row>
    <row r="88" spans="1:64" ht="27.95" customHeight="1">
      <c r="A88" s="14" t="s">
        <v>139</v>
      </c>
      <c r="B88" s="15" t="s">
        <v>143</v>
      </c>
      <c r="C88" s="15" t="s">
        <v>68</v>
      </c>
      <c r="D88" s="15"/>
      <c r="E88" s="43"/>
      <c r="F88" s="43"/>
      <c r="G88" s="17" t="str">
        <f>VLOOKUP(A88,'KPI Описание'!A:K,11,0)</f>
        <v>Оператор</v>
      </c>
      <c r="H88" s="17" t="s">
        <v>40</v>
      </c>
      <c r="I88" s="18"/>
      <c r="J88" s="19"/>
      <c r="K88" s="26">
        <v>0</v>
      </c>
      <c r="L88" s="26">
        <v>0</v>
      </c>
      <c r="M88" s="26">
        <v>0</v>
      </c>
      <c r="N88" s="26">
        <v>0</v>
      </c>
      <c r="O88" s="26">
        <v>0</v>
      </c>
      <c r="P88" s="26">
        <v>0</v>
      </c>
      <c r="Q88" s="26">
        <v>0</v>
      </c>
      <c r="R88" s="26">
        <v>0</v>
      </c>
      <c r="S88" s="26" t="s">
        <v>17</v>
      </c>
      <c r="T88" s="26" t="s">
        <v>17</v>
      </c>
      <c r="U88" s="26" t="s">
        <v>17</v>
      </c>
      <c r="V88" s="26" t="s">
        <v>17</v>
      </c>
      <c r="W88" s="26" t="s">
        <v>17</v>
      </c>
      <c r="X88" s="26" t="s">
        <v>17</v>
      </c>
      <c r="Y88" s="26" t="s">
        <v>17</v>
      </c>
      <c r="Z88" s="18" t="s">
        <v>17</v>
      </c>
      <c r="AA88" s="18" t="s">
        <v>17</v>
      </c>
      <c r="AB88" s="18" t="s">
        <v>17</v>
      </c>
      <c r="AC88" s="18" t="s">
        <v>17</v>
      </c>
      <c r="AD88" s="18" t="s">
        <v>17</v>
      </c>
      <c r="AE88" s="18" t="s">
        <v>17</v>
      </c>
      <c r="AF88" s="18" t="s">
        <v>17</v>
      </c>
      <c r="AG88" s="18" t="s">
        <v>17</v>
      </c>
      <c r="AH88" s="18" t="s">
        <v>17</v>
      </c>
      <c r="AI88" s="18" t="s">
        <v>17</v>
      </c>
      <c r="AJ88" s="18"/>
      <c r="AK88" s="18">
        <v>1</v>
      </c>
      <c r="AL88" s="18">
        <v>1</v>
      </c>
      <c r="AM88" s="18">
        <v>1</v>
      </c>
      <c r="AN88" s="18">
        <v>1</v>
      </c>
      <c r="AO88" s="18">
        <f>1372/1372</f>
        <v>1</v>
      </c>
      <c r="AP88" s="18">
        <v>1</v>
      </c>
      <c r="AQ88" s="18">
        <v>1</v>
      </c>
      <c r="AR88" s="18">
        <v>1</v>
      </c>
      <c r="AS88" s="18">
        <v>1</v>
      </c>
      <c r="AT88" s="18">
        <v>1</v>
      </c>
      <c r="AU88" s="18">
        <v>1</v>
      </c>
      <c r="AV88" s="18">
        <v>1</v>
      </c>
      <c r="AW88" s="18">
        <v>1</v>
      </c>
      <c r="AX88" s="18">
        <v>1</v>
      </c>
      <c r="AY88" s="18">
        <v>1</v>
      </c>
      <c r="AZ88" s="18">
        <v>1</v>
      </c>
      <c r="BA88" s="18">
        <v>1</v>
      </c>
      <c r="BB88" s="18" t="s">
        <v>17</v>
      </c>
      <c r="BC88" s="18" t="s">
        <v>17</v>
      </c>
      <c r="BD88" s="18" t="s">
        <v>17</v>
      </c>
      <c r="BE88" s="18" t="s">
        <v>17</v>
      </c>
      <c r="BF88" s="18" t="s">
        <v>17</v>
      </c>
      <c r="BG88" s="18" t="s">
        <v>17</v>
      </c>
      <c r="BH88" s="18" t="s">
        <v>17</v>
      </c>
      <c r="BI88" s="18" t="s">
        <v>17</v>
      </c>
      <c r="BJ88" s="18" t="s">
        <v>17</v>
      </c>
      <c r="BK88" s="18" t="s">
        <v>17</v>
      </c>
    </row>
    <row r="89" spans="1:64" ht="27.95" customHeight="1">
      <c r="A89" s="14" t="s">
        <v>139</v>
      </c>
      <c r="B89" s="15" t="s">
        <v>143</v>
      </c>
      <c r="C89" s="15" t="s">
        <v>68</v>
      </c>
      <c r="D89" s="15"/>
      <c r="E89" s="43"/>
      <c r="F89" s="43"/>
      <c r="G89" s="17" t="str">
        <f>VLOOKUP(A89,'KPI Описание'!A:K,11,0)</f>
        <v>Оператор</v>
      </c>
      <c r="H89" s="17" t="s">
        <v>43</v>
      </c>
      <c r="I89" s="18"/>
      <c r="J89" s="19"/>
      <c r="K89" s="26">
        <v>0</v>
      </c>
      <c r="L89" s="26">
        <v>0</v>
      </c>
      <c r="M89" s="26">
        <v>0</v>
      </c>
      <c r="N89" s="26">
        <v>0</v>
      </c>
      <c r="O89" s="26">
        <v>0</v>
      </c>
      <c r="P89" s="26">
        <v>0</v>
      </c>
      <c r="Q89" s="26">
        <v>0</v>
      </c>
      <c r="R89" s="26">
        <v>0</v>
      </c>
      <c r="S89" s="26" t="s">
        <v>17</v>
      </c>
      <c r="T89" s="26" t="s">
        <v>17</v>
      </c>
      <c r="U89" s="26" t="s">
        <v>17</v>
      </c>
      <c r="V89" s="26" t="s">
        <v>17</v>
      </c>
      <c r="W89" s="26" t="s">
        <v>17</v>
      </c>
      <c r="X89" s="26" t="s">
        <v>17</v>
      </c>
      <c r="Y89" s="26" t="s">
        <v>17</v>
      </c>
      <c r="Z89" s="18" t="s">
        <v>17</v>
      </c>
      <c r="AA89" s="18" t="s">
        <v>17</v>
      </c>
      <c r="AB89" s="18" t="s">
        <v>17</v>
      </c>
      <c r="AC89" s="18" t="s">
        <v>17</v>
      </c>
      <c r="AD89" s="18" t="s">
        <v>17</v>
      </c>
      <c r="AE89" s="18" t="s">
        <v>17</v>
      </c>
      <c r="AF89" s="18" t="s">
        <v>17</v>
      </c>
      <c r="AG89" s="18" t="s">
        <v>17</v>
      </c>
      <c r="AH89" s="18" t="s">
        <v>17</v>
      </c>
      <c r="AI89" s="18" t="s">
        <v>17</v>
      </c>
      <c r="AJ89" s="18"/>
      <c r="AK89" s="18">
        <v>1</v>
      </c>
      <c r="AL89" s="18">
        <v>1</v>
      </c>
      <c r="AM89" s="18">
        <v>1</v>
      </c>
      <c r="AN89" s="18">
        <v>1</v>
      </c>
      <c r="AO89" s="18">
        <f>1104/1104</f>
        <v>1</v>
      </c>
      <c r="AP89" s="18">
        <v>1</v>
      </c>
      <c r="AQ89" s="18">
        <v>1</v>
      </c>
      <c r="AR89" s="18">
        <v>1</v>
      </c>
      <c r="AS89" s="18">
        <v>1</v>
      </c>
      <c r="AT89" s="18">
        <v>1</v>
      </c>
      <c r="AU89" s="18">
        <v>1</v>
      </c>
      <c r="AV89" s="18">
        <v>1</v>
      </c>
      <c r="AW89" s="18">
        <v>1</v>
      </c>
      <c r="AX89" s="18">
        <v>1</v>
      </c>
      <c r="AY89" s="18">
        <v>1</v>
      </c>
      <c r="AZ89" s="18">
        <v>1</v>
      </c>
      <c r="BA89" s="18">
        <v>1</v>
      </c>
      <c r="BB89" s="18" t="s">
        <v>17</v>
      </c>
      <c r="BC89" s="18" t="s">
        <v>17</v>
      </c>
      <c r="BD89" s="18" t="s">
        <v>17</v>
      </c>
      <c r="BE89" s="18" t="s">
        <v>17</v>
      </c>
      <c r="BF89" s="18" t="s">
        <v>17</v>
      </c>
      <c r="BG89" s="18" t="s">
        <v>17</v>
      </c>
      <c r="BH89" s="18" t="s">
        <v>17</v>
      </c>
      <c r="BI89" s="18" t="s">
        <v>17</v>
      </c>
      <c r="BJ89" s="18" t="s">
        <v>17</v>
      </c>
      <c r="BK89" s="18" t="s">
        <v>17</v>
      </c>
    </row>
    <row r="90" spans="1:64" ht="27.95" hidden="1" customHeight="1">
      <c r="A90" s="82" t="s">
        <v>144</v>
      </c>
      <c r="B90" s="84" t="s">
        <v>145</v>
      </c>
      <c r="C90" s="84" t="s">
        <v>58</v>
      </c>
      <c r="D90" s="84" t="s">
        <v>13</v>
      </c>
      <c r="E90" s="86" t="s">
        <v>146</v>
      </c>
      <c r="F90" s="86" t="s">
        <v>147</v>
      </c>
      <c r="G90" s="88" t="str">
        <f>VLOOKUP(A90,'KPI Описание'!A:K,11,0)</f>
        <v>Ревизор</v>
      </c>
      <c r="H90" s="88" t="s">
        <v>16</v>
      </c>
      <c r="I90" s="91">
        <f>VLOOKUP(A90,'KPI Описание'!A:P,16,0)</f>
        <v>0.98</v>
      </c>
      <c r="J90" s="95" t="str">
        <f>IFERROR(VLOOKUP(A90,'KPI Описание'!A:Q,17,0),0)</f>
        <v>higher</v>
      </c>
      <c r="K90" s="91" t="s">
        <v>17</v>
      </c>
      <c r="L90" s="91" t="s">
        <v>17</v>
      </c>
      <c r="M90" s="91">
        <v>0.98647926609492587</v>
      </c>
      <c r="N90" s="91">
        <f>1-5692/316530</f>
        <v>0.98201750229046225</v>
      </c>
      <c r="O90" s="91">
        <f>1-5716/315278</f>
        <v>0.98186996872601329</v>
      </c>
      <c r="P90" s="91">
        <f>1-6219/282054</f>
        <v>0.97795103065370459</v>
      </c>
      <c r="Q90" s="91">
        <f>1-13699/320577</f>
        <v>0.95726767672041346</v>
      </c>
      <c r="R90" s="91">
        <f>1-7631/329177</f>
        <v>0.97681794293039914</v>
      </c>
      <c r="S90" s="91" t="s">
        <v>148</v>
      </c>
      <c r="T90" s="91">
        <f>1-8155/329188</f>
        <v>0.9752269220020171</v>
      </c>
      <c r="U90" s="91">
        <f>1-3180/328760</f>
        <v>0.99032729042462586</v>
      </c>
      <c r="V90" s="91">
        <f>1-5228/349892</f>
        <v>0.98505824654464802</v>
      </c>
      <c r="W90" s="91">
        <f>1-4759/335854</f>
        <v>0.9858301523876446</v>
      </c>
      <c r="X90" s="91">
        <f>1-3261/287812</f>
        <v>0.98866968715689407</v>
      </c>
      <c r="Y90" s="91">
        <f>1-3896/307529</f>
        <v>0.98733127607477666</v>
      </c>
      <c r="Z90" s="91">
        <f>1-3098/381206</f>
        <v>0.99187316044343476</v>
      </c>
      <c r="AA90" s="91">
        <f>1-2560/383527</f>
        <v>0.99332511140024038</v>
      </c>
      <c r="AB90" s="91">
        <f>1-AB97/401344</f>
        <v>0.99852744777547442</v>
      </c>
      <c r="AC90" s="91">
        <f>1-8729/378975</f>
        <v>0.97696681839171451</v>
      </c>
      <c r="AD90" s="91">
        <f>1-4747/394349</f>
        <v>0.98796243936208794</v>
      </c>
      <c r="AE90" s="91">
        <f>1-4707/392672</f>
        <v>0.98801289625947353</v>
      </c>
      <c r="AF90" s="91">
        <f>1-4267/311227</f>
        <v>0.98628974992529572</v>
      </c>
      <c r="AG90" s="91">
        <f>1-4267/311227</f>
        <v>0.98628974992529572</v>
      </c>
      <c r="AH90" s="91">
        <f>1-4267/311227</f>
        <v>0.98628974992529572</v>
      </c>
      <c r="AI90" s="91">
        <f>1-2342/311227</f>
        <v>0.99247494593978025</v>
      </c>
      <c r="AJ90" s="91">
        <f>1-2342/311227</f>
        <v>0.99247494593978025</v>
      </c>
      <c r="AK90" s="91">
        <v>1</v>
      </c>
      <c r="AL90" s="91">
        <f>1-4959/283896</f>
        <v>0.98253233578493537</v>
      </c>
      <c r="AM90" s="91">
        <f>1-1319/317945</f>
        <v>0.99585148374718901</v>
      </c>
      <c r="AN90" s="91">
        <f>1-1238/329322</f>
        <v>0.99624076132174588</v>
      </c>
      <c r="AO90" s="91">
        <f>1-964/315304</f>
        <v>0.99694263314134934</v>
      </c>
      <c r="AP90" s="91">
        <f>1-964/315304</f>
        <v>0.99694263314134934</v>
      </c>
      <c r="AQ90" s="91">
        <f>1-964/315304</f>
        <v>0.99694263314134934</v>
      </c>
      <c r="AR90" s="91">
        <f>1-1271/315398</f>
        <v>0.99597017102201024</v>
      </c>
      <c r="AS90" s="91">
        <f>1-1219/322359</f>
        <v>0.99621850173254045</v>
      </c>
      <c r="AT90" s="91">
        <f>1-291/315962</f>
        <v>0.99907900317126741</v>
      </c>
      <c r="AU90" s="91">
        <f>1-297/308456</f>
        <v>0.99903713981896936</v>
      </c>
      <c r="AV90" s="91">
        <f>1-288/288901</f>
        <v>0.9990031187154077</v>
      </c>
      <c r="AW90" s="91">
        <f>1-413/279282</f>
        <v>0.9985212079546838</v>
      </c>
      <c r="AX90" s="91">
        <f>1-273/263686</f>
        <v>0.99896467768482211</v>
      </c>
      <c r="AY90" s="91">
        <f>1-257/295844</f>
        <v>0.99913129892781327</v>
      </c>
      <c r="AZ90" s="91">
        <f>1-261/297608</f>
        <v>0.99912300744603644</v>
      </c>
      <c r="BA90" s="91">
        <f>1-0/262908</f>
        <v>1</v>
      </c>
      <c r="BB90" s="91" t="s">
        <v>17</v>
      </c>
      <c r="BC90" s="91" t="s">
        <v>17</v>
      </c>
      <c r="BD90" s="91" t="s">
        <v>17</v>
      </c>
      <c r="BE90" s="91" t="s">
        <v>17</v>
      </c>
      <c r="BF90" s="91" t="s">
        <v>17</v>
      </c>
      <c r="BG90" s="91" t="s">
        <v>17</v>
      </c>
      <c r="BH90" s="91" t="s">
        <v>17</v>
      </c>
      <c r="BI90" s="91" t="s">
        <v>17</v>
      </c>
      <c r="BJ90" s="91" t="s">
        <v>17</v>
      </c>
      <c r="BK90" s="91" t="s">
        <v>17</v>
      </c>
    </row>
    <row r="91" spans="1:64" s="72" customFormat="1" ht="27.95" hidden="1" customHeight="1">
      <c r="A91" s="81" t="s">
        <v>144</v>
      </c>
      <c r="B91" s="83" t="s">
        <v>145</v>
      </c>
      <c r="C91" s="83" t="s">
        <v>58</v>
      </c>
      <c r="D91" s="83"/>
      <c r="E91" s="85"/>
      <c r="F91" s="85"/>
      <c r="G91" s="87" t="str">
        <f>VLOOKUP(A91,'KPI Описание'!A:K,11,0)</f>
        <v>Ревизор</v>
      </c>
      <c r="H91" s="87" t="s">
        <v>33</v>
      </c>
      <c r="I91" s="89"/>
      <c r="J91" s="94"/>
      <c r="K91" s="89" t="s">
        <v>17</v>
      </c>
      <c r="L91" s="89" t="s">
        <v>17</v>
      </c>
      <c r="M91" s="89">
        <v>0.98344863594830967</v>
      </c>
      <c r="N91" s="89">
        <f>1-997/37677</f>
        <v>0.9735382328741673</v>
      </c>
      <c r="O91" s="89">
        <f>1-866/33106</f>
        <v>0.97384159971002238</v>
      </c>
      <c r="P91" s="89">
        <f>1-1909/33542</f>
        <v>0.94308627988790172</v>
      </c>
      <c r="Q91" s="89">
        <f>1-2123/50528</f>
        <v>0.9579836922102597</v>
      </c>
      <c r="R91" s="89">
        <f>1-926/55745</f>
        <v>0.98338864472149967</v>
      </c>
      <c r="S91" s="89">
        <f>1-6039/57152</f>
        <v>0.89433440649496077</v>
      </c>
      <c r="T91" s="89">
        <f>1-1219/59363</f>
        <v>0.9794653235180163</v>
      </c>
      <c r="U91" s="89">
        <f>1-696/57268</f>
        <v>0.98784661591115452</v>
      </c>
      <c r="V91" s="89">
        <f>1-1040/59540</f>
        <v>0.98253275109170302</v>
      </c>
      <c r="W91" s="89">
        <f>1-1123/55197</f>
        <v>0.97965469137815464</v>
      </c>
      <c r="X91" s="89">
        <f>1-929/50985</f>
        <v>0.98177895459448861</v>
      </c>
      <c r="Y91" s="89">
        <f>1-889/50478</f>
        <v>0.98238836720947742</v>
      </c>
      <c r="Z91" s="89">
        <f>1-695/66345</f>
        <v>0.98952445549777679</v>
      </c>
      <c r="AA91" s="89">
        <f>1-798/66109</f>
        <v>0.98792902630504165</v>
      </c>
      <c r="AB91" s="89">
        <f>1-1253/63727</f>
        <v>0.98033800429959039</v>
      </c>
      <c r="AC91" s="89">
        <f>1-4985/62475</f>
        <v>0.92020808323329328</v>
      </c>
      <c r="AD91" s="89">
        <f>1-1356/61354</f>
        <v>0.97789875150764416</v>
      </c>
      <c r="AE91" s="89">
        <f>1-1378/58504</f>
        <v>0.97644605497060033</v>
      </c>
      <c r="AF91" s="89">
        <f>1-911/56125</f>
        <v>0.98376837416481067</v>
      </c>
      <c r="AG91" s="89">
        <f>1-911/56125</f>
        <v>0.98376837416481067</v>
      </c>
      <c r="AH91" s="89">
        <f>1-911/56125</f>
        <v>0.98376837416481067</v>
      </c>
      <c r="AI91" s="89">
        <f>1-541/57854</f>
        <v>0.99064887475369034</v>
      </c>
      <c r="AJ91" s="89">
        <f>1-541/57854</f>
        <v>0.99064887475369034</v>
      </c>
      <c r="AK91" s="89">
        <v>1</v>
      </c>
      <c r="AL91" s="89">
        <f>1-783/45503</f>
        <v>0.98279234336197618</v>
      </c>
      <c r="AM91" s="89">
        <f>1-361/52114</f>
        <v>0.99307287868902794</v>
      </c>
      <c r="AN91" s="89">
        <f>1-259/58456</f>
        <v>0.99556931709319829</v>
      </c>
      <c r="AO91" s="89">
        <f>1-332/60930</f>
        <v>0.99455112424093217</v>
      </c>
      <c r="AP91" s="89">
        <f>1-332/60930</f>
        <v>0.99455112424093217</v>
      </c>
      <c r="AQ91" s="89">
        <f>1-332/60930</f>
        <v>0.99455112424093217</v>
      </c>
      <c r="AR91" s="89">
        <f>1-282/60084</f>
        <v>0.99530657080087881</v>
      </c>
      <c r="AS91" s="89">
        <f>1-211/60550</f>
        <v>0.99651527663088357</v>
      </c>
      <c r="AT91" s="89">
        <f>1-113/60477</f>
        <v>0.99813152107412739</v>
      </c>
      <c r="AU91" s="89">
        <f>1-168/61688</f>
        <v>0.99727661781870058</v>
      </c>
      <c r="AV91" s="89">
        <f>1-113/62479</f>
        <v>0.99819139230781539</v>
      </c>
      <c r="AW91" s="89">
        <f>1-79/64378</f>
        <v>0.99877287272049453</v>
      </c>
      <c r="AX91" s="89">
        <f>1-68/64115</f>
        <v>0.9989394057552835</v>
      </c>
      <c r="AY91" s="89">
        <f>1-76/19769</f>
        <v>0.99615559714704838</v>
      </c>
      <c r="AZ91" s="89">
        <f>1-70/68519</f>
        <v>0.99897838555729068</v>
      </c>
      <c r="BA91" s="89">
        <f>1-0/72819</f>
        <v>1</v>
      </c>
      <c r="BB91" s="89" t="s">
        <v>17</v>
      </c>
      <c r="BC91" s="89" t="s">
        <v>17</v>
      </c>
      <c r="BD91" s="89" t="s">
        <v>17</v>
      </c>
      <c r="BE91" s="89" t="s">
        <v>17</v>
      </c>
      <c r="BF91" s="89" t="s">
        <v>17</v>
      </c>
      <c r="BG91" s="89" t="s">
        <v>17</v>
      </c>
      <c r="BH91" s="89" t="s">
        <v>17</v>
      </c>
      <c r="BI91" s="89" t="s">
        <v>17</v>
      </c>
      <c r="BJ91" s="89" t="s">
        <v>17</v>
      </c>
      <c r="BK91" s="89" t="s">
        <v>17</v>
      </c>
    </row>
    <row r="92" spans="1:64" ht="27.95" hidden="1" customHeight="1">
      <c r="A92" s="14" t="s">
        <v>144</v>
      </c>
      <c r="B92" s="15" t="s">
        <v>145</v>
      </c>
      <c r="C92" s="15" t="s">
        <v>58</v>
      </c>
      <c r="D92" s="15"/>
      <c r="E92" s="43"/>
      <c r="F92" s="43"/>
      <c r="G92" s="17" t="str">
        <f>VLOOKUP(A92,'KPI Описание'!A:K,11,0)</f>
        <v>Ревизор</v>
      </c>
      <c r="H92" s="17" t="s">
        <v>36</v>
      </c>
      <c r="I92" s="18"/>
      <c r="J92" s="19"/>
      <c r="K92" s="18" t="s">
        <v>17</v>
      </c>
      <c r="L92" s="18" t="s">
        <v>17</v>
      </c>
      <c r="M92" s="18">
        <v>0.93626373626373627</v>
      </c>
      <c r="N92" s="18">
        <f>1-140/910</f>
        <v>0.84615384615384615</v>
      </c>
      <c r="O92" s="18">
        <f>1-140/910</f>
        <v>0.84615384615384615</v>
      </c>
      <c r="P92" s="18">
        <f>1-0/1217</f>
        <v>1</v>
      </c>
      <c r="Q92" s="18">
        <f>1-141/944</f>
        <v>0.85063559322033899</v>
      </c>
      <c r="R92" s="18">
        <f>1-141/949</f>
        <v>0.85142255005268708</v>
      </c>
      <c r="S92" s="18">
        <f>1-141/949</f>
        <v>0.85142255005268708</v>
      </c>
      <c r="T92" s="18">
        <f>1-141/955</f>
        <v>0.85235602094240837</v>
      </c>
      <c r="U92" s="18">
        <f>1-141/1107</f>
        <v>0.87262872628726285</v>
      </c>
      <c r="V92" s="18">
        <f>1-141/955</f>
        <v>0.85235602094240837</v>
      </c>
      <c r="W92" s="18">
        <f>1-141/955</f>
        <v>0.85235602094240837</v>
      </c>
      <c r="X92" s="18">
        <f>1-140/1102</f>
        <v>0.87295825771324864</v>
      </c>
      <c r="Y92" s="18">
        <f>1-141/1287</f>
        <v>0.89044289044289049</v>
      </c>
      <c r="Z92" s="18">
        <f>1-140/1287</f>
        <v>0.8912198912198912</v>
      </c>
      <c r="AA92" s="18">
        <f>1-140/1287</f>
        <v>0.8912198912198912</v>
      </c>
      <c r="AB92" s="18">
        <f>1-140/1287</f>
        <v>0.8912198912198912</v>
      </c>
      <c r="AC92" s="18">
        <f>1-140/1287</f>
        <v>0.8912198912198912</v>
      </c>
      <c r="AD92" s="18">
        <f>1-140/1287</f>
        <v>0.8912198912198912</v>
      </c>
      <c r="AE92" s="18">
        <f>1-140/1287</f>
        <v>0.8912198912198912</v>
      </c>
      <c r="AF92" s="18">
        <f>1-140/1287</f>
        <v>0.8912198912198912</v>
      </c>
      <c r="AG92" s="18">
        <f>1-140/1287</f>
        <v>0.8912198912198912</v>
      </c>
      <c r="AH92" s="18">
        <f>1-140/1287</f>
        <v>0.8912198912198912</v>
      </c>
      <c r="AI92" s="18">
        <f>1-1/1283</f>
        <v>0.99922057677318787</v>
      </c>
      <c r="AJ92" s="18">
        <f>1-1/1283</f>
        <v>0.99922057677318787</v>
      </c>
      <c r="AK92" s="18">
        <v>1</v>
      </c>
      <c r="AL92" s="18">
        <f>1-0/1304</f>
        <v>1</v>
      </c>
      <c r="AM92" s="18">
        <f>1-0/1304</f>
        <v>1</v>
      </c>
      <c r="AN92" s="18">
        <f>1-0/1299</f>
        <v>1</v>
      </c>
      <c r="AO92" s="18">
        <f>1-0/1734</f>
        <v>1</v>
      </c>
      <c r="AP92" s="18">
        <f>1-0/1734</f>
        <v>1</v>
      </c>
      <c r="AQ92" s="18">
        <f>1-0/1734</f>
        <v>1</v>
      </c>
      <c r="AR92" s="18">
        <f>1-1/2117</f>
        <v>0.99952763344355222</v>
      </c>
      <c r="AS92" s="18">
        <f>1-0/1750</f>
        <v>1</v>
      </c>
      <c r="AT92" s="18">
        <f>1-0/1750</f>
        <v>1</v>
      </c>
      <c r="AU92" s="18">
        <f>1-0/1801</f>
        <v>1</v>
      </c>
      <c r="AV92" s="18">
        <f>1-0/1807</f>
        <v>1</v>
      </c>
      <c r="AW92" s="18">
        <f>1-0/1787</f>
        <v>1</v>
      </c>
      <c r="AX92" s="18">
        <f>1-0/1896</f>
        <v>1</v>
      </c>
      <c r="AY92" s="18">
        <f>1-0/2116</f>
        <v>1</v>
      </c>
      <c r="AZ92" s="18">
        <f>1-0/1961</f>
        <v>1</v>
      </c>
      <c r="BA92" s="18">
        <f>1-0/2026</f>
        <v>1</v>
      </c>
      <c r="BB92" s="18" t="s">
        <v>17</v>
      </c>
      <c r="BC92" s="18" t="s">
        <v>17</v>
      </c>
      <c r="BD92" s="18" t="s">
        <v>17</v>
      </c>
      <c r="BE92" s="18" t="s">
        <v>17</v>
      </c>
      <c r="BF92" s="18" t="s">
        <v>17</v>
      </c>
      <c r="BG92" s="18" t="s">
        <v>17</v>
      </c>
      <c r="BH92" s="18" t="s">
        <v>17</v>
      </c>
      <c r="BI92" s="18" t="s">
        <v>17</v>
      </c>
      <c r="BJ92" s="18" t="s">
        <v>17</v>
      </c>
      <c r="BK92" s="18" t="s">
        <v>17</v>
      </c>
    </row>
    <row r="93" spans="1:64" ht="27.95" hidden="1" customHeight="1">
      <c r="A93" s="14" t="s">
        <v>144</v>
      </c>
      <c r="B93" s="15" t="s">
        <v>145</v>
      </c>
      <c r="C93" s="15" t="s">
        <v>58</v>
      </c>
      <c r="D93" s="15"/>
      <c r="E93" s="43"/>
      <c r="F93" s="43"/>
      <c r="G93" s="17" t="str">
        <f>VLOOKUP(A93,'KPI Описание'!A:K,11,0)</f>
        <v>Ревизор</v>
      </c>
      <c r="H93" s="17" t="s">
        <v>37</v>
      </c>
      <c r="I93" s="18"/>
      <c r="J93" s="19"/>
      <c r="K93" s="18" t="s">
        <v>17</v>
      </c>
      <c r="L93" s="18" t="s">
        <v>17</v>
      </c>
      <c r="M93" s="18">
        <v>0.96609441401635443</v>
      </c>
      <c r="N93" s="18">
        <f>1-818/75149</f>
        <v>0.98911495828287799</v>
      </c>
      <c r="O93" s="18">
        <f>1-904/73310</f>
        <v>0.98766880371027144</v>
      </c>
      <c r="P93" s="18">
        <f>1-962/77460</f>
        <v>0.98758068680609346</v>
      </c>
      <c r="Q93" s="18">
        <f>1-1396/86786</f>
        <v>0.98391445624870366</v>
      </c>
      <c r="R93" s="18">
        <f>1-1686/85409</f>
        <v>0.98025969160158766</v>
      </c>
      <c r="S93" s="18">
        <f>1-2702/89586</f>
        <v>0.96983903734958588</v>
      </c>
      <c r="T93" s="18">
        <f>1-1387/96651</f>
        <v>0.98564939835076715</v>
      </c>
      <c r="U93" s="18">
        <f>1-828/90297</f>
        <v>0.99083026014153297</v>
      </c>
      <c r="V93" s="18">
        <f>1-1458/95139</f>
        <v>0.98467505439409708</v>
      </c>
      <c r="W93" s="18">
        <f>1-1078/95504</f>
        <v>0.98871251465907184</v>
      </c>
      <c r="X93" s="18">
        <f>1-833/96711</f>
        <v>0.99138670885421509</v>
      </c>
      <c r="Y93" s="18">
        <f>1-1035/94444</f>
        <v>0.98904112489941132</v>
      </c>
      <c r="Z93" s="18">
        <f>1-757/102031</f>
        <v>0.99258068626201845</v>
      </c>
      <c r="AA93" s="18">
        <f>1-722/103542</f>
        <v>0.99302698421896429</v>
      </c>
      <c r="AB93" s="18">
        <f>1-762/99180</f>
        <v>0.99231699939503937</v>
      </c>
      <c r="AC93" s="18">
        <f>1-1910/120313</f>
        <v>0.98412474129977645</v>
      </c>
      <c r="AD93" s="18">
        <f>1-1064/117586</f>
        <v>0.99095130372663409</v>
      </c>
      <c r="AE93" s="18">
        <f>1-1004/117630</f>
        <v>0.99146476239054659</v>
      </c>
      <c r="AF93" s="18">
        <f>1-1847/108436</f>
        <v>0.98296691135785164</v>
      </c>
      <c r="AG93" s="18">
        <f>1-1847/108436</f>
        <v>0.98296691135785164</v>
      </c>
      <c r="AH93" s="18">
        <f>1-1847/108436</f>
        <v>0.98296691135785164</v>
      </c>
      <c r="AI93" s="18">
        <f>1-517/88822</f>
        <v>0.99417936997590683</v>
      </c>
      <c r="AJ93" s="18">
        <f>1-517/88822</f>
        <v>0.99417936997590683</v>
      </c>
      <c r="AK93" s="18">
        <v>1</v>
      </c>
      <c r="AL93" s="18">
        <f>1-408/84630</f>
        <v>0.99517901453385327</v>
      </c>
      <c r="AM93" s="18">
        <f>1-83/95713</f>
        <v>0.99913282417226501</v>
      </c>
      <c r="AN93" s="18">
        <f>1-314/96403</f>
        <v>0.99674283995311352</v>
      </c>
      <c r="AO93" s="18">
        <f>1-274/98068</f>
        <v>0.99720602031243621</v>
      </c>
      <c r="AP93" s="18">
        <f>1-274/98068</f>
        <v>0.99720602031243621</v>
      </c>
      <c r="AQ93" s="18">
        <f>1-274/98068</f>
        <v>0.99720602031243621</v>
      </c>
      <c r="AR93" s="18">
        <f>1-305/93507</f>
        <v>0.99673821211246216</v>
      </c>
      <c r="AS93" s="18">
        <f>1-326/94289</f>
        <v>0.99654254472950188</v>
      </c>
      <c r="AT93" s="18">
        <f>1-76/92617</f>
        <v>0.99917941630586182</v>
      </c>
      <c r="AU93" s="18">
        <f>1-73/90040</f>
        <v>0.9991892492225678</v>
      </c>
      <c r="AV93" s="18">
        <f>1-122/69526</f>
        <v>0.9982452607657567</v>
      </c>
      <c r="AW93" s="18">
        <f>1-164/72283</f>
        <v>0.99773114010209873</v>
      </c>
      <c r="AX93" s="18">
        <f>1-116/73649</f>
        <v>0.99842496164238481</v>
      </c>
      <c r="AY93" s="18">
        <f>1-76/87309</f>
        <v>0.99912952845640202</v>
      </c>
      <c r="AZ93" s="18">
        <f>1-63/86046</f>
        <v>0.99926783348441528</v>
      </c>
      <c r="BA93" s="18">
        <f>1-0/80156</f>
        <v>1</v>
      </c>
      <c r="BB93" s="18" t="s">
        <v>17</v>
      </c>
      <c r="BC93" s="18" t="s">
        <v>17</v>
      </c>
      <c r="BD93" s="18" t="s">
        <v>17</v>
      </c>
      <c r="BE93" s="18" t="s">
        <v>17</v>
      </c>
      <c r="BF93" s="18" t="s">
        <v>17</v>
      </c>
      <c r="BG93" s="18" t="s">
        <v>17</v>
      </c>
      <c r="BH93" s="18" t="s">
        <v>17</v>
      </c>
      <c r="BI93" s="18" t="s">
        <v>17</v>
      </c>
      <c r="BJ93" s="18" t="s">
        <v>17</v>
      </c>
      <c r="BK93" s="18" t="s">
        <v>17</v>
      </c>
    </row>
    <row r="94" spans="1:64" ht="27.95" hidden="1" customHeight="1">
      <c r="A94" s="14" t="s">
        <v>144</v>
      </c>
      <c r="B94" s="15" t="s">
        <v>145</v>
      </c>
      <c r="C94" s="15" t="s">
        <v>58</v>
      </c>
      <c r="D94" s="15"/>
      <c r="E94" s="43"/>
      <c r="F94" s="43"/>
      <c r="G94" s="17" t="str">
        <f>VLOOKUP(A94,'KPI Описание'!A:K,11,0)</f>
        <v>Ревизор</v>
      </c>
      <c r="H94" s="17" t="s">
        <v>40</v>
      </c>
      <c r="I94" s="18"/>
      <c r="J94" s="19"/>
      <c r="K94" s="18" t="s">
        <v>17</v>
      </c>
      <c r="L94" s="18" t="s">
        <v>17</v>
      </c>
      <c r="M94" s="18">
        <v>0.98166571175582062</v>
      </c>
      <c r="N94" s="18">
        <f>1-1218/21087</f>
        <v>0.9422392943519704</v>
      </c>
      <c r="O94" s="18">
        <f>1-1398/22280</f>
        <v>0.93725314183123876</v>
      </c>
      <c r="P94" s="18">
        <f>1-550/31783</f>
        <v>0.98269515149608277</v>
      </c>
      <c r="Q94" s="18">
        <f>1-4706/32017</f>
        <v>0.85301558547021894</v>
      </c>
      <c r="R94" s="18">
        <f>1-961/37636</f>
        <v>0.97446593686895522</v>
      </c>
      <c r="S94" s="18">
        <f>1-5883/37404</f>
        <v>0.84271735643246715</v>
      </c>
      <c r="T94" s="18">
        <f>1-2016/40473</f>
        <v>0.95018901489882146</v>
      </c>
      <c r="U94" s="18">
        <f>1-564/40000</f>
        <v>0.9859</v>
      </c>
      <c r="V94" s="18">
        <f>1-1091/41667</f>
        <v>0.97381620947032421</v>
      </c>
      <c r="W94" s="18">
        <f>1-831/30082</f>
        <v>0.97237550694767638</v>
      </c>
      <c r="X94" s="18">
        <f>1-499/31851</f>
        <v>0.98433330193714486</v>
      </c>
      <c r="Y94" s="18">
        <f>1-595/31212</f>
        <v>0.98093681917211328</v>
      </c>
      <c r="Z94" s="18">
        <f>1-448/34306</f>
        <v>0.98694105987290848</v>
      </c>
      <c r="AA94" s="18">
        <f>1-400/38755</f>
        <v>0.98967875112888659</v>
      </c>
      <c r="AB94" s="18">
        <f>1-464/35416</f>
        <v>0.98689857691438898</v>
      </c>
      <c r="AC94" s="18">
        <f>1-631/35470</f>
        <v>0.98221031857908092</v>
      </c>
      <c r="AD94" s="18">
        <f>1-789/39474</f>
        <v>0.98001215990272073</v>
      </c>
      <c r="AE94" s="18">
        <f>1-639/39481</f>
        <v>0.98381499962007046</v>
      </c>
      <c r="AF94" s="18">
        <f>1-371/29971</f>
        <v>0.98762136732174433</v>
      </c>
      <c r="AG94" s="18">
        <f>1-371/29971</f>
        <v>0.98762136732174433</v>
      </c>
      <c r="AH94" s="18">
        <f>1-371/29971</f>
        <v>0.98762136732174433</v>
      </c>
      <c r="AI94" s="18">
        <f>1-434/31729</f>
        <v>0.98632166157143308</v>
      </c>
      <c r="AJ94" s="18">
        <f>1-434/31729</f>
        <v>0.98632166157143308</v>
      </c>
      <c r="AK94" s="18">
        <v>1</v>
      </c>
      <c r="AL94" s="18">
        <f>1-2725/35253</f>
        <v>0.92270161404703144</v>
      </c>
      <c r="AM94" s="18">
        <f>1-210/35253</f>
        <v>0.99404306016509236</v>
      </c>
      <c r="AN94" s="18">
        <f>1-130/33929</f>
        <v>0.9961684694509122</v>
      </c>
      <c r="AO94" s="18">
        <f>1-111/36066</f>
        <v>0.99692230909998336</v>
      </c>
      <c r="AP94" s="18">
        <f>1-111/36066</f>
        <v>0.99692230909998336</v>
      </c>
      <c r="AQ94" s="18">
        <f>1-111/36066</f>
        <v>0.99692230909998336</v>
      </c>
      <c r="AR94" s="18">
        <f>1-212/40578</f>
        <v>0.9947754941101089</v>
      </c>
      <c r="AS94" s="18">
        <f>1-131/42640</f>
        <v>0.99692776735459665</v>
      </c>
      <c r="AT94" s="18">
        <f>1-30/41775</f>
        <v>0.99928186714542189</v>
      </c>
      <c r="AU94" s="18">
        <f>1-12/42243</f>
        <v>0.9997159292663873</v>
      </c>
      <c r="AV94" s="18">
        <f>1-52/50952</f>
        <v>0.99897943162191871</v>
      </c>
      <c r="AW94" s="18">
        <f>1-40/50142</f>
        <v>0.99920226556579317</v>
      </c>
      <c r="AX94" s="18">
        <f>1-26/33258</f>
        <v>0.99921823320704795</v>
      </c>
      <c r="AY94" s="18">
        <f>1-31/47509</f>
        <v>0.99934749205413709</v>
      </c>
      <c r="AZ94" s="18">
        <f>1-33/42891</f>
        <v>0.99923060781982231</v>
      </c>
      <c r="BA94" s="18">
        <f>1-0/31447</f>
        <v>1</v>
      </c>
      <c r="BB94" s="18" t="s">
        <v>17</v>
      </c>
      <c r="BC94" s="18" t="s">
        <v>17</v>
      </c>
      <c r="BD94" s="18" t="s">
        <v>17</v>
      </c>
      <c r="BE94" s="18" t="s">
        <v>17</v>
      </c>
      <c r="BF94" s="18" t="s">
        <v>17</v>
      </c>
      <c r="BG94" s="18" t="s">
        <v>17</v>
      </c>
      <c r="BH94" s="18" t="s">
        <v>17</v>
      </c>
      <c r="BI94" s="18" t="s">
        <v>17</v>
      </c>
      <c r="BJ94" s="18" t="s">
        <v>17</v>
      </c>
      <c r="BK94" s="18" t="s">
        <v>17</v>
      </c>
    </row>
    <row r="95" spans="1:64" ht="27.95" hidden="1" customHeight="1">
      <c r="A95" s="14" t="s">
        <v>144</v>
      </c>
      <c r="B95" s="15" t="s">
        <v>145</v>
      </c>
      <c r="C95" s="15" t="s">
        <v>58</v>
      </c>
      <c r="D95" s="15"/>
      <c r="E95" s="43"/>
      <c r="F95" s="43"/>
      <c r="G95" s="17" t="str">
        <f>VLOOKUP(A95,'KPI Описание'!A:K,11,0)</f>
        <v>Ревизор</v>
      </c>
      <c r="H95" s="17" t="s">
        <v>43</v>
      </c>
      <c r="I95" s="18"/>
      <c r="J95" s="19"/>
      <c r="K95" s="18" t="s">
        <v>17</v>
      </c>
      <c r="L95" s="18" t="s">
        <v>17</v>
      </c>
      <c r="M95" s="18">
        <v>0.99410133189518191</v>
      </c>
      <c r="N95" s="18">
        <f>1-2519/181707</f>
        <v>0.98613702278943571</v>
      </c>
      <c r="O95" s="18">
        <f>1-2408/185672</f>
        <v>0.98703089318798742</v>
      </c>
      <c r="P95" s="18">
        <f>1-2798/148052</f>
        <v>0.98110123470132116</v>
      </c>
      <c r="Q95" s="18">
        <f>1-5333/150302</f>
        <v>0.96451810355151624</v>
      </c>
      <c r="R95" s="18">
        <f>1-3917/149438</f>
        <v>0.97378846076633785</v>
      </c>
      <c r="S95" s="18">
        <f>1-10075/154515</f>
        <v>0.9347959745008575</v>
      </c>
      <c r="T95" s="18">
        <f>1-3392/132746</f>
        <v>0.97444744097750591</v>
      </c>
      <c r="U95" s="18">
        <f>1-951/140088</f>
        <v>0.99321140997087543</v>
      </c>
      <c r="V95" s="18">
        <f>1-1498/152591</f>
        <v>0.99018290724878921</v>
      </c>
      <c r="W95" s="18">
        <f>1-1586/154116</f>
        <v>0.98970905032572865</v>
      </c>
      <c r="X95" s="18">
        <f>1-860/107163</f>
        <v>0.99197484206302544</v>
      </c>
      <c r="Y95" s="18">
        <f>1-1236/130108</f>
        <v>0.99050019983398407</v>
      </c>
      <c r="Z95" s="18">
        <f>1-1058/177237</f>
        <v>0.99403059180645126</v>
      </c>
      <c r="AA95" s="18">
        <f>1-500/173834</f>
        <v>0.99712369271834045</v>
      </c>
      <c r="AB95" s="18">
        <f>1-764/201734</f>
        <v>0.99621283472295197</v>
      </c>
      <c r="AC95" s="18">
        <f>1-1063/159612</f>
        <v>0.99334009974187409</v>
      </c>
      <c r="AD95" s="18">
        <f>1-1393/174648</f>
        <v>0.99202395675873756</v>
      </c>
      <c r="AE95" s="18">
        <f>1-1546/175770</f>
        <v>0.99120441486032884</v>
      </c>
      <c r="AF95" s="18">
        <f>1-998/115408</f>
        <v>0.99135241924303341</v>
      </c>
      <c r="AG95" s="18">
        <f>1-998/115408</f>
        <v>0.99135241924303341</v>
      </c>
      <c r="AH95" s="18">
        <f>1-998/115408</f>
        <v>0.99135241924303341</v>
      </c>
      <c r="AI95" s="18">
        <f>1-849/97679</f>
        <v>0.99130826482662604</v>
      </c>
      <c r="AJ95" s="18">
        <f>1-849/97679</f>
        <v>0.99130826482662604</v>
      </c>
      <c r="AK95" s="18">
        <v>1</v>
      </c>
      <c r="AL95" s="18">
        <f>1-1043/117206</f>
        <v>0.99110113816698808</v>
      </c>
      <c r="AM95" s="18">
        <f>1-665/133561</f>
        <v>0.9950210016397002</v>
      </c>
      <c r="AN95" s="18">
        <f>1-535/96403</f>
        <v>0.99445038017489085</v>
      </c>
      <c r="AO95" s="18">
        <f>1-247/118506</f>
        <v>0.99791571734764484</v>
      </c>
      <c r="AP95" s="18">
        <f>1-247/118506</f>
        <v>0.99791571734764484</v>
      </c>
      <c r="AQ95" s="18">
        <f>1-247/118506</f>
        <v>0.99791571734764484</v>
      </c>
      <c r="AR95" s="18">
        <f>1-471/119112</f>
        <v>0.99604573846463829</v>
      </c>
      <c r="AS95" s="18">
        <f>1-551/123130</f>
        <v>0.99552505482010878</v>
      </c>
      <c r="AT95" s="18">
        <f>1-72/119343</f>
        <v>0.99939669691561295</v>
      </c>
      <c r="AU95" s="18">
        <f>1-44/112684</f>
        <v>0.99960952752830923</v>
      </c>
      <c r="AV95" s="18">
        <f>1-148/104137</f>
        <v>0.99857879524088455</v>
      </c>
      <c r="AW95" s="18">
        <f>1-130/90692</f>
        <v>0.99856657698584217</v>
      </c>
      <c r="AX95" s="18">
        <f>1-63/90768</f>
        <v>0.99930592279217345</v>
      </c>
      <c r="AY95" s="18">
        <f>1-74/91787</f>
        <v>0.99919378561234162</v>
      </c>
      <c r="AZ95" s="18">
        <f>1-95/98119</f>
        <v>0.9990317879309818</v>
      </c>
      <c r="BA95" s="18">
        <f>1-0/76460</f>
        <v>1</v>
      </c>
      <c r="BB95" s="18" t="s">
        <v>17</v>
      </c>
      <c r="BC95" s="18" t="s">
        <v>17</v>
      </c>
      <c r="BD95" s="18" t="s">
        <v>17</v>
      </c>
      <c r="BE95" s="18" t="s">
        <v>17</v>
      </c>
      <c r="BF95" s="18" t="s">
        <v>17</v>
      </c>
      <c r="BG95" s="18" t="s">
        <v>17</v>
      </c>
      <c r="BH95" s="18" t="s">
        <v>17</v>
      </c>
      <c r="BI95" s="18" t="s">
        <v>17</v>
      </c>
      <c r="BJ95" s="18" t="s">
        <v>17</v>
      </c>
      <c r="BK95" s="18" t="s">
        <v>17</v>
      </c>
    </row>
    <row r="96" spans="1:64" ht="33" hidden="1" customHeight="1">
      <c r="A96" s="82" t="s">
        <v>149</v>
      </c>
      <c r="B96" s="84" t="s">
        <v>150</v>
      </c>
      <c r="C96" s="84" t="s">
        <v>68</v>
      </c>
      <c r="D96" s="84" t="s">
        <v>13</v>
      </c>
      <c r="E96" s="86" t="s">
        <v>151</v>
      </c>
      <c r="F96" s="86" t="s">
        <v>152</v>
      </c>
      <c r="G96" s="88" t="str">
        <f>VLOOKUP(A96,'KPI Описание'!A:K,11,0)</f>
        <v>Ревизор</v>
      </c>
      <c r="H96" s="88" t="s">
        <v>16</v>
      </c>
      <c r="I96" s="90">
        <f>VLOOKUP(A96,'KPI Описание'!A:P,16,0)</f>
        <v>40</v>
      </c>
      <c r="J96" s="95" t="str">
        <f>IFERROR(VLOOKUP(A96,'KPI Описание'!A:Q,17,0),0)</f>
        <v>lower</v>
      </c>
      <c r="K96" s="90"/>
      <c r="L96" s="90">
        <v>102</v>
      </c>
      <c r="M96" s="90">
        <v>251</v>
      </c>
      <c r="N96" s="90">
        <v>218</v>
      </c>
      <c r="O96" s="90">
        <v>89</v>
      </c>
      <c r="P96" s="90">
        <v>2</v>
      </c>
      <c r="Q96" s="90">
        <v>28</v>
      </c>
      <c r="R96" s="90">
        <v>96</v>
      </c>
      <c r="S96" s="90">
        <v>110</v>
      </c>
      <c r="T96" s="90">
        <v>376</v>
      </c>
      <c r="U96" s="90">
        <v>350</v>
      </c>
      <c r="V96" s="90">
        <v>99</v>
      </c>
      <c r="W96" s="90">
        <v>132</v>
      </c>
      <c r="X96" s="90">
        <v>232</v>
      </c>
      <c r="Y96" s="90">
        <v>171</v>
      </c>
      <c r="Z96" s="90">
        <v>573</v>
      </c>
      <c r="AA96" s="90">
        <v>231</v>
      </c>
      <c r="AB96" s="90">
        <v>295</v>
      </c>
      <c r="AC96" s="90">
        <v>319</v>
      </c>
      <c r="AD96" s="90">
        <v>23</v>
      </c>
      <c r="AE96" s="90">
        <v>161</v>
      </c>
      <c r="AF96" s="90">
        <v>0</v>
      </c>
      <c r="AG96" s="90">
        <v>11</v>
      </c>
      <c r="AH96" s="90">
        <v>1</v>
      </c>
      <c r="AI96" s="90">
        <v>254</v>
      </c>
      <c r="AJ96" s="90">
        <v>468</v>
      </c>
      <c r="AK96" s="90">
        <v>206</v>
      </c>
      <c r="AL96" s="90">
        <v>302</v>
      </c>
      <c r="AM96" s="90">
        <v>259</v>
      </c>
      <c r="AN96" s="90">
        <v>252</v>
      </c>
      <c r="AO96" s="90">
        <v>253</v>
      </c>
      <c r="AP96" s="90">
        <v>8</v>
      </c>
      <c r="AQ96" s="90">
        <v>93</v>
      </c>
      <c r="AR96" s="90">
        <v>167</v>
      </c>
      <c r="AS96" s="90">
        <v>56</v>
      </c>
      <c r="AT96" s="90">
        <v>124</v>
      </c>
      <c r="AU96" s="90">
        <v>248</v>
      </c>
      <c r="AV96" s="90">
        <v>268</v>
      </c>
      <c r="AW96" s="90">
        <v>41</v>
      </c>
      <c r="AX96" s="90">
        <v>215</v>
      </c>
      <c r="AY96" s="90">
        <v>341</v>
      </c>
      <c r="AZ96" s="90">
        <v>257</v>
      </c>
      <c r="BA96" s="90">
        <v>0</v>
      </c>
      <c r="BB96" s="90" t="s">
        <v>17</v>
      </c>
      <c r="BC96" s="90" t="s">
        <v>17</v>
      </c>
      <c r="BD96" s="90" t="s">
        <v>17</v>
      </c>
      <c r="BE96" s="90" t="s">
        <v>17</v>
      </c>
      <c r="BF96" s="90" t="s">
        <v>17</v>
      </c>
      <c r="BG96" s="90" t="s">
        <v>17</v>
      </c>
      <c r="BH96" s="90" t="s">
        <v>17</v>
      </c>
      <c r="BI96" s="90" t="s">
        <v>17</v>
      </c>
      <c r="BJ96" s="90" t="s">
        <v>17</v>
      </c>
      <c r="BK96" s="90" t="s">
        <v>17</v>
      </c>
    </row>
    <row r="97" spans="1:64" s="72" customFormat="1" ht="37.5" hidden="1" customHeight="1">
      <c r="A97" s="5" t="s">
        <v>153</v>
      </c>
      <c r="B97" s="6" t="s">
        <v>154</v>
      </c>
      <c r="C97" s="6" t="s">
        <v>26</v>
      </c>
      <c r="D97" s="6" t="s">
        <v>13</v>
      </c>
      <c r="E97" s="42" t="s">
        <v>155</v>
      </c>
      <c r="F97" s="42" t="s">
        <v>156</v>
      </c>
      <c r="G97" s="8" t="str">
        <f>VLOOKUP(A97,'KPI Описание'!A:K,11,0)</f>
        <v>Ревизор</v>
      </c>
      <c r="H97" s="8" t="s">
        <v>16</v>
      </c>
      <c r="I97" s="9">
        <f>VLOOKUP(A97,'KPI Описание'!A:P,16,0)</f>
        <v>0</v>
      </c>
      <c r="J97" s="10">
        <f>IFERROR(VLOOKUP(A97,'KPI Описание'!A:Q,17,0),0)</f>
        <v>0</v>
      </c>
      <c r="K97" s="11">
        <f>SUM(K98:K102)</f>
        <v>399</v>
      </c>
      <c r="L97" s="11">
        <f>SUM(L98:L102)</f>
        <v>399</v>
      </c>
      <c r="M97" s="11">
        <f>SUM(M98:M102)</f>
        <v>403</v>
      </c>
      <c r="N97" s="11">
        <f>SUM(N98:N102)</f>
        <v>403</v>
      </c>
      <c r="O97" s="11">
        <f>SUM(O98:O102)</f>
        <v>317</v>
      </c>
      <c r="P97" s="11">
        <f>SUM(P98:P102)</f>
        <v>317</v>
      </c>
      <c r="Q97" s="11" t="s">
        <v>17</v>
      </c>
      <c r="R97" s="11">
        <v>289</v>
      </c>
      <c r="S97" s="11">
        <v>792</v>
      </c>
      <c r="T97" s="11">
        <v>214</v>
      </c>
      <c r="U97" s="11">
        <v>178</v>
      </c>
      <c r="V97" s="11">
        <v>294</v>
      </c>
      <c r="W97" s="11">
        <v>305</v>
      </c>
      <c r="X97" s="11">
        <v>305</v>
      </c>
      <c r="Y97" s="11">
        <v>409</v>
      </c>
      <c r="Z97" s="11">
        <v>505</v>
      </c>
      <c r="AA97" s="11">
        <v>505</v>
      </c>
      <c r="AB97" s="11">
        <v>591</v>
      </c>
      <c r="AC97" s="11">
        <v>619</v>
      </c>
      <c r="AD97" s="11">
        <v>634</v>
      </c>
      <c r="AE97" s="11">
        <v>651</v>
      </c>
      <c r="AF97" s="11">
        <v>766</v>
      </c>
      <c r="AG97" s="11">
        <v>586</v>
      </c>
      <c r="AH97" s="11">
        <v>0</v>
      </c>
      <c r="AI97" s="11">
        <v>0</v>
      </c>
      <c r="AJ97" s="11">
        <v>3</v>
      </c>
      <c r="AK97" s="11" t="s">
        <v>17</v>
      </c>
      <c r="AL97" s="11">
        <v>5</v>
      </c>
      <c r="AM97" s="11">
        <v>-1</v>
      </c>
      <c r="AN97" s="11">
        <v>5</v>
      </c>
      <c r="AO97" s="11">
        <v>35</v>
      </c>
      <c r="AP97" s="11">
        <v>35</v>
      </c>
      <c r="AQ97" s="11">
        <v>35</v>
      </c>
      <c r="AR97" s="11">
        <v>5</v>
      </c>
      <c r="AS97" s="11">
        <v>7</v>
      </c>
      <c r="AT97" s="11">
        <v>47</v>
      </c>
      <c r="AU97" s="11">
        <v>63</v>
      </c>
      <c r="AV97" s="11">
        <v>74</v>
      </c>
      <c r="AW97" s="11">
        <v>12</v>
      </c>
      <c r="AX97" s="11">
        <v>-1</v>
      </c>
      <c r="AY97" s="11">
        <v>5</v>
      </c>
      <c r="AZ97" s="11">
        <v>19</v>
      </c>
      <c r="BA97" s="11">
        <v>1300</v>
      </c>
      <c r="BB97" s="11" t="s">
        <v>17</v>
      </c>
      <c r="BC97" s="11" t="s">
        <v>17</v>
      </c>
      <c r="BD97" s="11" t="s">
        <v>17</v>
      </c>
      <c r="BE97" s="11" t="s">
        <v>17</v>
      </c>
      <c r="BF97" s="11" t="s">
        <v>17</v>
      </c>
      <c r="BG97" s="11" t="s">
        <v>17</v>
      </c>
      <c r="BH97" s="11" t="s">
        <v>17</v>
      </c>
      <c r="BI97" s="11" t="s">
        <v>17</v>
      </c>
      <c r="BJ97" s="11" t="s">
        <v>17</v>
      </c>
      <c r="BK97" s="11" t="s">
        <v>17</v>
      </c>
    </row>
    <row r="98" spans="1:64" ht="27.95" hidden="1" customHeight="1">
      <c r="A98" s="14" t="s">
        <v>153</v>
      </c>
      <c r="B98" s="15" t="s">
        <v>154</v>
      </c>
      <c r="C98" s="15" t="s">
        <v>26</v>
      </c>
      <c r="D98" s="15"/>
      <c r="E98" s="43"/>
      <c r="F98" s="43"/>
      <c r="G98" s="17" t="str">
        <f>VLOOKUP(A98,'KPI Описание'!A:K,11,0)</f>
        <v>Ревизор</v>
      </c>
      <c r="H98" s="17" t="s">
        <v>33</v>
      </c>
      <c r="I98" s="18"/>
      <c r="J98" s="19"/>
      <c r="K98" s="16" t="s">
        <v>17</v>
      </c>
      <c r="L98" s="16" t="s">
        <v>17</v>
      </c>
      <c r="M98" s="16" t="s">
        <v>17</v>
      </c>
      <c r="N98" s="16" t="s">
        <v>17</v>
      </c>
      <c r="O98" s="16" t="s">
        <v>17</v>
      </c>
      <c r="P98" s="16" t="s">
        <v>17</v>
      </c>
      <c r="Q98" s="18" t="s">
        <v>17</v>
      </c>
      <c r="R98" s="18" t="s">
        <v>17</v>
      </c>
      <c r="S98" s="25" t="s">
        <v>17</v>
      </c>
      <c r="T98" s="25"/>
      <c r="U98" s="25" t="s">
        <v>17</v>
      </c>
      <c r="V98" s="25">
        <v>116</v>
      </c>
      <c r="W98" s="25">
        <v>116</v>
      </c>
      <c r="X98" s="26">
        <v>116</v>
      </c>
      <c r="Y98" s="26">
        <v>116</v>
      </c>
      <c r="Z98" s="26">
        <v>116</v>
      </c>
      <c r="AA98" s="26">
        <v>116</v>
      </c>
      <c r="AB98" s="26">
        <v>116</v>
      </c>
      <c r="AC98" s="26">
        <v>120</v>
      </c>
      <c r="AD98" s="26">
        <v>120</v>
      </c>
      <c r="AE98" s="26">
        <v>120</v>
      </c>
      <c r="AF98" s="26">
        <v>126</v>
      </c>
      <c r="AG98" s="26">
        <v>159</v>
      </c>
      <c r="AH98" s="26">
        <v>0</v>
      </c>
      <c r="AI98" s="26">
        <v>0</v>
      </c>
      <c r="AJ98" s="26">
        <v>0</v>
      </c>
      <c r="AK98" s="18" t="s">
        <v>17</v>
      </c>
      <c r="AL98" s="26" t="s">
        <v>17</v>
      </c>
      <c r="AM98" s="26" t="s">
        <v>17</v>
      </c>
      <c r="AN98" s="26" t="s">
        <v>17</v>
      </c>
      <c r="AO98" s="26" t="s">
        <v>17</v>
      </c>
      <c r="AP98" s="26" t="s">
        <v>17</v>
      </c>
      <c r="AQ98" s="26" t="s">
        <v>17</v>
      </c>
      <c r="AR98" s="26">
        <v>-30</v>
      </c>
      <c r="AS98" s="26">
        <v>-30</v>
      </c>
      <c r="AT98" s="26">
        <v>24</v>
      </c>
      <c r="AU98" s="26">
        <v>18</v>
      </c>
      <c r="AV98" s="26">
        <v>29</v>
      </c>
      <c r="AW98" s="26">
        <v>4</v>
      </c>
      <c r="AX98" s="26">
        <v>4</v>
      </c>
      <c r="AY98" s="18" t="s">
        <v>17</v>
      </c>
      <c r="AZ98" s="26">
        <v>14</v>
      </c>
      <c r="BA98" s="26">
        <v>554</v>
      </c>
      <c r="BB98" s="26" t="s">
        <v>17</v>
      </c>
      <c r="BC98" s="26" t="s">
        <v>17</v>
      </c>
      <c r="BD98" s="26" t="s">
        <v>17</v>
      </c>
      <c r="BE98" s="26" t="s">
        <v>17</v>
      </c>
      <c r="BF98" s="26" t="s">
        <v>17</v>
      </c>
      <c r="BG98" s="26" t="s">
        <v>17</v>
      </c>
      <c r="BH98" s="26" t="s">
        <v>17</v>
      </c>
      <c r="BI98" s="26" t="s">
        <v>17</v>
      </c>
      <c r="BJ98" s="26" t="s">
        <v>17</v>
      </c>
      <c r="BK98" s="26" t="s">
        <v>17</v>
      </c>
    </row>
    <row r="99" spans="1:64" ht="27.95" hidden="1" customHeight="1">
      <c r="A99" s="14" t="s">
        <v>153</v>
      </c>
      <c r="B99" s="15" t="s">
        <v>154</v>
      </c>
      <c r="C99" s="15" t="s">
        <v>26</v>
      </c>
      <c r="D99" s="15"/>
      <c r="E99" s="43"/>
      <c r="F99" s="43"/>
      <c r="G99" s="17" t="str">
        <f>VLOOKUP(A99,'KPI Описание'!A:K,11,0)</f>
        <v>Ревизор</v>
      </c>
      <c r="H99" s="17" t="s">
        <v>36</v>
      </c>
      <c r="I99" s="18"/>
      <c r="J99" s="19"/>
      <c r="K99" s="16">
        <v>1</v>
      </c>
      <c r="L99" s="16">
        <v>1</v>
      </c>
      <c r="M99" s="16">
        <v>1</v>
      </c>
      <c r="N99" s="16">
        <v>1</v>
      </c>
      <c r="O99" s="16">
        <v>1</v>
      </c>
      <c r="P99" s="16">
        <v>1</v>
      </c>
      <c r="Q99" s="18" t="s">
        <v>17</v>
      </c>
      <c r="R99" s="16">
        <v>1</v>
      </c>
      <c r="S99" s="16">
        <v>1</v>
      </c>
      <c r="T99" s="25">
        <v>1</v>
      </c>
      <c r="U99" s="16">
        <v>1</v>
      </c>
      <c r="V99" s="16">
        <v>1</v>
      </c>
      <c r="W99" s="16">
        <v>1</v>
      </c>
      <c r="X99" s="26">
        <v>1</v>
      </c>
      <c r="Y99" s="26">
        <v>1</v>
      </c>
      <c r="Z99" s="26">
        <v>1</v>
      </c>
      <c r="AA99" s="26">
        <v>1</v>
      </c>
      <c r="AB99" s="26">
        <v>1</v>
      </c>
      <c r="AC99" s="26">
        <v>1</v>
      </c>
      <c r="AD99" s="26">
        <v>1</v>
      </c>
      <c r="AE99" s="26">
        <v>1</v>
      </c>
      <c r="AF99" s="26">
        <v>1</v>
      </c>
      <c r="AG99" s="26">
        <v>1</v>
      </c>
      <c r="AH99" s="26">
        <v>0</v>
      </c>
      <c r="AI99" s="26">
        <v>0</v>
      </c>
      <c r="AJ99" s="26">
        <v>0</v>
      </c>
      <c r="AK99" s="18" t="s">
        <v>17</v>
      </c>
      <c r="AL99" s="26" t="s">
        <v>17</v>
      </c>
      <c r="AM99" s="26" t="s">
        <v>17</v>
      </c>
      <c r="AN99" s="26" t="s">
        <v>17</v>
      </c>
      <c r="AO99" s="26" t="s">
        <v>17</v>
      </c>
      <c r="AP99" s="26" t="s">
        <v>17</v>
      </c>
      <c r="AQ99" s="26" t="s">
        <v>17</v>
      </c>
      <c r="AR99" s="26" t="s">
        <v>17</v>
      </c>
      <c r="AS99" s="26">
        <v>0</v>
      </c>
      <c r="AT99" s="26">
        <v>0</v>
      </c>
      <c r="AU99" s="26">
        <v>0</v>
      </c>
      <c r="AV99" s="26">
        <v>0</v>
      </c>
      <c r="AW99" s="26">
        <v>0</v>
      </c>
      <c r="AX99" s="26">
        <v>0</v>
      </c>
      <c r="AY99" s="18" t="s">
        <v>17</v>
      </c>
      <c r="AZ99" s="26">
        <v>0</v>
      </c>
      <c r="BA99" s="26">
        <v>16</v>
      </c>
      <c r="BB99" s="26" t="s">
        <v>17</v>
      </c>
      <c r="BC99" s="26" t="s">
        <v>17</v>
      </c>
      <c r="BD99" s="26" t="s">
        <v>17</v>
      </c>
      <c r="BE99" s="26" t="s">
        <v>17</v>
      </c>
      <c r="BF99" s="26" t="s">
        <v>17</v>
      </c>
      <c r="BG99" s="26" t="s">
        <v>17</v>
      </c>
      <c r="BH99" s="26" t="s">
        <v>17</v>
      </c>
      <c r="BI99" s="26" t="s">
        <v>17</v>
      </c>
      <c r="BJ99" s="26" t="s">
        <v>17</v>
      </c>
      <c r="BK99" s="26" t="s">
        <v>17</v>
      </c>
    </row>
    <row r="100" spans="1:64" ht="27.95" hidden="1" customHeight="1">
      <c r="A100" s="14" t="s">
        <v>153</v>
      </c>
      <c r="B100" s="15" t="s">
        <v>154</v>
      </c>
      <c r="C100" s="15" t="s">
        <v>26</v>
      </c>
      <c r="D100" s="15"/>
      <c r="E100" s="43"/>
      <c r="F100" s="43"/>
      <c r="G100" s="17" t="str">
        <f>VLOOKUP(A100,'KPI Описание'!A:K,11,0)</f>
        <v>Ревизор</v>
      </c>
      <c r="H100" s="17" t="s">
        <v>37</v>
      </c>
      <c r="I100" s="18"/>
      <c r="J100" s="19"/>
      <c r="K100" s="16">
        <v>141</v>
      </c>
      <c r="L100" s="16">
        <v>141</v>
      </c>
      <c r="M100" s="16">
        <v>145</v>
      </c>
      <c r="N100" s="16">
        <v>145</v>
      </c>
      <c r="O100" s="16">
        <v>59</v>
      </c>
      <c r="P100" s="16">
        <v>59</v>
      </c>
      <c r="Q100" s="18" t="s">
        <v>17</v>
      </c>
      <c r="R100" s="16">
        <v>59</v>
      </c>
      <c r="S100" s="16">
        <v>137</v>
      </c>
      <c r="T100" s="25">
        <v>131</v>
      </c>
      <c r="U100" s="16">
        <v>122</v>
      </c>
      <c r="V100" s="16">
        <v>122</v>
      </c>
      <c r="W100" s="16">
        <v>122</v>
      </c>
      <c r="X100" s="26">
        <v>122</v>
      </c>
      <c r="Y100" s="26">
        <v>226</v>
      </c>
      <c r="Z100" s="26">
        <v>226</v>
      </c>
      <c r="AA100" s="26">
        <v>226</v>
      </c>
      <c r="AB100" s="26">
        <v>312</v>
      </c>
      <c r="AC100" s="26">
        <v>226</v>
      </c>
      <c r="AD100" s="26">
        <v>226</v>
      </c>
      <c r="AE100" s="26">
        <v>226</v>
      </c>
      <c r="AF100" s="26">
        <v>276</v>
      </c>
      <c r="AG100" s="26">
        <v>122</v>
      </c>
      <c r="AH100" s="26">
        <v>0</v>
      </c>
      <c r="AI100" s="26">
        <v>0</v>
      </c>
      <c r="AJ100" s="26">
        <v>5</v>
      </c>
      <c r="AK100" s="18" t="s">
        <v>17</v>
      </c>
      <c r="AL100" s="26">
        <v>5</v>
      </c>
      <c r="AM100" s="26">
        <v>-1</v>
      </c>
      <c r="AN100" s="26">
        <v>5</v>
      </c>
      <c r="AO100" s="26">
        <v>5</v>
      </c>
      <c r="AP100" s="26">
        <v>5</v>
      </c>
      <c r="AQ100" s="26">
        <v>5</v>
      </c>
      <c r="AR100" s="26">
        <v>5</v>
      </c>
      <c r="AS100" s="26">
        <v>-7</v>
      </c>
      <c r="AT100" s="26">
        <v>-7</v>
      </c>
      <c r="AU100" s="26">
        <v>15</v>
      </c>
      <c r="AV100" s="26">
        <v>15</v>
      </c>
      <c r="AW100" s="26">
        <v>5</v>
      </c>
      <c r="AX100" s="26">
        <v>-8</v>
      </c>
      <c r="AY100" s="26">
        <v>5</v>
      </c>
      <c r="AZ100" s="26">
        <v>5</v>
      </c>
      <c r="BA100" s="26">
        <v>319</v>
      </c>
      <c r="BB100" s="26" t="s">
        <v>17</v>
      </c>
      <c r="BC100" s="26" t="s">
        <v>17</v>
      </c>
      <c r="BD100" s="26" t="s">
        <v>17</v>
      </c>
      <c r="BE100" s="26" t="s">
        <v>17</v>
      </c>
      <c r="BF100" s="26" t="s">
        <v>17</v>
      </c>
      <c r="BG100" s="26" t="s">
        <v>17</v>
      </c>
      <c r="BH100" s="26" t="s">
        <v>17</v>
      </c>
      <c r="BI100" s="26" t="s">
        <v>17</v>
      </c>
      <c r="BJ100" s="26" t="s">
        <v>17</v>
      </c>
      <c r="BK100" s="26" t="s">
        <v>17</v>
      </c>
    </row>
    <row r="101" spans="1:64" ht="27.95" hidden="1" customHeight="1">
      <c r="A101" s="14" t="s">
        <v>153</v>
      </c>
      <c r="B101" s="15" t="s">
        <v>154</v>
      </c>
      <c r="C101" s="15" t="s">
        <v>26</v>
      </c>
      <c r="D101" s="15"/>
      <c r="E101" s="43"/>
      <c r="F101" s="43"/>
      <c r="G101" s="17" t="str">
        <f>VLOOKUP(A101,'KPI Описание'!A:K,11,0)</f>
        <v>Ревизор</v>
      </c>
      <c r="H101" s="17" t="s">
        <v>40</v>
      </c>
      <c r="I101" s="18"/>
      <c r="J101" s="19"/>
      <c r="K101" s="16">
        <v>241</v>
      </c>
      <c r="L101" s="16">
        <v>241</v>
      </c>
      <c r="M101" s="16">
        <v>241</v>
      </c>
      <c r="N101" s="16">
        <v>241</v>
      </c>
      <c r="O101" s="16">
        <v>241</v>
      </c>
      <c r="P101" s="16">
        <v>241</v>
      </c>
      <c r="Q101" s="18" t="s">
        <v>17</v>
      </c>
      <c r="R101" s="16">
        <v>213</v>
      </c>
      <c r="S101" s="16">
        <v>273</v>
      </c>
      <c r="T101" s="25">
        <v>247</v>
      </c>
      <c r="U101" s="16">
        <v>238</v>
      </c>
      <c r="V101" s="16">
        <v>238</v>
      </c>
      <c r="W101" s="16">
        <v>238</v>
      </c>
      <c r="X101" s="26">
        <v>238</v>
      </c>
      <c r="Y101" s="26">
        <v>238</v>
      </c>
      <c r="Z101" s="26">
        <v>238</v>
      </c>
      <c r="AA101" s="26">
        <v>238</v>
      </c>
      <c r="AB101" s="26">
        <v>238</v>
      </c>
      <c r="AC101" s="26">
        <v>290</v>
      </c>
      <c r="AD101" s="26">
        <v>290</v>
      </c>
      <c r="AE101" s="26">
        <v>290</v>
      </c>
      <c r="AF101" s="26">
        <v>290</v>
      </c>
      <c r="AG101" s="26">
        <v>290</v>
      </c>
      <c r="AH101" s="26">
        <v>0</v>
      </c>
      <c r="AI101" s="26">
        <v>0</v>
      </c>
      <c r="AJ101" s="26">
        <v>0</v>
      </c>
      <c r="AK101" s="18" t="s">
        <v>17</v>
      </c>
      <c r="AL101" s="26" t="s">
        <v>17</v>
      </c>
      <c r="AM101" s="26" t="s">
        <v>17</v>
      </c>
      <c r="AN101" s="26" t="s">
        <v>17</v>
      </c>
      <c r="AO101" s="26">
        <v>6</v>
      </c>
      <c r="AP101" s="26">
        <v>6</v>
      </c>
      <c r="AQ101" s="26">
        <v>6</v>
      </c>
      <c r="AR101" s="26">
        <v>6</v>
      </c>
      <c r="AS101" s="26">
        <v>6</v>
      </c>
      <c r="AT101" s="26">
        <v>6</v>
      </c>
      <c r="AU101" s="26">
        <v>6</v>
      </c>
      <c r="AV101" s="26">
        <v>6</v>
      </c>
      <c r="AW101" s="26">
        <v>3</v>
      </c>
      <c r="AX101" s="26">
        <v>3</v>
      </c>
      <c r="AY101" s="18" t="s">
        <v>17</v>
      </c>
      <c r="AZ101" s="26">
        <v>0</v>
      </c>
      <c r="BA101" s="26">
        <v>81</v>
      </c>
      <c r="BB101" s="26" t="s">
        <v>17</v>
      </c>
      <c r="BC101" s="26" t="s">
        <v>17</v>
      </c>
      <c r="BD101" s="26" t="s">
        <v>17</v>
      </c>
      <c r="BE101" s="26" t="s">
        <v>17</v>
      </c>
      <c r="BF101" s="26" t="s">
        <v>17</v>
      </c>
      <c r="BG101" s="26" t="s">
        <v>17</v>
      </c>
      <c r="BH101" s="26" t="s">
        <v>17</v>
      </c>
      <c r="BI101" s="26" t="s">
        <v>17</v>
      </c>
      <c r="BJ101" s="26" t="s">
        <v>17</v>
      </c>
      <c r="BK101" s="26" t="s">
        <v>17</v>
      </c>
    </row>
    <row r="102" spans="1:64" ht="27.95" hidden="1" customHeight="1">
      <c r="A102" s="14" t="s">
        <v>153</v>
      </c>
      <c r="B102" s="15" t="s">
        <v>154</v>
      </c>
      <c r="C102" s="15" t="s">
        <v>26</v>
      </c>
      <c r="D102" s="15"/>
      <c r="E102" s="43"/>
      <c r="F102" s="43"/>
      <c r="G102" s="17" t="str">
        <f>VLOOKUP(A102,'KPI Описание'!A:K,11,0)</f>
        <v>Ревизор</v>
      </c>
      <c r="H102" s="17" t="s">
        <v>43</v>
      </c>
      <c r="I102" s="18"/>
      <c r="J102" s="19"/>
      <c r="K102" s="16">
        <v>16</v>
      </c>
      <c r="L102" s="16">
        <v>16</v>
      </c>
      <c r="M102" s="16">
        <v>16</v>
      </c>
      <c r="N102" s="16">
        <v>16</v>
      </c>
      <c r="O102" s="16">
        <v>16</v>
      </c>
      <c r="P102" s="16">
        <v>16</v>
      </c>
      <c r="Q102" s="18" t="s">
        <v>17</v>
      </c>
      <c r="R102" s="16">
        <v>16</v>
      </c>
      <c r="S102" s="16">
        <v>381</v>
      </c>
      <c r="T102" s="25">
        <v>165</v>
      </c>
      <c r="U102" s="16">
        <v>183</v>
      </c>
      <c r="V102" s="16">
        <v>183</v>
      </c>
      <c r="W102" s="16">
        <v>172</v>
      </c>
      <c r="X102" s="26">
        <v>172</v>
      </c>
      <c r="Y102" s="26">
        <v>172</v>
      </c>
      <c r="Z102" s="26">
        <v>76</v>
      </c>
      <c r="AA102" s="26">
        <v>76</v>
      </c>
      <c r="AB102" s="26">
        <v>76</v>
      </c>
      <c r="AC102" s="26">
        <v>18</v>
      </c>
      <c r="AD102" s="26">
        <v>3</v>
      </c>
      <c r="AE102" s="26">
        <v>14</v>
      </c>
      <c r="AF102" s="26">
        <v>73</v>
      </c>
      <c r="AG102" s="26">
        <v>14</v>
      </c>
      <c r="AH102" s="26">
        <v>0</v>
      </c>
      <c r="AI102" s="26">
        <v>0</v>
      </c>
      <c r="AJ102" s="26">
        <v>-2</v>
      </c>
      <c r="AK102" s="18" t="s">
        <v>17</v>
      </c>
      <c r="AL102" s="18" t="s">
        <v>17</v>
      </c>
      <c r="AM102" s="26" t="s">
        <v>17</v>
      </c>
      <c r="AN102" s="26" t="s">
        <v>17</v>
      </c>
      <c r="AO102" s="26">
        <v>24</v>
      </c>
      <c r="AP102" s="26">
        <v>24</v>
      </c>
      <c r="AQ102" s="26">
        <v>24</v>
      </c>
      <c r="AR102" s="26">
        <v>24</v>
      </c>
      <c r="AS102" s="26">
        <v>24</v>
      </c>
      <c r="AT102" s="26">
        <v>24</v>
      </c>
      <c r="AU102" s="26">
        <v>24</v>
      </c>
      <c r="AV102" s="26">
        <v>24</v>
      </c>
      <c r="AW102" s="26">
        <v>0</v>
      </c>
      <c r="AX102" s="26">
        <v>0</v>
      </c>
      <c r="AY102" s="18" t="s">
        <v>17</v>
      </c>
      <c r="AZ102" s="26">
        <v>0</v>
      </c>
      <c r="BA102" s="26">
        <v>330</v>
      </c>
      <c r="BB102" s="26" t="s">
        <v>17</v>
      </c>
      <c r="BC102" s="26" t="s">
        <v>17</v>
      </c>
      <c r="BD102" s="26" t="s">
        <v>17</v>
      </c>
      <c r="BE102" s="26" t="s">
        <v>17</v>
      </c>
      <c r="BF102" s="26" t="s">
        <v>17</v>
      </c>
      <c r="BG102" s="26" t="s">
        <v>17</v>
      </c>
      <c r="BH102" s="26" t="s">
        <v>17</v>
      </c>
      <c r="BI102" s="26" t="s">
        <v>17</v>
      </c>
      <c r="BJ102" s="26" t="s">
        <v>17</v>
      </c>
      <c r="BK102" s="26" t="s">
        <v>17</v>
      </c>
    </row>
    <row r="103" spans="1:64" s="72" customFormat="1" ht="60.75" customHeight="1">
      <c r="A103" s="5" t="s">
        <v>157</v>
      </c>
      <c r="B103" s="6" t="s">
        <v>158</v>
      </c>
      <c r="C103" s="6" t="s">
        <v>26</v>
      </c>
      <c r="D103" s="6" t="s">
        <v>13</v>
      </c>
      <c r="E103" s="42" t="s">
        <v>159</v>
      </c>
      <c r="F103" s="42" t="s">
        <v>160</v>
      </c>
      <c r="G103" s="8" t="str">
        <f>VLOOKUP(A103,'KPI Описание'!A:K,11,0)</f>
        <v>Оператор</v>
      </c>
      <c r="H103" s="8" t="s">
        <v>16</v>
      </c>
      <c r="I103" s="9">
        <f>VLOOKUP(A103,'KPI Описание'!A:P,16,0)</f>
        <v>0</v>
      </c>
      <c r="J103" s="10">
        <f>IFERROR(VLOOKUP(A103,'KPI Описание'!A:Q,17,0),0)</f>
        <v>0</v>
      </c>
      <c r="K103" s="11">
        <f>SUM(K104:K108)</f>
        <v>2867</v>
      </c>
      <c r="L103" s="11">
        <f>SUM(L104:L108)</f>
        <v>2673</v>
      </c>
      <c r="M103" s="11">
        <f>SUM(M104:M108)</f>
        <v>2864</v>
      </c>
      <c r="N103" s="11">
        <f>SUM(N104:N108)</f>
        <v>2960</v>
      </c>
      <c r="O103" s="11">
        <f>SUM(O104:O108)</f>
        <v>3066</v>
      </c>
      <c r="P103" s="11">
        <f>SUM(P104:P108)</f>
        <v>3677</v>
      </c>
      <c r="Q103" s="11">
        <v>3677</v>
      </c>
      <c r="R103" s="11">
        <v>6034</v>
      </c>
      <c r="S103" s="11">
        <v>6034</v>
      </c>
      <c r="T103" s="11">
        <v>6034</v>
      </c>
      <c r="U103" s="7">
        <v>8249</v>
      </c>
      <c r="V103" s="11">
        <v>6264</v>
      </c>
      <c r="W103" s="11">
        <v>5500</v>
      </c>
      <c r="X103" s="11">
        <v>5636</v>
      </c>
      <c r="Y103" s="11">
        <v>5636</v>
      </c>
      <c r="Z103" s="11" t="s">
        <v>161</v>
      </c>
      <c r="AA103" s="11" t="s">
        <v>161</v>
      </c>
      <c r="AB103" s="11" t="s">
        <v>161</v>
      </c>
      <c r="AC103" s="11" t="s">
        <v>161</v>
      </c>
      <c r="AD103" s="11">
        <v>4113</v>
      </c>
      <c r="AE103" s="11">
        <v>4837</v>
      </c>
      <c r="AF103" s="11">
        <v>4</v>
      </c>
      <c r="AG103" s="11">
        <v>4</v>
      </c>
      <c r="AH103" s="11">
        <v>4</v>
      </c>
      <c r="AI103" s="11">
        <v>248</v>
      </c>
      <c r="AJ103" s="11">
        <v>469</v>
      </c>
      <c r="AK103" s="11">
        <v>514</v>
      </c>
      <c r="AL103" s="11">
        <v>1338</v>
      </c>
      <c r="AM103" s="11">
        <v>693</v>
      </c>
      <c r="AN103" s="11">
        <v>761</v>
      </c>
      <c r="AO103" s="11">
        <v>872</v>
      </c>
      <c r="AP103" s="11">
        <v>933</v>
      </c>
      <c r="AQ103" s="11">
        <v>1129</v>
      </c>
      <c r="AR103" s="11">
        <v>1282</v>
      </c>
      <c r="AS103" s="11">
        <v>572</v>
      </c>
      <c r="AT103" s="11">
        <v>763</v>
      </c>
      <c r="AU103" s="11">
        <v>2929</v>
      </c>
      <c r="AV103" s="11">
        <v>1323</v>
      </c>
      <c r="AW103" s="11">
        <v>1357</v>
      </c>
      <c r="AX103" s="11">
        <v>1417</v>
      </c>
      <c r="AY103" s="11">
        <v>1461</v>
      </c>
      <c r="AZ103" s="11">
        <v>1489</v>
      </c>
      <c r="BA103" s="11">
        <v>0</v>
      </c>
      <c r="BB103" s="11" t="s">
        <v>17</v>
      </c>
      <c r="BC103" s="11" t="s">
        <v>17</v>
      </c>
      <c r="BD103" s="11" t="s">
        <v>17</v>
      </c>
      <c r="BE103" s="11" t="s">
        <v>17</v>
      </c>
      <c r="BF103" s="11" t="s">
        <v>17</v>
      </c>
      <c r="BG103" s="11" t="s">
        <v>17</v>
      </c>
      <c r="BH103" s="11" t="s">
        <v>17</v>
      </c>
      <c r="BI103" s="11" t="s">
        <v>17</v>
      </c>
      <c r="BJ103" s="11" t="s">
        <v>17</v>
      </c>
      <c r="BK103" s="11" t="s">
        <v>17</v>
      </c>
      <c r="BL103" s="74"/>
    </row>
    <row r="104" spans="1:64" s="72" customFormat="1" ht="27.95" customHeight="1">
      <c r="A104" s="81" t="s">
        <v>157</v>
      </c>
      <c r="B104" s="83" t="s">
        <v>158</v>
      </c>
      <c r="C104" s="83" t="s">
        <v>26</v>
      </c>
      <c r="D104" s="83"/>
      <c r="E104" s="85"/>
      <c r="F104" s="85"/>
      <c r="G104" s="87" t="str">
        <f>VLOOKUP(A104,'KPI Описание'!A:K,11,0)</f>
        <v>Оператор</v>
      </c>
      <c r="H104" s="87" t="s">
        <v>33</v>
      </c>
      <c r="I104" s="89"/>
      <c r="J104" s="94"/>
      <c r="K104" s="101">
        <v>681</v>
      </c>
      <c r="L104" s="101">
        <v>654</v>
      </c>
      <c r="M104" s="101">
        <v>697</v>
      </c>
      <c r="N104" s="101">
        <v>698</v>
      </c>
      <c r="O104" s="101">
        <v>703</v>
      </c>
      <c r="P104" s="101">
        <v>709</v>
      </c>
      <c r="Q104" s="89" t="s">
        <v>17</v>
      </c>
      <c r="R104" s="101">
        <v>599</v>
      </c>
      <c r="S104" s="89" t="s">
        <v>17</v>
      </c>
      <c r="T104" s="89" t="s">
        <v>17</v>
      </c>
      <c r="U104" s="101">
        <v>1277</v>
      </c>
      <c r="V104" s="101">
        <v>638</v>
      </c>
      <c r="W104" s="106">
        <v>836</v>
      </c>
      <c r="X104" s="93">
        <v>1055</v>
      </c>
      <c r="Y104" s="93" t="s">
        <v>17</v>
      </c>
      <c r="Z104" s="93">
        <v>403</v>
      </c>
      <c r="AA104" s="93" t="s">
        <v>17</v>
      </c>
      <c r="AB104" s="93" t="s">
        <v>17</v>
      </c>
      <c r="AC104" s="93" t="s">
        <v>17</v>
      </c>
      <c r="AD104" s="93" t="s">
        <v>17</v>
      </c>
      <c r="AE104" s="93" t="s">
        <v>17</v>
      </c>
      <c r="AF104" s="93" t="s">
        <v>17</v>
      </c>
      <c r="AG104" s="93" t="s">
        <v>17</v>
      </c>
      <c r="AH104" s="93" t="s">
        <v>17</v>
      </c>
      <c r="AI104" s="93" t="s">
        <v>17</v>
      </c>
      <c r="AJ104" s="93" t="s">
        <v>17</v>
      </c>
      <c r="AK104" s="93">
        <v>200</v>
      </c>
      <c r="AL104" s="93">
        <v>200</v>
      </c>
      <c r="AM104" s="93">
        <v>200</v>
      </c>
      <c r="AN104" s="93">
        <v>159</v>
      </c>
      <c r="AO104" s="93">
        <v>216</v>
      </c>
      <c r="AP104" s="93" t="s">
        <v>17</v>
      </c>
      <c r="AQ104" s="89" t="s">
        <v>17</v>
      </c>
      <c r="AR104" s="89" t="s">
        <v>17</v>
      </c>
      <c r="AS104" s="93">
        <v>219</v>
      </c>
      <c r="AT104" s="89" t="s">
        <v>162</v>
      </c>
      <c r="AU104" s="93">
        <v>326</v>
      </c>
      <c r="AV104" s="93">
        <v>297</v>
      </c>
      <c r="AW104" s="93">
        <v>307</v>
      </c>
      <c r="AX104" s="93">
        <v>307</v>
      </c>
      <c r="AY104" s="93">
        <v>306</v>
      </c>
      <c r="AZ104" s="93">
        <v>313</v>
      </c>
      <c r="BA104" s="93">
        <v>0</v>
      </c>
      <c r="BB104" s="89" t="s">
        <v>17</v>
      </c>
      <c r="BC104" s="89" t="s">
        <v>17</v>
      </c>
      <c r="BD104" s="89" t="s">
        <v>17</v>
      </c>
      <c r="BE104" s="89" t="s">
        <v>17</v>
      </c>
      <c r="BF104" s="89" t="s">
        <v>17</v>
      </c>
      <c r="BG104" s="89" t="s">
        <v>17</v>
      </c>
      <c r="BH104" s="89" t="s">
        <v>17</v>
      </c>
      <c r="BI104" s="89" t="s">
        <v>17</v>
      </c>
      <c r="BJ104" s="89" t="s">
        <v>17</v>
      </c>
      <c r="BK104" s="89" t="s">
        <v>17</v>
      </c>
      <c r="BL104" s="74"/>
    </row>
    <row r="105" spans="1:64" ht="27.95" customHeight="1">
      <c r="A105" s="14" t="s">
        <v>157</v>
      </c>
      <c r="B105" s="15" t="s">
        <v>158</v>
      </c>
      <c r="C105" s="15" t="s">
        <v>26</v>
      </c>
      <c r="D105" s="15"/>
      <c r="E105" s="43"/>
      <c r="F105" s="43"/>
      <c r="G105" s="17" t="str">
        <f>VLOOKUP(A105,'KPI Описание'!A:K,11,0)</f>
        <v>Оператор</v>
      </c>
      <c r="H105" s="17" t="s">
        <v>36</v>
      </c>
      <c r="I105" s="18"/>
      <c r="J105" s="19"/>
      <c r="K105" s="16" t="s">
        <v>17</v>
      </c>
      <c r="L105" s="16" t="s">
        <v>17</v>
      </c>
      <c r="M105" s="16" t="s">
        <v>17</v>
      </c>
      <c r="N105" s="16" t="s">
        <v>17</v>
      </c>
      <c r="O105" s="16" t="s">
        <v>17</v>
      </c>
      <c r="P105" s="16" t="s">
        <v>17</v>
      </c>
      <c r="Q105" s="18" t="s">
        <v>17</v>
      </c>
      <c r="R105" s="18" t="s">
        <v>17</v>
      </c>
      <c r="S105" s="18" t="s">
        <v>17</v>
      </c>
      <c r="T105" s="18" t="s">
        <v>17</v>
      </c>
      <c r="U105" s="18" t="s">
        <v>17</v>
      </c>
      <c r="V105" s="16" t="s">
        <v>17</v>
      </c>
      <c r="W105" s="34" t="s">
        <v>17</v>
      </c>
      <c r="X105" s="26" t="s">
        <v>17</v>
      </c>
      <c r="Y105" s="26" t="s">
        <v>17</v>
      </c>
      <c r="Z105" s="26">
        <v>2</v>
      </c>
      <c r="AA105" s="26" t="s">
        <v>17</v>
      </c>
      <c r="AB105" s="26" t="s">
        <v>17</v>
      </c>
      <c r="AC105" s="26" t="s">
        <v>17</v>
      </c>
      <c r="AD105" s="26" t="s">
        <v>17</v>
      </c>
      <c r="AE105" s="26" t="s">
        <v>17</v>
      </c>
      <c r="AF105" s="26" t="s">
        <v>17</v>
      </c>
      <c r="AG105" s="26" t="s">
        <v>17</v>
      </c>
      <c r="AH105" s="26" t="s">
        <v>17</v>
      </c>
      <c r="AI105" s="26" t="s">
        <v>17</v>
      </c>
      <c r="AJ105" s="26" t="s">
        <v>17</v>
      </c>
      <c r="AK105" s="26"/>
      <c r="AL105" s="26"/>
      <c r="AM105" s="26" t="s">
        <v>17</v>
      </c>
      <c r="AN105" s="26">
        <v>1</v>
      </c>
      <c r="AO105" s="26">
        <v>1</v>
      </c>
      <c r="AP105" s="26" t="s">
        <v>17</v>
      </c>
      <c r="AQ105" s="18" t="s">
        <v>17</v>
      </c>
      <c r="AR105" s="18" t="s">
        <v>17</v>
      </c>
      <c r="AS105" s="26">
        <v>1</v>
      </c>
      <c r="AT105" s="26">
        <v>1</v>
      </c>
      <c r="AU105" s="26">
        <v>9</v>
      </c>
      <c r="AV105" s="26">
        <v>8</v>
      </c>
      <c r="AW105" s="26">
        <v>8</v>
      </c>
      <c r="AX105" s="26">
        <v>8</v>
      </c>
      <c r="AY105" s="26">
        <v>9</v>
      </c>
      <c r="AZ105" s="26">
        <v>9</v>
      </c>
      <c r="BA105" s="26">
        <v>0</v>
      </c>
      <c r="BB105" s="18" t="s">
        <v>17</v>
      </c>
      <c r="BC105" s="18" t="s">
        <v>17</v>
      </c>
      <c r="BD105" s="18" t="s">
        <v>17</v>
      </c>
      <c r="BE105" s="18" t="s">
        <v>17</v>
      </c>
      <c r="BF105" s="18" t="s">
        <v>17</v>
      </c>
      <c r="BG105" s="18" t="s">
        <v>17</v>
      </c>
      <c r="BH105" s="18" t="s">
        <v>17</v>
      </c>
      <c r="BI105" s="18" t="s">
        <v>17</v>
      </c>
      <c r="BJ105" s="18" t="s">
        <v>17</v>
      </c>
      <c r="BK105" s="18" t="s">
        <v>17</v>
      </c>
    </row>
    <row r="106" spans="1:64" ht="27.95" customHeight="1">
      <c r="A106" s="14" t="s">
        <v>157</v>
      </c>
      <c r="B106" s="15" t="s">
        <v>158</v>
      </c>
      <c r="C106" s="15" t="s">
        <v>26</v>
      </c>
      <c r="D106" s="15"/>
      <c r="E106" s="43"/>
      <c r="F106" s="43"/>
      <c r="G106" s="17" t="str">
        <f>VLOOKUP(A106,'KPI Описание'!A:K,11,0)</f>
        <v>Оператор</v>
      </c>
      <c r="H106" s="17" t="s">
        <v>37</v>
      </c>
      <c r="I106" s="18"/>
      <c r="J106" s="19"/>
      <c r="K106" s="16">
        <v>363</v>
      </c>
      <c r="L106" s="16">
        <v>263</v>
      </c>
      <c r="M106" s="16">
        <v>311</v>
      </c>
      <c r="N106" s="16">
        <v>348</v>
      </c>
      <c r="O106" s="16">
        <v>358</v>
      </c>
      <c r="P106" s="16">
        <v>452</v>
      </c>
      <c r="Q106" s="18" t="s">
        <v>17</v>
      </c>
      <c r="R106" s="16">
        <v>530</v>
      </c>
      <c r="S106" s="18" t="s">
        <v>17</v>
      </c>
      <c r="T106" s="18" t="s">
        <v>17</v>
      </c>
      <c r="U106" s="16">
        <v>1509</v>
      </c>
      <c r="V106" s="16">
        <v>1298</v>
      </c>
      <c r="W106" s="34">
        <v>727</v>
      </c>
      <c r="X106" s="26">
        <v>663</v>
      </c>
      <c r="Y106" s="26" t="s">
        <v>17</v>
      </c>
      <c r="Z106" s="26">
        <v>476</v>
      </c>
      <c r="AA106" s="26" t="s">
        <v>17</v>
      </c>
      <c r="AB106" s="26" t="s">
        <v>17</v>
      </c>
      <c r="AC106" s="26" t="s">
        <v>17</v>
      </c>
      <c r="AD106" s="26" t="s">
        <v>17</v>
      </c>
      <c r="AE106" s="26" t="s">
        <v>17</v>
      </c>
      <c r="AF106" s="26" t="s">
        <v>17</v>
      </c>
      <c r="AG106" s="26" t="s">
        <v>17</v>
      </c>
      <c r="AH106" s="26" t="s">
        <v>17</v>
      </c>
      <c r="AI106" s="26" t="s">
        <v>17</v>
      </c>
      <c r="AJ106" s="26" t="s">
        <v>17</v>
      </c>
      <c r="AK106" s="26">
        <v>433</v>
      </c>
      <c r="AL106" s="26">
        <v>433</v>
      </c>
      <c r="AM106" s="26">
        <v>433</v>
      </c>
      <c r="AN106" s="26">
        <v>277</v>
      </c>
      <c r="AO106" s="26">
        <v>296</v>
      </c>
      <c r="AP106" s="26" t="s">
        <v>17</v>
      </c>
      <c r="AQ106" s="18" t="s">
        <v>17</v>
      </c>
      <c r="AR106" s="18" t="s">
        <v>17</v>
      </c>
      <c r="AS106" s="26">
        <v>125</v>
      </c>
      <c r="AT106" s="26">
        <v>188</v>
      </c>
      <c r="AU106" s="26">
        <v>685</v>
      </c>
      <c r="AV106" s="26">
        <v>227</v>
      </c>
      <c r="AW106" s="26">
        <v>239</v>
      </c>
      <c r="AX106" s="26">
        <v>251</v>
      </c>
      <c r="AY106" s="26">
        <v>257</v>
      </c>
      <c r="AZ106" s="26">
        <v>280</v>
      </c>
      <c r="BA106" s="26">
        <v>0</v>
      </c>
      <c r="BB106" s="18" t="s">
        <v>17</v>
      </c>
      <c r="BC106" s="18" t="s">
        <v>17</v>
      </c>
      <c r="BD106" s="18" t="s">
        <v>17</v>
      </c>
      <c r="BE106" s="18" t="s">
        <v>17</v>
      </c>
      <c r="BF106" s="18" t="s">
        <v>17</v>
      </c>
      <c r="BG106" s="18" t="s">
        <v>17</v>
      </c>
      <c r="BH106" s="18" t="s">
        <v>17</v>
      </c>
      <c r="BI106" s="18" t="s">
        <v>17</v>
      </c>
      <c r="BJ106" s="18" t="s">
        <v>17</v>
      </c>
      <c r="BK106" s="18" t="s">
        <v>17</v>
      </c>
    </row>
    <row r="107" spans="1:64" ht="27.95" customHeight="1">
      <c r="A107" s="14" t="s">
        <v>157</v>
      </c>
      <c r="B107" s="15" t="s">
        <v>158</v>
      </c>
      <c r="C107" s="15" t="s">
        <v>26</v>
      </c>
      <c r="D107" s="15"/>
      <c r="E107" s="43"/>
      <c r="F107" s="43"/>
      <c r="G107" s="17" t="str">
        <f>VLOOKUP(A107,'KPI Описание'!A:K,11,0)</f>
        <v>Оператор</v>
      </c>
      <c r="H107" s="17" t="s">
        <v>40</v>
      </c>
      <c r="I107" s="18"/>
      <c r="J107" s="19"/>
      <c r="K107" s="16">
        <v>510</v>
      </c>
      <c r="L107" s="16">
        <v>504</v>
      </c>
      <c r="M107" s="16">
        <v>519</v>
      </c>
      <c r="N107" s="16">
        <v>519</v>
      </c>
      <c r="O107" s="16">
        <v>519</v>
      </c>
      <c r="P107" s="16">
        <v>571</v>
      </c>
      <c r="Q107" s="18" t="s">
        <v>17</v>
      </c>
      <c r="R107" s="16">
        <v>760</v>
      </c>
      <c r="S107" s="18" t="s">
        <v>17</v>
      </c>
      <c r="T107" s="18" t="s">
        <v>17</v>
      </c>
      <c r="U107" s="16">
        <v>1440</v>
      </c>
      <c r="V107" s="16">
        <v>798</v>
      </c>
      <c r="W107" s="34">
        <v>1161</v>
      </c>
      <c r="X107" s="26">
        <v>757</v>
      </c>
      <c r="Y107" s="26" t="s">
        <v>17</v>
      </c>
      <c r="Z107" s="26">
        <v>307</v>
      </c>
      <c r="AA107" s="26" t="s">
        <v>17</v>
      </c>
      <c r="AB107" s="26" t="s">
        <v>17</v>
      </c>
      <c r="AC107" s="26" t="s">
        <v>17</v>
      </c>
      <c r="AD107" s="26" t="s">
        <v>17</v>
      </c>
      <c r="AE107" s="26" t="s">
        <v>17</v>
      </c>
      <c r="AF107" s="26" t="s">
        <v>17</v>
      </c>
      <c r="AG107" s="26" t="s">
        <v>17</v>
      </c>
      <c r="AH107" s="26" t="s">
        <v>17</v>
      </c>
      <c r="AI107" s="26" t="s">
        <v>17</v>
      </c>
      <c r="AJ107" s="26" t="s">
        <v>17</v>
      </c>
      <c r="AK107" s="26">
        <v>163</v>
      </c>
      <c r="AL107" s="26">
        <v>163</v>
      </c>
      <c r="AM107" s="26">
        <v>163</v>
      </c>
      <c r="AN107" s="26">
        <v>31</v>
      </c>
      <c r="AO107" s="26">
        <v>38</v>
      </c>
      <c r="AP107" s="26" t="s">
        <v>17</v>
      </c>
      <c r="AQ107" s="18" t="s">
        <v>17</v>
      </c>
      <c r="AR107" s="18" t="s">
        <v>17</v>
      </c>
      <c r="AS107" s="26">
        <v>31</v>
      </c>
      <c r="AT107" s="26">
        <v>61</v>
      </c>
      <c r="AU107" s="26">
        <v>164</v>
      </c>
      <c r="AV107" s="26">
        <v>70</v>
      </c>
      <c r="AW107" s="26">
        <v>81</v>
      </c>
      <c r="AX107" s="26">
        <v>82</v>
      </c>
      <c r="AY107" s="26">
        <v>85</v>
      </c>
      <c r="AZ107" s="26">
        <v>86</v>
      </c>
      <c r="BA107" s="26">
        <v>0</v>
      </c>
      <c r="BB107" s="18" t="s">
        <v>17</v>
      </c>
      <c r="BC107" s="18" t="s">
        <v>17</v>
      </c>
      <c r="BD107" s="18" t="s">
        <v>17</v>
      </c>
      <c r="BE107" s="18" t="s">
        <v>17</v>
      </c>
      <c r="BF107" s="18" t="s">
        <v>17</v>
      </c>
      <c r="BG107" s="18" t="s">
        <v>17</v>
      </c>
      <c r="BH107" s="18" t="s">
        <v>17</v>
      </c>
      <c r="BI107" s="18" t="s">
        <v>17</v>
      </c>
      <c r="BJ107" s="18" t="s">
        <v>17</v>
      </c>
      <c r="BK107" s="18" t="s">
        <v>17</v>
      </c>
    </row>
    <row r="108" spans="1:64" ht="27.95" customHeight="1">
      <c r="A108" s="14" t="s">
        <v>157</v>
      </c>
      <c r="B108" s="15" t="s">
        <v>158</v>
      </c>
      <c r="C108" s="15" t="s">
        <v>26</v>
      </c>
      <c r="D108" s="15"/>
      <c r="E108" s="43"/>
      <c r="F108" s="43"/>
      <c r="G108" s="17" t="str">
        <f>VLOOKUP(A108,'KPI Описание'!A:K,11,0)</f>
        <v>Оператор</v>
      </c>
      <c r="H108" s="17" t="s">
        <v>43</v>
      </c>
      <c r="I108" s="18"/>
      <c r="J108" s="19"/>
      <c r="K108" s="20">
        <v>1313</v>
      </c>
      <c r="L108" s="20">
        <v>1252</v>
      </c>
      <c r="M108" s="20">
        <v>1337</v>
      </c>
      <c r="N108" s="20">
        <v>1395</v>
      </c>
      <c r="O108" s="20">
        <v>1486</v>
      </c>
      <c r="P108" s="20">
        <v>1945</v>
      </c>
      <c r="Q108" s="18" t="s">
        <v>17</v>
      </c>
      <c r="R108" s="16">
        <v>4145</v>
      </c>
      <c r="S108" s="18" t="s">
        <v>17</v>
      </c>
      <c r="T108" s="18" t="s">
        <v>17</v>
      </c>
      <c r="U108" s="16">
        <v>4023</v>
      </c>
      <c r="V108" s="16">
        <v>3527</v>
      </c>
      <c r="W108" s="34">
        <v>2776</v>
      </c>
      <c r="X108" s="26">
        <v>3161</v>
      </c>
      <c r="Y108" s="26" t="s">
        <v>17</v>
      </c>
      <c r="Z108" s="26">
        <v>1799</v>
      </c>
      <c r="AA108" s="26" t="s">
        <v>17</v>
      </c>
      <c r="AB108" s="26" t="s">
        <v>17</v>
      </c>
      <c r="AC108" s="26" t="s">
        <v>17</v>
      </c>
      <c r="AD108" s="26" t="s">
        <v>17</v>
      </c>
      <c r="AE108" s="26" t="s">
        <v>17</v>
      </c>
      <c r="AF108" s="26" t="s">
        <v>17</v>
      </c>
      <c r="AG108" s="26" t="s">
        <v>17</v>
      </c>
      <c r="AH108" s="26" t="s">
        <v>17</v>
      </c>
      <c r="AI108" s="26" t="s">
        <v>17</v>
      </c>
      <c r="AJ108" s="26" t="s">
        <v>17</v>
      </c>
      <c r="AK108" s="26">
        <v>1810</v>
      </c>
      <c r="AL108" s="26">
        <v>1810</v>
      </c>
      <c r="AM108" s="26" t="s">
        <v>163</v>
      </c>
      <c r="AN108" s="26">
        <v>291</v>
      </c>
      <c r="AO108" s="26">
        <v>388</v>
      </c>
      <c r="AP108" s="26" t="s">
        <v>17</v>
      </c>
      <c r="AQ108" s="18" t="s">
        <v>17</v>
      </c>
      <c r="AR108" s="18" t="s">
        <v>17</v>
      </c>
      <c r="AS108" s="26">
        <v>193</v>
      </c>
      <c r="AT108" s="26">
        <v>288</v>
      </c>
      <c r="AU108" s="26">
        <v>1741</v>
      </c>
      <c r="AV108" s="26">
        <v>717</v>
      </c>
      <c r="AW108" s="26">
        <v>717</v>
      </c>
      <c r="AX108" s="26">
        <v>761</v>
      </c>
      <c r="AY108" s="26">
        <v>796</v>
      </c>
      <c r="AZ108" s="26">
        <v>793</v>
      </c>
      <c r="BA108" s="26">
        <v>0</v>
      </c>
      <c r="BB108" s="18" t="s">
        <v>17</v>
      </c>
      <c r="BC108" s="18" t="s">
        <v>17</v>
      </c>
      <c r="BD108" s="18" t="s">
        <v>17</v>
      </c>
      <c r="BE108" s="18" t="s">
        <v>17</v>
      </c>
      <c r="BF108" s="18" t="s">
        <v>17</v>
      </c>
      <c r="BG108" s="18" t="s">
        <v>17</v>
      </c>
      <c r="BH108" s="18" t="s">
        <v>17</v>
      </c>
      <c r="BI108" s="18" t="s">
        <v>17</v>
      </c>
      <c r="BJ108" s="18" t="s">
        <v>17</v>
      </c>
      <c r="BK108" s="18" t="s">
        <v>17</v>
      </c>
    </row>
    <row r="109" spans="1:64" ht="27.95" hidden="1" customHeight="1">
      <c r="A109" s="82" t="s">
        <v>164</v>
      </c>
      <c r="B109" s="84" t="s">
        <v>165</v>
      </c>
      <c r="C109" s="84" t="s">
        <v>58</v>
      </c>
      <c r="D109" s="84" t="s">
        <v>13</v>
      </c>
      <c r="E109" s="86" t="s">
        <v>159</v>
      </c>
      <c r="F109" s="86" t="s">
        <v>166</v>
      </c>
      <c r="G109" s="88" t="str">
        <f>VLOOKUP(A109,'KPI Описание'!A:K,11,0)</f>
        <v>Ревизор</v>
      </c>
      <c r="H109" s="88" t="s">
        <v>16</v>
      </c>
      <c r="I109" s="91">
        <f>VLOOKUP(A109,'KPI Описание'!A:P,16,0)</f>
        <v>0.95</v>
      </c>
      <c r="J109" s="95" t="str">
        <f>IFERROR(VLOOKUP(A109,'KPI Описание'!A:Q,17,0),0)</f>
        <v>higher</v>
      </c>
      <c r="K109" s="91">
        <v>0.97351045570773054</v>
      </c>
      <c r="L109" s="91">
        <v>0.98073390039229358</v>
      </c>
      <c r="M109" s="91">
        <v>0.95836416381851708</v>
      </c>
      <c r="N109" s="91">
        <v>0.97642494237476318</v>
      </c>
      <c r="O109" s="91">
        <v>0.97236678911169006</v>
      </c>
      <c r="P109" s="91">
        <v>0.96773092238599367</v>
      </c>
      <c r="Q109" s="91">
        <v>0.96773092238599367</v>
      </c>
      <c r="R109" s="91">
        <f>301700/323600*100%</f>
        <v>0.93232385661310258</v>
      </c>
      <c r="S109" s="91">
        <v>0.95441281192709204</v>
      </c>
      <c r="T109" s="91">
        <v>0.96247111802706653</v>
      </c>
      <c r="U109" s="91">
        <f>314961/330005*100%</f>
        <v>0.95441281192709204</v>
      </c>
      <c r="V109" s="91">
        <f>326578/339312*100%</f>
        <v>0.96247111802706653</v>
      </c>
      <c r="W109" s="91">
        <v>0.96247111802706653</v>
      </c>
      <c r="X109" s="91">
        <v>0.97</v>
      </c>
      <c r="Y109" s="91">
        <v>0.96247111802706653</v>
      </c>
      <c r="Z109" s="91">
        <v>0.95</v>
      </c>
      <c r="AA109" s="91">
        <v>0.98073390039229358</v>
      </c>
      <c r="AB109" s="91">
        <v>0.95836416381851708</v>
      </c>
      <c r="AC109" s="91">
        <v>0.97642494237476318</v>
      </c>
      <c r="AD109" s="91">
        <v>0.95720963374661505</v>
      </c>
      <c r="AE109" s="91">
        <v>0.93715473715473696</v>
      </c>
      <c r="AF109" s="91">
        <v>0.97557402707918595</v>
      </c>
      <c r="AG109" s="91">
        <v>0.98377137946388304</v>
      </c>
      <c r="AH109" s="91">
        <v>0.98315080817795397</v>
      </c>
      <c r="AI109" s="91">
        <v>0.97486175683566001</v>
      </c>
      <c r="AJ109" s="91">
        <v>0.96794071250164304</v>
      </c>
      <c r="AK109" s="91">
        <v>0.96795096322241703</v>
      </c>
      <c r="AL109" s="91">
        <v>0.97356566836596103</v>
      </c>
      <c r="AM109" s="91">
        <v>0.983744576340565</v>
      </c>
      <c r="AN109" s="91">
        <v>0.98526434015242703</v>
      </c>
      <c r="AO109" s="91">
        <v>0.94867829669064196</v>
      </c>
      <c r="AP109" s="91">
        <v>0.98118870769188204</v>
      </c>
      <c r="AQ109" s="91">
        <v>0.98072527696495904</v>
      </c>
      <c r="AR109" s="91">
        <v>0.96758005871805997</v>
      </c>
      <c r="AS109" s="91">
        <v>0.98301739501863195</v>
      </c>
      <c r="AT109" s="91">
        <v>0.98</v>
      </c>
      <c r="AU109" s="91">
        <v>0.91</v>
      </c>
      <c r="AV109" s="91">
        <v>0.93962075700000003</v>
      </c>
      <c r="AW109" s="91">
        <v>0.97634027499999998</v>
      </c>
      <c r="AX109" s="91">
        <v>0.97136668900000001</v>
      </c>
      <c r="AY109" s="91">
        <v>0.96627529700000003</v>
      </c>
      <c r="AZ109" s="91">
        <v>0.96322027300000002</v>
      </c>
      <c r="BA109" s="91">
        <v>0.99</v>
      </c>
      <c r="BB109" s="91" t="s">
        <v>17</v>
      </c>
      <c r="BC109" s="91" t="s">
        <v>17</v>
      </c>
      <c r="BD109" s="91" t="s">
        <v>17</v>
      </c>
      <c r="BE109" s="91" t="s">
        <v>17</v>
      </c>
      <c r="BF109" s="91" t="s">
        <v>17</v>
      </c>
      <c r="BG109" s="91" t="s">
        <v>17</v>
      </c>
      <c r="BH109" s="91" t="s">
        <v>17</v>
      </c>
      <c r="BI109" s="91" t="s">
        <v>17</v>
      </c>
      <c r="BJ109" s="91" t="s">
        <v>17</v>
      </c>
      <c r="BK109" s="91" t="s">
        <v>17</v>
      </c>
    </row>
    <row r="110" spans="1:64" s="72" customFormat="1" ht="27.95" hidden="1" customHeight="1">
      <c r="A110" s="81" t="s">
        <v>164</v>
      </c>
      <c r="B110" s="83" t="s">
        <v>165</v>
      </c>
      <c r="C110" s="83" t="s">
        <v>58</v>
      </c>
      <c r="D110" s="83"/>
      <c r="E110" s="85"/>
      <c r="F110" s="85"/>
      <c r="G110" s="87" t="str">
        <f>VLOOKUP(A110,'KPI Описание'!A:K,11,0)</f>
        <v>Ревизор</v>
      </c>
      <c r="H110" s="87" t="s">
        <v>33</v>
      </c>
      <c r="I110" s="89"/>
      <c r="J110" s="94"/>
      <c r="K110" s="89">
        <v>0.93794680640339978</v>
      </c>
      <c r="L110" s="89">
        <v>0.97052127818674283</v>
      </c>
      <c r="M110" s="89">
        <v>0.97483163441779075</v>
      </c>
      <c r="N110" s="89">
        <v>0.97784085149518496</v>
      </c>
      <c r="O110" s="89">
        <v>0.97942504429330746</v>
      </c>
      <c r="P110" s="89">
        <v>0.98068988903750876</v>
      </c>
      <c r="Q110" s="89" t="s">
        <v>17</v>
      </c>
      <c r="R110" s="89">
        <f>46479/55582*100%</f>
        <v>0.83622395739627942</v>
      </c>
      <c r="S110" s="89" t="s">
        <v>17</v>
      </c>
      <c r="T110" s="89" t="s">
        <v>17</v>
      </c>
      <c r="U110" s="89">
        <f>57628/59773*100%</f>
        <v>0.9641142321784083</v>
      </c>
      <c r="V110" s="89">
        <f>53241/57771*100%</f>
        <v>0.92158695539284419</v>
      </c>
      <c r="W110" s="89" t="s">
        <v>17</v>
      </c>
      <c r="X110" s="89">
        <v>0.96</v>
      </c>
      <c r="Y110" s="89" t="s">
        <v>17</v>
      </c>
      <c r="Z110" s="89">
        <v>0.95</v>
      </c>
      <c r="AA110" s="89" t="s">
        <v>17</v>
      </c>
      <c r="AB110" s="89" t="s">
        <v>17</v>
      </c>
      <c r="AC110" s="89" t="s">
        <v>17</v>
      </c>
      <c r="AD110" s="89" t="s">
        <v>17</v>
      </c>
      <c r="AE110" s="89" t="s">
        <v>17</v>
      </c>
      <c r="AF110" s="89" t="s">
        <v>17</v>
      </c>
      <c r="AG110" s="89" t="s">
        <v>17</v>
      </c>
      <c r="AH110" s="89" t="s">
        <v>17</v>
      </c>
      <c r="AI110" s="89" t="s">
        <v>17</v>
      </c>
      <c r="AJ110" s="89" t="s">
        <v>17</v>
      </c>
      <c r="AK110" s="89">
        <v>0.96</v>
      </c>
      <c r="AL110" s="89">
        <v>0.96</v>
      </c>
      <c r="AM110" s="89">
        <v>0.97364524200000002</v>
      </c>
      <c r="AN110" s="89">
        <v>0.98268390900000002</v>
      </c>
      <c r="AO110" s="89">
        <f>55963/56972</f>
        <v>0.98228954574176786</v>
      </c>
      <c r="AP110" s="89">
        <v>0.97740776600000001</v>
      </c>
      <c r="AQ110" s="89">
        <v>0.98210344400000005</v>
      </c>
      <c r="AR110" s="89">
        <v>0.96247999299999998</v>
      </c>
      <c r="AS110" s="89">
        <v>0.97450040100000002</v>
      </c>
      <c r="AT110" s="89">
        <v>0.98</v>
      </c>
      <c r="AU110" s="89">
        <v>0.97</v>
      </c>
      <c r="AV110" s="89">
        <v>0.97651332199999996</v>
      </c>
      <c r="AW110" s="89">
        <v>0.97264431500000004</v>
      </c>
      <c r="AX110" s="89">
        <v>0.971598709</v>
      </c>
      <c r="AY110" s="89">
        <v>0.96750791300000005</v>
      </c>
      <c r="AZ110" s="89">
        <v>0.97569426400000003</v>
      </c>
      <c r="BA110" s="89">
        <v>0.98</v>
      </c>
      <c r="BB110" s="89" t="s">
        <v>17</v>
      </c>
      <c r="BC110" s="89" t="s">
        <v>17</v>
      </c>
      <c r="BD110" s="89" t="s">
        <v>17</v>
      </c>
      <c r="BE110" s="89" t="s">
        <v>17</v>
      </c>
      <c r="BF110" s="89" t="s">
        <v>17</v>
      </c>
      <c r="BG110" s="89" t="s">
        <v>17</v>
      </c>
      <c r="BH110" s="89" t="s">
        <v>17</v>
      </c>
      <c r="BI110" s="89" t="s">
        <v>17</v>
      </c>
      <c r="BJ110" s="89" t="s">
        <v>17</v>
      </c>
      <c r="BK110" s="89" t="s">
        <v>17</v>
      </c>
      <c r="BL110" s="74"/>
    </row>
    <row r="111" spans="1:64" ht="27.95" hidden="1" customHeight="1">
      <c r="A111" s="14" t="s">
        <v>164</v>
      </c>
      <c r="B111" s="15" t="s">
        <v>165</v>
      </c>
      <c r="C111" s="15" t="s">
        <v>58</v>
      </c>
      <c r="D111" s="15"/>
      <c r="E111" s="43"/>
      <c r="F111" s="43"/>
      <c r="G111" s="17" t="str">
        <f>VLOOKUP(A111,'KPI Описание'!A:K,11,0)</f>
        <v>Ревизор</v>
      </c>
      <c r="H111" s="17" t="s">
        <v>36</v>
      </c>
      <c r="I111" s="18"/>
      <c r="J111" s="19"/>
      <c r="K111" s="18">
        <v>1</v>
      </c>
      <c r="L111" s="18">
        <v>1</v>
      </c>
      <c r="M111" s="18">
        <v>1</v>
      </c>
      <c r="N111" s="18">
        <v>1</v>
      </c>
      <c r="O111" s="18">
        <v>1</v>
      </c>
      <c r="P111" s="18">
        <v>1</v>
      </c>
      <c r="Q111" s="18" t="s">
        <v>17</v>
      </c>
      <c r="R111" s="18">
        <f>940/949*100%</f>
        <v>0.99051633298208641</v>
      </c>
      <c r="S111" s="18" t="s">
        <v>17</v>
      </c>
      <c r="T111" s="18" t="s">
        <v>17</v>
      </c>
      <c r="U111" s="32">
        <f>1107/1107*100%</f>
        <v>1</v>
      </c>
      <c r="V111" s="18">
        <f>955/955</f>
        <v>1</v>
      </c>
      <c r="W111" s="18" t="s">
        <v>17</v>
      </c>
      <c r="X111" s="18">
        <v>1</v>
      </c>
      <c r="Y111" s="18" t="s">
        <v>17</v>
      </c>
      <c r="Z111" s="18">
        <v>0.95</v>
      </c>
      <c r="AA111" s="18" t="s">
        <v>17</v>
      </c>
      <c r="AB111" s="18" t="s">
        <v>17</v>
      </c>
      <c r="AC111" s="18" t="s">
        <v>17</v>
      </c>
      <c r="AD111" s="18" t="s">
        <v>17</v>
      </c>
      <c r="AE111" s="18" t="s">
        <v>17</v>
      </c>
      <c r="AF111" s="18" t="s">
        <v>17</v>
      </c>
      <c r="AG111" s="18" t="s">
        <v>17</v>
      </c>
      <c r="AH111" s="18" t="s">
        <v>17</v>
      </c>
      <c r="AI111" s="18" t="s">
        <v>17</v>
      </c>
      <c r="AJ111" s="18" t="s">
        <v>17</v>
      </c>
      <c r="AK111" s="18">
        <v>0.998</v>
      </c>
      <c r="AL111" s="18">
        <v>0.998</v>
      </c>
      <c r="AM111" s="18">
        <v>0.99770291</v>
      </c>
      <c r="AN111" s="18">
        <v>0.95398230100000003</v>
      </c>
      <c r="AO111" s="18">
        <f>1672/1732</f>
        <v>0.96535796766743653</v>
      </c>
      <c r="AP111" s="18">
        <v>0.96520251000000001</v>
      </c>
      <c r="AQ111" s="18">
        <v>0.96396895800000004</v>
      </c>
      <c r="AR111" s="18">
        <v>0.99544159499999996</v>
      </c>
      <c r="AS111" s="18">
        <v>0.99545454499999997</v>
      </c>
      <c r="AT111" s="18">
        <v>0.99</v>
      </c>
      <c r="AU111" s="18">
        <v>0.99</v>
      </c>
      <c r="AV111" s="18">
        <v>0.99114064199999996</v>
      </c>
      <c r="AW111" s="18">
        <v>0.99166666699999995</v>
      </c>
      <c r="AX111" s="18">
        <v>0.99273717699999997</v>
      </c>
      <c r="AY111" s="18">
        <v>0.97092163600000003</v>
      </c>
      <c r="AZ111" s="18">
        <v>0.973780808</v>
      </c>
      <c r="BA111" s="18">
        <v>0.93</v>
      </c>
      <c r="BB111" s="18" t="s">
        <v>17</v>
      </c>
      <c r="BC111" s="18" t="s">
        <v>17</v>
      </c>
      <c r="BD111" s="18" t="s">
        <v>17</v>
      </c>
      <c r="BE111" s="18" t="s">
        <v>17</v>
      </c>
      <c r="BF111" s="18" t="s">
        <v>17</v>
      </c>
      <c r="BG111" s="18" t="s">
        <v>17</v>
      </c>
      <c r="BH111" s="18" t="s">
        <v>17</v>
      </c>
      <c r="BI111" s="18" t="s">
        <v>17</v>
      </c>
      <c r="BJ111" s="18" t="s">
        <v>17</v>
      </c>
      <c r="BK111" s="18" t="s">
        <v>17</v>
      </c>
    </row>
    <row r="112" spans="1:64" ht="27.95" hidden="1" customHeight="1">
      <c r="A112" s="14" t="s">
        <v>164</v>
      </c>
      <c r="B112" s="15" t="s">
        <v>165</v>
      </c>
      <c r="C112" s="15" t="s">
        <v>58</v>
      </c>
      <c r="D112" s="15"/>
      <c r="E112" s="43"/>
      <c r="F112" s="43"/>
      <c r="G112" s="17" t="str">
        <f>VLOOKUP(A112,'KPI Описание'!A:K,11,0)</f>
        <v>Ревизор</v>
      </c>
      <c r="H112" s="17" t="s">
        <v>37</v>
      </c>
      <c r="I112" s="18"/>
      <c r="J112" s="19"/>
      <c r="K112" s="18">
        <v>0.99254382485920523</v>
      </c>
      <c r="L112" s="18">
        <v>0.99338418342408297</v>
      </c>
      <c r="M112" s="18">
        <v>0.99224005300571605</v>
      </c>
      <c r="N112" s="18">
        <v>0.99184601145775975</v>
      </c>
      <c r="O112" s="18">
        <v>0.99186477343336477</v>
      </c>
      <c r="P112" s="18">
        <v>0.98883814166448369</v>
      </c>
      <c r="Q112" s="18" t="s">
        <v>17</v>
      </c>
      <c r="R112" s="18">
        <f>87553/89022*100%</f>
        <v>0.98349846105457073</v>
      </c>
      <c r="S112" s="18" t="s">
        <v>17</v>
      </c>
      <c r="T112" s="18" t="s">
        <v>17</v>
      </c>
      <c r="U112" s="18">
        <f>90669/93209*100%</f>
        <v>0.97274941261037029</v>
      </c>
      <c r="V112" s="18">
        <f>94492/97068*100%</f>
        <v>0.97346190299583801</v>
      </c>
      <c r="W112" s="18" t="s">
        <v>17</v>
      </c>
      <c r="X112" s="18">
        <v>0.99</v>
      </c>
      <c r="Y112" s="18" t="s">
        <v>17</v>
      </c>
      <c r="Z112" s="18">
        <v>0.95</v>
      </c>
      <c r="AA112" s="18" t="s">
        <v>17</v>
      </c>
      <c r="AB112" s="18" t="s">
        <v>17</v>
      </c>
      <c r="AC112" s="18" t="s">
        <v>17</v>
      </c>
      <c r="AD112" s="18" t="s">
        <v>17</v>
      </c>
      <c r="AE112" s="18" t="s">
        <v>17</v>
      </c>
      <c r="AF112" s="18" t="s">
        <v>17</v>
      </c>
      <c r="AG112" s="18" t="s">
        <v>17</v>
      </c>
      <c r="AH112" s="18" t="s">
        <v>17</v>
      </c>
      <c r="AI112" s="18" t="s">
        <v>17</v>
      </c>
      <c r="AJ112" s="18" t="s">
        <v>17</v>
      </c>
      <c r="AK112" s="18">
        <v>0.97</v>
      </c>
      <c r="AL112" s="18">
        <v>0.97</v>
      </c>
      <c r="AM112" s="18">
        <v>0.98541698</v>
      </c>
      <c r="AN112" s="18">
        <v>0.98428903199999995</v>
      </c>
      <c r="AO112" s="18">
        <f>93501/94977</f>
        <v>0.98445939543257843</v>
      </c>
      <c r="AP112" s="18">
        <v>0.98556862700000003</v>
      </c>
      <c r="AQ112" s="18">
        <v>0.98467627499999999</v>
      </c>
      <c r="AR112" s="18">
        <v>0.98313441400000001</v>
      </c>
      <c r="AS112" s="18">
        <v>0.98679032</v>
      </c>
      <c r="AT112" s="18">
        <v>0.99</v>
      </c>
      <c r="AU112" s="18">
        <v>0.77</v>
      </c>
      <c r="AV112" s="18">
        <v>0.84577932700000003</v>
      </c>
      <c r="AW112" s="18">
        <v>0.98464350499999997</v>
      </c>
      <c r="AX112" s="18">
        <v>0.98605955700000003</v>
      </c>
      <c r="AY112" s="18">
        <v>0.98310302199999999</v>
      </c>
      <c r="AZ112" s="18">
        <v>0.95352623199999997</v>
      </c>
      <c r="BA112" s="18">
        <v>0.99</v>
      </c>
      <c r="BB112" s="18" t="s">
        <v>17</v>
      </c>
      <c r="BC112" s="18" t="s">
        <v>17</v>
      </c>
      <c r="BD112" s="18" t="s">
        <v>17</v>
      </c>
      <c r="BE112" s="18" t="s">
        <v>17</v>
      </c>
      <c r="BF112" s="18" t="s">
        <v>17</v>
      </c>
      <c r="BG112" s="18" t="s">
        <v>17</v>
      </c>
      <c r="BH112" s="18" t="s">
        <v>17</v>
      </c>
      <c r="BI112" s="18" t="s">
        <v>17</v>
      </c>
      <c r="BJ112" s="18" t="s">
        <v>17</v>
      </c>
      <c r="BK112" s="18" t="s">
        <v>17</v>
      </c>
    </row>
    <row r="113" spans="1:63" ht="27.95" hidden="1" customHeight="1">
      <c r="A113" s="14" t="s">
        <v>164</v>
      </c>
      <c r="B113" s="15" t="s">
        <v>165</v>
      </c>
      <c r="C113" s="15" t="s">
        <v>58</v>
      </c>
      <c r="D113" s="15"/>
      <c r="E113" s="43"/>
      <c r="F113" s="43"/>
      <c r="G113" s="17" t="str">
        <f>VLOOKUP(A113,'KPI Описание'!A:K,11,0)</f>
        <v>Ревизор</v>
      </c>
      <c r="H113" s="17" t="s">
        <v>40</v>
      </c>
      <c r="I113" s="18"/>
      <c r="J113" s="19"/>
      <c r="K113" s="18">
        <v>0.92874356446489215</v>
      </c>
      <c r="L113" s="18">
        <v>0.94602951510892486</v>
      </c>
      <c r="M113" s="18">
        <v>0.94868360277136254</v>
      </c>
      <c r="N113" s="18">
        <v>0.95079393558805059</v>
      </c>
      <c r="O113" s="18">
        <v>0.95538189097628579</v>
      </c>
      <c r="P113" s="18">
        <v>0.9385360003426565</v>
      </c>
      <c r="Q113" s="18" t="s">
        <v>17</v>
      </c>
      <c r="R113" s="18">
        <f>29009/36101*100%</f>
        <v>0.80355114816764084</v>
      </c>
      <c r="S113" s="18" t="s">
        <v>17</v>
      </c>
      <c r="T113" s="18" t="s">
        <v>17</v>
      </c>
      <c r="U113" s="18">
        <f>28448/30695*100%</f>
        <v>0.92679589509692129</v>
      </c>
      <c r="V113" s="18">
        <f>29807/31386*100%</f>
        <v>0.94969094500732809</v>
      </c>
      <c r="W113" s="18" t="s">
        <v>17</v>
      </c>
      <c r="X113" s="18">
        <v>0.95930000000000004</v>
      </c>
      <c r="Y113" s="18" t="s">
        <v>17</v>
      </c>
      <c r="Z113" s="18">
        <v>0.95</v>
      </c>
      <c r="AA113" s="18" t="s">
        <v>17</v>
      </c>
      <c r="AB113" s="18" t="s">
        <v>17</v>
      </c>
      <c r="AC113" s="18" t="s">
        <v>17</v>
      </c>
      <c r="AD113" s="18" t="s">
        <v>17</v>
      </c>
      <c r="AE113" s="18" t="s">
        <v>17</v>
      </c>
      <c r="AF113" s="18" t="s">
        <v>17</v>
      </c>
      <c r="AG113" s="18" t="s">
        <v>17</v>
      </c>
      <c r="AH113" s="18" t="s">
        <v>17</v>
      </c>
      <c r="AI113" s="18" t="s">
        <v>17</v>
      </c>
      <c r="AJ113" s="18" t="s">
        <v>17</v>
      </c>
      <c r="AK113" s="18">
        <v>0.95</v>
      </c>
      <c r="AL113" s="18">
        <v>0.97</v>
      </c>
      <c r="AM113" s="18">
        <v>0.98707804399999999</v>
      </c>
      <c r="AN113" s="18">
        <v>0.98346097399999999</v>
      </c>
      <c r="AO113" s="18">
        <f>37485/37964</f>
        <v>0.98738278368981136</v>
      </c>
      <c r="AP113" s="18">
        <v>0.98534190200000005</v>
      </c>
      <c r="AQ113" s="18">
        <v>0.98976289200000001</v>
      </c>
      <c r="AR113" s="18">
        <v>0.98438895900000001</v>
      </c>
      <c r="AS113" s="18">
        <v>0.99068554399999997</v>
      </c>
      <c r="AT113" s="18">
        <v>0.99</v>
      </c>
      <c r="AU113" s="18">
        <v>0.98</v>
      </c>
      <c r="AV113" s="18">
        <v>0.98002295500000003</v>
      </c>
      <c r="AW113" s="18">
        <v>0.94360517899999996</v>
      </c>
      <c r="AX113" s="18">
        <v>0.91736642199999996</v>
      </c>
      <c r="AY113" s="18">
        <v>0.934211495</v>
      </c>
      <c r="AZ113" s="18">
        <v>0.96089131400000005</v>
      </c>
      <c r="BA113" s="18">
        <v>0.98</v>
      </c>
      <c r="BB113" s="18" t="s">
        <v>17</v>
      </c>
      <c r="BC113" s="18" t="s">
        <v>17</v>
      </c>
      <c r="BD113" s="18" t="s">
        <v>17</v>
      </c>
      <c r="BE113" s="18" t="s">
        <v>17</v>
      </c>
      <c r="BF113" s="18" t="s">
        <v>17</v>
      </c>
      <c r="BG113" s="18" t="s">
        <v>17</v>
      </c>
      <c r="BH113" s="18" t="s">
        <v>17</v>
      </c>
      <c r="BI113" s="18" t="s">
        <v>17</v>
      </c>
      <c r="BJ113" s="18" t="s">
        <v>17</v>
      </c>
      <c r="BK113" s="18" t="s">
        <v>17</v>
      </c>
    </row>
    <row r="114" spans="1:63" ht="27.95" hidden="1" customHeight="1">
      <c r="A114" s="14" t="s">
        <v>164</v>
      </c>
      <c r="B114" s="15" t="s">
        <v>165</v>
      </c>
      <c r="C114" s="15" t="s">
        <v>58</v>
      </c>
      <c r="D114" s="15"/>
      <c r="E114" s="43"/>
      <c r="F114" s="43"/>
      <c r="G114" s="17" t="str">
        <f>VLOOKUP(A114,'KPI Описание'!A:K,11,0)</f>
        <v>Ревизор</v>
      </c>
      <c r="H114" s="17" t="s">
        <v>43</v>
      </c>
      <c r="I114" s="18"/>
      <c r="J114" s="19"/>
      <c r="K114" s="18">
        <v>0.98182215890607649</v>
      </c>
      <c r="L114" s="18">
        <v>0.98587486601606122</v>
      </c>
      <c r="M114" s="18">
        <v>0.94131027952555169</v>
      </c>
      <c r="N114" s="18">
        <v>0.97493817269845695</v>
      </c>
      <c r="O114" s="18">
        <v>0.96579466172425599</v>
      </c>
      <c r="P114" s="18">
        <v>0.95880922981941663</v>
      </c>
      <c r="Q114" s="18" t="s">
        <v>17</v>
      </c>
      <c r="R114" s="18">
        <f>136141/140368*100%</f>
        <v>0.96988629887153766</v>
      </c>
      <c r="S114" s="18" t="s">
        <v>17</v>
      </c>
      <c r="T114" s="18" t="s">
        <v>17</v>
      </c>
      <c r="U114" s="18">
        <f>134535/142240*100%</f>
        <v>0.94583098987626546</v>
      </c>
      <c r="V114" s="18">
        <f>142454/149146*100%</f>
        <v>0.95513121371005594</v>
      </c>
      <c r="W114" s="18" t="s">
        <v>17</v>
      </c>
      <c r="X114" s="18">
        <v>0.9536</v>
      </c>
      <c r="Y114" s="18" t="s">
        <v>17</v>
      </c>
      <c r="Z114" s="18">
        <v>0.95</v>
      </c>
      <c r="AA114" s="18" t="s">
        <v>17</v>
      </c>
      <c r="AB114" s="18" t="s">
        <v>17</v>
      </c>
      <c r="AC114" s="18" t="s">
        <v>17</v>
      </c>
      <c r="AD114" s="18" t="s">
        <v>17</v>
      </c>
      <c r="AE114" s="18" t="s">
        <v>17</v>
      </c>
      <c r="AF114" s="18" t="s">
        <v>17</v>
      </c>
      <c r="AG114" s="18" t="s">
        <v>17</v>
      </c>
      <c r="AH114" s="18" t="s">
        <v>17</v>
      </c>
      <c r="AI114" s="18" t="s">
        <v>17</v>
      </c>
      <c r="AJ114" s="18" t="s">
        <v>17</v>
      </c>
      <c r="AK114" s="18">
        <v>0.97</v>
      </c>
      <c r="AL114" s="18">
        <v>0.98</v>
      </c>
      <c r="AM114" s="18">
        <v>0.98810327899999995</v>
      </c>
      <c r="AN114" s="18">
        <v>0.99022146499999997</v>
      </c>
      <c r="AO114" s="18">
        <f>98402/110734</f>
        <v>0.88863402387703871</v>
      </c>
      <c r="AP114" s="18">
        <v>0.97967502100000003</v>
      </c>
      <c r="AQ114" s="18">
        <v>0.972657035</v>
      </c>
      <c r="AR114" s="18">
        <v>0.94517176599999997</v>
      </c>
      <c r="AS114" s="18">
        <v>0.98334012900000001</v>
      </c>
      <c r="AT114" s="18">
        <v>0.98</v>
      </c>
      <c r="AU114" s="18">
        <v>0.97</v>
      </c>
      <c r="AV114" s="18">
        <v>0.98218866199999999</v>
      </c>
      <c r="AW114" s="18">
        <v>0.97978663099999996</v>
      </c>
      <c r="AX114" s="18">
        <v>0.97024259899999998</v>
      </c>
      <c r="AY114" s="18">
        <v>0.95959811100000003</v>
      </c>
      <c r="AZ114" s="18">
        <v>0.96637930000000005</v>
      </c>
      <c r="BA114" s="18">
        <v>0.99</v>
      </c>
      <c r="BB114" s="18" t="s">
        <v>17</v>
      </c>
      <c r="BC114" s="18" t="s">
        <v>17</v>
      </c>
      <c r="BD114" s="18" t="s">
        <v>17</v>
      </c>
      <c r="BE114" s="18" t="s">
        <v>17</v>
      </c>
      <c r="BF114" s="18" t="s">
        <v>17</v>
      </c>
      <c r="BG114" s="18" t="s">
        <v>17</v>
      </c>
      <c r="BH114" s="18" t="s">
        <v>17</v>
      </c>
      <c r="BI114" s="18" t="s">
        <v>17</v>
      </c>
      <c r="BJ114" s="18" t="s">
        <v>17</v>
      </c>
      <c r="BK114" s="18" t="s">
        <v>17</v>
      </c>
    </row>
    <row r="115" spans="1:63" ht="27.95" customHeight="1">
      <c r="A115" s="82" t="s">
        <v>167</v>
      </c>
      <c r="B115" s="84" t="s">
        <v>168</v>
      </c>
      <c r="C115" s="84" t="s">
        <v>63</v>
      </c>
      <c r="D115" s="84" t="s">
        <v>13</v>
      </c>
      <c r="E115" s="86" t="s">
        <v>169</v>
      </c>
      <c r="F115" s="86" t="s">
        <v>170</v>
      </c>
      <c r="G115" s="88" t="str">
        <f>VLOOKUP(A115,'KPI Описание'!A:K,11,0)</f>
        <v>Оператор</v>
      </c>
      <c r="H115" s="88" t="s">
        <v>16</v>
      </c>
      <c r="I115" s="91">
        <f>VLOOKUP(A115,'KPI Описание'!A:P,16,0)</f>
        <v>0.8</v>
      </c>
      <c r="J115" s="95" t="str">
        <f>IFERROR(VLOOKUP(A115,'KPI Описание'!A:Q,17,0),0)</f>
        <v>lower</v>
      </c>
      <c r="K115" s="91">
        <f>SUM(K116:K120)/3200</f>
        <v>0.69281250000000005</v>
      </c>
      <c r="L115" s="91">
        <f>SUM(L116:L120)/3200</f>
        <v>0.70468750000000002</v>
      </c>
      <c r="M115" s="91">
        <f>SUM(M116:M120)/3200</f>
        <v>1.1196874999999999</v>
      </c>
      <c r="N115" s="91">
        <f>SUM(N116:N120)/3200</f>
        <v>1.5853124999999999</v>
      </c>
      <c r="O115" s="91">
        <f>SUM(O116:O120)/3200</f>
        <v>1.0290625</v>
      </c>
      <c r="P115" s="91">
        <f>SUM(P116:P120)/3200</f>
        <v>0.64656250000000004</v>
      </c>
      <c r="Q115" s="91">
        <f>SUM(Q116:Q120)/3200</f>
        <v>0.25218750000000001</v>
      </c>
      <c r="R115" s="91">
        <f>SUM(R116:R120)/3200</f>
        <v>0.7265625</v>
      </c>
      <c r="S115" s="91">
        <f>SUM(S116:S120)/3200</f>
        <v>0.90093749999999995</v>
      </c>
      <c r="T115" s="91">
        <f>SUM(T116:T120)/3200</f>
        <v>0.71625000000000005</v>
      </c>
      <c r="U115" s="91">
        <f>SUM(U116:U120)/3200</f>
        <v>1.0956250000000001</v>
      </c>
      <c r="V115" s="91">
        <f>SUM(V116:V120)/3200</f>
        <v>1.2124999999999999</v>
      </c>
      <c r="W115" s="91">
        <f>SUM(W116:W120)/3200</f>
        <v>0.4115625</v>
      </c>
      <c r="X115" s="91">
        <f>SUM(X116:X120)/3200</f>
        <v>0.65500000000000003</v>
      </c>
      <c r="Y115" s="91">
        <f>SUM(Y116:Y120)/3200</f>
        <v>0.54749999999999999</v>
      </c>
      <c r="Z115" s="91">
        <f>SUM(Z116:Z120)/3200</f>
        <v>0.77156250000000004</v>
      </c>
      <c r="AA115" s="91">
        <f>SUM(AA116:AA120)/3200</f>
        <v>1.6503125000000001</v>
      </c>
      <c r="AB115" s="91">
        <f>SUM(AB116:AB120)/3200</f>
        <v>1.9025000000000001</v>
      </c>
      <c r="AC115" s="91">
        <f>SUM(AC116:AC120)/3200</f>
        <v>1.4256249999999999</v>
      </c>
      <c r="AD115" s="91">
        <f>SUM(AD116:AD120)/3200</f>
        <v>1.595</v>
      </c>
      <c r="AE115" s="91">
        <f>SUM(AE116:AE120)/3200</f>
        <v>2.5553124999999999</v>
      </c>
      <c r="AF115" s="91">
        <f>69/3200</f>
        <v>2.1562499999999998E-2</v>
      </c>
      <c r="AG115" s="109">
        <f>121/3200</f>
        <v>3.7812499999999999E-2</v>
      </c>
      <c r="AH115" s="109">
        <f>930/3200</f>
        <v>0.29062500000000002</v>
      </c>
      <c r="AI115" s="91">
        <f>2525/3200</f>
        <v>0.7890625</v>
      </c>
      <c r="AJ115" s="91">
        <f>2846/3200</f>
        <v>0.88937500000000003</v>
      </c>
      <c r="AK115" s="91">
        <f>1109/3200</f>
        <v>0.3465625</v>
      </c>
      <c r="AL115" s="91">
        <f>357/3200</f>
        <v>0.1115625</v>
      </c>
      <c r="AM115" s="91">
        <f>2113/3200</f>
        <v>0.66031249999999997</v>
      </c>
      <c r="AN115" s="108">
        <f>1516/3200</f>
        <v>0.47375</v>
      </c>
      <c r="AO115" s="108">
        <v>0.95374999999999999</v>
      </c>
      <c r="AP115" s="108">
        <f>4855/3200</f>
        <v>1.5171874999999999</v>
      </c>
      <c r="AQ115" s="108">
        <f>6012/3200</f>
        <v>1.8787499999999999</v>
      </c>
      <c r="AR115" s="91">
        <v>2</v>
      </c>
      <c r="AS115" s="91">
        <f>5785/3200</f>
        <v>1.8078125</v>
      </c>
      <c r="AT115" s="108">
        <f>6698/3200</f>
        <v>2.0931250000000001</v>
      </c>
      <c r="AU115" s="91">
        <f>4229/3200</f>
        <v>1.3215625</v>
      </c>
      <c r="AV115" s="91">
        <f>6317/3200</f>
        <v>1.9740625000000001</v>
      </c>
      <c r="AW115" s="91">
        <f>5157/3200</f>
        <v>1.6115625</v>
      </c>
      <c r="AX115" s="91">
        <f>7032/3200</f>
        <v>2.1974999999999998</v>
      </c>
      <c r="AY115" s="91">
        <f>5928/3200</f>
        <v>1.8525</v>
      </c>
      <c r="AZ115" s="91">
        <f>5522/3200</f>
        <v>1.725625</v>
      </c>
      <c r="BA115" s="108">
        <v>0.833125</v>
      </c>
      <c r="BB115" s="91" t="s">
        <v>17</v>
      </c>
      <c r="BC115" s="91" t="s">
        <v>17</v>
      </c>
      <c r="BD115" s="91" t="s">
        <v>17</v>
      </c>
      <c r="BE115" s="91" t="s">
        <v>17</v>
      </c>
      <c r="BF115" s="91" t="s">
        <v>17</v>
      </c>
      <c r="BG115" s="91" t="s">
        <v>17</v>
      </c>
      <c r="BH115" s="91" t="s">
        <v>17</v>
      </c>
      <c r="BI115" s="91" t="s">
        <v>17</v>
      </c>
      <c r="BJ115" s="91" t="s">
        <v>17</v>
      </c>
      <c r="BK115" s="91" t="s">
        <v>17</v>
      </c>
    </row>
    <row r="116" spans="1:63" s="72" customFormat="1" ht="30.75" customHeight="1">
      <c r="A116" s="81" t="s">
        <v>167</v>
      </c>
      <c r="B116" s="83" t="s">
        <v>168</v>
      </c>
      <c r="C116" s="83" t="s">
        <v>68</v>
      </c>
      <c r="D116" s="83"/>
      <c r="E116" s="85"/>
      <c r="F116" s="85"/>
      <c r="G116" s="87" t="str">
        <f>VLOOKUP(A116,'KPI Описание'!A:K,11,0)</f>
        <v>Оператор</v>
      </c>
      <c r="H116" s="87" t="s">
        <v>33</v>
      </c>
      <c r="I116" s="89"/>
      <c r="J116" s="94"/>
      <c r="K116" s="101">
        <v>5</v>
      </c>
      <c r="L116" s="101">
        <v>20</v>
      </c>
      <c r="M116" s="101">
        <f>1043+87</f>
        <v>1130</v>
      </c>
      <c r="N116" s="101">
        <f>1249+87</f>
        <v>1336</v>
      </c>
      <c r="O116" s="101">
        <v>683</v>
      </c>
      <c r="P116" s="101">
        <v>705</v>
      </c>
      <c r="Q116" s="101">
        <v>57</v>
      </c>
      <c r="R116" s="101">
        <v>56</v>
      </c>
      <c r="S116" s="101">
        <v>88</v>
      </c>
      <c r="T116" s="101">
        <v>277</v>
      </c>
      <c r="U116" s="93">
        <v>921</v>
      </c>
      <c r="V116" s="93">
        <v>1412</v>
      </c>
      <c r="W116" s="93">
        <v>339</v>
      </c>
      <c r="X116" s="93">
        <v>647</v>
      </c>
      <c r="Y116" s="93">
        <v>1113</v>
      </c>
      <c r="Z116" s="93">
        <v>1232</v>
      </c>
      <c r="AA116" s="93">
        <v>2011</v>
      </c>
      <c r="AB116" s="93">
        <v>1017</v>
      </c>
      <c r="AC116" s="93">
        <v>1493</v>
      </c>
      <c r="AD116" s="93">
        <v>856</v>
      </c>
      <c r="AE116" s="93">
        <v>685</v>
      </c>
      <c r="AF116" s="93">
        <v>45</v>
      </c>
      <c r="AG116" s="110"/>
      <c r="AH116" s="93">
        <v>170</v>
      </c>
      <c r="AI116" s="89">
        <f>1613/3200</f>
        <v>0.50406249999999997</v>
      </c>
      <c r="AJ116" s="93">
        <v>2036</v>
      </c>
      <c r="AK116" s="93">
        <v>5</v>
      </c>
      <c r="AL116" s="93">
        <v>2</v>
      </c>
      <c r="AM116" s="111">
        <v>45</v>
      </c>
      <c r="AN116" s="93">
        <v>533</v>
      </c>
      <c r="AO116" s="93">
        <v>1091</v>
      </c>
      <c r="AP116" s="111">
        <v>368</v>
      </c>
      <c r="AQ116" s="111">
        <v>300</v>
      </c>
      <c r="AR116" s="93">
        <v>593</v>
      </c>
      <c r="AS116" s="93">
        <v>249</v>
      </c>
      <c r="AT116" s="93">
        <v>280</v>
      </c>
      <c r="AU116" s="93">
        <v>225</v>
      </c>
      <c r="AV116" s="93">
        <v>2085</v>
      </c>
      <c r="AW116" s="93">
        <v>2114</v>
      </c>
      <c r="AX116" s="93">
        <v>2120</v>
      </c>
      <c r="AY116" s="93">
        <v>2316</v>
      </c>
      <c r="AZ116" s="93">
        <v>2271</v>
      </c>
      <c r="BA116" s="111" t="s">
        <v>171</v>
      </c>
      <c r="BB116" s="89" t="s">
        <v>17</v>
      </c>
      <c r="BC116" s="89" t="s">
        <v>17</v>
      </c>
      <c r="BD116" s="89" t="s">
        <v>17</v>
      </c>
      <c r="BE116" s="89" t="s">
        <v>17</v>
      </c>
      <c r="BF116" s="89" t="s">
        <v>17</v>
      </c>
      <c r="BG116" s="89" t="s">
        <v>17</v>
      </c>
      <c r="BH116" s="89" t="s">
        <v>17</v>
      </c>
      <c r="BI116" s="89" t="s">
        <v>17</v>
      </c>
      <c r="BJ116" s="89" t="s">
        <v>17</v>
      </c>
      <c r="BK116" s="89" t="s">
        <v>17</v>
      </c>
    </row>
    <row r="117" spans="1:63" ht="27.95" customHeight="1">
      <c r="A117" s="14" t="s">
        <v>167</v>
      </c>
      <c r="B117" s="15" t="s">
        <v>168</v>
      </c>
      <c r="C117" s="15" t="s">
        <v>68</v>
      </c>
      <c r="D117" s="15"/>
      <c r="E117" s="43"/>
      <c r="F117" s="43"/>
      <c r="G117" s="17" t="str">
        <f>VLOOKUP(A117,'KPI Описание'!A:K,11,0)</f>
        <v>Оператор</v>
      </c>
      <c r="H117" s="17" t="s">
        <v>36</v>
      </c>
      <c r="I117" s="18"/>
      <c r="J117" s="19"/>
      <c r="K117" s="16" t="s">
        <v>17</v>
      </c>
      <c r="L117" s="16" t="s">
        <v>17</v>
      </c>
      <c r="M117" s="16" t="s">
        <v>17</v>
      </c>
      <c r="N117" s="16">
        <v>1</v>
      </c>
      <c r="O117" s="16">
        <v>8</v>
      </c>
      <c r="P117" s="16">
        <v>15</v>
      </c>
      <c r="Q117" s="16">
        <v>5</v>
      </c>
      <c r="R117" s="31">
        <v>5</v>
      </c>
      <c r="S117" s="31">
        <v>5</v>
      </c>
      <c r="T117" s="31" t="s">
        <v>17</v>
      </c>
      <c r="U117" s="26">
        <v>62</v>
      </c>
      <c r="V117" s="26">
        <v>62</v>
      </c>
      <c r="W117" s="26">
        <v>3</v>
      </c>
      <c r="X117" s="26" t="s">
        <v>17</v>
      </c>
      <c r="Y117" s="26" t="s">
        <v>17</v>
      </c>
      <c r="Z117" s="26" t="s">
        <v>17</v>
      </c>
      <c r="AA117" s="26" t="s">
        <v>17</v>
      </c>
      <c r="AB117" s="26" t="s">
        <v>17</v>
      </c>
      <c r="AC117" s="26">
        <v>12</v>
      </c>
      <c r="AD117" s="26">
        <v>2</v>
      </c>
      <c r="AE117" s="26">
        <v>264</v>
      </c>
      <c r="AF117" s="26">
        <v>1</v>
      </c>
      <c r="AG117" s="18" t="s">
        <v>17</v>
      </c>
      <c r="AH117" s="26">
        <v>73</v>
      </c>
      <c r="AI117" s="18">
        <f>6/3200</f>
        <v>1.8749999999999999E-3</v>
      </c>
      <c r="AJ117" s="26">
        <v>1</v>
      </c>
      <c r="AK117" s="26" t="s">
        <v>17</v>
      </c>
      <c r="AL117" s="26">
        <v>1</v>
      </c>
      <c r="AM117" s="44" t="s">
        <v>17</v>
      </c>
      <c r="AN117" s="26">
        <v>3</v>
      </c>
      <c r="AO117" s="26">
        <v>59</v>
      </c>
      <c r="AP117" s="44">
        <v>12</v>
      </c>
      <c r="AQ117" s="44">
        <v>21</v>
      </c>
      <c r="AR117" s="26" t="s">
        <v>17</v>
      </c>
      <c r="AS117" s="26">
        <v>73</v>
      </c>
      <c r="AT117" s="26">
        <v>43</v>
      </c>
      <c r="AU117" s="26">
        <v>18</v>
      </c>
      <c r="AV117" s="26">
        <v>36</v>
      </c>
      <c r="AW117" s="26">
        <v>29</v>
      </c>
      <c r="AX117" s="26">
        <v>9</v>
      </c>
      <c r="AY117" s="26">
        <v>118</v>
      </c>
      <c r="AZ117" s="26">
        <v>120</v>
      </c>
      <c r="BA117" s="44" t="s">
        <v>172</v>
      </c>
      <c r="BB117" s="18" t="s">
        <v>17</v>
      </c>
      <c r="BC117" s="18" t="s">
        <v>17</v>
      </c>
      <c r="BD117" s="18" t="s">
        <v>17</v>
      </c>
      <c r="BE117" s="18" t="s">
        <v>17</v>
      </c>
      <c r="BF117" s="18" t="s">
        <v>17</v>
      </c>
      <c r="BG117" s="18" t="s">
        <v>17</v>
      </c>
      <c r="BH117" s="18" t="s">
        <v>17</v>
      </c>
      <c r="BI117" s="18" t="s">
        <v>17</v>
      </c>
      <c r="BJ117" s="18" t="s">
        <v>17</v>
      </c>
      <c r="BK117" s="18" t="s">
        <v>17</v>
      </c>
    </row>
    <row r="118" spans="1:63" ht="27.95" customHeight="1">
      <c r="A118" s="14" t="s">
        <v>167</v>
      </c>
      <c r="B118" s="15" t="s">
        <v>168</v>
      </c>
      <c r="C118" s="15" t="s">
        <v>68</v>
      </c>
      <c r="D118" s="15"/>
      <c r="E118" s="43"/>
      <c r="F118" s="43"/>
      <c r="G118" s="17" t="str">
        <f>VLOOKUP(A118,'KPI Описание'!A:K,11,0)</f>
        <v>Оператор</v>
      </c>
      <c r="H118" s="17" t="s">
        <v>37</v>
      </c>
      <c r="I118" s="18"/>
      <c r="J118" s="19"/>
      <c r="K118" s="16" t="s">
        <v>17</v>
      </c>
      <c r="L118" s="16">
        <v>1</v>
      </c>
      <c r="M118" s="16">
        <v>2</v>
      </c>
      <c r="N118" s="16">
        <v>7</v>
      </c>
      <c r="O118" s="16">
        <v>26</v>
      </c>
      <c r="P118" s="16">
        <v>41</v>
      </c>
      <c r="Q118" s="16">
        <v>18</v>
      </c>
      <c r="R118" s="16">
        <v>20</v>
      </c>
      <c r="S118" s="16">
        <v>446</v>
      </c>
      <c r="T118" s="16">
        <v>111</v>
      </c>
      <c r="U118" s="26">
        <v>154</v>
      </c>
      <c r="V118" s="26">
        <v>24</v>
      </c>
      <c r="W118" s="26">
        <v>2</v>
      </c>
      <c r="X118" s="26">
        <v>86</v>
      </c>
      <c r="Y118" s="26">
        <v>31</v>
      </c>
      <c r="Z118" s="26">
        <v>20</v>
      </c>
      <c r="AA118" s="26">
        <v>1187</v>
      </c>
      <c r="AB118" s="26">
        <v>983</v>
      </c>
      <c r="AC118" s="26">
        <v>1429</v>
      </c>
      <c r="AD118" s="26">
        <v>36</v>
      </c>
      <c r="AE118" s="26">
        <v>410</v>
      </c>
      <c r="AF118" s="26">
        <v>15</v>
      </c>
      <c r="AG118" s="26">
        <v>3</v>
      </c>
      <c r="AH118" s="26">
        <v>9</v>
      </c>
      <c r="AI118" s="18">
        <f>19/3200</f>
        <v>5.9375000000000001E-3</v>
      </c>
      <c r="AJ118" s="26">
        <v>694</v>
      </c>
      <c r="AK118" s="26">
        <v>939</v>
      </c>
      <c r="AL118" s="26">
        <v>19</v>
      </c>
      <c r="AM118" s="44" t="s">
        <v>173</v>
      </c>
      <c r="AN118" s="26">
        <v>563</v>
      </c>
      <c r="AO118" s="26">
        <v>628</v>
      </c>
      <c r="AP118" s="44">
        <v>559</v>
      </c>
      <c r="AQ118" s="44">
        <v>37</v>
      </c>
      <c r="AR118" s="26">
        <v>48</v>
      </c>
      <c r="AS118" s="26">
        <v>7</v>
      </c>
      <c r="AT118" s="26">
        <v>136</v>
      </c>
      <c r="AU118" s="26">
        <v>529</v>
      </c>
      <c r="AV118" s="26">
        <v>1371</v>
      </c>
      <c r="AW118" s="26">
        <v>479</v>
      </c>
      <c r="AX118" s="26">
        <v>480</v>
      </c>
      <c r="AY118" s="26">
        <v>107</v>
      </c>
      <c r="AZ118" s="26">
        <v>634</v>
      </c>
      <c r="BA118" s="44" t="s">
        <v>174</v>
      </c>
      <c r="BB118" s="18" t="s">
        <v>17</v>
      </c>
      <c r="BC118" s="18" t="s">
        <v>17</v>
      </c>
      <c r="BD118" s="18" t="s">
        <v>17</v>
      </c>
      <c r="BE118" s="18" t="s">
        <v>17</v>
      </c>
      <c r="BF118" s="18" t="s">
        <v>17</v>
      </c>
      <c r="BG118" s="18" t="s">
        <v>17</v>
      </c>
      <c r="BH118" s="18" t="s">
        <v>17</v>
      </c>
      <c r="BI118" s="18" t="s">
        <v>17</v>
      </c>
      <c r="BJ118" s="18" t="s">
        <v>17</v>
      </c>
      <c r="BK118" s="18" t="s">
        <v>17</v>
      </c>
    </row>
    <row r="119" spans="1:63" ht="27.95" customHeight="1">
      <c r="A119" s="14" t="s">
        <v>167</v>
      </c>
      <c r="B119" s="15" t="s">
        <v>168</v>
      </c>
      <c r="C119" s="15" t="s">
        <v>68</v>
      </c>
      <c r="D119" s="15"/>
      <c r="E119" s="43"/>
      <c r="F119" s="43"/>
      <c r="G119" s="17" t="str">
        <f>VLOOKUP(A119,'KPI Описание'!A:K,11,0)</f>
        <v>Оператор</v>
      </c>
      <c r="H119" s="17" t="s">
        <v>40</v>
      </c>
      <c r="I119" s="18"/>
      <c r="J119" s="19"/>
      <c r="K119" s="16">
        <v>8</v>
      </c>
      <c r="L119" s="16">
        <v>9</v>
      </c>
      <c r="M119" s="16">
        <v>9</v>
      </c>
      <c r="N119" s="16">
        <v>10</v>
      </c>
      <c r="O119" s="16">
        <v>14</v>
      </c>
      <c r="P119" s="16">
        <v>368</v>
      </c>
      <c r="Q119" s="16">
        <v>1</v>
      </c>
      <c r="R119" s="16">
        <v>202</v>
      </c>
      <c r="S119" s="16">
        <v>4</v>
      </c>
      <c r="T119" s="16">
        <v>1367</v>
      </c>
      <c r="U119" s="26">
        <v>1579</v>
      </c>
      <c r="V119" s="26">
        <v>1422</v>
      </c>
      <c r="W119" s="26">
        <v>33</v>
      </c>
      <c r="X119" s="26">
        <v>7</v>
      </c>
      <c r="Y119" s="26">
        <v>22</v>
      </c>
      <c r="Z119" s="26">
        <v>294</v>
      </c>
      <c r="AA119" s="26">
        <v>437</v>
      </c>
      <c r="AB119" s="26">
        <v>1</v>
      </c>
      <c r="AC119" s="26">
        <v>357</v>
      </c>
      <c r="AD119" s="26">
        <v>821</v>
      </c>
      <c r="AE119" s="26">
        <v>1307</v>
      </c>
      <c r="AF119" s="26">
        <v>3</v>
      </c>
      <c r="AG119" s="26">
        <v>3</v>
      </c>
      <c r="AH119" s="26">
        <v>17</v>
      </c>
      <c r="AI119" s="18">
        <f>185/3200</f>
        <v>5.7812500000000003E-2</v>
      </c>
      <c r="AJ119" s="26">
        <v>36</v>
      </c>
      <c r="AK119" s="26">
        <v>115</v>
      </c>
      <c r="AL119" s="26">
        <v>80</v>
      </c>
      <c r="AM119" s="44" t="s">
        <v>175</v>
      </c>
      <c r="AN119" s="26">
        <v>7</v>
      </c>
      <c r="AO119" s="26">
        <v>2</v>
      </c>
      <c r="AP119" s="44">
        <v>11</v>
      </c>
      <c r="AQ119" s="44">
        <v>60</v>
      </c>
      <c r="AR119" s="26">
        <v>364</v>
      </c>
      <c r="AS119" s="26">
        <v>416</v>
      </c>
      <c r="AT119" s="31">
        <v>1251</v>
      </c>
      <c r="AU119" s="26">
        <v>2291</v>
      </c>
      <c r="AV119" s="26">
        <v>1834</v>
      </c>
      <c r="AW119" s="26">
        <v>2338</v>
      </c>
      <c r="AX119" s="26">
        <v>3130</v>
      </c>
      <c r="AY119" s="26">
        <v>896</v>
      </c>
      <c r="AZ119" s="26">
        <v>297</v>
      </c>
      <c r="BA119" s="44" t="s">
        <v>176</v>
      </c>
      <c r="BB119" s="18" t="s">
        <v>17</v>
      </c>
      <c r="BC119" s="18" t="s">
        <v>17</v>
      </c>
      <c r="BD119" s="18" t="s">
        <v>17</v>
      </c>
      <c r="BE119" s="18" t="s">
        <v>17</v>
      </c>
      <c r="BF119" s="18" t="s">
        <v>17</v>
      </c>
      <c r="BG119" s="18" t="s">
        <v>17</v>
      </c>
      <c r="BH119" s="18" t="s">
        <v>17</v>
      </c>
      <c r="BI119" s="18" t="s">
        <v>17</v>
      </c>
      <c r="BJ119" s="18" t="s">
        <v>17</v>
      </c>
      <c r="BK119" s="18" t="s">
        <v>17</v>
      </c>
    </row>
    <row r="120" spans="1:63" ht="27.95" customHeight="1">
      <c r="A120" s="14" t="s">
        <v>167</v>
      </c>
      <c r="B120" s="15" t="s">
        <v>168</v>
      </c>
      <c r="C120" s="15" t="s">
        <v>68</v>
      </c>
      <c r="D120" s="15"/>
      <c r="E120" s="43"/>
      <c r="F120" s="43"/>
      <c r="G120" s="17" t="str">
        <f>VLOOKUP(A120,'KPI Описание'!A:K,11,0)</f>
        <v>Оператор</v>
      </c>
      <c r="H120" s="17" t="s">
        <v>43</v>
      </c>
      <c r="I120" s="18"/>
      <c r="J120" s="19"/>
      <c r="K120" s="16">
        <v>2204</v>
      </c>
      <c r="L120" s="16">
        <v>2225</v>
      </c>
      <c r="M120" s="16">
        <v>2442</v>
      </c>
      <c r="N120" s="16">
        <f>3646+73</f>
        <v>3719</v>
      </c>
      <c r="O120" s="16">
        <f>2426+136</f>
        <v>2562</v>
      </c>
      <c r="P120" s="16">
        <v>940</v>
      </c>
      <c r="Q120" s="16">
        <v>726</v>
      </c>
      <c r="R120" s="16">
        <v>2042</v>
      </c>
      <c r="S120" s="16">
        <v>2340</v>
      </c>
      <c r="T120" s="16">
        <v>537</v>
      </c>
      <c r="U120" s="26">
        <v>790</v>
      </c>
      <c r="V120" s="26">
        <v>960</v>
      </c>
      <c r="W120" s="26">
        <v>940</v>
      </c>
      <c r="X120" s="26">
        <v>1356</v>
      </c>
      <c r="Y120" s="26">
        <v>586</v>
      </c>
      <c r="Z120" s="26">
        <v>923</v>
      </c>
      <c r="AA120" s="26">
        <v>1646</v>
      </c>
      <c r="AB120" s="26">
        <v>4087</v>
      </c>
      <c r="AC120" s="26">
        <v>1271</v>
      </c>
      <c r="AD120" s="26">
        <v>3389</v>
      </c>
      <c r="AE120" s="26">
        <v>5511</v>
      </c>
      <c r="AF120" s="26">
        <v>3</v>
      </c>
      <c r="AG120" s="26">
        <v>24</v>
      </c>
      <c r="AH120" s="26">
        <v>307</v>
      </c>
      <c r="AI120" s="18">
        <f>359/3200</f>
        <v>0.1121875</v>
      </c>
      <c r="AJ120" s="26">
        <v>29</v>
      </c>
      <c r="AK120" s="26">
        <v>26</v>
      </c>
      <c r="AL120" s="26">
        <v>255</v>
      </c>
      <c r="AM120" s="44" t="s">
        <v>177</v>
      </c>
      <c r="AN120" s="26">
        <v>251</v>
      </c>
      <c r="AO120" s="26">
        <v>1268</v>
      </c>
      <c r="AP120" s="44">
        <v>3905</v>
      </c>
      <c r="AQ120" s="44">
        <v>5594</v>
      </c>
      <c r="AR120" s="26">
        <v>5814</v>
      </c>
      <c r="AS120" s="26">
        <v>5040</v>
      </c>
      <c r="AT120" s="26">
        <v>4988</v>
      </c>
      <c r="AU120" s="26">
        <v>1166</v>
      </c>
      <c r="AV120" s="26">
        <v>991</v>
      </c>
      <c r="AW120" s="26">
        <v>197</v>
      </c>
      <c r="AX120" s="26">
        <v>1295</v>
      </c>
      <c r="AY120" s="26">
        <v>2491</v>
      </c>
      <c r="AZ120" s="26">
        <v>2200</v>
      </c>
      <c r="BA120" s="44" t="s">
        <v>178</v>
      </c>
      <c r="BB120" s="18" t="s">
        <v>17</v>
      </c>
      <c r="BC120" s="18" t="s">
        <v>17</v>
      </c>
      <c r="BD120" s="18" t="s">
        <v>17</v>
      </c>
      <c r="BE120" s="18" t="s">
        <v>17</v>
      </c>
      <c r="BF120" s="18" t="s">
        <v>17</v>
      </c>
      <c r="BG120" s="18" t="s">
        <v>17</v>
      </c>
      <c r="BH120" s="18" t="s">
        <v>17</v>
      </c>
      <c r="BI120" s="18" t="s">
        <v>17</v>
      </c>
      <c r="BJ120" s="18" t="s">
        <v>17</v>
      </c>
      <c r="BK120" s="18" t="s">
        <v>17</v>
      </c>
    </row>
    <row r="121" spans="1:63" ht="27.95" hidden="1" customHeight="1">
      <c r="A121" s="82" t="s">
        <v>179</v>
      </c>
      <c r="B121" s="84" t="s">
        <v>180</v>
      </c>
      <c r="C121" s="84" t="s">
        <v>86</v>
      </c>
      <c r="D121" s="84" t="s">
        <v>19</v>
      </c>
      <c r="E121" s="86" t="s">
        <v>181</v>
      </c>
      <c r="F121" s="86" t="s">
        <v>182</v>
      </c>
      <c r="G121" s="88" t="str">
        <f>VLOOKUP(A121,'KPI Описание'!A:K,11,0)</f>
        <v>Специалист учета</v>
      </c>
      <c r="H121" s="88" t="s">
        <v>16</v>
      </c>
      <c r="I121" s="91">
        <f>VLOOKUP(A121,'KPI Описание'!A:P,16,0)</f>
        <v>0.95</v>
      </c>
      <c r="J121" s="95" t="str">
        <f>IFERROR(VLOOKUP(A121,'KPI Описание'!A:Q,17,0),0)</f>
        <v>higher</v>
      </c>
      <c r="K121" s="91">
        <v>1</v>
      </c>
      <c r="L121" s="91">
        <v>0.66666666666666696</v>
      </c>
      <c r="M121" s="91">
        <v>0.25</v>
      </c>
      <c r="N121" s="91">
        <v>1</v>
      </c>
      <c r="O121" s="91">
        <v>1</v>
      </c>
      <c r="P121" s="91">
        <v>0.5</v>
      </c>
      <c r="Q121" s="91">
        <v>0</v>
      </c>
      <c r="R121" s="91">
        <v>0</v>
      </c>
      <c r="S121" s="91">
        <v>1</v>
      </c>
      <c r="T121" s="91">
        <v>1</v>
      </c>
      <c r="U121" s="91">
        <v>0</v>
      </c>
      <c r="V121" s="91">
        <v>0</v>
      </c>
      <c r="W121" s="91">
        <v>0</v>
      </c>
      <c r="X121" s="91">
        <v>0</v>
      </c>
      <c r="Y121" s="91">
        <v>1</v>
      </c>
      <c r="Z121" s="91">
        <v>0</v>
      </c>
      <c r="AA121" s="91">
        <v>0</v>
      </c>
      <c r="AB121" s="91">
        <v>0</v>
      </c>
      <c r="AC121" s="91">
        <v>0</v>
      </c>
      <c r="AD121" s="91">
        <v>0</v>
      </c>
      <c r="AE121" s="91">
        <v>0</v>
      </c>
      <c r="AF121" s="91">
        <v>0</v>
      </c>
      <c r="AG121" s="91">
        <v>0</v>
      </c>
      <c r="AH121" s="91">
        <v>1</v>
      </c>
      <c r="AI121" s="91">
        <v>0</v>
      </c>
      <c r="AJ121" s="91">
        <v>0</v>
      </c>
      <c r="AK121" s="91">
        <v>0</v>
      </c>
      <c r="AL121" s="91">
        <v>0</v>
      </c>
      <c r="AM121" s="91">
        <v>0</v>
      </c>
      <c r="AN121" s="91">
        <v>0</v>
      </c>
      <c r="AO121" s="91">
        <v>0</v>
      </c>
      <c r="AP121" s="91">
        <v>0</v>
      </c>
      <c r="AQ121" s="91">
        <v>0</v>
      </c>
      <c r="AR121" s="91">
        <v>0</v>
      </c>
      <c r="AS121" s="91">
        <v>0</v>
      </c>
      <c r="AT121" s="91">
        <v>0</v>
      </c>
      <c r="AU121" s="91">
        <v>0</v>
      </c>
      <c r="AV121" s="91">
        <v>1</v>
      </c>
      <c r="AW121" s="91">
        <v>0</v>
      </c>
      <c r="AX121" s="91">
        <v>0</v>
      </c>
      <c r="AY121" s="91">
        <v>0</v>
      </c>
      <c r="AZ121" s="91">
        <v>0</v>
      </c>
      <c r="BA121" s="91" t="s">
        <v>17</v>
      </c>
      <c r="BB121" s="91" t="s">
        <v>17</v>
      </c>
      <c r="BC121" s="91" t="s">
        <v>17</v>
      </c>
      <c r="BD121" s="91" t="s">
        <v>17</v>
      </c>
      <c r="BE121" s="91" t="s">
        <v>17</v>
      </c>
      <c r="BF121" s="91" t="s">
        <v>17</v>
      </c>
      <c r="BG121" s="91" t="s">
        <v>17</v>
      </c>
      <c r="BH121" s="91" t="s">
        <v>17</v>
      </c>
      <c r="BI121" s="91" t="s">
        <v>17</v>
      </c>
      <c r="BJ121" s="91" t="s">
        <v>17</v>
      </c>
      <c r="BK121" s="91" t="s">
        <v>17</v>
      </c>
    </row>
    <row r="122" spans="1:63" s="72" customFormat="1" ht="27.95" hidden="1" customHeight="1">
      <c r="A122" s="81" t="s">
        <v>179</v>
      </c>
      <c r="B122" s="83" t="s">
        <v>180</v>
      </c>
      <c r="C122" s="83" t="s">
        <v>86</v>
      </c>
      <c r="D122" s="83"/>
      <c r="E122" s="85"/>
      <c r="F122" s="85"/>
      <c r="G122" s="87" t="str">
        <f>VLOOKUP(A122,'KPI Описание'!A:K,11,0)</f>
        <v>Специалист учета</v>
      </c>
      <c r="H122" s="87" t="s">
        <v>33</v>
      </c>
      <c r="I122" s="89"/>
      <c r="J122" s="94"/>
      <c r="K122" s="89" t="s">
        <v>17</v>
      </c>
      <c r="L122" s="89" t="s">
        <v>17</v>
      </c>
      <c r="M122" s="89" t="s">
        <v>17</v>
      </c>
      <c r="N122" s="89" t="s">
        <v>17</v>
      </c>
      <c r="O122" s="89" t="s">
        <v>17</v>
      </c>
      <c r="P122" s="89" t="s">
        <v>17</v>
      </c>
      <c r="Q122" s="89" t="s">
        <v>17</v>
      </c>
      <c r="R122" s="89" t="s">
        <v>17</v>
      </c>
      <c r="S122" s="89" t="s">
        <v>17</v>
      </c>
      <c r="T122" s="89" t="s">
        <v>17</v>
      </c>
      <c r="U122" s="89" t="s">
        <v>17</v>
      </c>
      <c r="V122" s="89" t="s">
        <v>17</v>
      </c>
      <c r="W122" s="89" t="s">
        <v>17</v>
      </c>
      <c r="X122" s="89" t="s">
        <v>17</v>
      </c>
      <c r="Y122" s="89" t="s">
        <v>17</v>
      </c>
      <c r="Z122" s="89" t="s">
        <v>17</v>
      </c>
      <c r="AA122" s="89" t="s">
        <v>17</v>
      </c>
      <c r="AB122" s="89" t="s">
        <v>17</v>
      </c>
      <c r="AC122" s="89" t="s">
        <v>17</v>
      </c>
      <c r="AD122" s="89" t="s">
        <v>17</v>
      </c>
      <c r="AE122" s="89" t="s">
        <v>17</v>
      </c>
      <c r="AF122" s="89" t="s">
        <v>17</v>
      </c>
      <c r="AG122" s="89" t="s">
        <v>17</v>
      </c>
      <c r="AH122" s="89" t="s">
        <v>17</v>
      </c>
      <c r="AI122" s="89" t="s">
        <v>17</v>
      </c>
      <c r="AJ122" s="89" t="s">
        <v>17</v>
      </c>
      <c r="AK122" s="89" t="s">
        <v>17</v>
      </c>
      <c r="AL122" s="89" t="s">
        <v>17</v>
      </c>
      <c r="AM122" s="89" t="s">
        <v>17</v>
      </c>
      <c r="AN122" s="89" t="s">
        <v>17</v>
      </c>
      <c r="AO122" s="89" t="s">
        <v>17</v>
      </c>
      <c r="AP122" s="89" t="s">
        <v>17</v>
      </c>
      <c r="AQ122" s="89" t="s">
        <v>17</v>
      </c>
      <c r="AR122" s="89" t="s">
        <v>17</v>
      </c>
      <c r="AS122" s="89">
        <v>0</v>
      </c>
      <c r="AT122" s="89">
        <v>0</v>
      </c>
      <c r="AU122" s="89">
        <v>0</v>
      </c>
      <c r="AV122" s="89">
        <v>0</v>
      </c>
      <c r="AW122" s="89">
        <v>0</v>
      </c>
      <c r="AX122" s="89">
        <v>0</v>
      </c>
      <c r="AY122" s="89">
        <v>0</v>
      </c>
      <c r="AZ122" s="89">
        <v>0</v>
      </c>
      <c r="BA122" s="89" t="s">
        <v>17</v>
      </c>
      <c r="BB122" s="89" t="s">
        <v>17</v>
      </c>
      <c r="BC122" s="89" t="s">
        <v>17</v>
      </c>
      <c r="BD122" s="89" t="s">
        <v>17</v>
      </c>
      <c r="BE122" s="89" t="s">
        <v>17</v>
      </c>
      <c r="BF122" s="89" t="s">
        <v>17</v>
      </c>
      <c r="BG122" s="89" t="s">
        <v>17</v>
      </c>
      <c r="BH122" s="89" t="s">
        <v>17</v>
      </c>
      <c r="BI122" s="89" t="s">
        <v>17</v>
      </c>
      <c r="BJ122" s="89" t="s">
        <v>17</v>
      </c>
      <c r="BK122" s="89" t="s">
        <v>17</v>
      </c>
    </row>
    <row r="123" spans="1:63" ht="27.95" hidden="1" customHeight="1">
      <c r="A123" s="14" t="s">
        <v>179</v>
      </c>
      <c r="B123" s="15" t="s">
        <v>180</v>
      </c>
      <c r="C123" s="15" t="s">
        <v>86</v>
      </c>
      <c r="D123" s="15"/>
      <c r="E123" s="43"/>
      <c r="F123" s="43"/>
      <c r="G123" s="17" t="str">
        <f>VLOOKUP(A123,'KPI Описание'!A:K,11,0)</f>
        <v>Специалист учета</v>
      </c>
      <c r="H123" s="17" t="s">
        <v>36</v>
      </c>
      <c r="I123" s="18"/>
      <c r="J123" s="19"/>
      <c r="K123" s="18" t="s">
        <v>17</v>
      </c>
      <c r="L123" s="18" t="s">
        <v>17</v>
      </c>
      <c r="M123" s="18" t="s">
        <v>17</v>
      </c>
      <c r="N123" s="18" t="s">
        <v>17</v>
      </c>
      <c r="O123" s="18" t="s">
        <v>17</v>
      </c>
      <c r="P123" s="18" t="s">
        <v>17</v>
      </c>
      <c r="Q123" s="18" t="s">
        <v>17</v>
      </c>
      <c r="R123" s="18" t="s">
        <v>17</v>
      </c>
      <c r="S123" s="18" t="s">
        <v>17</v>
      </c>
      <c r="T123" s="18" t="s">
        <v>17</v>
      </c>
      <c r="U123" s="18" t="s">
        <v>17</v>
      </c>
      <c r="V123" s="18" t="s">
        <v>17</v>
      </c>
      <c r="W123" s="18" t="s">
        <v>17</v>
      </c>
      <c r="X123" s="18" t="s">
        <v>17</v>
      </c>
      <c r="Y123" s="18" t="s">
        <v>17</v>
      </c>
      <c r="Z123" s="18" t="s">
        <v>17</v>
      </c>
      <c r="AA123" s="18" t="s">
        <v>17</v>
      </c>
      <c r="AB123" s="18" t="s">
        <v>17</v>
      </c>
      <c r="AC123" s="18" t="s">
        <v>17</v>
      </c>
      <c r="AD123" s="18" t="s">
        <v>17</v>
      </c>
      <c r="AE123" s="18" t="s">
        <v>17</v>
      </c>
      <c r="AF123" s="18" t="s">
        <v>17</v>
      </c>
      <c r="AG123" s="18" t="s">
        <v>17</v>
      </c>
      <c r="AH123" s="18" t="s">
        <v>17</v>
      </c>
      <c r="AI123" s="18" t="s">
        <v>17</v>
      </c>
      <c r="AJ123" s="18" t="s">
        <v>17</v>
      </c>
      <c r="AK123" s="18" t="s">
        <v>17</v>
      </c>
      <c r="AL123" s="18" t="s">
        <v>17</v>
      </c>
      <c r="AM123" s="18" t="s">
        <v>17</v>
      </c>
      <c r="AN123" s="18" t="s">
        <v>17</v>
      </c>
      <c r="AO123" s="18" t="s">
        <v>17</v>
      </c>
      <c r="AP123" s="18" t="s">
        <v>17</v>
      </c>
      <c r="AQ123" s="18" t="s">
        <v>17</v>
      </c>
      <c r="AR123" s="18" t="s">
        <v>17</v>
      </c>
      <c r="AS123" s="18">
        <v>0</v>
      </c>
      <c r="AT123" s="18">
        <v>0</v>
      </c>
      <c r="AU123" s="18">
        <v>0</v>
      </c>
      <c r="AV123" s="18">
        <v>0</v>
      </c>
      <c r="AW123" s="18">
        <v>0</v>
      </c>
      <c r="AX123" s="18">
        <v>0</v>
      </c>
      <c r="AY123" s="18">
        <v>0</v>
      </c>
      <c r="AZ123" s="18">
        <v>0</v>
      </c>
      <c r="BA123" s="18" t="s">
        <v>17</v>
      </c>
      <c r="BB123" s="18" t="s">
        <v>17</v>
      </c>
      <c r="BC123" s="18" t="s">
        <v>17</v>
      </c>
      <c r="BD123" s="18" t="s">
        <v>17</v>
      </c>
      <c r="BE123" s="18" t="s">
        <v>17</v>
      </c>
      <c r="BF123" s="18" t="s">
        <v>17</v>
      </c>
      <c r="BG123" s="18" t="s">
        <v>17</v>
      </c>
      <c r="BH123" s="18" t="s">
        <v>17</v>
      </c>
      <c r="BI123" s="18" t="s">
        <v>17</v>
      </c>
      <c r="BJ123" s="18" t="s">
        <v>17</v>
      </c>
      <c r="BK123" s="18" t="s">
        <v>17</v>
      </c>
    </row>
    <row r="124" spans="1:63" ht="27.95" hidden="1" customHeight="1">
      <c r="A124" s="14" t="s">
        <v>179</v>
      </c>
      <c r="B124" s="15" t="s">
        <v>180</v>
      </c>
      <c r="C124" s="15" t="s">
        <v>86</v>
      </c>
      <c r="D124" s="15"/>
      <c r="E124" s="43"/>
      <c r="F124" s="43"/>
      <c r="G124" s="17" t="str">
        <f>VLOOKUP(A124,'KPI Описание'!A:K,11,0)</f>
        <v>Специалист учета</v>
      </c>
      <c r="H124" s="17" t="s">
        <v>37</v>
      </c>
      <c r="I124" s="18"/>
      <c r="J124" s="19"/>
      <c r="K124" s="18" t="s">
        <v>17</v>
      </c>
      <c r="L124" s="18" t="s">
        <v>17</v>
      </c>
      <c r="M124" s="18" t="s">
        <v>17</v>
      </c>
      <c r="N124" s="18" t="s">
        <v>17</v>
      </c>
      <c r="O124" s="18" t="s">
        <v>17</v>
      </c>
      <c r="P124" s="18" t="s">
        <v>17</v>
      </c>
      <c r="Q124" s="18" t="s">
        <v>17</v>
      </c>
      <c r="R124" s="18" t="s">
        <v>17</v>
      </c>
      <c r="S124" s="18" t="s">
        <v>17</v>
      </c>
      <c r="T124" s="18" t="s">
        <v>17</v>
      </c>
      <c r="U124" s="18" t="s">
        <v>17</v>
      </c>
      <c r="V124" s="18" t="s">
        <v>17</v>
      </c>
      <c r="W124" s="18" t="s">
        <v>17</v>
      </c>
      <c r="X124" s="18" t="s">
        <v>17</v>
      </c>
      <c r="Y124" s="18" t="s">
        <v>17</v>
      </c>
      <c r="Z124" s="18" t="s">
        <v>17</v>
      </c>
      <c r="AA124" s="18" t="s">
        <v>17</v>
      </c>
      <c r="AB124" s="18" t="s">
        <v>17</v>
      </c>
      <c r="AC124" s="18" t="s">
        <v>17</v>
      </c>
      <c r="AD124" s="18" t="s">
        <v>17</v>
      </c>
      <c r="AE124" s="18" t="s">
        <v>17</v>
      </c>
      <c r="AF124" s="18" t="s">
        <v>17</v>
      </c>
      <c r="AG124" s="18" t="s">
        <v>17</v>
      </c>
      <c r="AH124" s="18" t="s">
        <v>17</v>
      </c>
      <c r="AI124" s="18" t="s">
        <v>17</v>
      </c>
      <c r="AJ124" s="18" t="s">
        <v>17</v>
      </c>
      <c r="AK124" s="18" t="s">
        <v>17</v>
      </c>
      <c r="AL124" s="18" t="s">
        <v>17</v>
      </c>
      <c r="AM124" s="18" t="s">
        <v>17</v>
      </c>
      <c r="AN124" s="18" t="s">
        <v>17</v>
      </c>
      <c r="AO124" s="18" t="s">
        <v>17</v>
      </c>
      <c r="AP124" s="18" t="s">
        <v>17</v>
      </c>
      <c r="AQ124" s="18" t="s">
        <v>17</v>
      </c>
      <c r="AR124" s="18" t="s">
        <v>17</v>
      </c>
      <c r="AS124" s="18">
        <v>0</v>
      </c>
      <c r="AT124" s="18">
        <v>0</v>
      </c>
      <c r="AU124" s="18">
        <v>0</v>
      </c>
      <c r="AV124" s="18">
        <v>0</v>
      </c>
      <c r="AW124" s="18">
        <v>0</v>
      </c>
      <c r="AX124" s="18">
        <v>0</v>
      </c>
      <c r="AY124" s="18">
        <v>0</v>
      </c>
      <c r="AZ124" s="18">
        <v>0</v>
      </c>
      <c r="BA124" s="18" t="s">
        <v>17</v>
      </c>
      <c r="BB124" s="18" t="s">
        <v>17</v>
      </c>
      <c r="BC124" s="18" t="s">
        <v>17</v>
      </c>
      <c r="BD124" s="18" t="s">
        <v>17</v>
      </c>
      <c r="BE124" s="18" t="s">
        <v>17</v>
      </c>
      <c r="BF124" s="18" t="s">
        <v>17</v>
      </c>
      <c r="BG124" s="18" t="s">
        <v>17</v>
      </c>
      <c r="BH124" s="18" t="s">
        <v>17</v>
      </c>
      <c r="BI124" s="18" t="s">
        <v>17</v>
      </c>
      <c r="BJ124" s="18" t="s">
        <v>17</v>
      </c>
      <c r="BK124" s="18" t="s">
        <v>17</v>
      </c>
    </row>
    <row r="125" spans="1:63" ht="27.95" hidden="1" customHeight="1">
      <c r="A125" s="14" t="s">
        <v>179</v>
      </c>
      <c r="B125" s="15" t="s">
        <v>180</v>
      </c>
      <c r="C125" s="15" t="s">
        <v>86</v>
      </c>
      <c r="D125" s="15"/>
      <c r="E125" s="43"/>
      <c r="F125" s="43"/>
      <c r="G125" s="17" t="str">
        <f>VLOOKUP(A125,'KPI Описание'!A:K,11,0)</f>
        <v>Специалист учета</v>
      </c>
      <c r="H125" s="17" t="s">
        <v>40</v>
      </c>
      <c r="I125" s="18"/>
      <c r="J125" s="19"/>
      <c r="K125" s="18" t="s">
        <v>17</v>
      </c>
      <c r="L125" s="18" t="s">
        <v>17</v>
      </c>
      <c r="M125" s="18" t="s">
        <v>17</v>
      </c>
      <c r="N125" s="18" t="s">
        <v>17</v>
      </c>
      <c r="O125" s="18" t="s">
        <v>17</v>
      </c>
      <c r="P125" s="18" t="s">
        <v>17</v>
      </c>
      <c r="Q125" s="18" t="s">
        <v>17</v>
      </c>
      <c r="R125" s="18" t="s">
        <v>17</v>
      </c>
      <c r="S125" s="18" t="s">
        <v>17</v>
      </c>
      <c r="T125" s="18" t="s">
        <v>17</v>
      </c>
      <c r="U125" s="18" t="s">
        <v>17</v>
      </c>
      <c r="V125" s="18" t="s">
        <v>17</v>
      </c>
      <c r="W125" s="18" t="s">
        <v>17</v>
      </c>
      <c r="X125" s="18" t="s">
        <v>17</v>
      </c>
      <c r="Y125" s="18" t="s">
        <v>17</v>
      </c>
      <c r="Z125" s="18" t="s">
        <v>17</v>
      </c>
      <c r="AA125" s="18" t="s">
        <v>17</v>
      </c>
      <c r="AB125" s="18" t="s">
        <v>17</v>
      </c>
      <c r="AC125" s="18" t="s">
        <v>17</v>
      </c>
      <c r="AD125" s="18" t="s">
        <v>17</v>
      </c>
      <c r="AE125" s="18" t="s">
        <v>17</v>
      </c>
      <c r="AF125" s="18" t="s">
        <v>17</v>
      </c>
      <c r="AG125" s="18" t="s">
        <v>17</v>
      </c>
      <c r="AH125" s="18" t="s">
        <v>17</v>
      </c>
      <c r="AI125" s="18" t="s">
        <v>17</v>
      </c>
      <c r="AJ125" s="18" t="s">
        <v>17</v>
      </c>
      <c r="AK125" s="18" t="s">
        <v>17</v>
      </c>
      <c r="AL125" s="18" t="s">
        <v>17</v>
      </c>
      <c r="AM125" s="18" t="s">
        <v>17</v>
      </c>
      <c r="AN125" s="18" t="s">
        <v>17</v>
      </c>
      <c r="AO125" s="18" t="s">
        <v>17</v>
      </c>
      <c r="AP125" s="18" t="s">
        <v>17</v>
      </c>
      <c r="AQ125" s="18" t="s">
        <v>17</v>
      </c>
      <c r="AR125" s="18" t="s">
        <v>17</v>
      </c>
      <c r="AS125" s="18">
        <v>0</v>
      </c>
      <c r="AT125" s="18">
        <v>0</v>
      </c>
      <c r="AU125" s="18">
        <v>0</v>
      </c>
      <c r="AV125" s="18">
        <v>0</v>
      </c>
      <c r="AW125" s="18">
        <v>0</v>
      </c>
      <c r="AX125" s="18">
        <v>0</v>
      </c>
      <c r="AY125" s="18">
        <v>0</v>
      </c>
      <c r="AZ125" s="18">
        <v>0</v>
      </c>
      <c r="BA125" s="18" t="s">
        <v>17</v>
      </c>
      <c r="BB125" s="18" t="s">
        <v>17</v>
      </c>
      <c r="BC125" s="18" t="s">
        <v>17</v>
      </c>
      <c r="BD125" s="18" t="s">
        <v>17</v>
      </c>
      <c r="BE125" s="18" t="s">
        <v>17</v>
      </c>
      <c r="BF125" s="18" t="s">
        <v>17</v>
      </c>
      <c r="BG125" s="18" t="s">
        <v>17</v>
      </c>
      <c r="BH125" s="18" t="s">
        <v>17</v>
      </c>
      <c r="BI125" s="18" t="s">
        <v>17</v>
      </c>
      <c r="BJ125" s="18" t="s">
        <v>17</v>
      </c>
      <c r="BK125" s="18" t="s">
        <v>17</v>
      </c>
    </row>
    <row r="126" spans="1:63" ht="27.95" hidden="1" customHeight="1">
      <c r="A126" s="14" t="s">
        <v>179</v>
      </c>
      <c r="B126" s="15" t="s">
        <v>180</v>
      </c>
      <c r="C126" s="15" t="s">
        <v>86</v>
      </c>
      <c r="D126" s="15"/>
      <c r="E126" s="43"/>
      <c r="F126" s="43"/>
      <c r="G126" s="17" t="str">
        <f>VLOOKUP(A126,'KPI Описание'!A:K,11,0)</f>
        <v>Специалист учета</v>
      </c>
      <c r="H126" s="17" t="s">
        <v>43</v>
      </c>
      <c r="I126" s="18"/>
      <c r="J126" s="19"/>
      <c r="K126" s="18" t="s">
        <v>17</v>
      </c>
      <c r="L126" s="18" t="s">
        <v>17</v>
      </c>
      <c r="M126" s="18" t="s">
        <v>17</v>
      </c>
      <c r="N126" s="18" t="s">
        <v>17</v>
      </c>
      <c r="O126" s="18" t="s">
        <v>17</v>
      </c>
      <c r="P126" s="18" t="s">
        <v>17</v>
      </c>
      <c r="Q126" s="18" t="s">
        <v>17</v>
      </c>
      <c r="R126" s="18" t="s">
        <v>17</v>
      </c>
      <c r="S126" s="18" t="s">
        <v>17</v>
      </c>
      <c r="T126" s="18" t="s">
        <v>17</v>
      </c>
      <c r="U126" s="18" t="s">
        <v>17</v>
      </c>
      <c r="V126" s="18" t="s">
        <v>17</v>
      </c>
      <c r="W126" s="18" t="s">
        <v>17</v>
      </c>
      <c r="X126" s="18" t="s">
        <v>17</v>
      </c>
      <c r="Y126" s="18" t="s">
        <v>17</v>
      </c>
      <c r="Z126" s="18" t="s">
        <v>17</v>
      </c>
      <c r="AA126" s="18" t="s">
        <v>17</v>
      </c>
      <c r="AB126" s="18" t="s">
        <v>17</v>
      </c>
      <c r="AC126" s="18" t="s">
        <v>17</v>
      </c>
      <c r="AD126" s="18" t="s">
        <v>17</v>
      </c>
      <c r="AE126" s="18" t="s">
        <v>17</v>
      </c>
      <c r="AF126" s="18" t="s">
        <v>17</v>
      </c>
      <c r="AG126" s="18" t="s">
        <v>17</v>
      </c>
      <c r="AH126" s="18" t="s">
        <v>17</v>
      </c>
      <c r="AI126" s="18" t="s">
        <v>17</v>
      </c>
      <c r="AJ126" s="18" t="s">
        <v>17</v>
      </c>
      <c r="AK126" s="18" t="s">
        <v>17</v>
      </c>
      <c r="AL126" s="18" t="s">
        <v>17</v>
      </c>
      <c r="AM126" s="18" t="s">
        <v>17</v>
      </c>
      <c r="AN126" s="18" t="s">
        <v>17</v>
      </c>
      <c r="AO126" s="18" t="s">
        <v>17</v>
      </c>
      <c r="AP126" s="18" t="s">
        <v>17</v>
      </c>
      <c r="AQ126" s="18" t="s">
        <v>17</v>
      </c>
      <c r="AR126" s="18" t="s">
        <v>17</v>
      </c>
      <c r="AS126" s="18">
        <v>0</v>
      </c>
      <c r="AT126" s="89">
        <v>0</v>
      </c>
      <c r="AU126" s="18">
        <v>0</v>
      </c>
      <c r="AV126" s="18">
        <v>1</v>
      </c>
      <c r="AW126" s="18">
        <v>0</v>
      </c>
      <c r="AX126" s="18">
        <v>0</v>
      </c>
      <c r="AY126" s="18">
        <v>0</v>
      </c>
      <c r="AZ126" s="18">
        <v>0</v>
      </c>
      <c r="BA126" s="18" t="s">
        <v>17</v>
      </c>
      <c r="BB126" s="18" t="s">
        <v>17</v>
      </c>
      <c r="BC126" s="18" t="s">
        <v>17</v>
      </c>
      <c r="BD126" s="18" t="s">
        <v>17</v>
      </c>
      <c r="BE126" s="18" t="s">
        <v>17</v>
      </c>
      <c r="BF126" s="18" t="s">
        <v>17</v>
      </c>
      <c r="BG126" s="18" t="s">
        <v>17</v>
      </c>
      <c r="BH126" s="18" t="s">
        <v>17</v>
      </c>
      <c r="BI126" s="18" t="s">
        <v>17</v>
      </c>
      <c r="BJ126" s="18" t="s">
        <v>17</v>
      </c>
      <c r="BK126" s="18" t="s">
        <v>17</v>
      </c>
    </row>
    <row r="127" spans="1:63" ht="27.95" hidden="1" customHeight="1">
      <c r="A127" s="14" t="s">
        <v>179</v>
      </c>
      <c r="B127" s="15" t="s">
        <v>180</v>
      </c>
      <c r="C127" s="15" t="s">
        <v>86</v>
      </c>
      <c r="D127" s="15"/>
      <c r="E127" s="43"/>
      <c r="F127" s="43"/>
      <c r="G127" s="17" t="str">
        <f>VLOOKUP(A127,'KPI Описание'!A:K,11,0)</f>
        <v>Специалист учета</v>
      </c>
      <c r="H127" s="17" t="s">
        <v>183</v>
      </c>
      <c r="I127" s="18"/>
      <c r="J127" s="19"/>
      <c r="K127" s="18" t="s">
        <v>17</v>
      </c>
      <c r="L127" s="18" t="s">
        <v>17</v>
      </c>
      <c r="M127" s="18" t="s">
        <v>17</v>
      </c>
      <c r="N127" s="18" t="s">
        <v>17</v>
      </c>
      <c r="O127" s="18" t="s">
        <v>17</v>
      </c>
      <c r="P127" s="18" t="s">
        <v>17</v>
      </c>
      <c r="Q127" s="18" t="s">
        <v>17</v>
      </c>
      <c r="R127" s="18" t="s">
        <v>17</v>
      </c>
      <c r="S127" s="18" t="s">
        <v>17</v>
      </c>
      <c r="T127" s="18" t="s">
        <v>17</v>
      </c>
      <c r="U127" s="18" t="s">
        <v>17</v>
      </c>
      <c r="V127" s="18" t="s">
        <v>17</v>
      </c>
      <c r="W127" s="18" t="s">
        <v>17</v>
      </c>
      <c r="X127" s="18" t="s">
        <v>17</v>
      </c>
      <c r="Y127" s="18" t="s">
        <v>17</v>
      </c>
      <c r="Z127" s="18" t="s">
        <v>17</v>
      </c>
      <c r="AA127" s="18" t="s">
        <v>17</v>
      </c>
      <c r="AB127" s="18" t="s">
        <v>17</v>
      </c>
      <c r="AC127" s="18" t="s">
        <v>17</v>
      </c>
      <c r="AD127" s="18" t="s">
        <v>17</v>
      </c>
      <c r="AE127" s="18" t="s">
        <v>17</v>
      </c>
      <c r="AF127" s="18" t="s">
        <v>17</v>
      </c>
      <c r="AG127" s="18" t="s">
        <v>17</v>
      </c>
      <c r="AH127" s="18" t="s">
        <v>17</v>
      </c>
      <c r="AI127" s="18" t="s">
        <v>17</v>
      </c>
      <c r="AJ127" s="18" t="s">
        <v>17</v>
      </c>
      <c r="AK127" s="18" t="s">
        <v>17</v>
      </c>
      <c r="AL127" s="18" t="s">
        <v>17</v>
      </c>
      <c r="AM127" s="18" t="s">
        <v>17</v>
      </c>
      <c r="AN127" s="18" t="s">
        <v>17</v>
      </c>
      <c r="AO127" s="18" t="s">
        <v>17</v>
      </c>
      <c r="AP127" s="18" t="s">
        <v>17</v>
      </c>
      <c r="AQ127" s="18" t="s">
        <v>17</v>
      </c>
      <c r="AR127" s="18" t="s">
        <v>17</v>
      </c>
      <c r="AS127" s="18">
        <v>0</v>
      </c>
      <c r="AT127" s="18">
        <v>0</v>
      </c>
      <c r="AU127" s="18">
        <v>0</v>
      </c>
      <c r="AV127" s="18">
        <v>0</v>
      </c>
      <c r="AW127" s="18">
        <v>0</v>
      </c>
      <c r="AX127" s="18">
        <v>0</v>
      </c>
      <c r="AY127" s="18">
        <v>0</v>
      </c>
      <c r="AZ127" s="18">
        <v>0</v>
      </c>
      <c r="BA127" s="18" t="s">
        <v>17</v>
      </c>
      <c r="BB127" s="18" t="s">
        <v>17</v>
      </c>
      <c r="BC127" s="18" t="s">
        <v>17</v>
      </c>
      <c r="BD127" s="18" t="s">
        <v>17</v>
      </c>
      <c r="BE127" s="18" t="s">
        <v>17</v>
      </c>
      <c r="BF127" s="18" t="s">
        <v>17</v>
      </c>
      <c r="BG127" s="18" t="s">
        <v>17</v>
      </c>
      <c r="BH127" s="18" t="s">
        <v>17</v>
      </c>
      <c r="BI127" s="18" t="s">
        <v>17</v>
      </c>
      <c r="BJ127" s="18" t="s">
        <v>17</v>
      </c>
      <c r="BK127" s="18" t="s">
        <v>17</v>
      </c>
    </row>
    <row r="128" spans="1:63" s="72" customFormat="1" ht="27.95" hidden="1" customHeight="1">
      <c r="A128" s="5" t="s">
        <v>184</v>
      </c>
      <c r="B128" s="6" t="s">
        <v>185</v>
      </c>
      <c r="C128" s="6" t="s">
        <v>186</v>
      </c>
      <c r="D128" s="6" t="s">
        <v>19</v>
      </c>
      <c r="E128" s="42" t="s">
        <v>187</v>
      </c>
      <c r="F128" s="42" t="s">
        <v>188</v>
      </c>
      <c r="G128" s="8" t="str">
        <f>VLOOKUP(A128,'KPI Описание'!A:K,11,0)</f>
        <v>Специалист учета</v>
      </c>
      <c r="H128" s="8" t="s">
        <v>16</v>
      </c>
      <c r="I128" s="11">
        <f>VLOOKUP(A128,'KPI Описание'!A:P,16,0)</f>
        <v>1</v>
      </c>
      <c r="J128" s="10" t="str">
        <f>IFERROR(VLOOKUP(A128,'KPI Описание'!A:Q,17,0),0)</f>
        <v>lower</v>
      </c>
      <c r="K128" s="11" t="s">
        <v>17</v>
      </c>
      <c r="L128" s="11">
        <f>SUM(L129:L133)</f>
        <v>926</v>
      </c>
      <c r="M128" s="11">
        <f>SUM(M129:M133)</f>
        <v>926</v>
      </c>
      <c r="N128" s="11">
        <f>SUM(N129:N133)</f>
        <v>946</v>
      </c>
      <c r="O128" s="11">
        <f>SUM(O129:O133)</f>
        <v>497</v>
      </c>
      <c r="P128" s="11">
        <f>SUM(P129:P133)</f>
        <v>432</v>
      </c>
      <c r="Q128" s="11">
        <f>SUM(Q129:Q133)</f>
        <v>307</v>
      </c>
      <c r="R128" s="11">
        <f>SUM(R129:R133)</f>
        <v>334</v>
      </c>
      <c r="S128" s="11">
        <f>SUM(S129:S133)</f>
        <v>285</v>
      </c>
      <c r="T128" s="11">
        <f>SUM(T129:T133)</f>
        <v>182</v>
      </c>
      <c r="U128" s="11">
        <f>SUM(U129:U133)</f>
        <v>200</v>
      </c>
      <c r="V128" s="11">
        <f>SUM(V129:V133)</f>
        <v>215</v>
      </c>
      <c r="W128" s="11">
        <f>SUM(W129:W133)</f>
        <v>160</v>
      </c>
      <c r="X128" s="11">
        <f>SUM(X129:X133)</f>
        <v>125</v>
      </c>
      <c r="Y128" s="11">
        <v>193</v>
      </c>
      <c r="Z128" s="11">
        <v>238</v>
      </c>
      <c r="AA128" s="11">
        <v>182</v>
      </c>
      <c r="AB128" s="11">
        <v>111</v>
      </c>
      <c r="AC128" s="11">
        <v>55</v>
      </c>
      <c r="AD128" s="11">
        <v>31</v>
      </c>
      <c r="AE128" s="11">
        <v>25</v>
      </c>
      <c r="AF128" s="11">
        <v>21</v>
      </c>
      <c r="AG128" s="11">
        <v>68</v>
      </c>
      <c r="AH128" s="11">
        <v>48</v>
      </c>
      <c r="AI128" s="11">
        <v>44</v>
      </c>
      <c r="AJ128" s="11">
        <v>29</v>
      </c>
      <c r="AK128" s="11">
        <v>16</v>
      </c>
      <c r="AL128" s="11">
        <v>16</v>
      </c>
      <c r="AM128" s="11">
        <v>13</v>
      </c>
      <c r="AN128" s="11">
        <v>9</v>
      </c>
      <c r="AO128" s="11">
        <v>18</v>
      </c>
      <c r="AP128" s="11">
        <v>16</v>
      </c>
      <c r="AQ128" s="11">
        <v>20</v>
      </c>
      <c r="AR128" s="11">
        <v>20</v>
      </c>
      <c r="AS128" s="11">
        <v>30</v>
      </c>
      <c r="AT128" s="11">
        <v>10</v>
      </c>
      <c r="AU128" s="11">
        <v>13</v>
      </c>
      <c r="AV128" s="11">
        <v>3</v>
      </c>
      <c r="AW128" s="11">
        <v>11</v>
      </c>
      <c r="AX128" s="11">
        <v>10</v>
      </c>
      <c r="AY128" s="11">
        <v>197</v>
      </c>
      <c r="AZ128" s="11">
        <v>12</v>
      </c>
      <c r="BA128" s="11" t="s">
        <v>17</v>
      </c>
      <c r="BB128" s="11" t="s">
        <v>17</v>
      </c>
      <c r="BC128" s="11" t="s">
        <v>17</v>
      </c>
      <c r="BD128" s="11" t="s">
        <v>17</v>
      </c>
      <c r="BE128" s="11" t="s">
        <v>17</v>
      </c>
      <c r="BF128" s="11" t="s">
        <v>17</v>
      </c>
      <c r="BG128" s="11" t="s">
        <v>17</v>
      </c>
      <c r="BH128" s="11" t="s">
        <v>17</v>
      </c>
      <c r="BI128" s="11" t="s">
        <v>17</v>
      </c>
      <c r="BJ128" s="11" t="s">
        <v>17</v>
      </c>
      <c r="BK128" s="11" t="s">
        <v>17</v>
      </c>
    </row>
    <row r="129" spans="1:64" ht="27.95" hidden="1" customHeight="1">
      <c r="A129" s="14" t="s">
        <v>184</v>
      </c>
      <c r="B129" s="15" t="s">
        <v>185</v>
      </c>
      <c r="C129" s="15" t="s">
        <v>186</v>
      </c>
      <c r="D129" s="15"/>
      <c r="E129" s="43"/>
      <c r="F129" s="43"/>
      <c r="G129" s="17" t="str">
        <f>VLOOKUP(A129,'KPI Описание'!A:K,11,0)</f>
        <v>Специалист учета</v>
      </c>
      <c r="H129" s="17" t="s">
        <v>33</v>
      </c>
      <c r="I129" s="18"/>
      <c r="J129" s="19"/>
      <c r="K129" s="26" t="s">
        <v>17</v>
      </c>
      <c r="L129" s="26">
        <v>184</v>
      </c>
      <c r="M129" s="26">
        <v>184</v>
      </c>
      <c r="N129" s="26">
        <v>188</v>
      </c>
      <c r="O129" s="26">
        <v>81</v>
      </c>
      <c r="P129" s="26">
        <v>73</v>
      </c>
      <c r="Q129" s="26">
        <v>40</v>
      </c>
      <c r="R129" s="26">
        <v>63</v>
      </c>
      <c r="S129" s="26">
        <v>73</v>
      </c>
      <c r="T129" s="26">
        <v>50</v>
      </c>
      <c r="U129" s="26">
        <v>54</v>
      </c>
      <c r="V129" s="26">
        <v>54</v>
      </c>
      <c r="W129" s="26">
        <v>89</v>
      </c>
      <c r="X129" s="26">
        <v>71</v>
      </c>
      <c r="Y129" s="26">
        <v>74</v>
      </c>
      <c r="Z129" s="26">
        <v>80</v>
      </c>
      <c r="AA129" s="26">
        <v>25</v>
      </c>
      <c r="AB129" s="26">
        <v>67</v>
      </c>
      <c r="AC129" s="26">
        <v>9</v>
      </c>
      <c r="AD129" s="26">
        <v>7</v>
      </c>
      <c r="AE129" s="26">
        <v>2</v>
      </c>
      <c r="AF129" s="26">
        <v>1</v>
      </c>
      <c r="AG129" s="26">
        <v>23</v>
      </c>
      <c r="AH129" s="26">
        <v>16</v>
      </c>
      <c r="AI129" s="26">
        <v>16</v>
      </c>
      <c r="AJ129" s="26">
        <v>7</v>
      </c>
      <c r="AK129" s="26">
        <v>5</v>
      </c>
      <c r="AL129" s="26">
        <v>5</v>
      </c>
      <c r="AM129" s="26">
        <v>3</v>
      </c>
      <c r="AN129" s="26">
        <v>3</v>
      </c>
      <c r="AO129" s="26">
        <v>6</v>
      </c>
      <c r="AP129" s="26">
        <v>3</v>
      </c>
      <c r="AQ129" s="26">
        <v>3</v>
      </c>
      <c r="AR129" s="26">
        <v>3</v>
      </c>
      <c r="AS129" s="26">
        <v>14</v>
      </c>
      <c r="AT129" s="26">
        <v>1</v>
      </c>
      <c r="AU129" s="26">
        <v>0</v>
      </c>
      <c r="AV129" s="26">
        <v>1</v>
      </c>
      <c r="AW129" s="26">
        <v>2</v>
      </c>
      <c r="AX129" s="26">
        <v>5</v>
      </c>
      <c r="AY129" s="26">
        <v>38</v>
      </c>
      <c r="AZ129" s="26">
        <v>1</v>
      </c>
      <c r="BA129" s="26" t="s">
        <v>17</v>
      </c>
      <c r="BB129" s="26" t="s">
        <v>17</v>
      </c>
      <c r="BC129" s="26" t="s">
        <v>17</v>
      </c>
      <c r="BD129" s="26" t="s">
        <v>17</v>
      </c>
      <c r="BE129" s="26" t="s">
        <v>17</v>
      </c>
      <c r="BF129" s="26" t="s">
        <v>17</v>
      </c>
      <c r="BG129" s="26" t="s">
        <v>17</v>
      </c>
      <c r="BH129" s="26" t="s">
        <v>17</v>
      </c>
      <c r="BI129" s="26" t="s">
        <v>17</v>
      </c>
      <c r="BJ129" s="26" t="s">
        <v>17</v>
      </c>
      <c r="BK129" s="26" t="s">
        <v>17</v>
      </c>
    </row>
    <row r="130" spans="1:64" ht="27.95" hidden="1" customHeight="1">
      <c r="A130" s="14" t="s">
        <v>184</v>
      </c>
      <c r="B130" s="15" t="s">
        <v>185</v>
      </c>
      <c r="C130" s="15" t="s">
        <v>186</v>
      </c>
      <c r="D130" s="15"/>
      <c r="E130" s="43"/>
      <c r="F130" s="43"/>
      <c r="G130" s="17" t="str">
        <f>VLOOKUP(A130,'KPI Описание'!A:K,11,0)</f>
        <v>Специалист учета</v>
      </c>
      <c r="H130" s="17" t="s">
        <v>36</v>
      </c>
      <c r="I130" s="18"/>
      <c r="J130" s="19"/>
      <c r="K130" s="26" t="s">
        <v>17</v>
      </c>
      <c r="L130" s="26">
        <v>27</v>
      </c>
      <c r="M130" s="26">
        <v>27</v>
      </c>
      <c r="N130" s="26">
        <v>27</v>
      </c>
      <c r="O130" s="26">
        <v>7</v>
      </c>
      <c r="P130" s="26">
        <v>19</v>
      </c>
      <c r="Q130" s="26">
        <v>13</v>
      </c>
      <c r="R130" s="26">
        <v>14</v>
      </c>
      <c r="S130" s="26">
        <v>6</v>
      </c>
      <c r="T130" s="26">
        <v>7</v>
      </c>
      <c r="U130" s="26">
        <v>10</v>
      </c>
      <c r="V130" s="26">
        <v>11</v>
      </c>
      <c r="W130" s="26">
        <v>12</v>
      </c>
      <c r="X130" s="26">
        <v>8</v>
      </c>
      <c r="Y130" s="26">
        <v>6</v>
      </c>
      <c r="Z130" s="26">
        <v>6</v>
      </c>
      <c r="AA130" s="26">
        <v>7</v>
      </c>
      <c r="AB130" s="26">
        <v>9</v>
      </c>
      <c r="AC130" s="26">
        <v>8</v>
      </c>
      <c r="AD130" s="26">
        <v>7</v>
      </c>
      <c r="AE130" s="26">
        <v>6</v>
      </c>
      <c r="AF130" s="26">
        <v>5</v>
      </c>
      <c r="AG130" s="26">
        <v>10</v>
      </c>
      <c r="AH130" s="26">
        <v>7</v>
      </c>
      <c r="AI130" s="26">
        <v>4</v>
      </c>
      <c r="AJ130" s="26">
        <v>7</v>
      </c>
      <c r="AK130" s="26">
        <v>0</v>
      </c>
      <c r="AL130" s="26">
        <v>1</v>
      </c>
      <c r="AM130" s="26">
        <v>4</v>
      </c>
      <c r="AN130" s="26">
        <v>2</v>
      </c>
      <c r="AO130" s="26">
        <v>4</v>
      </c>
      <c r="AP130" s="26">
        <v>0</v>
      </c>
      <c r="AQ130" s="26">
        <v>0</v>
      </c>
      <c r="AR130" s="26">
        <v>0</v>
      </c>
      <c r="AS130" s="26">
        <v>0</v>
      </c>
      <c r="AT130" s="26">
        <v>0</v>
      </c>
      <c r="AU130" s="26">
        <v>0</v>
      </c>
      <c r="AV130" s="26">
        <v>0</v>
      </c>
      <c r="AW130" s="26">
        <v>3</v>
      </c>
      <c r="AX130" s="26">
        <v>0</v>
      </c>
      <c r="AY130" s="26">
        <v>38</v>
      </c>
      <c r="AZ130" s="26">
        <v>0</v>
      </c>
      <c r="BA130" s="26" t="s">
        <v>17</v>
      </c>
      <c r="BB130" s="26" t="s">
        <v>17</v>
      </c>
      <c r="BC130" s="26" t="s">
        <v>17</v>
      </c>
      <c r="BD130" s="26" t="s">
        <v>17</v>
      </c>
      <c r="BE130" s="26" t="s">
        <v>17</v>
      </c>
      <c r="BF130" s="26" t="s">
        <v>17</v>
      </c>
      <c r="BG130" s="26" t="s">
        <v>17</v>
      </c>
      <c r="BH130" s="26" t="s">
        <v>17</v>
      </c>
      <c r="BI130" s="26" t="s">
        <v>17</v>
      </c>
      <c r="BJ130" s="26" t="s">
        <v>17</v>
      </c>
      <c r="BK130" s="26" t="s">
        <v>17</v>
      </c>
    </row>
    <row r="131" spans="1:64" ht="27.95" hidden="1" customHeight="1">
      <c r="A131" s="14" t="s">
        <v>184</v>
      </c>
      <c r="B131" s="15" t="s">
        <v>185</v>
      </c>
      <c r="C131" s="15" t="s">
        <v>186</v>
      </c>
      <c r="D131" s="15"/>
      <c r="E131" s="43"/>
      <c r="F131" s="43"/>
      <c r="G131" s="17" t="str">
        <f>VLOOKUP(A131,'KPI Описание'!A:K,11,0)</f>
        <v>Специалист учета</v>
      </c>
      <c r="H131" s="17" t="s">
        <v>37</v>
      </c>
      <c r="I131" s="18"/>
      <c r="J131" s="19"/>
      <c r="K131" s="26" t="s">
        <v>17</v>
      </c>
      <c r="L131" s="26">
        <v>341</v>
      </c>
      <c r="M131" s="26">
        <v>341</v>
      </c>
      <c r="N131" s="26">
        <v>346</v>
      </c>
      <c r="O131" s="26">
        <v>117</v>
      </c>
      <c r="P131" s="26">
        <v>90</v>
      </c>
      <c r="Q131" s="26">
        <v>52</v>
      </c>
      <c r="R131" s="26">
        <v>52</v>
      </c>
      <c r="S131" s="26">
        <v>50</v>
      </c>
      <c r="T131" s="26">
        <v>32</v>
      </c>
      <c r="U131" s="26">
        <v>33</v>
      </c>
      <c r="V131" s="26">
        <v>34</v>
      </c>
      <c r="W131" s="26">
        <v>8</v>
      </c>
      <c r="X131" s="26">
        <v>9</v>
      </c>
      <c r="Y131" s="26">
        <v>40</v>
      </c>
      <c r="Z131" s="26">
        <v>46</v>
      </c>
      <c r="AA131" s="26">
        <v>48</v>
      </c>
      <c r="AB131" s="26">
        <v>7</v>
      </c>
      <c r="AC131" s="26">
        <v>10</v>
      </c>
      <c r="AD131" s="26">
        <v>4</v>
      </c>
      <c r="AE131" s="26">
        <v>2</v>
      </c>
      <c r="AF131" s="26">
        <v>2</v>
      </c>
      <c r="AG131" s="26">
        <v>1</v>
      </c>
      <c r="AH131" s="26">
        <v>22</v>
      </c>
      <c r="AI131" s="26">
        <v>0</v>
      </c>
      <c r="AJ131" s="26">
        <v>0</v>
      </c>
      <c r="AK131" s="26">
        <v>1</v>
      </c>
      <c r="AL131" s="26">
        <v>0</v>
      </c>
      <c r="AM131" s="26">
        <v>0</v>
      </c>
      <c r="AN131" s="26">
        <v>0</v>
      </c>
      <c r="AO131" s="26">
        <v>0</v>
      </c>
      <c r="AP131" s="26">
        <v>0</v>
      </c>
      <c r="AQ131" s="26">
        <v>0</v>
      </c>
      <c r="AR131" s="26">
        <v>0</v>
      </c>
      <c r="AS131" s="26">
        <v>0</v>
      </c>
      <c r="AT131" s="26">
        <v>0</v>
      </c>
      <c r="AU131" s="26">
        <v>0</v>
      </c>
      <c r="AV131" s="26">
        <v>1</v>
      </c>
      <c r="AW131" s="26">
        <v>1</v>
      </c>
      <c r="AX131" s="26">
        <v>0</v>
      </c>
      <c r="AY131" s="26">
        <v>37</v>
      </c>
      <c r="AZ131" s="26">
        <v>0</v>
      </c>
      <c r="BA131" s="26" t="s">
        <v>17</v>
      </c>
      <c r="BB131" s="26" t="s">
        <v>17</v>
      </c>
      <c r="BC131" s="26" t="s">
        <v>17</v>
      </c>
      <c r="BD131" s="26" t="s">
        <v>17</v>
      </c>
      <c r="BE131" s="26" t="s">
        <v>17</v>
      </c>
      <c r="BF131" s="26" t="s">
        <v>17</v>
      </c>
      <c r="BG131" s="26" t="s">
        <v>17</v>
      </c>
      <c r="BH131" s="26" t="s">
        <v>17</v>
      </c>
      <c r="BI131" s="26" t="s">
        <v>17</v>
      </c>
      <c r="BJ131" s="26" t="s">
        <v>17</v>
      </c>
      <c r="BK131" s="26" t="s">
        <v>17</v>
      </c>
    </row>
    <row r="132" spans="1:64" ht="27.95" hidden="1" customHeight="1">
      <c r="A132" s="14" t="s">
        <v>184</v>
      </c>
      <c r="B132" s="15" t="s">
        <v>185</v>
      </c>
      <c r="C132" s="15" t="s">
        <v>186</v>
      </c>
      <c r="D132" s="15"/>
      <c r="E132" s="43"/>
      <c r="F132" s="43"/>
      <c r="G132" s="17" t="str">
        <f>VLOOKUP(A132,'KPI Описание'!A:K,11,0)</f>
        <v>Специалист учета</v>
      </c>
      <c r="H132" s="17" t="s">
        <v>40</v>
      </c>
      <c r="I132" s="18"/>
      <c r="J132" s="19"/>
      <c r="K132" s="26" t="s">
        <v>17</v>
      </c>
      <c r="L132" s="26">
        <v>177</v>
      </c>
      <c r="M132" s="26">
        <v>177</v>
      </c>
      <c r="N132" s="26">
        <v>185</v>
      </c>
      <c r="O132" s="26">
        <v>180</v>
      </c>
      <c r="P132" s="26">
        <v>144</v>
      </c>
      <c r="Q132" s="26">
        <v>121</v>
      </c>
      <c r="R132" s="26">
        <v>127</v>
      </c>
      <c r="S132" s="26">
        <v>90</v>
      </c>
      <c r="T132" s="26">
        <v>62</v>
      </c>
      <c r="U132" s="26">
        <v>69</v>
      </c>
      <c r="V132" s="26">
        <v>75</v>
      </c>
      <c r="W132" s="26">
        <v>20</v>
      </c>
      <c r="X132" s="26">
        <v>20</v>
      </c>
      <c r="Y132" s="26">
        <v>55</v>
      </c>
      <c r="Z132" s="26">
        <v>70</v>
      </c>
      <c r="AA132" s="26">
        <v>77</v>
      </c>
      <c r="AB132" s="26">
        <v>14</v>
      </c>
      <c r="AC132" s="26">
        <v>19</v>
      </c>
      <c r="AD132" s="26">
        <v>8</v>
      </c>
      <c r="AE132" s="26">
        <v>9</v>
      </c>
      <c r="AF132" s="26">
        <v>8</v>
      </c>
      <c r="AG132" s="26">
        <v>29</v>
      </c>
      <c r="AH132" s="26">
        <v>0</v>
      </c>
      <c r="AI132" s="26">
        <v>24</v>
      </c>
      <c r="AJ132" s="26">
        <v>15</v>
      </c>
      <c r="AK132" s="26">
        <v>9</v>
      </c>
      <c r="AL132" s="26">
        <v>9</v>
      </c>
      <c r="AM132" s="26">
        <v>5</v>
      </c>
      <c r="AN132" s="26">
        <v>3</v>
      </c>
      <c r="AO132" s="26">
        <v>6</v>
      </c>
      <c r="AP132" s="26">
        <v>11</v>
      </c>
      <c r="AQ132" s="26">
        <v>16</v>
      </c>
      <c r="AR132" s="26">
        <v>16</v>
      </c>
      <c r="AS132" s="26">
        <v>16</v>
      </c>
      <c r="AT132" s="26">
        <v>9</v>
      </c>
      <c r="AU132" s="26">
        <v>13</v>
      </c>
      <c r="AV132" s="26">
        <v>1</v>
      </c>
      <c r="AW132" s="26">
        <v>5</v>
      </c>
      <c r="AX132" s="26">
        <v>4</v>
      </c>
      <c r="AY132" s="26">
        <v>43</v>
      </c>
      <c r="AZ132" s="26">
        <v>5</v>
      </c>
      <c r="BA132" s="26" t="s">
        <v>17</v>
      </c>
      <c r="BB132" s="26" t="s">
        <v>17</v>
      </c>
      <c r="BC132" s="26" t="s">
        <v>17</v>
      </c>
      <c r="BD132" s="26" t="s">
        <v>17</v>
      </c>
      <c r="BE132" s="26" t="s">
        <v>17</v>
      </c>
      <c r="BF132" s="26" t="s">
        <v>17</v>
      </c>
      <c r="BG132" s="26" t="s">
        <v>17</v>
      </c>
      <c r="BH132" s="26" t="s">
        <v>17</v>
      </c>
      <c r="BI132" s="26" t="s">
        <v>17</v>
      </c>
      <c r="BJ132" s="26" t="s">
        <v>17</v>
      </c>
      <c r="BK132" s="26" t="s">
        <v>17</v>
      </c>
    </row>
    <row r="133" spans="1:64" ht="27.95" hidden="1" customHeight="1">
      <c r="A133" s="14" t="s">
        <v>184</v>
      </c>
      <c r="B133" s="15" t="s">
        <v>185</v>
      </c>
      <c r="C133" s="15" t="s">
        <v>186</v>
      </c>
      <c r="D133" s="15"/>
      <c r="E133" s="43"/>
      <c r="F133" s="43"/>
      <c r="G133" s="17" t="str">
        <f>VLOOKUP(A133,'KPI Описание'!A:K,11,0)</f>
        <v>Специалист учета</v>
      </c>
      <c r="H133" s="17" t="s">
        <v>43</v>
      </c>
      <c r="I133" s="18"/>
      <c r="J133" s="19"/>
      <c r="K133" s="26" t="s">
        <v>17</v>
      </c>
      <c r="L133" s="26">
        <v>197</v>
      </c>
      <c r="M133" s="26">
        <v>197</v>
      </c>
      <c r="N133" s="26">
        <v>200</v>
      </c>
      <c r="O133" s="26">
        <v>112</v>
      </c>
      <c r="P133" s="26">
        <v>106</v>
      </c>
      <c r="Q133" s="26">
        <v>81</v>
      </c>
      <c r="R133" s="26">
        <v>78</v>
      </c>
      <c r="S133" s="26">
        <v>66</v>
      </c>
      <c r="T133" s="26">
        <v>31</v>
      </c>
      <c r="U133" s="26">
        <v>34</v>
      </c>
      <c r="V133" s="26">
        <v>41</v>
      </c>
      <c r="W133" s="26">
        <v>31</v>
      </c>
      <c r="X133" s="26">
        <v>17</v>
      </c>
      <c r="Y133" s="26">
        <v>18</v>
      </c>
      <c r="Z133" s="26">
        <v>36</v>
      </c>
      <c r="AA133" s="26">
        <v>25</v>
      </c>
      <c r="AB133" s="26">
        <v>14</v>
      </c>
      <c r="AC133" s="26">
        <v>9</v>
      </c>
      <c r="AD133" s="26">
        <v>5</v>
      </c>
      <c r="AE133" s="26">
        <v>6</v>
      </c>
      <c r="AF133" s="26">
        <v>5</v>
      </c>
      <c r="AG133" s="26">
        <v>5</v>
      </c>
      <c r="AH133" s="26">
        <v>3</v>
      </c>
      <c r="AI133" s="26">
        <v>0</v>
      </c>
      <c r="AJ133" s="26">
        <v>0</v>
      </c>
      <c r="AK133" s="26">
        <v>1</v>
      </c>
      <c r="AL133" s="26">
        <v>1</v>
      </c>
      <c r="AM133" s="26">
        <v>1</v>
      </c>
      <c r="AN133" s="26">
        <v>1</v>
      </c>
      <c r="AO133" s="26">
        <v>2</v>
      </c>
      <c r="AP133" s="26">
        <v>2</v>
      </c>
      <c r="AQ133" s="26">
        <v>1</v>
      </c>
      <c r="AR133" s="26">
        <v>1</v>
      </c>
      <c r="AS133" s="26">
        <v>0</v>
      </c>
      <c r="AT133" s="26">
        <v>0</v>
      </c>
      <c r="AU133" s="26">
        <v>0</v>
      </c>
      <c r="AV133" s="26">
        <v>0</v>
      </c>
      <c r="AW133" s="26">
        <v>0</v>
      </c>
      <c r="AX133" s="26">
        <v>1</v>
      </c>
      <c r="AY133" s="26">
        <v>37</v>
      </c>
      <c r="AZ133" s="26">
        <v>6</v>
      </c>
      <c r="BA133" s="26" t="s">
        <v>17</v>
      </c>
      <c r="BB133" s="26" t="s">
        <v>17</v>
      </c>
      <c r="BC133" s="26" t="s">
        <v>17</v>
      </c>
      <c r="BD133" s="26" t="s">
        <v>17</v>
      </c>
      <c r="BE133" s="26" t="s">
        <v>17</v>
      </c>
      <c r="BF133" s="26" t="s">
        <v>17</v>
      </c>
      <c r="BG133" s="26" t="s">
        <v>17</v>
      </c>
      <c r="BH133" s="26" t="s">
        <v>17</v>
      </c>
      <c r="BI133" s="26" t="s">
        <v>17</v>
      </c>
      <c r="BJ133" s="26" t="s">
        <v>17</v>
      </c>
      <c r="BK133" s="26" t="s">
        <v>17</v>
      </c>
    </row>
    <row r="134" spans="1:64" ht="27.95" hidden="1" customHeight="1">
      <c r="A134" s="82" t="s">
        <v>189</v>
      </c>
      <c r="B134" s="84" t="s">
        <v>190</v>
      </c>
      <c r="C134" s="84" t="s">
        <v>191</v>
      </c>
      <c r="D134" s="84" t="s">
        <v>19</v>
      </c>
      <c r="E134" s="86" t="s">
        <v>75</v>
      </c>
      <c r="F134" s="86" t="s">
        <v>192</v>
      </c>
      <c r="G134" s="88" t="str">
        <f>VLOOKUP(A134,'KPI Описание'!A:K,11,0)</f>
        <v>Специалист учета</v>
      </c>
      <c r="H134" s="88" t="s">
        <v>16</v>
      </c>
      <c r="I134" s="90">
        <f>VLOOKUP(A134,'KPI Описание'!A:P,16,0)</f>
        <v>1</v>
      </c>
      <c r="J134" s="95" t="str">
        <f>IFERROR(VLOOKUP(A134,'KPI Описание'!A:Q,17,0),0)</f>
        <v>lower</v>
      </c>
      <c r="K134" s="90">
        <v>185</v>
      </c>
      <c r="L134" s="90">
        <v>184</v>
      </c>
      <c r="M134" s="90">
        <v>180</v>
      </c>
      <c r="N134" s="90">
        <v>178</v>
      </c>
      <c r="O134" s="90">
        <v>163</v>
      </c>
      <c r="P134" s="90">
        <v>160</v>
      </c>
      <c r="Q134" s="90">
        <v>184</v>
      </c>
      <c r="R134" s="90">
        <v>207</v>
      </c>
      <c r="S134" s="90">
        <v>169</v>
      </c>
      <c r="T134" s="90">
        <v>167</v>
      </c>
      <c r="U134" s="90">
        <v>170</v>
      </c>
      <c r="V134" s="90">
        <v>166</v>
      </c>
      <c r="W134" s="90">
        <v>124</v>
      </c>
      <c r="X134" s="90">
        <v>128</v>
      </c>
      <c r="Y134" s="90">
        <v>143</v>
      </c>
      <c r="Z134" s="90">
        <v>95</v>
      </c>
      <c r="AA134" s="90">
        <v>134</v>
      </c>
      <c r="AB134" s="90">
        <v>136</v>
      </c>
      <c r="AC134" s="90">
        <v>131</v>
      </c>
      <c r="AD134" s="90">
        <v>124</v>
      </c>
      <c r="AE134" s="90">
        <v>115</v>
      </c>
      <c r="AF134" s="90">
        <v>86</v>
      </c>
      <c r="AG134" s="90">
        <v>54</v>
      </c>
      <c r="AH134" s="90">
        <v>46</v>
      </c>
      <c r="AI134" s="90">
        <v>45</v>
      </c>
      <c r="AJ134" s="90">
        <v>46</v>
      </c>
      <c r="AK134" s="90">
        <v>41</v>
      </c>
      <c r="AL134" s="90">
        <v>33</v>
      </c>
      <c r="AM134" s="90">
        <v>32</v>
      </c>
      <c r="AN134" s="90">
        <v>36</v>
      </c>
      <c r="AO134" s="90">
        <v>37</v>
      </c>
      <c r="AP134" s="90">
        <v>48</v>
      </c>
      <c r="AQ134" s="90">
        <v>30</v>
      </c>
      <c r="AR134" s="90">
        <v>15</v>
      </c>
      <c r="AS134" s="90">
        <v>11</v>
      </c>
      <c r="AT134" s="90">
        <v>5</v>
      </c>
      <c r="AU134" s="90">
        <v>6</v>
      </c>
      <c r="AV134" s="90">
        <v>7</v>
      </c>
      <c r="AW134" s="90">
        <v>4</v>
      </c>
      <c r="AX134" s="90">
        <v>6</v>
      </c>
      <c r="AY134" s="90">
        <v>22</v>
      </c>
      <c r="AZ134" s="90">
        <v>40</v>
      </c>
      <c r="BA134" s="90" t="s">
        <v>17</v>
      </c>
      <c r="BB134" s="90" t="s">
        <v>17</v>
      </c>
      <c r="BC134" s="90" t="s">
        <v>17</v>
      </c>
      <c r="BD134" s="90" t="s">
        <v>17</v>
      </c>
      <c r="BE134" s="90" t="s">
        <v>17</v>
      </c>
      <c r="BF134" s="90" t="s">
        <v>17</v>
      </c>
      <c r="BG134" s="90" t="s">
        <v>17</v>
      </c>
      <c r="BH134" s="90" t="s">
        <v>17</v>
      </c>
      <c r="BI134" s="90" t="s">
        <v>17</v>
      </c>
      <c r="BJ134" s="90" t="s">
        <v>17</v>
      </c>
      <c r="BK134" s="90" t="s">
        <v>17</v>
      </c>
    </row>
    <row r="135" spans="1:64" s="74" customFormat="1" ht="27.95" hidden="1" customHeight="1">
      <c r="A135" s="5" t="s">
        <v>193</v>
      </c>
      <c r="B135" s="6" t="s">
        <v>194</v>
      </c>
      <c r="C135" s="6" t="s">
        <v>86</v>
      </c>
      <c r="D135" s="6" t="s">
        <v>19</v>
      </c>
      <c r="E135" s="42" t="s">
        <v>181</v>
      </c>
      <c r="F135" s="42" t="s">
        <v>195</v>
      </c>
      <c r="G135" s="8" t="str">
        <f>VLOOKUP(A135,'KPI Описание'!A:K,11,0)</f>
        <v>Специалист учета</v>
      </c>
      <c r="H135" s="8" t="s">
        <v>16</v>
      </c>
      <c r="I135" s="9">
        <f>VLOOKUP(A135,'KPI Описание'!A:P,16,0)</f>
        <v>0.95</v>
      </c>
      <c r="J135" s="10" t="str">
        <f>IFERROR(VLOOKUP(A135,'KPI Описание'!A:Q,17,0),0)</f>
        <v>higher</v>
      </c>
      <c r="K135" s="9">
        <f>3/3</f>
        <v>1</v>
      </c>
      <c r="L135" s="9">
        <f>53/54</f>
        <v>0.98148148148148151</v>
      </c>
      <c r="M135" s="9">
        <f>72/72</f>
        <v>1</v>
      </c>
      <c r="N135" s="9">
        <f>69/71</f>
        <v>0.971830985915493</v>
      </c>
      <c r="O135" s="9">
        <f>62/70</f>
        <v>0.88571428571428568</v>
      </c>
      <c r="P135" s="9">
        <f>59/67</f>
        <v>0.88059701492537312</v>
      </c>
      <c r="Q135" s="9">
        <f>74/75</f>
        <v>0.98666666666666669</v>
      </c>
      <c r="R135" s="9">
        <f>56/58</f>
        <v>0.96551724137931039</v>
      </c>
      <c r="S135" s="9">
        <f>51/51</f>
        <v>1</v>
      </c>
      <c r="T135" s="9">
        <f>40/41</f>
        <v>0.97560975609756095</v>
      </c>
      <c r="U135" s="9">
        <f>62/63</f>
        <v>0.98412698412698407</v>
      </c>
      <c r="V135" s="9">
        <f>43/43</f>
        <v>1</v>
      </c>
      <c r="W135" s="9">
        <f>73/74</f>
        <v>0.98648648648648651</v>
      </c>
      <c r="X135" s="9">
        <f>63/63</f>
        <v>1</v>
      </c>
      <c r="Y135" s="9">
        <f>72/73</f>
        <v>0.98630136986301364</v>
      </c>
      <c r="Z135" s="9">
        <f>56/57</f>
        <v>0.98245614035087714</v>
      </c>
      <c r="AA135" s="9">
        <f>78/81</f>
        <v>0.96296296296296291</v>
      </c>
      <c r="AB135" s="9">
        <v>0.84615384599999999</v>
      </c>
      <c r="AC135" s="9">
        <v>0.94117647100000001</v>
      </c>
      <c r="AD135" s="9">
        <v>0.984848485</v>
      </c>
      <c r="AE135" s="9">
        <v>0.90322580600000002</v>
      </c>
      <c r="AF135" s="9">
        <v>1</v>
      </c>
      <c r="AG135" s="9">
        <v>1</v>
      </c>
      <c r="AH135" s="9">
        <v>0.94736842099999996</v>
      </c>
      <c r="AI135" s="9">
        <v>1</v>
      </c>
      <c r="AJ135" s="9">
        <v>1</v>
      </c>
      <c r="AK135" s="9">
        <v>1</v>
      </c>
      <c r="AL135" s="9">
        <v>1</v>
      </c>
      <c r="AM135" s="9">
        <v>0.95</v>
      </c>
      <c r="AN135" s="9">
        <v>1</v>
      </c>
      <c r="AO135" s="9">
        <v>0.95945945899999996</v>
      </c>
      <c r="AP135" s="9">
        <v>1</v>
      </c>
      <c r="AQ135" s="9">
        <v>0.96969696999999999</v>
      </c>
      <c r="AR135" s="9">
        <v>0.98360655699999999</v>
      </c>
      <c r="AS135" s="9">
        <v>0.97872340400000002</v>
      </c>
      <c r="AT135" s="9">
        <v>0.98</v>
      </c>
      <c r="AU135" s="9">
        <v>0.96</v>
      </c>
      <c r="AV135" s="9">
        <v>0.96825396799999996</v>
      </c>
      <c r="AW135" s="9">
        <v>0.94366197200000002</v>
      </c>
      <c r="AX135" s="9">
        <v>0.96341463400000005</v>
      </c>
      <c r="AY135" s="9">
        <v>0.9375</v>
      </c>
      <c r="AZ135" s="91">
        <v>1</v>
      </c>
      <c r="BA135" s="9">
        <v>0.93</v>
      </c>
      <c r="BB135" s="9" t="s">
        <v>17</v>
      </c>
      <c r="BC135" s="9" t="s">
        <v>17</v>
      </c>
      <c r="BD135" s="9" t="s">
        <v>17</v>
      </c>
      <c r="BE135" s="9" t="s">
        <v>17</v>
      </c>
      <c r="BF135" s="9" t="s">
        <v>17</v>
      </c>
      <c r="BG135" s="9" t="s">
        <v>17</v>
      </c>
      <c r="BH135" s="9" t="s">
        <v>17</v>
      </c>
      <c r="BI135" s="9" t="s">
        <v>17</v>
      </c>
      <c r="BJ135" s="9" t="s">
        <v>17</v>
      </c>
      <c r="BK135" s="9" t="s">
        <v>17</v>
      </c>
    </row>
    <row r="136" spans="1:64" s="75" customFormat="1" ht="27.95" hidden="1" customHeight="1">
      <c r="A136" s="14" t="s">
        <v>193</v>
      </c>
      <c r="B136" s="15" t="s">
        <v>194</v>
      </c>
      <c r="C136" s="15" t="s">
        <v>86</v>
      </c>
      <c r="D136" s="15"/>
      <c r="E136" s="43"/>
      <c r="F136" s="43"/>
      <c r="G136" s="17" t="str">
        <f>VLOOKUP(A136,'KPI Описание'!A:K,11,0)</f>
        <v>Специалист учета</v>
      </c>
      <c r="H136" s="17" t="s">
        <v>33</v>
      </c>
      <c r="I136" s="18"/>
      <c r="J136" s="19"/>
      <c r="K136" s="18" t="s">
        <v>17</v>
      </c>
      <c r="L136" s="18">
        <f>16/16</f>
        <v>1</v>
      </c>
      <c r="M136" s="18">
        <f>18/18</f>
        <v>1</v>
      </c>
      <c r="N136" s="18">
        <f>10/11</f>
        <v>0.90909090909090906</v>
      </c>
      <c r="O136" s="18">
        <f>18/19</f>
        <v>0.94736842105263153</v>
      </c>
      <c r="P136" s="18">
        <f>17/17</f>
        <v>1</v>
      </c>
      <c r="Q136" s="18">
        <f>33/34</f>
        <v>0.97058823529411764</v>
      </c>
      <c r="R136" s="18">
        <f>32/32</f>
        <v>1</v>
      </c>
      <c r="S136" s="18">
        <f>6/6</f>
        <v>1</v>
      </c>
      <c r="T136" s="18">
        <f>3/4</f>
        <v>0.75</v>
      </c>
      <c r="U136" s="18">
        <f>10/10</f>
        <v>1</v>
      </c>
      <c r="V136" s="18">
        <f>12/12</f>
        <v>1</v>
      </c>
      <c r="W136" s="18">
        <f>10/10</f>
        <v>1</v>
      </c>
      <c r="X136" s="18">
        <f>12/12</f>
        <v>1</v>
      </c>
      <c r="Y136" s="18">
        <f>22/22</f>
        <v>1</v>
      </c>
      <c r="Z136" s="18">
        <f>12/13</f>
        <v>0.92307692307692313</v>
      </c>
      <c r="AA136" s="18">
        <f>14/16</f>
        <v>0.875</v>
      </c>
      <c r="AB136" s="18">
        <v>0.66666666699999999</v>
      </c>
      <c r="AC136" s="18">
        <v>1</v>
      </c>
      <c r="AD136" s="18">
        <v>1</v>
      </c>
      <c r="AE136" s="18">
        <v>0.83333333300000001</v>
      </c>
      <c r="AF136" s="18">
        <v>1</v>
      </c>
      <c r="AG136" s="18">
        <v>1</v>
      </c>
      <c r="AH136" s="18">
        <v>0.928571429</v>
      </c>
      <c r="AI136" s="18">
        <v>1</v>
      </c>
      <c r="AJ136" s="18">
        <v>1</v>
      </c>
      <c r="AK136" s="18">
        <v>1</v>
      </c>
      <c r="AL136" s="18">
        <v>1</v>
      </c>
      <c r="AM136" s="18">
        <v>1</v>
      </c>
      <c r="AN136" s="18">
        <v>1</v>
      </c>
      <c r="AO136" s="18">
        <v>0.95</v>
      </c>
      <c r="AP136" s="18">
        <v>1</v>
      </c>
      <c r="AQ136" s="18">
        <v>1</v>
      </c>
      <c r="AR136" s="18">
        <v>1</v>
      </c>
      <c r="AS136" s="18">
        <v>1</v>
      </c>
      <c r="AT136" s="18">
        <v>1</v>
      </c>
      <c r="AU136" s="18">
        <v>1</v>
      </c>
      <c r="AV136" s="18">
        <v>1</v>
      </c>
      <c r="AW136" s="18">
        <v>0.91666666699999999</v>
      </c>
      <c r="AX136" s="18">
        <v>1</v>
      </c>
      <c r="AY136" s="18">
        <v>0.92307692299999999</v>
      </c>
      <c r="AZ136" s="89">
        <v>1</v>
      </c>
      <c r="BA136" s="18">
        <v>0.92</v>
      </c>
      <c r="BB136" s="18" t="s">
        <v>17</v>
      </c>
      <c r="BC136" s="18" t="s">
        <v>17</v>
      </c>
      <c r="BD136" s="18" t="s">
        <v>17</v>
      </c>
      <c r="BE136" s="18" t="s">
        <v>17</v>
      </c>
      <c r="BF136" s="18" t="s">
        <v>17</v>
      </c>
      <c r="BG136" s="18" t="s">
        <v>17</v>
      </c>
      <c r="BH136" s="18" t="s">
        <v>17</v>
      </c>
      <c r="BI136" s="18" t="s">
        <v>17</v>
      </c>
      <c r="BJ136" s="18" t="s">
        <v>17</v>
      </c>
      <c r="BK136" s="18" t="s">
        <v>17</v>
      </c>
    </row>
    <row r="137" spans="1:64" s="75" customFormat="1" ht="27.95" hidden="1" customHeight="1">
      <c r="A137" s="14" t="s">
        <v>193</v>
      </c>
      <c r="B137" s="15" t="s">
        <v>194</v>
      </c>
      <c r="C137" s="15" t="s">
        <v>86</v>
      </c>
      <c r="D137" s="15"/>
      <c r="E137" s="43"/>
      <c r="F137" s="43"/>
      <c r="G137" s="17" t="str">
        <f>VLOOKUP(A137,'KPI Описание'!A:K,11,0)</f>
        <v>Специалист учета</v>
      </c>
      <c r="H137" s="17" t="s">
        <v>36</v>
      </c>
      <c r="I137" s="18"/>
      <c r="J137" s="19"/>
      <c r="K137" s="18">
        <f>1/1</f>
        <v>1</v>
      </c>
      <c r="L137" s="18">
        <f>9/10</f>
        <v>0.9</v>
      </c>
      <c r="M137" s="18">
        <f>11/11</f>
        <v>1</v>
      </c>
      <c r="N137" s="18">
        <f>18/18</f>
        <v>1</v>
      </c>
      <c r="O137" s="18">
        <f>8/8</f>
        <v>1</v>
      </c>
      <c r="P137" s="18">
        <f>6/6</f>
        <v>1</v>
      </c>
      <c r="Q137" s="18">
        <f>5/5</f>
        <v>1</v>
      </c>
      <c r="R137" s="18">
        <f>2/2</f>
        <v>1</v>
      </c>
      <c r="S137" s="18">
        <f>7/7</f>
        <v>1</v>
      </c>
      <c r="T137" s="18">
        <f>7/7</f>
        <v>1</v>
      </c>
      <c r="U137" s="18">
        <f>4/5</f>
        <v>0.8</v>
      </c>
      <c r="V137" s="18">
        <f>11/11</f>
        <v>1</v>
      </c>
      <c r="W137" s="18">
        <f>6/7</f>
        <v>0.8571428571428571</v>
      </c>
      <c r="X137" s="18">
        <f>8/8</f>
        <v>1</v>
      </c>
      <c r="Y137" s="18">
        <f>13/13</f>
        <v>1</v>
      </c>
      <c r="Z137" s="18">
        <f>12/12</f>
        <v>1</v>
      </c>
      <c r="AA137" s="18">
        <f>6/7</f>
        <v>0.8571428571428571</v>
      </c>
      <c r="AB137" s="18">
        <v>0.33333333300000001</v>
      </c>
      <c r="AC137" s="18">
        <v>1</v>
      </c>
      <c r="AD137" s="18">
        <v>1</v>
      </c>
      <c r="AE137" s="18">
        <v>0.5</v>
      </c>
      <c r="AF137" s="18">
        <v>1</v>
      </c>
      <c r="AG137" s="18">
        <v>1</v>
      </c>
      <c r="AH137" s="18">
        <v>0.66666666699999999</v>
      </c>
      <c r="AI137" s="18">
        <v>1</v>
      </c>
      <c r="AJ137" s="18">
        <v>1</v>
      </c>
      <c r="AK137" s="18">
        <v>1</v>
      </c>
      <c r="AL137" s="18">
        <v>1</v>
      </c>
      <c r="AM137" s="18">
        <v>1</v>
      </c>
      <c r="AN137" s="18">
        <v>1</v>
      </c>
      <c r="AO137" s="18">
        <v>1</v>
      </c>
      <c r="AP137" s="18">
        <v>1</v>
      </c>
      <c r="AQ137" s="18">
        <v>1</v>
      </c>
      <c r="AR137" s="18">
        <v>1</v>
      </c>
      <c r="AS137" s="18">
        <v>1</v>
      </c>
      <c r="AT137" s="18">
        <v>1</v>
      </c>
      <c r="AU137" s="18">
        <v>1</v>
      </c>
      <c r="AV137" s="18">
        <v>0.88888888899999996</v>
      </c>
      <c r="AW137" s="18">
        <v>1</v>
      </c>
      <c r="AX137" s="18">
        <v>1</v>
      </c>
      <c r="AY137" s="18">
        <v>0.928571429</v>
      </c>
      <c r="AZ137" s="18">
        <v>1</v>
      </c>
      <c r="BA137" s="18">
        <v>0.86</v>
      </c>
      <c r="BB137" s="18" t="s">
        <v>17</v>
      </c>
      <c r="BC137" s="18" t="s">
        <v>17</v>
      </c>
      <c r="BD137" s="18" t="s">
        <v>17</v>
      </c>
      <c r="BE137" s="18" t="s">
        <v>17</v>
      </c>
      <c r="BF137" s="18" t="s">
        <v>17</v>
      </c>
      <c r="BG137" s="18" t="s">
        <v>17</v>
      </c>
      <c r="BH137" s="18" t="s">
        <v>17</v>
      </c>
      <c r="BI137" s="18" t="s">
        <v>17</v>
      </c>
      <c r="BJ137" s="18" t="s">
        <v>17</v>
      </c>
      <c r="BK137" s="18" t="s">
        <v>17</v>
      </c>
    </row>
    <row r="138" spans="1:64" s="75" customFormat="1" ht="27.95" hidden="1" customHeight="1">
      <c r="A138" s="14" t="s">
        <v>193</v>
      </c>
      <c r="B138" s="15" t="s">
        <v>194</v>
      </c>
      <c r="C138" s="15" t="s">
        <v>86</v>
      </c>
      <c r="D138" s="15"/>
      <c r="E138" s="43"/>
      <c r="F138" s="43"/>
      <c r="G138" s="17" t="str">
        <f>VLOOKUP(A138,'KPI Описание'!A:K,11,0)</f>
        <v>Специалист учета</v>
      </c>
      <c r="H138" s="17" t="s">
        <v>37</v>
      </c>
      <c r="I138" s="18"/>
      <c r="J138" s="19"/>
      <c r="K138" s="18" t="s">
        <v>17</v>
      </c>
      <c r="L138" s="18">
        <f>7/7</f>
        <v>1</v>
      </c>
      <c r="M138" s="18">
        <f>12/12</f>
        <v>1</v>
      </c>
      <c r="N138" s="18">
        <f>3/4</f>
        <v>0.75</v>
      </c>
      <c r="O138" s="18">
        <f>6/8</f>
        <v>0.75</v>
      </c>
      <c r="P138" s="18">
        <f>8/12</f>
        <v>0.66666666666666663</v>
      </c>
      <c r="Q138" s="18">
        <f>5/5</f>
        <v>1</v>
      </c>
      <c r="R138" s="18">
        <f>1/1</f>
        <v>1</v>
      </c>
      <c r="S138" s="18">
        <f>5/5</f>
        <v>1</v>
      </c>
      <c r="T138" s="18">
        <f>5/5</f>
        <v>1</v>
      </c>
      <c r="U138" s="18">
        <f>19/19</f>
        <v>1</v>
      </c>
      <c r="V138" s="18">
        <f>3/3</f>
        <v>1</v>
      </c>
      <c r="W138" s="18">
        <f>12/12</f>
        <v>1</v>
      </c>
      <c r="X138" s="18">
        <f>5/5</f>
        <v>1</v>
      </c>
      <c r="Y138" s="18">
        <f>4/4</f>
        <v>1</v>
      </c>
      <c r="Z138" s="18">
        <f>2/2</f>
        <v>1</v>
      </c>
      <c r="AA138" s="18">
        <f>6/6</f>
        <v>1</v>
      </c>
      <c r="AB138" s="18">
        <v>1</v>
      </c>
      <c r="AC138" s="18">
        <v>0.875</v>
      </c>
      <c r="AD138" s="18">
        <v>0.5</v>
      </c>
      <c r="AE138" s="18">
        <v>1</v>
      </c>
      <c r="AF138" s="18">
        <v>1</v>
      </c>
      <c r="AG138" s="18">
        <v>1</v>
      </c>
      <c r="AH138" s="18">
        <v>1</v>
      </c>
      <c r="AI138" s="18">
        <v>1</v>
      </c>
      <c r="AJ138" s="18">
        <v>1</v>
      </c>
      <c r="AK138" s="18">
        <v>1</v>
      </c>
      <c r="AL138" s="18">
        <v>1</v>
      </c>
      <c r="AM138" s="18">
        <v>0.85714285700000004</v>
      </c>
      <c r="AN138" s="18">
        <v>1</v>
      </c>
      <c r="AO138" s="18">
        <v>1</v>
      </c>
      <c r="AP138" s="18">
        <v>1</v>
      </c>
      <c r="AQ138" s="18">
        <v>1</v>
      </c>
      <c r="AR138" s="18">
        <v>0.8</v>
      </c>
      <c r="AS138" s="18">
        <v>1</v>
      </c>
      <c r="AT138" s="18">
        <v>1</v>
      </c>
      <c r="AU138" s="18">
        <v>0.66</v>
      </c>
      <c r="AV138" s="18">
        <v>0.875</v>
      </c>
      <c r="AW138" s="18">
        <v>1</v>
      </c>
      <c r="AX138" s="18">
        <v>1</v>
      </c>
      <c r="AY138" s="18">
        <v>1</v>
      </c>
      <c r="AZ138" s="18">
        <v>1</v>
      </c>
      <c r="BA138" s="18">
        <v>0.86</v>
      </c>
      <c r="BB138" s="18" t="s">
        <v>17</v>
      </c>
      <c r="BC138" s="18" t="s">
        <v>17</v>
      </c>
      <c r="BD138" s="18" t="s">
        <v>17</v>
      </c>
      <c r="BE138" s="18" t="s">
        <v>17</v>
      </c>
      <c r="BF138" s="18" t="s">
        <v>17</v>
      </c>
      <c r="BG138" s="18" t="s">
        <v>17</v>
      </c>
      <c r="BH138" s="18" t="s">
        <v>17</v>
      </c>
      <c r="BI138" s="18" t="s">
        <v>17</v>
      </c>
      <c r="BJ138" s="18" t="s">
        <v>17</v>
      </c>
      <c r="BK138" s="18" t="s">
        <v>17</v>
      </c>
    </row>
    <row r="139" spans="1:64" s="75" customFormat="1" ht="27.95" hidden="1" customHeight="1">
      <c r="A139" s="14" t="s">
        <v>193</v>
      </c>
      <c r="B139" s="15" t="s">
        <v>194</v>
      </c>
      <c r="C139" s="15" t="s">
        <v>86</v>
      </c>
      <c r="D139" s="15"/>
      <c r="E139" s="43"/>
      <c r="F139" s="43"/>
      <c r="G139" s="17" t="str">
        <f>VLOOKUP(A139,'KPI Описание'!A:K,11,0)</f>
        <v>Специалист учета</v>
      </c>
      <c r="H139" s="17" t="s">
        <v>40</v>
      </c>
      <c r="I139" s="18"/>
      <c r="J139" s="19"/>
      <c r="K139" s="18" t="s">
        <v>17</v>
      </c>
      <c r="L139" s="18">
        <f>7/7</f>
        <v>1</v>
      </c>
      <c r="M139" s="18">
        <f>7/7</f>
        <v>1</v>
      </c>
      <c r="N139" s="18">
        <f>4/4</f>
        <v>1</v>
      </c>
      <c r="O139" s="18">
        <f>16/17</f>
        <v>0.94117647058823528</v>
      </c>
      <c r="P139" s="18">
        <f>10/11</f>
        <v>0.90909090909090906</v>
      </c>
      <c r="Q139" s="18">
        <f>16/16</f>
        <v>1</v>
      </c>
      <c r="R139" s="18">
        <f>14/16</f>
        <v>0.875</v>
      </c>
      <c r="S139" s="18">
        <f>17/17</f>
        <v>1</v>
      </c>
      <c r="T139" s="18">
        <f>14/14</f>
        <v>1</v>
      </c>
      <c r="U139" s="18">
        <f>13/13</f>
        <v>1</v>
      </c>
      <c r="V139" s="18">
        <f>6/6</f>
        <v>1</v>
      </c>
      <c r="W139" s="18">
        <f>11/11</f>
        <v>1</v>
      </c>
      <c r="X139" s="18">
        <f>12/12</f>
        <v>1</v>
      </c>
      <c r="Y139" s="18">
        <f>15/15</f>
        <v>1</v>
      </c>
      <c r="Z139" s="18">
        <f>7/7</f>
        <v>1</v>
      </c>
      <c r="AA139" s="18">
        <f>36/36</f>
        <v>1</v>
      </c>
      <c r="AB139" s="18">
        <v>1</v>
      </c>
      <c r="AC139" s="18">
        <v>0.75</v>
      </c>
      <c r="AD139" s="18">
        <v>1</v>
      </c>
      <c r="AE139" s="18">
        <v>1</v>
      </c>
      <c r="AF139" s="18">
        <v>1</v>
      </c>
      <c r="AG139" s="18">
        <v>1</v>
      </c>
      <c r="AH139" s="18">
        <v>1</v>
      </c>
      <c r="AI139" s="18">
        <v>1</v>
      </c>
      <c r="AJ139" s="18">
        <v>1</v>
      </c>
      <c r="AK139" s="18">
        <v>1</v>
      </c>
      <c r="AL139" s="18">
        <v>1</v>
      </c>
      <c r="AM139" s="18">
        <v>1</v>
      </c>
      <c r="AN139" s="18">
        <v>1</v>
      </c>
      <c r="AO139" s="18">
        <v>0.88888888899999996</v>
      </c>
      <c r="AP139" s="18">
        <v>1</v>
      </c>
      <c r="AQ139" s="18">
        <v>0.86666666699999995</v>
      </c>
      <c r="AR139" s="18">
        <v>1</v>
      </c>
      <c r="AS139" s="18">
        <v>0.9</v>
      </c>
      <c r="AT139" s="18">
        <v>1</v>
      </c>
      <c r="AU139" s="18">
        <v>1</v>
      </c>
      <c r="AV139" s="18">
        <v>1</v>
      </c>
      <c r="AW139" s="18">
        <v>0.8</v>
      </c>
      <c r="AX139" s="18">
        <v>0.81818181800000001</v>
      </c>
      <c r="AY139" s="18">
        <v>1</v>
      </c>
      <c r="AZ139" s="18">
        <v>1</v>
      </c>
      <c r="BA139" s="18">
        <v>1</v>
      </c>
      <c r="BB139" s="18" t="s">
        <v>17</v>
      </c>
      <c r="BC139" s="18" t="s">
        <v>17</v>
      </c>
      <c r="BD139" s="18" t="s">
        <v>17</v>
      </c>
      <c r="BE139" s="18" t="s">
        <v>17</v>
      </c>
      <c r="BF139" s="18" t="s">
        <v>17</v>
      </c>
      <c r="BG139" s="18" t="s">
        <v>17</v>
      </c>
      <c r="BH139" s="18" t="s">
        <v>17</v>
      </c>
      <c r="BI139" s="18" t="s">
        <v>17</v>
      </c>
      <c r="BJ139" s="18" t="s">
        <v>17</v>
      </c>
      <c r="BK139" s="18" t="s">
        <v>17</v>
      </c>
    </row>
    <row r="140" spans="1:64" s="75" customFormat="1" ht="27.95" hidden="1" customHeight="1">
      <c r="A140" s="14" t="s">
        <v>193</v>
      </c>
      <c r="B140" s="15" t="s">
        <v>194</v>
      </c>
      <c r="C140" s="15" t="s">
        <v>86</v>
      </c>
      <c r="D140" s="15"/>
      <c r="E140" s="43"/>
      <c r="F140" s="43"/>
      <c r="G140" s="17" t="str">
        <f>VLOOKUP(A140,'KPI Описание'!A:K,11,0)</f>
        <v>Специалист учета</v>
      </c>
      <c r="H140" s="17" t="s">
        <v>43</v>
      </c>
      <c r="I140" s="18"/>
      <c r="J140" s="19"/>
      <c r="K140" s="18" t="s">
        <v>17</v>
      </c>
      <c r="L140" s="18">
        <f>12/12</f>
        <v>1</v>
      </c>
      <c r="M140" s="18">
        <f>19/19</f>
        <v>1</v>
      </c>
      <c r="N140" s="18">
        <f>13/13</f>
        <v>1</v>
      </c>
      <c r="O140" s="18">
        <f>3/5</f>
        <v>0.6</v>
      </c>
      <c r="P140" s="18">
        <f>16/19</f>
        <v>0.84210526315789469</v>
      </c>
      <c r="Q140" s="18">
        <f>10/10</f>
        <v>1</v>
      </c>
      <c r="R140" s="18">
        <f>4/4</f>
        <v>1</v>
      </c>
      <c r="S140" s="18">
        <f>12/12</f>
        <v>1</v>
      </c>
      <c r="T140" s="18">
        <f>2/2</f>
        <v>1</v>
      </c>
      <c r="U140" s="18">
        <f>13/13</f>
        <v>1</v>
      </c>
      <c r="V140" s="18">
        <f>9/9</f>
        <v>1</v>
      </c>
      <c r="W140" s="18">
        <f>16/16</f>
        <v>1</v>
      </c>
      <c r="X140" s="18">
        <f>16/16</f>
        <v>1</v>
      </c>
      <c r="Y140" s="18">
        <f>11/12</f>
        <v>0.91666666666666663</v>
      </c>
      <c r="Z140" s="18">
        <f>13/13</f>
        <v>1</v>
      </c>
      <c r="AA140" s="18">
        <f>9/9</f>
        <v>1</v>
      </c>
      <c r="AB140" s="18">
        <v>1</v>
      </c>
      <c r="AC140" s="18">
        <v>1</v>
      </c>
      <c r="AD140" s="18">
        <v>1</v>
      </c>
      <c r="AE140" s="18">
        <v>0.66666666699999999</v>
      </c>
      <c r="AF140" s="18">
        <v>1</v>
      </c>
      <c r="AG140" s="18">
        <v>1</v>
      </c>
      <c r="AH140" s="18">
        <v>1</v>
      </c>
      <c r="AI140" s="18">
        <v>1</v>
      </c>
      <c r="AJ140" s="18">
        <v>1</v>
      </c>
      <c r="AK140" s="18">
        <v>1</v>
      </c>
      <c r="AL140" s="18">
        <v>1</v>
      </c>
      <c r="AM140" s="18">
        <v>1</v>
      </c>
      <c r="AN140" s="18">
        <v>1</v>
      </c>
      <c r="AO140" s="18">
        <v>1</v>
      </c>
      <c r="AP140" s="18">
        <v>1</v>
      </c>
      <c r="AQ140" s="18">
        <v>1</v>
      </c>
      <c r="AR140" s="18">
        <v>1</v>
      </c>
      <c r="AS140" s="18">
        <v>1</v>
      </c>
      <c r="AT140" s="18">
        <v>1</v>
      </c>
      <c r="AU140" s="18">
        <v>1</v>
      </c>
      <c r="AV140" s="18">
        <v>1</v>
      </c>
      <c r="AW140" s="18">
        <v>1</v>
      </c>
      <c r="AX140" s="18">
        <v>0.928571429</v>
      </c>
      <c r="AY140" s="18">
        <v>0.93333333299999999</v>
      </c>
      <c r="AZ140" s="18">
        <v>1</v>
      </c>
      <c r="BA140" s="18">
        <v>0.81</v>
      </c>
      <c r="BB140" s="18" t="s">
        <v>17</v>
      </c>
      <c r="BC140" s="18" t="s">
        <v>17</v>
      </c>
      <c r="BD140" s="18" t="s">
        <v>17</v>
      </c>
      <c r="BE140" s="18" t="s">
        <v>17</v>
      </c>
      <c r="BF140" s="18" t="s">
        <v>17</v>
      </c>
      <c r="BG140" s="18" t="s">
        <v>17</v>
      </c>
      <c r="BH140" s="18" t="s">
        <v>17</v>
      </c>
      <c r="BI140" s="18" t="s">
        <v>17</v>
      </c>
      <c r="BJ140" s="18" t="s">
        <v>17</v>
      </c>
      <c r="BK140" s="18" t="s">
        <v>17</v>
      </c>
    </row>
    <row r="141" spans="1:64" s="72" customFormat="1" ht="27.95" hidden="1" customHeight="1">
      <c r="A141" s="81" t="s">
        <v>193</v>
      </c>
      <c r="B141" s="83" t="s">
        <v>194</v>
      </c>
      <c r="C141" s="83" t="s">
        <v>86</v>
      </c>
      <c r="D141" s="83"/>
      <c r="E141" s="85"/>
      <c r="F141" s="85"/>
      <c r="G141" s="87" t="str">
        <f>VLOOKUP(A141,'KPI Описание'!A:K,11,0)</f>
        <v>Специалист учета</v>
      </c>
      <c r="H141" s="87" t="s">
        <v>183</v>
      </c>
      <c r="I141" s="89"/>
      <c r="J141" s="94"/>
      <c r="K141" s="89">
        <f>2/2</f>
        <v>1</v>
      </c>
      <c r="L141" s="89">
        <f>2/2</f>
        <v>1</v>
      </c>
      <c r="M141" s="89">
        <f>4/4</f>
        <v>1</v>
      </c>
      <c r="N141" s="89">
        <f>21/21</f>
        <v>1</v>
      </c>
      <c r="O141" s="89">
        <f>11/13</f>
        <v>0.84615384615384615</v>
      </c>
      <c r="P141" s="89">
        <f>2/2</f>
        <v>1</v>
      </c>
      <c r="Q141" s="89">
        <f>5/5</f>
        <v>1</v>
      </c>
      <c r="R141" s="89">
        <f>3/3</f>
        <v>1</v>
      </c>
      <c r="S141" s="89">
        <f>4/4</f>
        <v>1</v>
      </c>
      <c r="T141" s="89">
        <f>9/9</f>
        <v>1</v>
      </c>
      <c r="U141" s="89">
        <f>3/3</f>
        <v>1</v>
      </c>
      <c r="V141" s="89">
        <f>2/2</f>
        <v>1</v>
      </c>
      <c r="W141" s="89">
        <f>18/18</f>
        <v>1</v>
      </c>
      <c r="X141" s="89">
        <f>10/10</f>
        <v>1</v>
      </c>
      <c r="Y141" s="89">
        <f>7/7</f>
        <v>1</v>
      </c>
      <c r="Z141" s="89">
        <f>10/10</f>
        <v>1</v>
      </c>
      <c r="AA141" s="89">
        <f>7/7</f>
        <v>1</v>
      </c>
      <c r="AB141" s="89">
        <v>1</v>
      </c>
      <c r="AC141" s="89">
        <v>1</v>
      </c>
      <c r="AD141" s="89">
        <v>1</v>
      </c>
      <c r="AE141" s="89">
        <v>1</v>
      </c>
      <c r="AF141" s="89">
        <v>1</v>
      </c>
      <c r="AG141" s="89">
        <v>1</v>
      </c>
      <c r="AH141" s="89">
        <v>1</v>
      </c>
      <c r="AI141" s="89">
        <v>1</v>
      </c>
      <c r="AJ141" s="89">
        <v>1</v>
      </c>
      <c r="AK141" s="89">
        <v>1</v>
      </c>
      <c r="AL141" s="89">
        <v>1</v>
      </c>
      <c r="AM141" s="89">
        <v>0.88888888899999996</v>
      </c>
      <c r="AN141" s="89">
        <v>1</v>
      </c>
      <c r="AO141" s="89">
        <v>1</v>
      </c>
      <c r="AP141" s="89">
        <v>1</v>
      </c>
      <c r="AQ141" s="89">
        <v>1</v>
      </c>
      <c r="AR141" s="89">
        <v>1</v>
      </c>
      <c r="AS141" s="89">
        <v>1</v>
      </c>
      <c r="AT141" s="89">
        <v>1</v>
      </c>
      <c r="AU141" s="89">
        <v>1</v>
      </c>
      <c r="AV141" s="89">
        <v>1</v>
      </c>
      <c r="AW141" s="89">
        <v>1</v>
      </c>
      <c r="AX141" s="89">
        <v>1</v>
      </c>
      <c r="AY141" s="89">
        <v>0.875</v>
      </c>
      <c r="AZ141" s="18">
        <v>1</v>
      </c>
      <c r="BA141" s="89" t="s">
        <v>17</v>
      </c>
      <c r="BB141" s="89" t="s">
        <v>17</v>
      </c>
      <c r="BC141" s="89" t="s">
        <v>17</v>
      </c>
      <c r="BD141" s="89" t="s">
        <v>17</v>
      </c>
      <c r="BE141" s="89" t="s">
        <v>17</v>
      </c>
      <c r="BF141" s="89" t="s">
        <v>17</v>
      </c>
      <c r="BG141" s="89" t="s">
        <v>17</v>
      </c>
      <c r="BH141" s="89" t="s">
        <v>17</v>
      </c>
      <c r="BI141" s="89" t="s">
        <v>17</v>
      </c>
      <c r="BJ141" s="89" t="s">
        <v>17</v>
      </c>
      <c r="BK141" s="89" t="s">
        <v>17</v>
      </c>
      <c r="BL141" s="74"/>
    </row>
    <row r="142" spans="1:64" s="72" customFormat="1" ht="27.95" hidden="1" customHeight="1">
      <c r="A142" s="5" t="s">
        <v>196</v>
      </c>
      <c r="B142" s="6" t="s">
        <v>197</v>
      </c>
      <c r="C142" s="6" t="s">
        <v>86</v>
      </c>
      <c r="D142" s="6" t="s">
        <v>19</v>
      </c>
      <c r="E142" s="42" t="s">
        <v>198</v>
      </c>
      <c r="F142" s="42" t="s">
        <v>199</v>
      </c>
      <c r="G142" s="8" t="str">
        <f>VLOOKUP(A142,'KPI Описание'!A:K,11,0)</f>
        <v>Сток менеджер</v>
      </c>
      <c r="H142" s="8" t="s">
        <v>16</v>
      </c>
      <c r="I142" s="9">
        <f>VLOOKUP(A142,'KPI Описание'!A:P,16,0)</f>
        <v>0.05</v>
      </c>
      <c r="J142" s="10" t="str">
        <f>IFERROR(VLOOKUP(A142,'KPI Описание'!A:Q,17,0),0)</f>
        <v>lower</v>
      </c>
      <c r="K142" s="9">
        <v>4.5351469999999998E-3</v>
      </c>
      <c r="L142" s="9">
        <v>0.27992633500000003</v>
      </c>
      <c r="M142" s="9">
        <v>0.131559497</v>
      </c>
      <c r="N142" s="9">
        <v>0.12125163</v>
      </c>
      <c r="O142" s="9">
        <v>0.264285714</v>
      </c>
      <c r="P142" s="9">
        <v>0.23298033300000001</v>
      </c>
      <c r="Q142" s="9">
        <v>9.9737533000000003E-2</v>
      </c>
      <c r="R142" s="9">
        <v>9.9502488E-2</v>
      </c>
      <c r="S142" s="9">
        <v>0.176975945</v>
      </c>
      <c r="T142" s="9">
        <v>8.1081080999999999E-2</v>
      </c>
      <c r="U142" s="9">
        <v>0.122197309</v>
      </c>
      <c r="V142" s="9">
        <v>0.186403509</v>
      </c>
      <c r="W142" s="9">
        <v>0.251928021</v>
      </c>
      <c r="X142" s="9">
        <v>0.14656771800000001</v>
      </c>
      <c r="Y142" s="9">
        <v>6.3209076000000003E-2</v>
      </c>
      <c r="Z142" s="9">
        <v>3.7623761999999998E-2</v>
      </c>
      <c r="AA142" s="9">
        <v>7.7030812000000004E-2</v>
      </c>
      <c r="AB142" s="9">
        <v>0</v>
      </c>
      <c r="AC142" s="9">
        <v>0.13214990099999999</v>
      </c>
      <c r="AD142" s="9">
        <v>0.24592592599999999</v>
      </c>
      <c r="AE142" s="9">
        <v>0.21634615400000001</v>
      </c>
      <c r="AF142" s="9">
        <v>0.356589147</v>
      </c>
      <c r="AG142" s="9">
        <v>9.2307691999999997E-2</v>
      </c>
      <c r="AH142" s="9">
        <v>0.26523297499999998</v>
      </c>
      <c r="AI142" s="9">
        <v>0.17530864199999999</v>
      </c>
      <c r="AJ142" s="9">
        <v>0.31640058100000001</v>
      </c>
      <c r="AK142" s="9">
        <v>0.16902313599999999</v>
      </c>
      <c r="AL142" s="9">
        <v>0.39558573899999999</v>
      </c>
      <c r="AM142" s="9">
        <v>0.18702290099999999</v>
      </c>
      <c r="AN142" s="9">
        <v>0.117493473</v>
      </c>
      <c r="AO142" s="9">
        <v>0.18495934999999999</v>
      </c>
      <c r="AP142" s="9">
        <v>8.0808081000000004E-2</v>
      </c>
      <c r="AQ142" s="9">
        <v>8.0976863999999996E-2</v>
      </c>
      <c r="AR142" s="9">
        <v>3.3690657999999998E-2</v>
      </c>
      <c r="AS142" s="9">
        <v>0.21256038599999999</v>
      </c>
      <c r="AT142" s="9">
        <v>0.184</v>
      </c>
      <c r="AU142" s="9">
        <v>0.13552631600000001</v>
      </c>
      <c r="AV142" s="9">
        <v>0.18</v>
      </c>
      <c r="AW142" s="9">
        <v>0.156</v>
      </c>
      <c r="AX142" s="9">
        <v>0.18</v>
      </c>
      <c r="AY142" s="9">
        <v>0.18</v>
      </c>
      <c r="AZ142" s="9">
        <v>0.1</v>
      </c>
      <c r="BA142" s="9" t="s">
        <v>17</v>
      </c>
      <c r="BB142" s="9" t="s">
        <v>17</v>
      </c>
      <c r="BC142" s="9" t="s">
        <v>17</v>
      </c>
      <c r="BD142" s="9" t="s">
        <v>17</v>
      </c>
      <c r="BE142" s="9" t="s">
        <v>17</v>
      </c>
      <c r="BF142" s="9" t="s">
        <v>17</v>
      </c>
      <c r="BG142" s="9" t="s">
        <v>17</v>
      </c>
      <c r="BH142" s="9" t="s">
        <v>17</v>
      </c>
      <c r="BI142" s="9" t="s">
        <v>17</v>
      </c>
      <c r="BJ142" s="9" t="s">
        <v>17</v>
      </c>
      <c r="BK142" s="9" t="s">
        <v>17</v>
      </c>
    </row>
    <row r="143" spans="1:64" ht="27.95" hidden="1" customHeight="1">
      <c r="A143" s="14" t="s">
        <v>196</v>
      </c>
      <c r="B143" s="15" t="s">
        <v>200</v>
      </c>
      <c r="C143" s="15" t="s">
        <v>186</v>
      </c>
      <c r="D143" s="15"/>
      <c r="E143" s="43"/>
      <c r="F143" s="43"/>
      <c r="G143" s="17" t="str">
        <f>VLOOKUP(A143,'KPI Описание'!A:K,11,0)</f>
        <v>Сток менеджер</v>
      </c>
      <c r="H143" s="17" t="s">
        <v>33</v>
      </c>
      <c r="I143" s="18"/>
      <c r="J143" s="19"/>
      <c r="K143" s="26">
        <v>0</v>
      </c>
      <c r="L143" s="26">
        <v>44</v>
      </c>
      <c r="M143" s="26">
        <v>77</v>
      </c>
      <c r="N143" s="26">
        <v>20</v>
      </c>
      <c r="O143" s="26">
        <v>21</v>
      </c>
      <c r="P143" s="26">
        <v>15</v>
      </c>
      <c r="Q143" s="26">
        <v>9</v>
      </c>
      <c r="R143" s="26">
        <v>19</v>
      </c>
      <c r="S143" s="26">
        <v>28</v>
      </c>
      <c r="T143" s="26">
        <v>4</v>
      </c>
      <c r="U143" s="26">
        <v>28</v>
      </c>
      <c r="V143" s="26">
        <v>63</v>
      </c>
      <c r="W143" s="26">
        <v>31</v>
      </c>
      <c r="X143" s="26">
        <v>20</v>
      </c>
      <c r="Y143" s="26">
        <v>14</v>
      </c>
      <c r="Z143" s="26">
        <v>5</v>
      </c>
      <c r="AA143" s="26">
        <v>9</v>
      </c>
      <c r="AB143" s="26">
        <v>0</v>
      </c>
      <c r="AC143" s="26">
        <v>43</v>
      </c>
      <c r="AD143" s="26">
        <v>66</v>
      </c>
      <c r="AE143" s="26">
        <v>157</v>
      </c>
      <c r="AF143" s="26">
        <v>52</v>
      </c>
      <c r="AG143" s="26">
        <v>16</v>
      </c>
      <c r="AH143" s="26">
        <v>122</v>
      </c>
      <c r="AI143" s="26">
        <v>11</v>
      </c>
      <c r="AJ143" s="26">
        <v>52</v>
      </c>
      <c r="AK143" s="26">
        <v>144</v>
      </c>
      <c r="AL143" s="26">
        <v>90</v>
      </c>
      <c r="AM143" s="26">
        <v>39</v>
      </c>
      <c r="AN143" s="26">
        <v>19</v>
      </c>
      <c r="AO143" s="26">
        <v>50</v>
      </c>
      <c r="AP143" s="26">
        <v>41</v>
      </c>
      <c r="AQ143" s="26">
        <v>8</v>
      </c>
      <c r="AR143" s="26">
        <v>7</v>
      </c>
      <c r="AS143" s="26">
        <v>4</v>
      </c>
      <c r="AT143" s="26">
        <v>63</v>
      </c>
      <c r="AU143" s="26">
        <v>42</v>
      </c>
      <c r="AV143" s="26">
        <v>38</v>
      </c>
      <c r="AW143" s="26">
        <v>18</v>
      </c>
      <c r="AX143" s="26">
        <v>11</v>
      </c>
      <c r="AY143" s="26">
        <v>15</v>
      </c>
      <c r="AZ143" s="26">
        <v>22</v>
      </c>
      <c r="BA143" s="26" t="s">
        <v>17</v>
      </c>
      <c r="BB143" s="26" t="s">
        <v>17</v>
      </c>
      <c r="BC143" s="26" t="s">
        <v>17</v>
      </c>
      <c r="BD143" s="26" t="s">
        <v>17</v>
      </c>
      <c r="BE143" s="26" t="s">
        <v>17</v>
      </c>
      <c r="BF143" s="26" t="s">
        <v>17</v>
      </c>
      <c r="BG143" s="26" t="s">
        <v>17</v>
      </c>
      <c r="BH143" s="26" t="s">
        <v>17</v>
      </c>
      <c r="BI143" s="26" t="s">
        <v>17</v>
      </c>
      <c r="BJ143" s="26" t="s">
        <v>17</v>
      </c>
      <c r="BK143" s="26" t="s">
        <v>17</v>
      </c>
    </row>
    <row r="144" spans="1:64" ht="27.95" hidden="1" customHeight="1">
      <c r="A144" s="14" t="s">
        <v>196</v>
      </c>
      <c r="B144" s="15" t="s">
        <v>200</v>
      </c>
      <c r="C144" s="15" t="s">
        <v>186</v>
      </c>
      <c r="D144" s="15"/>
      <c r="E144" s="43"/>
      <c r="F144" s="43"/>
      <c r="G144" s="17" t="str">
        <f>VLOOKUP(A144,'KPI Описание'!A:K,11,0)</f>
        <v>Сток менеджер</v>
      </c>
      <c r="H144" s="17" t="s">
        <v>36</v>
      </c>
      <c r="I144" s="18"/>
      <c r="J144" s="19"/>
      <c r="K144" s="26">
        <v>0</v>
      </c>
      <c r="L144" s="26">
        <v>4</v>
      </c>
      <c r="M144" s="26">
        <v>10</v>
      </c>
      <c r="N144" s="26">
        <v>4</v>
      </c>
      <c r="O144" s="26">
        <v>5</v>
      </c>
      <c r="P144" s="26">
        <v>3</v>
      </c>
      <c r="Q144" s="26">
        <v>1</v>
      </c>
      <c r="R144" s="26">
        <v>1</v>
      </c>
      <c r="S144" s="26">
        <v>2</v>
      </c>
      <c r="T144" s="26">
        <v>0</v>
      </c>
      <c r="U144" s="26">
        <v>10</v>
      </c>
      <c r="V144" s="26">
        <v>0</v>
      </c>
      <c r="W144" s="26">
        <v>9</v>
      </c>
      <c r="X144" s="26">
        <v>6</v>
      </c>
      <c r="Y144" s="26">
        <v>9</v>
      </c>
      <c r="Z144" s="26">
        <v>4</v>
      </c>
      <c r="AA144" s="26">
        <v>18</v>
      </c>
      <c r="AB144" s="26">
        <v>0</v>
      </c>
      <c r="AC144" s="26">
        <v>1</v>
      </c>
      <c r="AD144" s="26">
        <v>7</v>
      </c>
      <c r="AE144" s="26">
        <v>4</v>
      </c>
      <c r="AF144" s="26">
        <v>7</v>
      </c>
      <c r="AG144" s="26">
        <v>8</v>
      </c>
      <c r="AH144" s="26">
        <v>2</v>
      </c>
      <c r="AI144" s="26">
        <v>1</v>
      </c>
      <c r="AJ144" s="26">
        <v>7</v>
      </c>
      <c r="AK144" s="26">
        <v>7</v>
      </c>
      <c r="AL144" s="26">
        <v>6</v>
      </c>
      <c r="AM144" s="26">
        <v>11</v>
      </c>
      <c r="AN144" s="26">
        <v>8</v>
      </c>
      <c r="AO144" s="26">
        <v>8</v>
      </c>
      <c r="AP144" s="26">
        <v>4</v>
      </c>
      <c r="AQ144" s="26">
        <v>11</v>
      </c>
      <c r="AR144" s="26">
        <v>0</v>
      </c>
      <c r="AS144" s="26">
        <v>3</v>
      </c>
      <c r="AT144" s="26">
        <v>2</v>
      </c>
      <c r="AU144" s="26">
        <v>7</v>
      </c>
      <c r="AV144" s="26">
        <v>12</v>
      </c>
      <c r="AW144" s="26">
        <v>5</v>
      </c>
      <c r="AX144" s="26">
        <v>5</v>
      </c>
      <c r="AY144" s="26">
        <v>6</v>
      </c>
      <c r="AZ144" s="26">
        <v>5</v>
      </c>
      <c r="BA144" s="26" t="s">
        <v>17</v>
      </c>
      <c r="BB144" s="26" t="s">
        <v>17</v>
      </c>
      <c r="BC144" s="26" t="s">
        <v>17</v>
      </c>
      <c r="BD144" s="26" t="s">
        <v>17</v>
      </c>
      <c r="BE144" s="26" t="s">
        <v>17</v>
      </c>
      <c r="BF144" s="26" t="s">
        <v>17</v>
      </c>
      <c r="BG144" s="26" t="s">
        <v>17</v>
      </c>
      <c r="BH144" s="26" t="s">
        <v>17</v>
      </c>
      <c r="BI144" s="26" t="s">
        <v>17</v>
      </c>
      <c r="BJ144" s="26" t="s">
        <v>17</v>
      </c>
      <c r="BK144" s="26" t="s">
        <v>17</v>
      </c>
    </row>
    <row r="145" spans="1:63" ht="27.95" hidden="1" customHeight="1">
      <c r="A145" s="14" t="s">
        <v>196</v>
      </c>
      <c r="B145" s="15" t="s">
        <v>200</v>
      </c>
      <c r="C145" s="15" t="s">
        <v>186</v>
      </c>
      <c r="D145" s="15"/>
      <c r="E145" s="43"/>
      <c r="F145" s="43"/>
      <c r="G145" s="17" t="str">
        <f>VLOOKUP(A145,'KPI Описание'!A:K,11,0)</f>
        <v>Сток менеджер</v>
      </c>
      <c r="H145" s="17" t="s">
        <v>37</v>
      </c>
      <c r="I145" s="18"/>
      <c r="J145" s="19"/>
      <c r="K145" s="26">
        <v>0</v>
      </c>
      <c r="L145" s="26">
        <v>3</v>
      </c>
      <c r="M145" s="26">
        <v>5</v>
      </c>
      <c r="N145" s="26">
        <v>12</v>
      </c>
      <c r="O145" s="26">
        <v>7</v>
      </c>
      <c r="P145" s="26">
        <v>38</v>
      </c>
      <c r="Q145" s="26">
        <v>7</v>
      </c>
      <c r="R145" s="26">
        <v>1</v>
      </c>
      <c r="S145" s="26">
        <v>18</v>
      </c>
      <c r="T145" s="26">
        <v>3</v>
      </c>
      <c r="U145" s="26">
        <v>12</v>
      </c>
      <c r="V145" s="26">
        <v>12</v>
      </c>
      <c r="W145" s="26">
        <v>8</v>
      </c>
      <c r="X145" s="26">
        <v>9</v>
      </c>
      <c r="Y145" s="26">
        <v>3</v>
      </c>
      <c r="Z145" s="26">
        <v>0</v>
      </c>
      <c r="AA145" s="26">
        <v>9</v>
      </c>
      <c r="AB145" s="26">
        <v>0</v>
      </c>
      <c r="AC145" s="26">
        <v>8</v>
      </c>
      <c r="AD145" s="26">
        <v>26</v>
      </c>
      <c r="AE145" s="26">
        <v>4</v>
      </c>
      <c r="AF145" s="26">
        <v>5</v>
      </c>
      <c r="AG145" s="26">
        <v>9</v>
      </c>
      <c r="AH145" s="26">
        <v>2</v>
      </c>
      <c r="AI145" s="26">
        <v>24</v>
      </c>
      <c r="AJ145" s="26">
        <v>5</v>
      </c>
      <c r="AK145" s="26">
        <v>3</v>
      </c>
      <c r="AL145" s="26">
        <v>7</v>
      </c>
      <c r="AM145" s="26">
        <v>13</v>
      </c>
      <c r="AN145" s="26">
        <v>2</v>
      </c>
      <c r="AO145" s="26">
        <v>2</v>
      </c>
      <c r="AP145" s="26">
        <v>9</v>
      </c>
      <c r="AQ145" s="26">
        <v>8</v>
      </c>
      <c r="AR145" s="26">
        <v>1</v>
      </c>
      <c r="AS145" s="26">
        <v>11</v>
      </c>
      <c r="AT145" s="26">
        <v>6</v>
      </c>
      <c r="AU145" s="26">
        <v>34</v>
      </c>
      <c r="AV145" s="26">
        <v>10</v>
      </c>
      <c r="AW145" s="26">
        <v>13</v>
      </c>
      <c r="AX145" s="26">
        <v>5</v>
      </c>
      <c r="AY145" s="26">
        <v>5</v>
      </c>
      <c r="AZ145" s="26">
        <v>2</v>
      </c>
      <c r="BA145" s="26" t="s">
        <v>17</v>
      </c>
      <c r="BB145" s="26" t="s">
        <v>17</v>
      </c>
      <c r="BC145" s="26" t="s">
        <v>17</v>
      </c>
      <c r="BD145" s="26" t="s">
        <v>17</v>
      </c>
      <c r="BE145" s="26" t="s">
        <v>17</v>
      </c>
      <c r="BF145" s="26" t="s">
        <v>17</v>
      </c>
      <c r="BG145" s="26" t="s">
        <v>17</v>
      </c>
      <c r="BH145" s="26" t="s">
        <v>17</v>
      </c>
      <c r="BI145" s="26" t="s">
        <v>17</v>
      </c>
      <c r="BJ145" s="26" t="s">
        <v>17</v>
      </c>
      <c r="BK145" s="26" t="s">
        <v>17</v>
      </c>
    </row>
    <row r="146" spans="1:63" ht="27.95" hidden="1" customHeight="1">
      <c r="A146" s="14" t="s">
        <v>196</v>
      </c>
      <c r="B146" s="15" t="s">
        <v>200</v>
      </c>
      <c r="C146" s="15" t="s">
        <v>186</v>
      </c>
      <c r="D146" s="15"/>
      <c r="E146" s="43"/>
      <c r="F146" s="43"/>
      <c r="G146" s="17" t="str">
        <f>VLOOKUP(A146,'KPI Описание'!A:K,11,0)</f>
        <v>Сток менеджер</v>
      </c>
      <c r="H146" s="17" t="s">
        <v>40</v>
      </c>
      <c r="I146" s="18"/>
      <c r="J146" s="19"/>
      <c r="K146" s="26">
        <v>0</v>
      </c>
      <c r="L146" s="26">
        <v>34</v>
      </c>
      <c r="M146" s="26">
        <v>65</v>
      </c>
      <c r="N146" s="26">
        <v>30</v>
      </c>
      <c r="O146" s="26">
        <v>58</v>
      </c>
      <c r="P146" s="26">
        <v>43</v>
      </c>
      <c r="Q146" s="26">
        <v>9</v>
      </c>
      <c r="R146" s="26">
        <v>11</v>
      </c>
      <c r="S146" s="26">
        <v>40</v>
      </c>
      <c r="T146" s="26">
        <v>22</v>
      </c>
      <c r="U146" s="26">
        <v>41</v>
      </c>
      <c r="V146" s="26">
        <v>6</v>
      </c>
      <c r="W146" s="26">
        <v>17</v>
      </c>
      <c r="X146" s="26">
        <v>19</v>
      </c>
      <c r="Y146" s="26">
        <v>5</v>
      </c>
      <c r="Z146" s="26">
        <v>15</v>
      </c>
      <c r="AA146" s="26">
        <v>9</v>
      </c>
      <c r="AB146" s="26">
        <v>0</v>
      </c>
      <c r="AC146" s="26">
        <v>11</v>
      </c>
      <c r="AD146" s="26">
        <v>18</v>
      </c>
      <c r="AE146" s="26">
        <v>72</v>
      </c>
      <c r="AF146" s="26">
        <v>10</v>
      </c>
      <c r="AG146" s="26">
        <v>8</v>
      </c>
      <c r="AH146" s="26">
        <v>3</v>
      </c>
      <c r="AI146" s="26">
        <v>12</v>
      </c>
      <c r="AJ146" s="26">
        <v>92</v>
      </c>
      <c r="AK146" s="26">
        <v>65</v>
      </c>
      <c r="AL146" s="26">
        <v>123</v>
      </c>
      <c r="AM146" s="26">
        <v>8</v>
      </c>
      <c r="AN146" s="26">
        <v>6</v>
      </c>
      <c r="AO146" s="26">
        <v>13</v>
      </c>
      <c r="AP146" s="26">
        <v>5</v>
      </c>
      <c r="AQ146" s="26">
        <v>11</v>
      </c>
      <c r="AR146" s="26">
        <v>6</v>
      </c>
      <c r="AS146" s="26">
        <v>6</v>
      </c>
      <c r="AT146" s="26">
        <v>76</v>
      </c>
      <c r="AU146" s="26">
        <v>12</v>
      </c>
      <c r="AV146" s="26">
        <v>12</v>
      </c>
      <c r="AW146" s="26">
        <v>16</v>
      </c>
      <c r="AX146" s="26">
        <v>8</v>
      </c>
      <c r="AY146" s="26">
        <v>8</v>
      </c>
      <c r="AZ146" s="26">
        <v>30</v>
      </c>
      <c r="BA146" s="26" t="s">
        <v>17</v>
      </c>
      <c r="BB146" s="26" t="s">
        <v>17</v>
      </c>
      <c r="BC146" s="26" t="s">
        <v>17</v>
      </c>
      <c r="BD146" s="26" t="s">
        <v>17</v>
      </c>
      <c r="BE146" s="26" t="s">
        <v>17</v>
      </c>
      <c r="BF146" s="26" t="s">
        <v>17</v>
      </c>
      <c r="BG146" s="26" t="s">
        <v>17</v>
      </c>
      <c r="BH146" s="26" t="s">
        <v>17</v>
      </c>
      <c r="BI146" s="26" t="s">
        <v>17</v>
      </c>
      <c r="BJ146" s="26" t="s">
        <v>17</v>
      </c>
      <c r="BK146" s="26" t="s">
        <v>17</v>
      </c>
    </row>
    <row r="147" spans="1:63" ht="27.95" hidden="1" customHeight="1">
      <c r="A147" s="14" t="s">
        <v>196</v>
      </c>
      <c r="B147" s="15" t="s">
        <v>200</v>
      </c>
      <c r="C147" s="15" t="s">
        <v>186</v>
      </c>
      <c r="D147" s="15"/>
      <c r="E147" s="43"/>
      <c r="F147" s="43"/>
      <c r="G147" s="17" t="str">
        <f>VLOOKUP(A147,'KPI Описание'!A:K,11,0)</f>
        <v>Сток менеджер</v>
      </c>
      <c r="H147" s="17" t="s">
        <v>43</v>
      </c>
      <c r="I147" s="18"/>
      <c r="J147" s="19"/>
      <c r="K147" s="26">
        <v>1</v>
      </c>
      <c r="L147" s="26">
        <v>62</v>
      </c>
      <c r="M147" s="26">
        <v>18</v>
      </c>
      <c r="N147" s="26">
        <v>22</v>
      </c>
      <c r="O147" s="26">
        <v>14</v>
      </c>
      <c r="P147" s="26">
        <v>49</v>
      </c>
      <c r="Q147" s="26">
        <v>7</v>
      </c>
      <c r="R147" s="26">
        <v>4</v>
      </c>
      <c r="S147" s="26">
        <v>14</v>
      </c>
      <c r="T147" s="26">
        <v>12</v>
      </c>
      <c r="U147" s="26">
        <v>14</v>
      </c>
      <c r="V147" s="26">
        <v>3</v>
      </c>
      <c r="W147" s="26">
        <v>28</v>
      </c>
      <c r="X147" s="26">
        <v>21</v>
      </c>
      <c r="Y147" s="26">
        <v>3</v>
      </c>
      <c r="Z147" s="26">
        <v>10</v>
      </c>
      <c r="AA147" s="26">
        <v>9</v>
      </c>
      <c r="AB147" s="26">
        <v>0</v>
      </c>
      <c r="AC147" s="26">
        <v>3</v>
      </c>
      <c r="AD147" s="26">
        <v>46</v>
      </c>
      <c r="AE147" s="26">
        <v>29</v>
      </c>
      <c r="AF147" s="26">
        <v>15</v>
      </c>
      <c r="AG147" s="26">
        <v>6</v>
      </c>
      <c r="AH147" s="26">
        <v>18</v>
      </c>
      <c r="AI147" s="26">
        <v>16</v>
      </c>
      <c r="AJ147" s="26">
        <v>56</v>
      </c>
      <c r="AK147" s="26">
        <v>37</v>
      </c>
      <c r="AL147" s="26">
        <v>4</v>
      </c>
      <c r="AM147" s="26">
        <v>15</v>
      </c>
      <c r="AN147" s="26">
        <v>5</v>
      </c>
      <c r="AO147" s="26">
        <v>13</v>
      </c>
      <c r="AP147" s="26">
        <v>3</v>
      </c>
      <c r="AQ147" s="26">
        <v>8</v>
      </c>
      <c r="AR147" s="26">
        <v>4</v>
      </c>
      <c r="AS147" s="26">
        <v>6</v>
      </c>
      <c r="AT147" s="26">
        <v>8</v>
      </c>
      <c r="AU147" s="26">
        <v>2</v>
      </c>
      <c r="AV147" s="26">
        <v>8</v>
      </c>
      <c r="AW147" s="26">
        <v>17</v>
      </c>
      <c r="AX147" s="26">
        <v>38</v>
      </c>
      <c r="AY147" s="26">
        <v>43</v>
      </c>
      <c r="AZ147" s="26">
        <v>5</v>
      </c>
      <c r="BA147" s="26" t="s">
        <v>17</v>
      </c>
      <c r="BB147" s="26" t="s">
        <v>17</v>
      </c>
      <c r="BC147" s="26" t="s">
        <v>17</v>
      </c>
      <c r="BD147" s="26" t="s">
        <v>17</v>
      </c>
      <c r="BE147" s="26" t="s">
        <v>17</v>
      </c>
      <c r="BF147" s="26" t="s">
        <v>17</v>
      </c>
      <c r="BG147" s="26" t="s">
        <v>17</v>
      </c>
      <c r="BH147" s="26" t="s">
        <v>17</v>
      </c>
      <c r="BI147" s="26" t="s">
        <v>17</v>
      </c>
      <c r="BJ147" s="26" t="s">
        <v>17</v>
      </c>
      <c r="BK147" s="26" t="s">
        <v>17</v>
      </c>
    </row>
    <row r="148" spans="1:63" ht="27.75" hidden="1" customHeight="1">
      <c r="A148" s="14" t="s">
        <v>196</v>
      </c>
      <c r="B148" s="15" t="s">
        <v>200</v>
      </c>
      <c r="C148" s="15" t="s">
        <v>186</v>
      </c>
      <c r="D148" s="15"/>
      <c r="E148" s="43"/>
      <c r="F148" s="43"/>
      <c r="G148" s="17" t="str">
        <f>VLOOKUP(A148,'KPI Описание'!A:K,11,0)</f>
        <v>Сток менеджер</v>
      </c>
      <c r="H148" s="17" t="s">
        <v>183</v>
      </c>
      <c r="I148" s="18"/>
      <c r="J148" s="19"/>
      <c r="K148" s="26">
        <v>1</v>
      </c>
      <c r="L148" s="26">
        <v>5</v>
      </c>
      <c r="M148" s="26">
        <v>3</v>
      </c>
      <c r="N148" s="26">
        <v>5</v>
      </c>
      <c r="O148" s="26">
        <v>6</v>
      </c>
      <c r="P148" s="26">
        <v>6</v>
      </c>
      <c r="Q148" s="26">
        <v>5</v>
      </c>
      <c r="R148" s="26">
        <v>4</v>
      </c>
      <c r="S148" s="26">
        <v>1</v>
      </c>
      <c r="T148" s="26">
        <v>1</v>
      </c>
      <c r="U148" s="26">
        <v>4</v>
      </c>
      <c r="V148" s="26">
        <v>1</v>
      </c>
      <c r="W148" s="26">
        <v>5</v>
      </c>
      <c r="X148" s="26">
        <v>4</v>
      </c>
      <c r="Y148" s="26">
        <v>5</v>
      </c>
      <c r="Z148" s="26">
        <v>4</v>
      </c>
      <c r="AA148" s="26">
        <v>1</v>
      </c>
      <c r="AB148" s="26">
        <v>0</v>
      </c>
      <c r="AC148" s="26">
        <v>1</v>
      </c>
      <c r="AD148" s="26">
        <v>3</v>
      </c>
      <c r="AE148" s="26">
        <v>4</v>
      </c>
      <c r="AF148" s="26">
        <v>3</v>
      </c>
      <c r="AG148" s="26">
        <v>1</v>
      </c>
      <c r="AH148" s="26">
        <v>1</v>
      </c>
      <c r="AI148" s="26">
        <v>7</v>
      </c>
      <c r="AJ148" s="26">
        <v>6</v>
      </c>
      <c r="AK148" s="26">
        <v>7</v>
      </c>
      <c r="AL148" s="26">
        <v>3</v>
      </c>
      <c r="AM148" s="26">
        <v>12</v>
      </c>
      <c r="AN148" s="26">
        <v>5</v>
      </c>
      <c r="AO148" s="26">
        <v>5</v>
      </c>
      <c r="AP148" s="26">
        <v>2</v>
      </c>
      <c r="AQ148" s="26">
        <v>17</v>
      </c>
      <c r="AR148" s="26">
        <v>4</v>
      </c>
      <c r="AS148" s="26">
        <v>14</v>
      </c>
      <c r="AT148" s="26">
        <v>10</v>
      </c>
      <c r="AU148" s="26">
        <v>6</v>
      </c>
      <c r="AV148" s="26">
        <v>11</v>
      </c>
      <c r="AW148" s="26">
        <v>6</v>
      </c>
      <c r="AX148" s="26">
        <v>16</v>
      </c>
      <c r="AY148" s="26">
        <v>6</v>
      </c>
      <c r="AZ148" s="26">
        <v>15</v>
      </c>
      <c r="BA148" s="26" t="s">
        <v>17</v>
      </c>
      <c r="BB148" s="26" t="s">
        <v>17</v>
      </c>
      <c r="BC148" s="26" t="s">
        <v>17</v>
      </c>
      <c r="BD148" s="26" t="s">
        <v>17</v>
      </c>
      <c r="BE148" s="26" t="s">
        <v>17</v>
      </c>
      <c r="BF148" s="26" t="s">
        <v>17</v>
      </c>
      <c r="BG148" s="26" t="s">
        <v>17</v>
      </c>
      <c r="BH148" s="26" t="s">
        <v>17</v>
      </c>
      <c r="BI148" s="26" t="s">
        <v>17</v>
      </c>
      <c r="BJ148" s="26" t="s">
        <v>17</v>
      </c>
      <c r="BK148" s="26" t="s">
        <v>17</v>
      </c>
    </row>
    <row r="149" spans="1:63" s="72" customFormat="1" ht="27.95" customHeight="1">
      <c r="A149" s="5" t="s">
        <v>201</v>
      </c>
      <c r="B149" s="6" t="s">
        <v>202</v>
      </c>
      <c r="C149" s="6" t="s">
        <v>86</v>
      </c>
      <c r="D149" s="6" t="s">
        <v>19</v>
      </c>
      <c r="E149" s="42" t="s">
        <v>203</v>
      </c>
      <c r="F149" s="42" t="s">
        <v>204</v>
      </c>
      <c r="G149" s="8" t="str">
        <f>VLOOKUP(A149,'KPI Описание'!A:K,11,0)</f>
        <v>Оператор</v>
      </c>
      <c r="H149" s="8" t="s">
        <v>16</v>
      </c>
      <c r="I149" s="9">
        <f>VLOOKUP(A149,'KPI Описание'!A:P,16,0)</f>
        <v>0.995</v>
      </c>
      <c r="J149" s="10" t="str">
        <f>IFERROR(VLOOKUP(A149,'KPI Описание'!A:Q,17,0),0)</f>
        <v>higher</v>
      </c>
      <c r="K149" s="9">
        <f>AVERAGE(K150:K154)</f>
        <v>1</v>
      </c>
      <c r="L149" s="9">
        <f>AVERAGE(L150:L155)</f>
        <v>0.99616938291317014</v>
      </c>
      <c r="M149" s="9">
        <f>AVERAGE(M150:M155)</f>
        <v>0.98880269320843084</v>
      </c>
      <c r="N149" s="9">
        <f>AVERAGE(N150:N155)</f>
        <v>0.98082213601694124</v>
      </c>
      <c r="O149" s="9">
        <f>AVERAGE(O150:O155)</f>
        <v>0.99297618623750861</v>
      </c>
      <c r="P149" s="9">
        <f>AVERAGE(P150:P155)</f>
        <v>0.99596132593716924</v>
      </c>
      <c r="Q149" s="9">
        <f>AVERAGE(Q150:Q155)</f>
        <v>0.99555555555555564</v>
      </c>
      <c r="R149" s="9">
        <f>AVERAGE(R150:R155)</f>
        <v>0.97889610389610393</v>
      </c>
      <c r="S149" s="9">
        <f>AVERAGE(S150:S155)</f>
        <v>0.99108630574147816</v>
      </c>
      <c r="T149" s="9">
        <f>AVERAGE(T150:T155)</f>
        <v>0.99259113558877521</v>
      </c>
      <c r="U149" s="9">
        <f>AVERAGE(U150:U155)</f>
        <v>0.94444444444444453</v>
      </c>
      <c r="V149" s="9">
        <v>0.99</v>
      </c>
      <c r="W149" s="9">
        <f>AVERAGE(W150:W155)</f>
        <v>0.99444444444444446</v>
      </c>
      <c r="X149" s="9">
        <f>AVERAGE(X150:X155)</f>
        <v>0.99350649350649345</v>
      </c>
      <c r="Y149" s="9">
        <f>AVERAGE(Y150:Y155)</f>
        <v>0.98333333333333339</v>
      </c>
      <c r="Z149" s="9">
        <f>AVERAGE(Z150:Z155)</f>
        <v>0.99733333333333329</v>
      </c>
      <c r="AA149" s="9">
        <f>AVERAGE(AA150:AA155)</f>
        <v>0.99075187969924805</v>
      </c>
      <c r="AB149" s="9">
        <f>AVERAGE(AB150:AB155)</f>
        <v>0.99122807017543868</v>
      </c>
      <c r="AC149" s="9">
        <f>AVERAGE(AC150:AC155)</f>
        <v>0.98322879330943846</v>
      </c>
      <c r="AD149" s="9">
        <f>AVERAGE(AD150:AD155)</f>
        <v>0.99884259259259256</v>
      </c>
      <c r="AE149" s="9">
        <f>AVERAGE(AE150:AE155)</f>
        <v>1</v>
      </c>
      <c r="AF149" s="9">
        <f>AVERAGE(AF150:AF155)</f>
        <v>0.97358630952380942</v>
      </c>
      <c r="AG149" s="9">
        <f>AVERAGE(AG150:AG155)</f>
        <v>0.97073472836726438</v>
      </c>
      <c r="AH149" s="9">
        <f>AVERAGE(AH150:AH155)</f>
        <v>0.96319444444444446</v>
      </c>
      <c r="AI149" s="9">
        <f>AVERAGE(AI150:AI155)</f>
        <v>1</v>
      </c>
      <c r="AJ149" s="9">
        <f>AVERAGE(AJ150:AJ155)</f>
        <v>0.99903100775193787</v>
      </c>
      <c r="AK149" s="9">
        <f>AVERAGE(AK150:AK155)</f>
        <v>0.95972222222222225</v>
      </c>
      <c r="AL149" s="9">
        <f>AVERAGE(AL150:AL155)</f>
        <v>1</v>
      </c>
      <c r="AM149" s="9">
        <f>AVERAGE(AM150:AM155)</f>
        <v>1</v>
      </c>
      <c r="AN149" s="9">
        <f>AVERAGE(AN150:AN155)</f>
        <v>1</v>
      </c>
      <c r="AO149" s="9">
        <f>AVERAGE(AO150:AO155)</f>
        <v>1</v>
      </c>
      <c r="AP149" s="9">
        <f>AVERAGE(AP150:AP155)</f>
        <v>0.96296296296296291</v>
      </c>
      <c r="AQ149" s="9">
        <f>313/313</f>
        <v>1</v>
      </c>
      <c r="AR149" s="9">
        <f>260/260</f>
        <v>1</v>
      </c>
      <c r="AS149" s="9">
        <f>162/162</f>
        <v>1</v>
      </c>
      <c r="AT149" s="9">
        <f>757/758</f>
        <v>0.99868073878627972</v>
      </c>
      <c r="AU149" s="9">
        <f>317/317</f>
        <v>1</v>
      </c>
      <c r="AV149" s="9">
        <f>285/286</f>
        <v>0.99650349650349646</v>
      </c>
      <c r="AW149" s="9">
        <f>421/421</f>
        <v>1</v>
      </c>
      <c r="AX149" s="9">
        <f>304/304</f>
        <v>1</v>
      </c>
      <c r="AY149" s="9">
        <f>370/370</f>
        <v>1</v>
      </c>
      <c r="AZ149" s="9">
        <f>535/539</f>
        <v>0.99257884972170685</v>
      </c>
      <c r="BA149" s="9">
        <f>902/904</f>
        <v>0.99778761061946908</v>
      </c>
      <c r="BB149" s="9" t="s">
        <v>17</v>
      </c>
      <c r="BC149" s="9" t="s">
        <v>17</v>
      </c>
      <c r="BD149" s="9" t="s">
        <v>17</v>
      </c>
      <c r="BE149" s="9" t="s">
        <v>17</v>
      </c>
      <c r="BF149" s="9" t="s">
        <v>17</v>
      </c>
      <c r="BG149" s="9" t="s">
        <v>17</v>
      </c>
      <c r="BH149" s="9" t="s">
        <v>17</v>
      </c>
      <c r="BI149" s="9" t="s">
        <v>17</v>
      </c>
      <c r="BJ149" s="9" t="s">
        <v>17</v>
      </c>
      <c r="BK149" s="9" t="s">
        <v>17</v>
      </c>
    </row>
    <row r="150" spans="1:63" ht="27.95" customHeight="1">
      <c r="A150" s="14" t="s">
        <v>201</v>
      </c>
      <c r="B150" s="15" t="s">
        <v>202</v>
      </c>
      <c r="C150" s="15" t="s">
        <v>86</v>
      </c>
      <c r="D150" s="15"/>
      <c r="E150" s="43"/>
      <c r="F150" s="43"/>
      <c r="G150" s="17" t="str">
        <f>VLOOKUP(A150,'KPI Описание'!A:K,11,0)</f>
        <v>Оператор</v>
      </c>
      <c r="H150" s="17" t="s">
        <v>33</v>
      </c>
      <c r="I150" s="18"/>
      <c r="J150" s="19"/>
      <c r="K150" s="24">
        <f>1/1</f>
        <v>1</v>
      </c>
      <c r="L150" s="24">
        <f>196/197</f>
        <v>0.99492385786802029</v>
      </c>
      <c r="M150" s="24">
        <f>676/676</f>
        <v>1</v>
      </c>
      <c r="N150" s="24">
        <f>146/147</f>
        <v>0.99319727891156462</v>
      </c>
      <c r="O150" s="24">
        <f>149/151</f>
        <v>0.98675496688741726</v>
      </c>
      <c r="P150" s="24">
        <f>90/91</f>
        <v>0.98901098901098905</v>
      </c>
      <c r="Q150" s="24">
        <f>139/139</f>
        <v>1</v>
      </c>
      <c r="R150" s="24">
        <f>27/28</f>
        <v>0.9642857142857143</v>
      </c>
      <c r="S150" s="24">
        <f>114/116</f>
        <v>0.98275862068965514</v>
      </c>
      <c r="T150" s="18">
        <f>39/39</f>
        <v>1</v>
      </c>
      <c r="U150" s="18">
        <f>113/113</f>
        <v>1</v>
      </c>
      <c r="V150" s="18">
        <v>1</v>
      </c>
      <c r="W150" s="18">
        <f>212/212</f>
        <v>1</v>
      </c>
      <c r="X150" s="18">
        <f>74/77</f>
        <v>0.96103896103896103</v>
      </c>
      <c r="Y150" s="18">
        <f>49/49</f>
        <v>1</v>
      </c>
      <c r="Z150" s="18">
        <f>127/127</f>
        <v>1</v>
      </c>
      <c r="AA150" s="18">
        <f>139/140</f>
        <v>0.99285714285714288</v>
      </c>
      <c r="AB150" s="18">
        <f>39/39</f>
        <v>1</v>
      </c>
      <c r="AC150" s="18">
        <f>119/120</f>
        <v>0.9916666666666667</v>
      </c>
      <c r="AD150" s="18">
        <f>143/144</f>
        <v>0.99305555555555558</v>
      </c>
      <c r="AE150" s="18">
        <f>768/768</f>
        <v>1</v>
      </c>
      <c r="AF150" s="18">
        <f>134/134</f>
        <v>1</v>
      </c>
      <c r="AG150" s="18">
        <f>209/211</f>
        <v>0.99052132701421802</v>
      </c>
      <c r="AH150" s="18">
        <f>392/392</f>
        <v>1</v>
      </c>
      <c r="AI150" s="18">
        <f>95/95</f>
        <v>1</v>
      </c>
      <c r="AJ150" s="18">
        <f>171/172</f>
        <v>0.9941860465116279</v>
      </c>
      <c r="AK150" s="18">
        <f>514/514</f>
        <v>1</v>
      </c>
      <c r="AL150" s="18">
        <f>176/176</f>
        <v>1</v>
      </c>
      <c r="AM150" s="18">
        <f>147/147</f>
        <v>1</v>
      </c>
      <c r="AN150" s="18">
        <f>55/55</f>
        <v>1</v>
      </c>
      <c r="AO150" s="18">
        <f>110/110</f>
        <v>1</v>
      </c>
      <c r="AP150" s="18">
        <f>204/204</f>
        <v>1</v>
      </c>
      <c r="AQ150" s="18">
        <f>45/45</f>
        <v>1</v>
      </c>
      <c r="AR150" s="18">
        <f>105/105</f>
        <v>1</v>
      </c>
      <c r="AS150" s="18">
        <f>44/44</f>
        <v>1</v>
      </c>
      <c r="AT150" s="18">
        <f>223/223</f>
        <v>1</v>
      </c>
      <c r="AU150" s="18">
        <f>79/79</f>
        <v>1</v>
      </c>
      <c r="AV150" s="18">
        <f>110/110</f>
        <v>1</v>
      </c>
      <c r="AW150" s="18">
        <f>105/105</f>
        <v>1</v>
      </c>
      <c r="AX150" s="18">
        <f>43/43</f>
        <v>1</v>
      </c>
      <c r="AY150" s="18">
        <f>201/201</f>
        <v>1</v>
      </c>
      <c r="AZ150" s="18">
        <f>277/278</f>
        <v>0.99640287769784175</v>
      </c>
      <c r="BA150" s="18">
        <f>369/369</f>
        <v>1</v>
      </c>
      <c r="BB150" s="18" t="s">
        <v>17</v>
      </c>
      <c r="BC150" s="18" t="s">
        <v>17</v>
      </c>
      <c r="BD150" s="18" t="s">
        <v>17</v>
      </c>
      <c r="BE150" s="18" t="s">
        <v>17</v>
      </c>
      <c r="BF150" s="18" t="s">
        <v>17</v>
      </c>
      <c r="BG150" s="18" t="s">
        <v>17</v>
      </c>
      <c r="BH150" s="18" t="s">
        <v>17</v>
      </c>
      <c r="BI150" s="18" t="s">
        <v>17</v>
      </c>
      <c r="BJ150" s="18" t="s">
        <v>17</v>
      </c>
      <c r="BK150" s="18" t="s">
        <v>17</v>
      </c>
    </row>
    <row r="151" spans="1:63" ht="27.95" customHeight="1">
      <c r="A151" s="14" t="s">
        <v>201</v>
      </c>
      <c r="B151" s="15" t="s">
        <v>202</v>
      </c>
      <c r="C151" s="15" t="s">
        <v>86</v>
      </c>
      <c r="D151" s="15"/>
      <c r="E151" s="43"/>
      <c r="F151" s="43"/>
      <c r="G151" s="17" t="str">
        <f>VLOOKUP(A151,'KPI Описание'!A:K,11,0)</f>
        <v>Оператор</v>
      </c>
      <c r="H151" s="17" t="s">
        <v>36</v>
      </c>
      <c r="I151" s="18"/>
      <c r="J151" s="19"/>
      <c r="K151" s="24" t="s">
        <v>17</v>
      </c>
      <c r="L151" s="24">
        <f>16/16</f>
        <v>1</v>
      </c>
      <c r="M151" s="24">
        <f>38/38</f>
        <v>1</v>
      </c>
      <c r="N151" s="24">
        <f>5/5</f>
        <v>1</v>
      </c>
      <c r="O151" s="24">
        <f>49/49</f>
        <v>1</v>
      </c>
      <c r="P151" s="24">
        <f>34/34</f>
        <v>1</v>
      </c>
      <c r="Q151" s="24">
        <f>8/8</f>
        <v>1</v>
      </c>
      <c r="R151" s="24">
        <f>3/3</f>
        <v>1</v>
      </c>
      <c r="S151" s="24">
        <f>5/5</f>
        <v>1</v>
      </c>
      <c r="T151" s="18">
        <f>6/6</f>
        <v>1</v>
      </c>
      <c r="U151" s="18">
        <f>15/15</f>
        <v>1</v>
      </c>
      <c r="V151" s="18">
        <v>1</v>
      </c>
      <c r="W151" s="18">
        <f>42/42</f>
        <v>1</v>
      </c>
      <c r="X151" s="18">
        <f>19/19</f>
        <v>1</v>
      </c>
      <c r="Y151" s="18">
        <f>12/12</f>
        <v>1</v>
      </c>
      <c r="Z151" s="18">
        <f>16/16</f>
        <v>1</v>
      </c>
      <c r="AA151" s="18">
        <f>43/43</f>
        <v>1</v>
      </c>
      <c r="AB151" s="18">
        <f>1/1</f>
        <v>1</v>
      </c>
      <c r="AC151" s="18">
        <f>17/17</f>
        <v>1</v>
      </c>
      <c r="AD151" s="18">
        <f>14/14</f>
        <v>1</v>
      </c>
      <c r="AE151" s="18">
        <f>13/13</f>
        <v>1</v>
      </c>
      <c r="AF151" s="18">
        <f>33/33</f>
        <v>1</v>
      </c>
      <c r="AG151" s="18">
        <f>68/68</f>
        <v>1</v>
      </c>
      <c r="AH151" s="18">
        <f>16/16</f>
        <v>1</v>
      </c>
      <c r="AI151" s="18">
        <f>3/3</f>
        <v>1</v>
      </c>
      <c r="AJ151" s="18">
        <f>18/18</f>
        <v>1</v>
      </c>
      <c r="AK151" s="18">
        <f>15/15</f>
        <v>1</v>
      </c>
      <c r="AL151" s="18">
        <f>16/16</f>
        <v>1</v>
      </c>
      <c r="AM151" s="18">
        <f>14/14</f>
        <v>1</v>
      </c>
      <c r="AN151" s="18">
        <f>19/19</f>
        <v>1</v>
      </c>
      <c r="AO151" s="18">
        <f>23/23</f>
        <v>1</v>
      </c>
      <c r="AP151" s="18">
        <f>7/7</f>
        <v>1</v>
      </c>
      <c r="AQ151" s="18">
        <f>21/21</f>
        <v>1</v>
      </c>
      <c r="AR151" s="18">
        <f>5/5</f>
        <v>1</v>
      </c>
      <c r="AS151" s="18">
        <f>8/8</f>
        <v>1</v>
      </c>
      <c r="AT151" s="18">
        <f>3/3</f>
        <v>1</v>
      </c>
      <c r="AU151" s="18">
        <f>7/7</f>
        <v>1</v>
      </c>
      <c r="AV151" s="18">
        <f>37/37</f>
        <v>1</v>
      </c>
      <c r="AW151" s="18">
        <f>6/6</f>
        <v>1</v>
      </c>
      <c r="AX151" s="18">
        <f>32/32</f>
        <v>1</v>
      </c>
      <c r="AY151" s="18">
        <f>17/17</f>
        <v>1</v>
      </c>
      <c r="AZ151" s="18">
        <f>14/14</f>
        <v>1</v>
      </c>
      <c r="BA151" s="18">
        <f>30/30</f>
        <v>1</v>
      </c>
      <c r="BB151" s="18" t="s">
        <v>17</v>
      </c>
      <c r="BC151" s="18" t="s">
        <v>17</v>
      </c>
      <c r="BD151" s="18" t="s">
        <v>17</v>
      </c>
      <c r="BE151" s="18" t="s">
        <v>17</v>
      </c>
      <c r="BF151" s="18" t="s">
        <v>17</v>
      </c>
      <c r="BG151" s="18" t="s">
        <v>17</v>
      </c>
      <c r="BH151" s="18" t="s">
        <v>17</v>
      </c>
      <c r="BI151" s="18" t="s">
        <v>17</v>
      </c>
      <c r="BJ151" s="18" t="s">
        <v>17</v>
      </c>
      <c r="BK151" s="18" t="s">
        <v>17</v>
      </c>
    </row>
    <row r="152" spans="1:63" ht="27.95" customHeight="1">
      <c r="A152" s="14" t="s">
        <v>201</v>
      </c>
      <c r="B152" s="15" t="s">
        <v>202</v>
      </c>
      <c r="C152" s="15" t="s">
        <v>86</v>
      </c>
      <c r="D152" s="15"/>
      <c r="E152" s="43"/>
      <c r="F152" s="43"/>
      <c r="G152" s="17" t="str">
        <f>VLOOKUP(A152,'KPI Описание'!A:K,11,0)</f>
        <v>Оператор</v>
      </c>
      <c r="H152" s="17" t="s">
        <v>37</v>
      </c>
      <c r="I152" s="18"/>
      <c r="J152" s="19"/>
      <c r="K152" s="24">
        <f>3/3</f>
        <v>1</v>
      </c>
      <c r="L152" s="24">
        <f>130/131</f>
        <v>0.99236641221374045</v>
      </c>
      <c r="M152" s="24">
        <f>89/89</f>
        <v>1</v>
      </c>
      <c r="N152" s="24">
        <f>49/49</f>
        <v>1</v>
      </c>
      <c r="O152" s="24">
        <f>47/48</f>
        <v>0.97916666666666663</v>
      </c>
      <c r="P152" s="24">
        <f>213/213</f>
        <v>1</v>
      </c>
      <c r="Q152" s="24">
        <f>87/87</f>
        <v>1</v>
      </c>
      <c r="R152" s="24">
        <f>13/13</f>
        <v>1</v>
      </c>
      <c r="S152" s="24">
        <f>73/74</f>
        <v>0.98648648648648651</v>
      </c>
      <c r="T152" s="18">
        <f>30/31</f>
        <v>0.967741935483871</v>
      </c>
      <c r="U152" s="18">
        <f>50/50</f>
        <v>1</v>
      </c>
      <c r="V152" s="18">
        <v>1</v>
      </c>
      <c r="W152" s="18">
        <f>29/30</f>
        <v>0.96666666666666667</v>
      </c>
      <c r="X152" s="18">
        <f>63/63</f>
        <v>1</v>
      </c>
      <c r="Y152" s="18">
        <f>43/43</f>
        <v>1</v>
      </c>
      <c r="Z152" s="18">
        <f>137/137</f>
        <v>1</v>
      </c>
      <c r="AA152" s="18">
        <f>113/113</f>
        <v>1</v>
      </c>
      <c r="AB152" s="18">
        <f>73/73</f>
        <v>1</v>
      </c>
      <c r="AC152" s="18">
        <f>79/79</f>
        <v>1</v>
      </c>
      <c r="AD152" s="18">
        <f>141/141</f>
        <v>1</v>
      </c>
      <c r="AE152" s="18">
        <f>26/26</f>
        <v>1</v>
      </c>
      <c r="AF152" s="18">
        <f>31/31</f>
        <v>1</v>
      </c>
      <c r="AG152" s="18">
        <f>28/28</f>
        <v>1</v>
      </c>
      <c r="AH152" s="18">
        <f>30/30</f>
        <v>1</v>
      </c>
      <c r="AI152" s="18">
        <f>74/74</f>
        <v>1</v>
      </c>
      <c r="AJ152" s="18">
        <f>29/29</f>
        <v>1</v>
      </c>
      <c r="AK152" s="18">
        <f>23/24</f>
        <v>0.95833333333333337</v>
      </c>
      <c r="AL152" s="18">
        <f>21/21</f>
        <v>1</v>
      </c>
      <c r="AM152" s="18">
        <f>22/22</f>
        <v>1</v>
      </c>
      <c r="AN152" s="18">
        <f>26/26</f>
        <v>1</v>
      </c>
      <c r="AO152" s="18">
        <f>15/15</f>
        <v>1</v>
      </c>
      <c r="AP152" s="18">
        <f>53/53</f>
        <v>1</v>
      </c>
      <c r="AQ152" s="18">
        <f>63/63</f>
        <v>1</v>
      </c>
      <c r="AR152" s="18">
        <f>63/63</f>
        <v>1</v>
      </c>
      <c r="AS152" s="18">
        <f>36/36</f>
        <v>1</v>
      </c>
      <c r="AT152" s="18">
        <f>150/150</f>
        <v>1</v>
      </c>
      <c r="AU152" s="18">
        <f>151/151</f>
        <v>1</v>
      </c>
      <c r="AV152" s="18">
        <f>50/50</f>
        <v>1</v>
      </c>
      <c r="AW152" s="18">
        <f>163/163</f>
        <v>1</v>
      </c>
      <c r="AX152" s="18">
        <f>50/50</f>
        <v>1</v>
      </c>
      <c r="AY152" s="18">
        <f>33/33</f>
        <v>1</v>
      </c>
      <c r="AZ152" s="18">
        <f>27/27</f>
        <v>1</v>
      </c>
      <c r="BA152" s="18">
        <f>50/50</f>
        <v>1</v>
      </c>
      <c r="BB152" s="18" t="s">
        <v>17</v>
      </c>
      <c r="BC152" s="18" t="s">
        <v>17</v>
      </c>
      <c r="BD152" s="18" t="s">
        <v>17</v>
      </c>
      <c r="BE152" s="18" t="s">
        <v>17</v>
      </c>
      <c r="BF152" s="18" t="s">
        <v>17</v>
      </c>
      <c r="BG152" s="18" t="s">
        <v>17</v>
      </c>
      <c r="BH152" s="18" t="s">
        <v>17</v>
      </c>
      <c r="BI152" s="18" t="s">
        <v>17</v>
      </c>
      <c r="BJ152" s="18" t="s">
        <v>17</v>
      </c>
      <c r="BK152" s="18" t="s">
        <v>17</v>
      </c>
    </row>
    <row r="153" spans="1:63" ht="27.95" customHeight="1">
      <c r="A153" s="14" t="s">
        <v>201</v>
      </c>
      <c r="B153" s="15" t="s">
        <v>202</v>
      </c>
      <c r="C153" s="15" t="s">
        <v>86</v>
      </c>
      <c r="D153" s="15"/>
      <c r="E153" s="43"/>
      <c r="F153" s="43"/>
      <c r="G153" s="17" t="str">
        <f>VLOOKUP(A153,'KPI Описание'!A:K,11,0)</f>
        <v>Оператор</v>
      </c>
      <c r="H153" s="17" t="s">
        <v>40</v>
      </c>
      <c r="I153" s="18"/>
      <c r="J153" s="19"/>
      <c r="K153" s="24" t="s">
        <v>17</v>
      </c>
      <c r="L153" s="24">
        <f>192/192</f>
        <v>1</v>
      </c>
      <c r="M153" s="24">
        <f>425/427</f>
        <v>0.99531615925058547</v>
      </c>
      <c r="N153" s="24">
        <f>127/127</f>
        <v>1</v>
      </c>
      <c r="O153" s="24">
        <f>146/146</f>
        <v>1</v>
      </c>
      <c r="P153" s="24">
        <f>172/173</f>
        <v>0.9942196531791907</v>
      </c>
      <c r="Q153" s="24">
        <f>73/75</f>
        <v>0.97333333333333338</v>
      </c>
      <c r="R153" s="24">
        <f>49/49</f>
        <v>1</v>
      </c>
      <c r="S153" s="24">
        <f>118/118</f>
        <v>1</v>
      </c>
      <c r="T153" s="18">
        <f>81/82</f>
        <v>0.98780487804878048</v>
      </c>
      <c r="U153" s="18">
        <f>55/55</f>
        <v>1</v>
      </c>
      <c r="V153" s="18">
        <v>1</v>
      </c>
      <c r="W153" s="18">
        <f>47/47</f>
        <v>1</v>
      </c>
      <c r="X153" s="18">
        <f>43/43</f>
        <v>1</v>
      </c>
      <c r="Y153" s="18">
        <f>63/63</f>
        <v>1</v>
      </c>
      <c r="Z153" s="18">
        <f>123/125</f>
        <v>0.98399999999999999</v>
      </c>
      <c r="AA153" s="18">
        <f>94/95</f>
        <v>0.98947368421052628</v>
      </c>
      <c r="AB153" s="18">
        <f>10/10</f>
        <v>1</v>
      </c>
      <c r="AC153" s="18">
        <f>35/36</f>
        <v>0.97222222222222221</v>
      </c>
      <c r="AD153" s="18">
        <f>33/33</f>
        <v>1</v>
      </c>
      <c r="AE153" s="18">
        <f>126/126</f>
        <v>1</v>
      </c>
      <c r="AF153" s="18">
        <f>63/64</f>
        <v>0.984375</v>
      </c>
      <c r="AG153" s="18">
        <f>42/43</f>
        <v>0.97674418604651159</v>
      </c>
      <c r="AH153" s="18">
        <f>54/54</f>
        <v>1</v>
      </c>
      <c r="AI153" s="18">
        <f>44/44</f>
        <v>1</v>
      </c>
      <c r="AJ153" s="18">
        <f>296/296</f>
        <v>1</v>
      </c>
      <c r="AK153" s="18">
        <f>102/102</f>
        <v>1</v>
      </c>
      <c r="AL153" s="18">
        <f>162/162</f>
        <v>1</v>
      </c>
      <c r="AM153" s="18">
        <f>144/144</f>
        <v>1</v>
      </c>
      <c r="AN153" s="18">
        <f>32/32</f>
        <v>1</v>
      </c>
      <c r="AO153" s="18">
        <f>41/41</f>
        <v>1</v>
      </c>
      <c r="AP153" s="18">
        <f>216/216</f>
        <v>1</v>
      </c>
      <c r="AQ153" s="18">
        <f>66/66</f>
        <v>1</v>
      </c>
      <c r="AR153" s="18">
        <f>38/38</f>
        <v>1</v>
      </c>
      <c r="AS153" s="18">
        <f>36/36</f>
        <v>1</v>
      </c>
      <c r="AT153" s="18">
        <f>327/327</f>
        <v>1</v>
      </c>
      <c r="AU153" s="18">
        <f>50/50</f>
        <v>1</v>
      </c>
      <c r="AV153" s="18">
        <f>43/43</f>
        <v>1</v>
      </c>
      <c r="AW153" s="18">
        <f>34/34</f>
        <v>1</v>
      </c>
      <c r="AX153" s="18">
        <f>63/63</f>
        <v>1</v>
      </c>
      <c r="AY153" s="18">
        <f>59/59</f>
        <v>1</v>
      </c>
      <c r="AZ153" s="18">
        <f>152/154</f>
        <v>0.98701298701298701</v>
      </c>
      <c r="BA153" s="18">
        <f>319/320</f>
        <v>0.99687499999999996</v>
      </c>
      <c r="BB153" s="18" t="s">
        <v>17</v>
      </c>
      <c r="BC153" s="18" t="s">
        <v>17</v>
      </c>
      <c r="BD153" s="18" t="s">
        <v>17</v>
      </c>
      <c r="BE153" s="18" t="s">
        <v>17</v>
      </c>
      <c r="BF153" s="18" t="s">
        <v>17</v>
      </c>
      <c r="BG153" s="18" t="s">
        <v>17</v>
      </c>
      <c r="BH153" s="18" t="s">
        <v>17</v>
      </c>
      <c r="BI153" s="18" t="s">
        <v>17</v>
      </c>
      <c r="BJ153" s="18" t="s">
        <v>17</v>
      </c>
      <c r="BK153" s="18" t="s">
        <v>17</v>
      </c>
    </row>
    <row r="154" spans="1:63" ht="27.95" customHeight="1">
      <c r="A154" s="14" t="s">
        <v>201</v>
      </c>
      <c r="B154" s="15" t="s">
        <v>202</v>
      </c>
      <c r="C154" s="15" t="s">
        <v>86</v>
      </c>
      <c r="D154" s="15"/>
      <c r="E154" s="43"/>
      <c r="F154" s="43"/>
      <c r="G154" s="17" t="str">
        <f>VLOOKUP(A154,'KPI Описание'!A:K,11,0)</f>
        <v>Оператор</v>
      </c>
      <c r="H154" s="17" t="s">
        <v>43</v>
      </c>
      <c r="I154" s="18"/>
      <c r="J154" s="19"/>
      <c r="K154" s="24">
        <f>1/1</f>
        <v>1</v>
      </c>
      <c r="L154" s="24">
        <f>289/292</f>
        <v>0.98972602739726023</v>
      </c>
      <c r="M154" s="24">
        <f>90/90</f>
        <v>1</v>
      </c>
      <c r="N154" s="24">
        <f>120/121</f>
        <v>0.99173553719008267</v>
      </c>
      <c r="O154" s="24">
        <f>123/124</f>
        <v>0.99193548387096775</v>
      </c>
      <c r="P154" s="24">
        <f>133/134</f>
        <v>0.9925373134328358</v>
      </c>
      <c r="Q154" s="24">
        <f>38/38</f>
        <v>1</v>
      </c>
      <c r="R154" s="24">
        <f>25/25</f>
        <v>1</v>
      </c>
      <c r="S154" s="24">
        <f>43/44</f>
        <v>0.97727272727272729</v>
      </c>
      <c r="T154" s="18">
        <f>62/62</f>
        <v>1</v>
      </c>
      <c r="U154" s="18">
        <f>32/32</f>
        <v>1</v>
      </c>
      <c r="V154" s="18">
        <v>0.96</v>
      </c>
      <c r="W154" s="18">
        <f>69/69</f>
        <v>1</v>
      </c>
      <c r="X154" s="18">
        <f>51/51</f>
        <v>1</v>
      </c>
      <c r="Y154" s="18">
        <f>31/31</f>
        <v>1</v>
      </c>
      <c r="Z154" s="18">
        <f>25/25</f>
        <v>1</v>
      </c>
      <c r="AA154" s="18">
        <f>34/35</f>
        <v>0.97142857142857142</v>
      </c>
      <c r="AB154" s="18">
        <f>18/19</f>
        <v>0.94736842105263153</v>
      </c>
      <c r="AC154" s="18">
        <f>29/31</f>
        <v>0.93548387096774188</v>
      </c>
      <c r="AD154" s="18">
        <f>153/153</f>
        <v>1</v>
      </c>
      <c r="AE154" s="18">
        <f>108/108</f>
        <v>1</v>
      </c>
      <c r="AF154" s="18">
        <f>55/55</f>
        <v>1</v>
      </c>
      <c r="AG154" s="18">
        <f>41/41</f>
        <v>1</v>
      </c>
      <c r="AH154" s="18">
        <f>47/48</f>
        <v>0.97916666666666663</v>
      </c>
      <c r="AI154" s="18">
        <f>49/49</f>
        <v>1</v>
      </c>
      <c r="AJ154" s="18">
        <f>97/97</f>
        <v>1</v>
      </c>
      <c r="AK154" s="18">
        <f>29/29</f>
        <v>1</v>
      </c>
      <c r="AL154" s="18">
        <f>10/10</f>
        <v>1</v>
      </c>
      <c r="AM154" s="18">
        <f>63/63</f>
        <v>1</v>
      </c>
      <c r="AN154" s="18">
        <f>24/24</f>
        <v>1</v>
      </c>
      <c r="AO154" s="18">
        <f>178/178</f>
        <v>1</v>
      </c>
      <c r="AP154" s="18">
        <f>180/180</f>
        <v>1</v>
      </c>
      <c r="AQ154" s="18">
        <f>116/116</f>
        <v>1</v>
      </c>
      <c r="AR154" s="18">
        <f>40/40</f>
        <v>1</v>
      </c>
      <c r="AS154" s="18">
        <f>35/35</f>
        <v>1</v>
      </c>
      <c r="AT154" s="18">
        <f>45/45</f>
        <v>1</v>
      </c>
      <c r="AU154" s="18">
        <f>19/19</f>
        <v>1</v>
      </c>
      <c r="AV154" s="18">
        <f>38/38</f>
        <v>1</v>
      </c>
      <c r="AW154" s="18">
        <f>101/101</f>
        <v>1</v>
      </c>
      <c r="AX154" s="18">
        <f>103/103</f>
        <v>1</v>
      </c>
      <c r="AY154" s="18">
        <f>45/45</f>
        <v>1</v>
      </c>
      <c r="AZ154" s="18">
        <f>53/53</f>
        <v>1</v>
      </c>
      <c r="BA154" s="18">
        <f>127/127</f>
        <v>1</v>
      </c>
      <c r="BB154" s="18" t="s">
        <v>17</v>
      </c>
      <c r="BC154" s="18" t="s">
        <v>17</v>
      </c>
      <c r="BD154" s="18" t="s">
        <v>17</v>
      </c>
      <c r="BE154" s="18" t="s">
        <v>17</v>
      </c>
      <c r="BF154" s="18" t="s">
        <v>17</v>
      </c>
      <c r="BG154" s="18" t="s">
        <v>17</v>
      </c>
      <c r="BH154" s="18" t="s">
        <v>17</v>
      </c>
      <c r="BI154" s="18" t="s">
        <v>17</v>
      </c>
      <c r="BJ154" s="18" t="s">
        <v>17</v>
      </c>
      <c r="BK154" s="18" t="s">
        <v>17</v>
      </c>
    </row>
    <row r="155" spans="1:63" ht="27.95" customHeight="1">
      <c r="A155" s="14" t="s">
        <v>201</v>
      </c>
      <c r="B155" s="15" t="s">
        <v>202</v>
      </c>
      <c r="C155" s="15" t="s">
        <v>86</v>
      </c>
      <c r="D155" s="15"/>
      <c r="E155" s="43"/>
      <c r="F155" s="43"/>
      <c r="G155" s="17" t="str">
        <f>VLOOKUP(A155,'KPI Описание'!A:K,11,0)</f>
        <v>Оператор</v>
      </c>
      <c r="H155" s="17" t="s">
        <v>183</v>
      </c>
      <c r="I155" s="18"/>
      <c r="J155" s="19"/>
      <c r="K155" s="24">
        <f>2/2</f>
        <v>1</v>
      </c>
      <c r="L155" s="24">
        <f>8/8</f>
        <v>1</v>
      </c>
      <c r="M155" s="24">
        <f>15/16</f>
        <v>0.9375</v>
      </c>
      <c r="N155" s="24">
        <f>9/10</f>
        <v>0.9</v>
      </c>
      <c r="O155" s="24">
        <f>13/13</f>
        <v>1</v>
      </c>
      <c r="P155" s="24">
        <f>13/13</f>
        <v>1</v>
      </c>
      <c r="Q155" s="24">
        <f>12/12</f>
        <v>1</v>
      </c>
      <c r="R155" s="24">
        <f>10/11</f>
        <v>0.90909090909090906</v>
      </c>
      <c r="S155" s="24">
        <f>3/3</f>
        <v>1</v>
      </c>
      <c r="T155" s="18">
        <f>1/1</f>
        <v>1</v>
      </c>
      <c r="U155" s="18">
        <f>2/3</f>
        <v>0.66666666666666663</v>
      </c>
      <c r="V155" s="18">
        <v>1</v>
      </c>
      <c r="W155" s="18">
        <f>2/2</f>
        <v>1</v>
      </c>
      <c r="X155" s="18">
        <f>8/8</f>
        <v>1</v>
      </c>
      <c r="Y155" s="18">
        <f>9/10</f>
        <v>0.9</v>
      </c>
      <c r="Z155" s="18">
        <f>5/5</f>
        <v>1</v>
      </c>
      <c r="AA155" s="18" t="s">
        <v>17</v>
      </c>
      <c r="AB155" s="18">
        <f>1/1</f>
        <v>1</v>
      </c>
      <c r="AC155" s="18">
        <f>1/1</f>
        <v>1</v>
      </c>
      <c r="AD155" s="18">
        <f>1/1</f>
        <v>1</v>
      </c>
      <c r="AE155" s="18">
        <f>1/1</f>
        <v>1</v>
      </c>
      <c r="AF155" s="18">
        <f>6/7</f>
        <v>0.8571428571428571</v>
      </c>
      <c r="AG155" s="18">
        <f>6/7</f>
        <v>0.8571428571428571</v>
      </c>
      <c r="AH155" s="18">
        <f>4/5</f>
        <v>0.8</v>
      </c>
      <c r="AI155" s="18">
        <f>15/15</f>
        <v>1</v>
      </c>
      <c r="AJ155" s="18">
        <f>1/1</f>
        <v>1</v>
      </c>
      <c r="AK155" s="18">
        <f>4/5</f>
        <v>0.8</v>
      </c>
      <c r="AL155" s="18">
        <f>7/7</f>
        <v>1</v>
      </c>
      <c r="AM155" s="18">
        <f>4/4</f>
        <v>1</v>
      </c>
      <c r="AN155" s="18">
        <f>6/6</f>
        <v>1</v>
      </c>
      <c r="AO155" s="18">
        <f>10/10</f>
        <v>1</v>
      </c>
      <c r="AP155" s="18">
        <f>7/9</f>
        <v>0.77777777777777779</v>
      </c>
      <c r="AQ155" s="18">
        <f>2/2</f>
        <v>1</v>
      </c>
      <c r="AR155" s="18">
        <f>9/9</f>
        <v>1</v>
      </c>
      <c r="AS155" s="18">
        <f>3/3</f>
        <v>1</v>
      </c>
      <c r="AT155" s="18">
        <f>10/11</f>
        <v>0.90909090909090906</v>
      </c>
      <c r="AU155" s="18">
        <f>11/11</f>
        <v>1</v>
      </c>
      <c r="AV155" s="18">
        <f>9/10</f>
        <v>0.9</v>
      </c>
      <c r="AW155" s="18">
        <f>12/12</f>
        <v>1</v>
      </c>
      <c r="AX155" s="18">
        <f>13/13</f>
        <v>1</v>
      </c>
      <c r="AY155" s="18">
        <f>20/20</f>
        <v>1</v>
      </c>
      <c r="AZ155" s="18">
        <f>12/13</f>
        <v>0.92307692307692313</v>
      </c>
      <c r="BA155" s="18">
        <f>7/8</f>
        <v>0.875</v>
      </c>
      <c r="BB155" s="18" t="s">
        <v>17</v>
      </c>
      <c r="BC155" s="18" t="s">
        <v>17</v>
      </c>
      <c r="BD155" s="18" t="s">
        <v>17</v>
      </c>
      <c r="BE155" s="18" t="s">
        <v>17</v>
      </c>
      <c r="BF155" s="18" t="s">
        <v>17</v>
      </c>
      <c r="BG155" s="18" t="s">
        <v>17</v>
      </c>
      <c r="BH155" s="18" t="s">
        <v>17</v>
      </c>
      <c r="BI155" s="18" t="s">
        <v>17</v>
      </c>
      <c r="BJ155" s="18" t="s">
        <v>17</v>
      </c>
      <c r="BK155" s="18" t="s">
        <v>17</v>
      </c>
    </row>
    <row r="156" spans="1:63" s="72" customFormat="1" ht="27.95" customHeight="1">
      <c r="A156" s="5" t="s">
        <v>205</v>
      </c>
      <c r="B156" s="6" t="s">
        <v>206</v>
      </c>
      <c r="C156" s="6" t="s">
        <v>86</v>
      </c>
      <c r="D156" s="6" t="s">
        <v>19</v>
      </c>
      <c r="E156" s="42" t="s">
        <v>203</v>
      </c>
      <c r="F156" s="42" t="s">
        <v>207</v>
      </c>
      <c r="G156" s="8" t="str">
        <f>VLOOKUP(A156,'KPI Описание'!A:K,11,0)</f>
        <v>Оператор</v>
      </c>
      <c r="H156" s="8" t="s">
        <v>16</v>
      </c>
      <c r="I156" s="9">
        <f>VLOOKUP(A156,'KPI Описание'!A:P,16,0)</f>
        <v>0.995</v>
      </c>
      <c r="J156" s="10" t="str">
        <f>IFERROR(VLOOKUP(A156,'KPI Описание'!A:Q,17,0),0)</f>
        <v>higher</v>
      </c>
      <c r="K156" s="9" t="s">
        <v>17</v>
      </c>
      <c r="L156" s="9">
        <f>AVERAGE(L157:L161)</f>
        <v>0.98333333333333339</v>
      </c>
      <c r="M156" s="9">
        <f>AVERAGE(M157:M161)</f>
        <v>0.94444444444444453</v>
      </c>
      <c r="N156" s="9">
        <f>AVERAGE(N157:N161)</f>
        <v>0.94444444444444453</v>
      </c>
      <c r="O156" s="9">
        <f>AVERAGE(O157:O161)</f>
        <v>1</v>
      </c>
      <c r="P156" s="9">
        <f>AVERAGE(P157:P161)</f>
        <v>1</v>
      </c>
      <c r="Q156" s="9">
        <f>AVERAGE(Q157:Q161)</f>
        <v>1</v>
      </c>
      <c r="R156" s="9">
        <f>AVERAGE(R157:R161)</f>
        <v>1</v>
      </c>
      <c r="S156" s="9">
        <f>AVERAGE(S157:S161)</f>
        <v>1</v>
      </c>
      <c r="T156" s="9">
        <f>AVERAGE(T157:T161)</f>
        <v>0.95238095238095244</v>
      </c>
      <c r="U156" s="9">
        <f>AVERAGE(U157:U161)</f>
        <v>1</v>
      </c>
      <c r="V156" s="9">
        <v>0.86</v>
      </c>
      <c r="W156" s="9">
        <f>AVERAGE(W157:W161)</f>
        <v>1</v>
      </c>
      <c r="X156" s="9">
        <f>AVERAGE(X157:X161)</f>
        <v>0.83333333333333326</v>
      </c>
      <c r="Y156" s="9">
        <f>AVERAGE(Y157:Y161)</f>
        <v>0.87636054421768705</v>
      </c>
      <c r="Z156" s="9">
        <f>AVERAGE(Z157:Z161)</f>
        <v>0.85</v>
      </c>
      <c r="AA156" s="9">
        <f>AVERAGE(AA157:AA161)</f>
        <v>1</v>
      </c>
      <c r="AB156" s="9">
        <f>AVERAGE(AB157:AB161)</f>
        <v>0.93333333333333324</v>
      </c>
      <c r="AC156" s="9">
        <f>AVERAGE(AC157:AC161)</f>
        <v>1</v>
      </c>
      <c r="AD156" s="9">
        <f>AVERAGE(AD157:AD161)</f>
        <v>0.96296296296296291</v>
      </c>
      <c r="AE156" s="9">
        <f>AVERAGE(AE157:AE161)</f>
        <v>1</v>
      </c>
      <c r="AF156" s="9">
        <f>AVERAGE(AF157:AF161)</f>
        <v>1</v>
      </c>
      <c r="AG156" s="9">
        <f>AVERAGE(AG157:AG161)</f>
        <v>1</v>
      </c>
      <c r="AH156" s="9">
        <f>AVERAGE(AH157:AH161)</f>
        <v>1</v>
      </c>
      <c r="AI156" s="9">
        <f>AVERAGE(AI157:AI161)</f>
        <v>1</v>
      </c>
      <c r="AJ156" s="9">
        <f>AVERAGE(AJ157:AJ161)</f>
        <v>1</v>
      </c>
      <c r="AK156" s="9">
        <f>AVERAGE(AK157:AK161)</f>
        <v>1</v>
      </c>
      <c r="AL156" s="9">
        <f>AVERAGE(AL157:AL161)</f>
        <v>1</v>
      </c>
      <c r="AM156" s="9">
        <f>AVERAGE(AM157:AM161)</f>
        <v>1</v>
      </c>
      <c r="AN156" s="9">
        <f>AVERAGE(AN157:AN161)</f>
        <v>1</v>
      </c>
      <c r="AO156" s="9">
        <f>AVERAGE(AO157:AO161)</f>
        <v>0.98333333333333339</v>
      </c>
      <c r="AP156" s="9">
        <f>AVERAGE(AP157:AP161)</f>
        <v>0.95833333333333337</v>
      </c>
      <c r="AQ156" s="9">
        <f>59/64</f>
        <v>0.921875</v>
      </c>
      <c r="AR156" s="9">
        <f>42/44</f>
        <v>0.95454545454545459</v>
      </c>
      <c r="AS156" s="9">
        <f>28/28</f>
        <v>1</v>
      </c>
      <c r="AT156" s="9">
        <f>15/15</f>
        <v>1</v>
      </c>
      <c r="AU156" s="9">
        <f>59/60</f>
        <v>0.98333333333333328</v>
      </c>
      <c r="AV156" s="9">
        <f>15/15</f>
        <v>1</v>
      </c>
      <c r="AW156" s="9">
        <f>48/48</f>
        <v>1</v>
      </c>
      <c r="AX156" s="9">
        <f>21/25</f>
        <v>0.84</v>
      </c>
      <c r="AY156" s="9">
        <f>34/34</f>
        <v>1</v>
      </c>
      <c r="AZ156" s="9">
        <f>56/56</f>
        <v>1</v>
      </c>
      <c r="BA156" s="9">
        <f>38/39</f>
        <v>0.97435897435897434</v>
      </c>
      <c r="BB156" s="9" t="s">
        <v>17</v>
      </c>
      <c r="BC156" s="9" t="s">
        <v>17</v>
      </c>
      <c r="BD156" s="9" t="s">
        <v>17</v>
      </c>
      <c r="BE156" s="9" t="s">
        <v>17</v>
      </c>
      <c r="BF156" s="9" t="s">
        <v>17</v>
      </c>
      <c r="BG156" s="9" t="s">
        <v>17</v>
      </c>
      <c r="BH156" s="9" t="s">
        <v>17</v>
      </c>
      <c r="BI156" s="9" t="s">
        <v>17</v>
      </c>
      <c r="BJ156" s="9" t="s">
        <v>17</v>
      </c>
      <c r="BK156" s="9" t="s">
        <v>17</v>
      </c>
    </row>
    <row r="157" spans="1:63" ht="27.95" customHeight="1">
      <c r="A157" s="14" t="s">
        <v>205</v>
      </c>
      <c r="B157" s="15" t="s">
        <v>206</v>
      </c>
      <c r="C157" s="15" t="s">
        <v>86</v>
      </c>
      <c r="D157" s="15"/>
      <c r="E157" s="43"/>
      <c r="F157" s="43"/>
      <c r="G157" s="17" t="str">
        <f>VLOOKUP(A157,'KPI Описание'!A:K,11,0)</f>
        <v>Оператор</v>
      </c>
      <c r="H157" s="17" t="s">
        <v>33</v>
      </c>
      <c r="I157" s="18"/>
      <c r="J157" s="19"/>
      <c r="K157" s="24" t="s">
        <v>17</v>
      </c>
      <c r="L157" s="24">
        <f>1/1</f>
        <v>1</v>
      </c>
      <c r="M157" s="24">
        <f>2/2</f>
        <v>1</v>
      </c>
      <c r="N157" s="24">
        <f>5/6</f>
        <v>0.83333333333333337</v>
      </c>
      <c r="O157" s="24">
        <f>2/2</f>
        <v>1</v>
      </c>
      <c r="P157" s="24" t="s">
        <v>17</v>
      </c>
      <c r="Q157" s="24">
        <f>4/4</f>
        <v>1</v>
      </c>
      <c r="R157" s="24">
        <f>2/2</f>
        <v>1</v>
      </c>
      <c r="S157" s="24">
        <f>8/8</f>
        <v>1</v>
      </c>
      <c r="T157" s="18" t="s">
        <v>17</v>
      </c>
      <c r="U157" s="18" t="s">
        <v>17</v>
      </c>
      <c r="V157" s="18">
        <v>1</v>
      </c>
      <c r="W157" s="18">
        <f>1/1</f>
        <v>1</v>
      </c>
      <c r="X157" s="18">
        <f>2/2</f>
        <v>1</v>
      </c>
      <c r="Y157" s="18">
        <f>2/3</f>
        <v>0.66666666666666663</v>
      </c>
      <c r="Z157" s="18">
        <f>1/1</f>
        <v>1</v>
      </c>
      <c r="AA157" s="18">
        <f>6/6</f>
        <v>1</v>
      </c>
      <c r="AB157" s="18" t="s">
        <v>17</v>
      </c>
      <c r="AC157" s="18">
        <f>2/2</f>
        <v>1</v>
      </c>
      <c r="AD157" s="18">
        <f>3/3</f>
        <v>1</v>
      </c>
      <c r="AE157" s="18" t="s">
        <v>17</v>
      </c>
      <c r="AF157" s="18" t="s">
        <v>17</v>
      </c>
      <c r="AG157" s="18" t="s">
        <v>17</v>
      </c>
      <c r="AH157" s="18">
        <f>1/1</f>
        <v>1</v>
      </c>
      <c r="AI157" s="18">
        <f>1/1</f>
        <v>1</v>
      </c>
      <c r="AJ157" s="18">
        <f>5/5</f>
        <v>1</v>
      </c>
      <c r="AK157" s="18">
        <f>1/1</f>
        <v>1</v>
      </c>
      <c r="AL157" s="18">
        <f>1/1</f>
        <v>1</v>
      </c>
      <c r="AM157" s="18">
        <f>7/7</f>
        <v>1</v>
      </c>
      <c r="AN157" s="18">
        <f>9/9</f>
        <v>1</v>
      </c>
      <c r="AO157" s="18">
        <f>1/1</f>
        <v>1</v>
      </c>
      <c r="AP157" s="18">
        <f>2/2</f>
        <v>1</v>
      </c>
      <c r="AQ157" s="18">
        <f>1/2</f>
        <v>0.5</v>
      </c>
      <c r="AR157" s="18">
        <f>4/4</f>
        <v>1</v>
      </c>
      <c r="AS157" s="18">
        <f>8/8</f>
        <v>1</v>
      </c>
      <c r="AT157" s="18">
        <f>6/6</f>
        <v>1</v>
      </c>
      <c r="AU157" s="18">
        <f>9/9</f>
        <v>1</v>
      </c>
      <c r="AV157" s="18">
        <f>5/5</f>
        <v>1</v>
      </c>
      <c r="AW157" s="18">
        <f>11/11</f>
        <v>1</v>
      </c>
      <c r="AX157" s="18">
        <f>5/9</f>
        <v>0.55555555555555558</v>
      </c>
      <c r="AY157" s="18">
        <f>8/8</f>
        <v>1</v>
      </c>
      <c r="AZ157" s="18">
        <f>2/2</f>
        <v>1</v>
      </c>
      <c r="BA157" s="18">
        <f>10/11</f>
        <v>0.90909090909090906</v>
      </c>
      <c r="BB157" s="18" t="s">
        <v>17</v>
      </c>
      <c r="BC157" s="18" t="s">
        <v>17</v>
      </c>
      <c r="BD157" s="18" t="s">
        <v>17</v>
      </c>
      <c r="BE157" s="18" t="s">
        <v>17</v>
      </c>
      <c r="BF157" s="18" t="s">
        <v>17</v>
      </c>
      <c r="BG157" s="18" t="s">
        <v>17</v>
      </c>
      <c r="BH157" s="18" t="s">
        <v>17</v>
      </c>
      <c r="BI157" s="18" t="s">
        <v>17</v>
      </c>
      <c r="BJ157" s="18" t="s">
        <v>17</v>
      </c>
      <c r="BK157" s="18" t="s">
        <v>17</v>
      </c>
    </row>
    <row r="158" spans="1:63" ht="27.95" customHeight="1">
      <c r="A158" s="14" t="s">
        <v>205</v>
      </c>
      <c r="B158" s="15" t="s">
        <v>206</v>
      </c>
      <c r="C158" s="15" t="s">
        <v>86</v>
      </c>
      <c r="D158" s="15"/>
      <c r="E158" s="43"/>
      <c r="F158" s="43"/>
      <c r="G158" s="17" t="str">
        <f>VLOOKUP(A158,'KPI Описание'!A:K,11,0)</f>
        <v>Оператор</v>
      </c>
      <c r="H158" s="17" t="s">
        <v>36</v>
      </c>
      <c r="I158" s="18"/>
      <c r="J158" s="19"/>
      <c r="K158" s="24" t="s">
        <v>17</v>
      </c>
      <c r="L158" s="24">
        <f>5/5</f>
        <v>1</v>
      </c>
      <c r="M158" s="24">
        <f>10/12</f>
        <v>0.83333333333333337</v>
      </c>
      <c r="N158" s="24">
        <f>2/2</f>
        <v>1</v>
      </c>
      <c r="O158" s="24" t="s">
        <v>17</v>
      </c>
      <c r="P158" s="24">
        <f>1/1</f>
        <v>1</v>
      </c>
      <c r="Q158" s="24" t="s">
        <v>17</v>
      </c>
      <c r="R158" s="24">
        <f>1/1</f>
        <v>1</v>
      </c>
      <c r="S158" s="18" t="s">
        <v>17</v>
      </c>
      <c r="T158" s="18" t="s">
        <v>17</v>
      </c>
      <c r="U158" s="18">
        <f>7/7</f>
        <v>1</v>
      </c>
      <c r="V158" s="18">
        <v>0.75</v>
      </c>
      <c r="W158" s="18" t="s">
        <v>17</v>
      </c>
      <c r="X158" s="18">
        <f>2/3</f>
        <v>0.66666666666666663</v>
      </c>
      <c r="Y158" s="18">
        <f>9/9</f>
        <v>1</v>
      </c>
      <c r="Z158" s="18">
        <f>2/2</f>
        <v>1</v>
      </c>
      <c r="AA158" s="18" t="s">
        <v>17</v>
      </c>
      <c r="AB158" s="18" t="s">
        <v>17</v>
      </c>
      <c r="AC158" s="18" t="s">
        <v>17</v>
      </c>
      <c r="AD158" s="18">
        <f>10/10</f>
        <v>1</v>
      </c>
      <c r="AE158" s="18" t="s">
        <v>17</v>
      </c>
      <c r="AF158" s="18" t="s">
        <v>17</v>
      </c>
      <c r="AG158" s="18" t="s">
        <v>17</v>
      </c>
      <c r="AH158" s="18" t="s">
        <v>17</v>
      </c>
      <c r="AI158" s="18"/>
      <c r="AJ158" s="18" t="s">
        <v>17</v>
      </c>
      <c r="AK158" s="18" t="s">
        <v>17</v>
      </c>
      <c r="AL158" s="18" t="s">
        <v>17</v>
      </c>
      <c r="AM158" s="18">
        <f>2/2</f>
        <v>1</v>
      </c>
      <c r="AN158" s="18">
        <f>3/3</f>
        <v>1</v>
      </c>
      <c r="AO158" s="18" t="s">
        <v>17</v>
      </c>
      <c r="AP158" s="18">
        <f>7/7</f>
        <v>1</v>
      </c>
      <c r="AQ158" s="18" t="s">
        <v>17</v>
      </c>
      <c r="AR158" s="18">
        <f>3/3</f>
        <v>1</v>
      </c>
      <c r="AS158" s="18">
        <f>2/2</f>
        <v>1</v>
      </c>
      <c r="AT158" s="18">
        <f>7/7</f>
        <v>1</v>
      </c>
      <c r="AU158" s="18">
        <f>9/9</f>
        <v>1</v>
      </c>
      <c r="AV158" s="18" t="s">
        <v>17</v>
      </c>
      <c r="AW158" s="18">
        <f>11/11</f>
        <v>1</v>
      </c>
      <c r="AX158" s="18">
        <f>4/4</f>
        <v>1</v>
      </c>
      <c r="AY158" s="18">
        <f>5/5</f>
        <v>1</v>
      </c>
      <c r="AZ158" s="18">
        <f>11/11</f>
        <v>1</v>
      </c>
      <c r="BA158" s="18">
        <f>1/1</f>
        <v>1</v>
      </c>
      <c r="BB158" s="18" t="s">
        <v>17</v>
      </c>
      <c r="BC158" s="18" t="s">
        <v>17</v>
      </c>
      <c r="BD158" s="18" t="s">
        <v>17</v>
      </c>
      <c r="BE158" s="18" t="s">
        <v>17</v>
      </c>
      <c r="BF158" s="18" t="s">
        <v>17</v>
      </c>
      <c r="BG158" s="18" t="s">
        <v>17</v>
      </c>
      <c r="BH158" s="18" t="s">
        <v>17</v>
      </c>
      <c r="BI158" s="18" t="s">
        <v>17</v>
      </c>
      <c r="BJ158" s="18" t="s">
        <v>17</v>
      </c>
      <c r="BK158" s="18" t="s">
        <v>17</v>
      </c>
    </row>
    <row r="159" spans="1:63" ht="27.95" customHeight="1">
      <c r="A159" s="14" t="s">
        <v>205</v>
      </c>
      <c r="B159" s="15" t="s">
        <v>206</v>
      </c>
      <c r="C159" s="15" t="s">
        <v>86</v>
      </c>
      <c r="D159" s="15"/>
      <c r="E159" s="43"/>
      <c r="F159" s="43"/>
      <c r="G159" s="17" t="str">
        <f>VLOOKUP(A159,'KPI Описание'!A:K,11,0)</f>
        <v>Оператор</v>
      </c>
      <c r="H159" s="17" t="s">
        <v>37</v>
      </c>
      <c r="I159" s="18"/>
      <c r="J159" s="19"/>
      <c r="K159" s="24" t="s">
        <v>17</v>
      </c>
      <c r="L159" s="24" t="s">
        <v>17</v>
      </c>
      <c r="M159" s="24" t="s">
        <v>17</v>
      </c>
      <c r="N159" s="24" t="s">
        <v>17</v>
      </c>
      <c r="O159" s="24" t="s">
        <v>17</v>
      </c>
      <c r="P159" s="24" t="s">
        <v>17</v>
      </c>
      <c r="Q159" s="24" t="s">
        <v>17</v>
      </c>
      <c r="R159" s="24" t="s">
        <v>17</v>
      </c>
      <c r="S159" s="18" t="s">
        <v>17</v>
      </c>
      <c r="T159" s="18">
        <f>2/2</f>
        <v>1</v>
      </c>
      <c r="U159" s="18" t="s">
        <v>17</v>
      </c>
      <c r="V159" s="18">
        <v>0.83</v>
      </c>
      <c r="W159" s="18">
        <f>1/1</f>
        <v>1</v>
      </c>
      <c r="X159" s="18" t="s">
        <v>17</v>
      </c>
      <c r="Y159" s="18" t="s">
        <v>17</v>
      </c>
      <c r="Z159" s="18" t="s">
        <v>17</v>
      </c>
      <c r="AA159" s="18">
        <f>7/7</f>
        <v>1</v>
      </c>
      <c r="AB159" s="18">
        <f>2/2</f>
        <v>1</v>
      </c>
      <c r="AC159" s="18" t="s">
        <v>17</v>
      </c>
      <c r="AD159" s="18" t="s">
        <v>17</v>
      </c>
      <c r="AE159" s="18" t="s">
        <v>17</v>
      </c>
      <c r="AF159" s="18">
        <f>1/1</f>
        <v>1</v>
      </c>
      <c r="AG159" s="18">
        <f>16/16</f>
        <v>1</v>
      </c>
      <c r="AH159" s="18">
        <f>3/3</f>
        <v>1</v>
      </c>
      <c r="AI159" s="18">
        <f>1/1</f>
        <v>1</v>
      </c>
      <c r="AJ159" s="18">
        <f>4/4</f>
        <v>1</v>
      </c>
      <c r="AK159" s="18" t="s">
        <v>17</v>
      </c>
      <c r="AL159" s="18">
        <f>1/1</f>
        <v>1</v>
      </c>
      <c r="AM159" s="18">
        <f>27/27</f>
        <v>1</v>
      </c>
      <c r="AN159" s="18">
        <f>2/2</f>
        <v>1</v>
      </c>
      <c r="AO159" s="18">
        <f>5/5</f>
        <v>1</v>
      </c>
      <c r="AP159" s="18">
        <f>2/2</f>
        <v>1</v>
      </c>
      <c r="AQ159" s="18">
        <f>3/3</f>
        <v>1</v>
      </c>
      <c r="AR159" s="18">
        <f>19/20</f>
        <v>0.95</v>
      </c>
      <c r="AS159" s="18">
        <f>2/2</f>
        <v>1</v>
      </c>
      <c r="AT159" s="18">
        <f>1/1</f>
        <v>1</v>
      </c>
      <c r="AU159" s="18">
        <f>21/21</f>
        <v>1</v>
      </c>
      <c r="AV159" s="18" t="s">
        <v>17</v>
      </c>
      <c r="AW159" s="18">
        <f>1/1</f>
        <v>1</v>
      </c>
      <c r="AX159" s="18" t="s">
        <v>17</v>
      </c>
      <c r="AY159" s="18" t="s">
        <v>17</v>
      </c>
      <c r="AZ159" s="18" t="s">
        <v>17</v>
      </c>
      <c r="BA159" s="18"/>
      <c r="BB159" s="18" t="s">
        <v>17</v>
      </c>
      <c r="BC159" s="18" t="s">
        <v>17</v>
      </c>
      <c r="BD159" s="18" t="s">
        <v>17</v>
      </c>
      <c r="BE159" s="18" t="s">
        <v>17</v>
      </c>
      <c r="BF159" s="18" t="s">
        <v>17</v>
      </c>
      <c r="BG159" s="18" t="s">
        <v>17</v>
      </c>
      <c r="BH159" s="18" t="s">
        <v>17</v>
      </c>
      <c r="BI159" s="18" t="s">
        <v>17</v>
      </c>
      <c r="BJ159" s="18" t="s">
        <v>17</v>
      </c>
      <c r="BK159" s="18" t="s">
        <v>17</v>
      </c>
    </row>
    <row r="160" spans="1:63" ht="27.95" customHeight="1">
      <c r="A160" s="14" t="s">
        <v>205</v>
      </c>
      <c r="B160" s="15" t="s">
        <v>206</v>
      </c>
      <c r="C160" s="15" t="s">
        <v>86</v>
      </c>
      <c r="D160" s="15"/>
      <c r="E160" s="43"/>
      <c r="F160" s="43"/>
      <c r="G160" s="17" t="str">
        <f>VLOOKUP(A160,'KPI Описание'!A:K,11,0)</f>
        <v>Оператор</v>
      </c>
      <c r="H160" s="17" t="s">
        <v>40</v>
      </c>
      <c r="I160" s="18"/>
      <c r="J160" s="19"/>
      <c r="K160" s="24" t="s">
        <v>17</v>
      </c>
      <c r="L160" s="24" t="s">
        <v>17</v>
      </c>
      <c r="M160" s="24">
        <f>1/1</f>
        <v>1</v>
      </c>
      <c r="N160" s="24" t="s">
        <v>17</v>
      </c>
      <c r="O160" s="24" t="s">
        <v>17</v>
      </c>
      <c r="P160" s="24" t="s">
        <v>17</v>
      </c>
      <c r="Q160" s="24">
        <f>2/2</f>
        <v>1</v>
      </c>
      <c r="R160" s="24" t="s">
        <v>17</v>
      </c>
      <c r="S160" s="18" t="s">
        <v>17</v>
      </c>
      <c r="T160" s="18">
        <f>12/14</f>
        <v>0.8571428571428571</v>
      </c>
      <c r="U160" s="18">
        <f>2/2</f>
        <v>1</v>
      </c>
      <c r="V160" s="18">
        <v>1</v>
      </c>
      <c r="W160" s="18">
        <f>2/2</f>
        <v>1</v>
      </c>
      <c r="X160" s="18" t="s">
        <v>17</v>
      </c>
      <c r="Y160" s="18">
        <f>18/20</f>
        <v>0.9</v>
      </c>
      <c r="Z160" s="18">
        <f>1/2</f>
        <v>0.5</v>
      </c>
      <c r="AA160" s="18">
        <f>1/1</f>
        <v>1</v>
      </c>
      <c r="AB160" s="18">
        <f>12/15</f>
        <v>0.8</v>
      </c>
      <c r="AC160" s="18" t="s">
        <v>17</v>
      </c>
      <c r="AD160" s="18" t="s">
        <v>17</v>
      </c>
      <c r="AE160" s="18">
        <f>2/2</f>
        <v>1</v>
      </c>
      <c r="AF160" s="18"/>
      <c r="AG160" s="18">
        <f>1/1</f>
        <v>1</v>
      </c>
      <c r="AH160" s="18">
        <f>4/4</f>
        <v>1</v>
      </c>
      <c r="AI160" s="18">
        <f>4/4</f>
        <v>1</v>
      </c>
      <c r="AJ160" s="18">
        <f>14/14</f>
        <v>1</v>
      </c>
      <c r="AK160" s="18">
        <f>1/1</f>
        <v>1</v>
      </c>
      <c r="AL160" s="18">
        <f>13/13</f>
        <v>1</v>
      </c>
      <c r="AM160" s="18">
        <f>2/2</f>
        <v>1</v>
      </c>
      <c r="AN160" s="18" t="s">
        <v>17</v>
      </c>
      <c r="AO160" s="18">
        <f>14/15</f>
        <v>0.93333333333333335</v>
      </c>
      <c r="AP160" s="18" t="s">
        <v>17</v>
      </c>
      <c r="AQ160" s="18">
        <f>21/22</f>
        <v>0.95454545454545459</v>
      </c>
      <c r="AR160" s="18">
        <f>1/1</f>
        <v>1</v>
      </c>
      <c r="AS160" s="18">
        <f>1/1</f>
        <v>1</v>
      </c>
      <c r="AT160" s="18" t="s">
        <v>17</v>
      </c>
      <c r="AU160" s="18">
        <f>1/1</f>
        <v>1</v>
      </c>
      <c r="AV160" s="18" t="s">
        <v>17</v>
      </c>
      <c r="AW160" s="18">
        <f>20/20</f>
        <v>1</v>
      </c>
      <c r="AX160" s="18">
        <f>7/7</f>
        <v>1</v>
      </c>
      <c r="AY160" s="18">
        <f>12/12</f>
        <v>1</v>
      </c>
      <c r="AZ160" s="18">
        <f>11/11</f>
        <v>1</v>
      </c>
      <c r="BA160" s="18">
        <f>20/20</f>
        <v>1</v>
      </c>
      <c r="BB160" s="18" t="s">
        <v>17</v>
      </c>
      <c r="BC160" s="18" t="s">
        <v>17</v>
      </c>
      <c r="BD160" s="18" t="s">
        <v>17</v>
      </c>
      <c r="BE160" s="18" t="s">
        <v>17</v>
      </c>
      <c r="BF160" s="18" t="s">
        <v>17</v>
      </c>
      <c r="BG160" s="18" t="s">
        <v>17</v>
      </c>
      <c r="BH160" s="18" t="s">
        <v>17</v>
      </c>
      <c r="BI160" s="18" t="s">
        <v>17</v>
      </c>
      <c r="BJ160" s="18" t="s">
        <v>17</v>
      </c>
      <c r="BK160" s="18" t="s">
        <v>17</v>
      </c>
    </row>
    <row r="161" spans="1:63" ht="27.95" customHeight="1">
      <c r="A161" s="14" t="s">
        <v>205</v>
      </c>
      <c r="B161" s="15" t="s">
        <v>206</v>
      </c>
      <c r="C161" s="15" t="s">
        <v>86</v>
      </c>
      <c r="D161" s="15"/>
      <c r="E161" s="43"/>
      <c r="F161" s="43"/>
      <c r="G161" s="17" t="str">
        <f>VLOOKUP(A161,'KPI Описание'!A:K,11,0)</f>
        <v>Оператор</v>
      </c>
      <c r="H161" s="17" t="s">
        <v>43</v>
      </c>
      <c r="I161" s="18"/>
      <c r="J161" s="19"/>
      <c r="K161" s="24" t="s">
        <v>17</v>
      </c>
      <c r="L161" s="24">
        <f>19/20</f>
        <v>0.95</v>
      </c>
      <c r="M161" s="24" t="s">
        <v>17</v>
      </c>
      <c r="N161" s="24">
        <f>6/6</f>
        <v>1</v>
      </c>
      <c r="O161" s="24">
        <f>2/2</f>
        <v>1</v>
      </c>
      <c r="P161" s="24">
        <f>4/4</f>
        <v>1</v>
      </c>
      <c r="Q161" s="24">
        <f>3/3</f>
        <v>1</v>
      </c>
      <c r="R161" s="24" t="s">
        <v>17</v>
      </c>
      <c r="S161" s="24">
        <f>1/1</f>
        <v>1</v>
      </c>
      <c r="T161" s="18">
        <f>1/1</f>
        <v>1</v>
      </c>
      <c r="U161" s="18" t="s">
        <v>17</v>
      </c>
      <c r="V161" s="18">
        <v>1</v>
      </c>
      <c r="W161" s="18">
        <f>5/5</f>
        <v>1</v>
      </c>
      <c r="X161" s="18" t="s">
        <v>17</v>
      </c>
      <c r="Y161" s="18">
        <f>46/49</f>
        <v>0.93877551020408168</v>
      </c>
      <c r="Z161" s="18">
        <f>27/30</f>
        <v>0.9</v>
      </c>
      <c r="AA161" s="18">
        <f>2/2</f>
        <v>1</v>
      </c>
      <c r="AB161" s="18">
        <f>2/2</f>
        <v>1</v>
      </c>
      <c r="AC161" s="18">
        <f>1/1</f>
        <v>1</v>
      </c>
      <c r="AD161" s="18">
        <f>16/18</f>
        <v>0.88888888888888884</v>
      </c>
      <c r="AE161" s="18">
        <f>7/7</f>
        <v>1</v>
      </c>
      <c r="AF161" s="18">
        <f>19/19</f>
        <v>1</v>
      </c>
      <c r="AG161" s="18">
        <f>1/1</f>
        <v>1</v>
      </c>
      <c r="AH161" s="18">
        <f>3/3</f>
        <v>1</v>
      </c>
      <c r="AI161" s="18">
        <f>18/18</f>
        <v>1</v>
      </c>
      <c r="AJ161" s="18">
        <f>1/1</f>
        <v>1</v>
      </c>
      <c r="AK161" s="18">
        <f>4/4</f>
        <v>1</v>
      </c>
      <c r="AL161" s="18" t="s">
        <v>17</v>
      </c>
      <c r="AM161" s="18">
        <f>4/4</f>
        <v>1</v>
      </c>
      <c r="AN161" s="18">
        <f>18/18</f>
        <v>1</v>
      </c>
      <c r="AO161" s="18">
        <f>1/1</f>
        <v>1</v>
      </c>
      <c r="AP161" s="18">
        <f>5/6</f>
        <v>0.83333333333333337</v>
      </c>
      <c r="AQ161" s="18">
        <f>34/37</f>
        <v>0.91891891891891897</v>
      </c>
      <c r="AR161" s="18">
        <f>15/16</f>
        <v>0.9375</v>
      </c>
      <c r="AS161" s="18">
        <f>15/15</f>
        <v>1</v>
      </c>
      <c r="AT161" s="18">
        <f>1/1</f>
        <v>1</v>
      </c>
      <c r="AU161" s="18">
        <f>19/20</f>
        <v>0.95</v>
      </c>
      <c r="AV161" s="18">
        <f>10/10</f>
        <v>1</v>
      </c>
      <c r="AW161" s="18">
        <f>5/5</f>
        <v>1</v>
      </c>
      <c r="AX161" s="18">
        <f>5/5</f>
        <v>1</v>
      </c>
      <c r="AY161" s="18">
        <f>9/9</f>
        <v>1</v>
      </c>
      <c r="AZ161" s="18">
        <f>32/32</f>
        <v>1</v>
      </c>
      <c r="BA161" s="18">
        <f>7/7</f>
        <v>1</v>
      </c>
      <c r="BB161" s="18" t="s">
        <v>17</v>
      </c>
      <c r="BC161" s="18" t="s">
        <v>17</v>
      </c>
      <c r="BD161" s="18" t="s">
        <v>17</v>
      </c>
      <c r="BE161" s="18" t="s">
        <v>17</v>
      </c>
      <c r="BF161" s="18" t="s">
        <v>17</v>
      </c>
      <c r="BG161" s="18" t="s">
        <v>17</v>
      </c>
      <c r="BH161" s="18" t="s">
        <v>17</v>
      </c>
      <c r="BI161" s="18" t="s">
        <v>17</v>
      </c>
      <c r="BJ161" s="18" t="s">
        <v>17</v>
      </c>
      <c r="BK161" s="18" t="s">
        <v>17</v>
      </c>
    </row>
    <row r="162" spans="1:63" ht="27.95" customHeight="1">
      <c r="A162" s="82" t="s">
        <v>208</v>
      </c>
      <c r="B162" s="84" t="s">
        <v>209</v>
      </c>
      <c r="C162" s="84" t="s">
        <v>86</v>
      </c>
      <c r="D162" s="84" t="s">
        <v>19</v>
      </c>
      <c r="E162" s="86" t="s">
        <v>210</v>
      </c>
      <c r="F162" s="86" t="s">
        <v>211</v>
      </c>
      <c r="G162" s="88" t="str">
        <f>VLOOKUP(A162,'KPI Описание'!A:K,11,0)</f>
        <v>Оператор</v>
      </c>
      <c r="H162" s="88" t="s">
        <v>16</v>
      </c>
      <c r="I162" s="91">
        <f>VLOOKUP(A162,'KPI Описание'!A:P,16,0)</f>
        <v>0.95</v>
      </c>
      <c r="J162" s="95" t="str">
        <f>IFERROR(VLOOKUP(A162,'KPI Описание'!A:Q,17,0),0)</f>
        <v>higher</v>
      </c>
      <c r="K162" s="91" t="s">
        <v>17</v>
      </c>
      <c r="L162" s="91">
        <v>1</v>
      </c>
      <c r="M162" s="91">
        <v>1</v>
      </c>
      <c r="N162" s="91">
        <v>1</v>
      </c>
      <c r="O162" s="91">
        <v>1</v>
      </c>
      <c r="P162" s="91">
        <v>1</v>
      </c>
      <c r="Q162" s="91">
        <v>1</v>
      </c>
      <c r="R162" s="91">
        <v>1</v>
      </c>
      <c r="S162" s="91">
        <v>1</v>
      </c>
      <c r="T162" s="91">
        <v>1</v>
      </c>
      <c r="U162" s="91">
        <f>AVERAGE(U163:U167)</f>
        <v>0.93759292035398223</v>
      </c>
      <c r="V162" s="91">
        <v>1</v>
      </c>
      <c r="W162" s="91">
        <f>AVERAGE(W163:W167)</f>
        <v>1</v>
      </c>
      <c r="X162" s="91">
        <f>AVERAGE(X163:X167)</f>
        <v>1</v>
      </c>
      <c r="Y162" s="91">
        <f>AVERAGE(Y163:Y167)</f>
        <v>1</v>
      </c>
      <c r="Z162" s="91">
        <f>AVERAGE(Z163:Z167)</f>
        <v>1</v>
      </c>
      <c r="AA162" s="91">
        <f>AVERAGE(AA163:AA167)</f>
        <v>1</v>
      </c>
      <c r="AB162" s="91">
        <f>AVERAGE(AB163:AB167)</f>
        <v>1</v>
      </c>
      <c r="AC162" s="91">
        <f>AVERAGE(AC163:AC167)</f>
        <v>1</v>
      </c>
      <c r="AD162" s="91">
        <f>AVERAGE(AD163:AD167)</f>
        <v>1</v>
      </c>
      <c r="AE162" s="91">
        <f>AVERAGE(AE163:AE167)</f>
        <v>1</v>
      </c>
      <c r="AF162" s="91">
        <f>AVERAGE(AF163:AF167)</f>
        <v>1</v>
      </c>
      <c r="AG162" s="91">
        <f>AVERAGE(AG163:AG167)</f>
        <v>1</v>
      </c>
      <c r="AH162" s="91">
        <f>AVERAGE(AH163:AH167)</f>
        <v>1</v>
      </c>
      <c r="AI162" s="91">
        <v>1</v>
      </c>
      <c r="AJ162" s="91">
        <f>AVERAGE(AJ163:AJ167)</f>
        <v>1</v>
      </c>
      <c r="AK162" s="91">
        <f>AVERAGE(AK163:AK167)</f>
        <v>1</v>
      </c>
      <c r="AL162" s="91">
        <f>AVERAGE(AL163:AL167)</f>
        <v>1</v>
      </c>
      <c r="AM162" s="91">
        <f>AVERAGE(AM163:AM167)</f>
        <v>1</v>
      </c>
      <c r="AN162" s="91">
        <f>AVERAGE(AN163:AN167)</f>
        <v>1</v>
      </c>
      <c r="AO162" s="91">
        <f>AVERAGE(AO163:AO167)</f>
        <v>1</v>
      </c>
      <c r="AP162" s="91">
        <f>1-0/17</f>
        <v>1</v>
      </c>
      <c r="AQ162" s="91">
        <f>1-0/64</f>
        <v>1</v>
      </c>
      <c r="AR162" s="91">
        <f>1-0/44</f>
        <v>1</v>
      </c>
      <c r="AS162" s="91">
        <f>1-0/28</f>
        <v>1</v>
      </c>
      <c r="AT162" s="91">
        <f>15/15</f>
        <v>1</v>
      </c>
      <c r="AU162" s="91">
        <f>1-0/60</f>
        <v>1</v>
      </c>
      <c r="AV162" s="91">
        <f>1-0/15</f>
        <v>1</v>
      </c>
      <c r="AW162" s="91">
        <f>1-0/48</f>
        <v>1</v>
      </c>
      <c r="AX162" s="91">
        <f>1-0/25</f>
        <v>1</v>
      </c>
      <c r="AY162" s="91">
        <f>1-0/34</f>
        <v>1</v>
      </c>
      <c r="AZ162" s="91">
        <f>1-0/56</f>
        <v>1</v>
      </c>
      <c r="BA162" s="91">
        <f>1-0/39</f>
        <v>1</v>
      </c>
      <c r="BB162" s="91" t="s">
        <v>17</v>
      </c>
      <c r="BC162" s="91" t="s">
        <v>17</v>
      </c>
      <c r="BD162" s="91" t="s">
        <v>17</v>
      </c>
      <c r="BE162" s="91" t="s">
        <v>17</v>
      </c>
      <c r="BF162" s="91" t="s">
        <v>17</v>
      </c>
      <c r="BG162" s="91" t="s">
        <v>17</v>
      </c>
      <c r="BH162" s="91" t="s">
        <v>17</v>
      </c>
      <c r="BI162" s="91" t="s">
        <v>17</v>
      </c>
      <c r="BJ162" s="91" t="s">
        <v>17</v>
      </c>
      <c r="BK162" s="91" t="s">
        <v>17</v>
      </c>
    </row>
    <row r="163" spans="1:63" s="72" customFormat="1" ht="27.95" customHeight="1">
      <c r="A163" s="81" t="s">
        <v>208</v>
      </c>
      <c r="B163" s="83" t="s">
        <v>209</v>
      </c>
      <c r="C163" s="83" t="s">
        <v>86</v>
      </c>
      <c r="D163" s="83"/>
      <c r="E163" s="85"/>
      <c r="F163" s="85"/>
      <c r="G163" s="87" t="str">
        <f>VLOOKUP(A163,'KPI Описание'!A:K,11,0)</f>
        <v>Оператор</v>
      </c>
      <c r="H163" s="87" t="s">
        <v>33</v>
      </c>
      <c r="I163" s="89"/>
      <c r="J163" s="94"/>
      <c r="K163" s="89" t="s">
        <v>17</v>
      </c>
      <c r="L163" s="99">
        <f>1/1</f>
        <v>1</v>
      </c>
      <c r="M163" s="99">
        <f>2/2</f>
        <v>1</v>
      </c>
      <c r="N163" s="99">
        <f>6/6</f>
        <v>1</v>
      </c>
      <c r="O163" s="99">
        <f>2/2</f>
        <v>1</v>
      </c>
      <c r="P163" s="99" t="s">
        <v>17</v>
      </c>
      <c r="Q163" s="99">
        <f>4/4</f>
        <v>1</v>
      </c>
      <c r="R163" s="99">
        <f>2/2</f>
        <v>1</v>
      </c>
      <c r="S163" s="89">
        <f>8/8</f>
        <v>1</v>
      </c>
      <c r="T163" s="89" t="s">
        <v>17</v>
      </c>
      <c r="U163" s="89">
        <f>1-33/113*100%</f>
        <v>0.70796460176991149</v>
      </c>
      <c r="V163" s="89" t="s">
        <v>17</v>
      </c>
      <c r="W163" s="89">
        <f>1/1</f>
        <v>1</v>
      </c>
      <c r="X163" s="89">
        <f>2/2</f>
        <v>1</v>
      </c>
      <c r="Y163" s="89">
        <f>3/3</f>
        <v>1</v>
      </c>
      <c r="Z163" s="89">
        <f>1/1</f>
        <v>1</v>
      </c>
      <c r="AA163" s="89">
        <f>6/6</f>
        <v>1</v>
      </c>
      <c r="AB163" s="89"/>
      <c r="AC163" s="89">
        <f>2/2</f>
        <v>1</v>
      </c>
      <c r="AD163" s="89">
        <f>3/3</f>
        <v>1</v>
      </c>
      <c r="AE163" s="89" t="s">
        <v>17</v>
      </c>
      <c r="AF163" s="89" t="s">
        <v>17</v>
      </c>
      <c r="AG163" s="89" t="s">
        <v>17</v>
      </c>
      <c r="AH163" s="89">
        <f>1/1</f>
        <v>1</v>
      </c>
      <c r="AI163" s="89">
        <v>1</v>
      </c>
      <c r="AJ163" s="89">
        <f>1-0/5</f>
        <v>1</v>
      </c>
      <c r="AK163" s="89">
        <f>1-0/1</f>
        <v>1</v>
      </c>
      <c r="AL163" s="89">
        <f>1-0/1</f>
        <v>1</v>
      </c>
      <c r="AM163" s="89">
        <f>1-0/7</f>
        <v>1</v>
      </c>
      <c r="AN163" s="89">
        <f>1-0/9</f>
        <v>1</v>
      </c>
      <c r="AO163" s="89">
        <f>1-0/1</f>
        <v>1</v>
      </c>
      <c r="AP163" s="89">
        <f>1-0/2</f>
        <v>1</v>
      </c>
      <c r="AQ163" s="89">
        <f>1-0/2</f>
        <v>1</v>
      </c>
      <c r="AR163" s="89">
        <f>1-0/4</f>
        <v>1</v>
      </c>
      <c r="AS163" s="89">
        <f>1-0/8</f>
        <v>1</v>
      </c>
      <c r="AT163" s="89">
        <f>1-0/6</f>
        <v>1</v>
      </c>
      <c r="AU163" s="89">
        <f>1-0/9</f>
        <v>1</v>
      </c>
      <c r="AV163" s="89">
        <f>1-0/5</f>
        <v>1</v>
      </c>
      <c r="AW163" s="89">
        <f>1-0/11</f>
        <v>1</v>
      </c>
      <c r="AX163" s="89">
        <f>1-0/9</f>
        <v>1</v>
      </c>
      <c r="AY163" s="89">
        <f>1-0/8</f>
        <v>1</v>
      </c>
      <c r="AZ163" s="89">
        <f>1-0/2</f>
        <v>1</v>
      </c>
      <c r="BA163" s="89">
        <f>1-0/11</f>
        <v>1</v>
      </c>
      <c r="BB163" s="89" t="s">
        <v>17</v>
      </c>
      <c r="BC163" s="89" t="s">
        <v>17</v>
      </c>
      <c r="BD163" s="89" t="s">
        <v>17</v>
      </c>
      <c r="BE163" s="89" t="s">
        <v>17</v>
      </c>
      <c r="BF163" s="89" t="s">
        <v>17</v>
      </c>
      <c r="BG163" s="89" t="s">
        <v>17</v>
      </c>
      <c r="BH163" s="89" t="s">
        <v>17</v>
      </c>
      <c r="BI163" s="89" t="s">
        <v>17</v>
      </c>
      <c r="BJ163" s="89" t="s">
        <v>17</v>
      </c>
      <c r="BK163" s="89" t="s">
        <v>17</v>
      </c>
    </row>
    <row r="164" spans="1:63" ht="27.95" customHeight="1">
      <c r="A164" s="14" t="s">
        <v>208</v>
      </c>
      <c r="B164" s="15" t="s">
        <v>209</v>
      </c>
      <c r="C164" s="15" t="s">
        <v>86</v>
      </c>
      <c r="D164" s="15"/>
      <c r="E164" s="43"/>
      <c r="F164" s="43"/>
      <c r="G164" s="17" t="str">
        <f>VLOOKUP(A164,'KPI Описание'!A:K,11,0)</f>
        <v>Оператор</v>
      </c>
      <c r="H164" s="17" t="s">
        <v>36</v>
      </c>
      <c r="I164" s="18"/>
      <c r="J164" s="19"/>
      <c r="K164" s="18" t="s">
        <v>17</v>
      </c>
      <c r="L164" s="24">
        <f>5/5</f>
        <v>1</v>
      </c>
      <c r="M164" s="24">
        <f>12/12</f>
        <v>1</v>
      </c>
      <c r="N164" s="24">
        <f>2/2</f>
        <v>1</v>
      </c>
      <c r="O164" s="24" t="s">
        <v>17</v>
      </c>
      <c r="P164" s="24">
        <f>1/1</f>
        <v>1</v>
      </c>
      <c r="Q164" s="24" t="s">
        <v>17</v>
      </c>
      <c r="R164" s="24">
        <f>1/1</f>
        <v>1</v>
      </c>
      <c r="S164" s="18" t="s">
        <v>17</v>
      </c>
      <c r="T164" s="18" t="s">
        <v>17</v>
      </c>
      <c r="U164" s="18">
        <f>15/15</f>
        <v>1</v>
      </c>
      <c r="V164" s="18">
        <v>1</v>
      </c>
      <c r="W164" s="18" t="s">
        <v>17</v>
      </c>
      <c r="X164" s="18">
        <f>3/3</f>
        <v>1</v>
      </c>
      <c r="Y164" s="18">
        <f>9/9</f>
        <v>1</v>
      </c>
      <c r="Z164" s="18">
        <f>2/2</f>
        <v>1</v>
      </c>
      <c r="AA164" s="18" t="s">
        <v>17</v>
      </c>
      <c r="AB164" s="18"/>
      <c r="AC164" s="18" t="s">
        <v>17</v>
      </c>
      <c r="AD164" s="18">
        <f>10/10</f>
        <v>1</v>
      </c>
      <c r="AE164" s="18" t="s">
        <v>17</v>
      </c>
      <c r="AF164" s="18" t="s">
        <v>17</v>
      </c>
      <c r="AG164" s="18" t="s">
        <v>17</v>
      </c>
      <c r="AH164" s="18" t="s">
        <v>17</v>
      </c>
      <c r="AI164" s="18" t="s">
        <v>17</v>
      </c>
      <c r="AJ164" s="18" t="s">
        <v>17</v>
      </c>
      <c r="AK164" s="18" t="s">
        <v>17</v>
      </c>
      <c r="AL164" s="18" t="s">
        <v>17</v>
      </c>
      <c r="AM164" s="18">
        <f>1-0/2</f>
        <v>1</v>
      </c>
      <c r="AN164" s="18">
        <f>1-0/3</f>
        <v>1</v>
      </c>
      <c r="AO164" s="18"/>
      <c r="AP164" s="18">
        <f>1-0/7</f>
        <v>1</v>
      </c>
      <c r="AQ164" s="18" t="s">
        <v>17</v>
      </c>
      <c r="AR164" s="18">
        <f>1-0/3</f>
        <v>1</v>
      </c>
      <c r="AS164" s="18">
        <f>1-0/2</f>
        <v>1</v>
      </c>
      <c r="AT164" s="18">
        <f>1-0/7</f>
        <v>1</v>
      </c>
      <c r="AU164" s="18">
        <f>1-0/9</f>
        <v>1</v>
      </c>
      <c r="AV164" s="18" t="s">
        <v>17</v>
      </c>
      <c r="AW164" s="18">
        <f>1-0/11</f>
        <v>1</v>
      </c>
      <c r="AX164" s="18">
        <f>1-0/4</f>
        <v>1</v>
      </c>
      <c r="AY164" s="18">
        <f>1-0/5</f>
        <v>1</v>
      </c>
      <c r="AZ164" s="18">
        <f>1-0/11</f>
        <v>1</v>
      </c>
      <c r="BA164" s="18">
        <f>1-0/1</f>
        <v>1</v>
      </c>
      <c r="BB164" s="18" t="s">
        <v>17</v>
      </c>
      <c r="BC164" s="18" t="s">
        <v>17</v>
      </c>
      <c r="BD164" s="18" t="s">
        <v>17</v>
      </c>
      <c r="BE164" s="18" t="s">
        <v>17</v>
      </c>
      <c r="BF164" s="18" t="s">
        <v>17</v>
      </c>
      <c r="BG164" s="18" t="s">
        <v>17</v>
      </c>
      <c r="BH164" s="18" t="s">
        <v>17</v>
      </c>
      <c r="BI164" s="18" t="s">
        <v>17</v>
      </c>
      <c r="BJ164" s="18" t="s">
        <v>17</v>
      </c>
      <c r="BK164" s="18" t="s">
        <v>17</v>
      </c>
    </row>
    <row r="165" spans="1:63" ht="27.95" customHeight="1">
      <c r="A165" s="14" t="s">
        <v>208</v>
      </c>
      <c r="B165" s="15" t="s">
        <v>209</v>
      </c>
      <c r="C165" s="15" t="s">
        <v>86</v>
      </c>
      <c r="D165" s="15"/>
      <c r="E165" s="43"/>
      <c r="F165" s="43"/>
      <c r="G165" s="17" t="str">
        <f>VLOOKUP(A165,'KPI Описание'!A:K,11,0)</f>
        <v>Оператор</v>
      </c>
      <c r="H165" s="17" t="s">
        <v>37</v>
      </c>
      <c r="I165" s="18"/>
      <c r="J165" s="19"/>
      <c r="K165" s="18" t="s">
        <v>17</v>
      </c>
      <c r="L165" s="24" t="s">
        <v>17</v>
      </c>
      <c r="M165" s="24" t="s">
        <v>17</v>
      </c>
      <c r="N165" s="24" t="s">
        <v>17</v>
      </c>
      <c r="O165" s="24" t="s">
        <v>17</v>
      </c>
      <c r="P165" s="24" t="s">
        <v>17</v>
      </c>
      <c r="Q165" s="24" t="s">
        <v>17</v>
      </c>
      <c r="R165" s="24" t="s">
        <v>17</v>
      </c>
      <c r="S165" s="18" t="s">
        <v>17</v>
      </c>
      <c r="T165" s="18">
        <f>2/2</f>
        <v>1</v>
      </c>
      <c r="U165" s="18">
        <f>1-1/50*100%</f>
        <v>0.98</v>
      </c>
      <c r="V165" s="18" t="s">
        <v>17</v>
      </c>
      <c r="W165" s="18">
        <f>1/1</f>
        <v>1</v>
      </c>
      <c r="X165" s="18" t="s">
        <v>17</v>
      </c>
      <c r="Y165" s="18" t="s">
        <v>17</v>
      </c>
      <c r="Z165" s="18" t="s">
        <v>17</v>
      </c>
      <c r="AA165" s="18">
        <f>7/7</f>
        <v>1</v>
      </c>
      <c r="AB165" s="18">
        <f>2/2</f>
        <v>1</v>
      </c>
      <c r="AC165" s="18" t="s">
        <v>17</v>
      </c>
      <c r="AD165" s="18" t="s">
        <v>17</v>
      </c>
      <c r="AE165" s="18" t="s">
        <v>17</v>
      </c>
      <c r="AF165" s="18">
        <f>1/1</f>
        <v>1</v>
      </c>
      <c r="AG165" s="18">
        <f>16/16</f>
        <v>1</v>
      </c>
      <c r="AH165" s="18">
        <f>3/3</f>
        <v>1</v>
      </c>
      <c r="AI165" s="18">
        <v>1</v>
      </c>
      <c r="AJ165" s="18">
        <f>1-0/4</f>
        <v>1</v>
      </c>
      <c r="AK165" s="18" t="s">
        <v>17</v>
      </c>
      <c r="AL165" s="18">
        <f>1-0/1</f>
        <v>1</v>
      </c>
      <c r="AM165" s="18">
        <f>1-0/27</f>
        <v>1</v>
      </c>
      <c r="AN165" s="18">
        <f>1-0/2</f>
        <v>1</v>
      </c>
      <c r="AO165" s="18">
        <f>1-0/5</f>
        <v>1</v>
      </c>
      <c r="AP165" s="18">
        <f>1-0/2</f>
        <v>1</v>
      </c>
      <c r="AQ165" s="18">
        <f>1-0/3</f>
        <v>1</v>
      </c>
      <c r="AR165" s="18">
        <f>1-0/20</f>
        <v>1</v>
      </c>
      <c r="AS165" s="18">
        <f>1-0/2</f>
        <v>1</v>
      </c>
      <c r="AT165" s="18">
        <f>1-0/1</f>
        <v>1</v>
      </c>
      <c r="AU165" s="18">
        <f>1-0/21</f>
        <v>1</v>
      </c>
      <c r="AV165" s="18" t="s">
        <v>17</v>
      </c>
      <c r="AW165" s="18">
        <f>1-0/1</f>
        <v>1</v>
      </c>
      <c r="AX165" s="18"/>
      <c r="AY165" s="18" t="s">
        <v>17</v>
      </c>
      <c r="AZ165" s="18">
        <f>1-0/11</f>
        <v>1</v>
      </c>
      <c r="BA165" s="18"/>
      <c r="BB165" s="18" t="s">
        <v>17</v>
      </c>
      <c r="BC165" s="18" t="s">
        <v>17</v>
      </c>
      <c r="BD165" s="18" t="s">
        <v>17</v>
      </c>
      <c r="BE165" s="18" t="s">
        <v>17</v>
      </c>
      <c r="BF165" s="18" t="s">
        <v>17</v>
      </c>
      <c r="BG165" s="18" t="s">
        <v>17</v>
      </c>
      <c r="BH165" s="18" t="s">
        <v>17</v>
      </c>
      <c r="BI165" s="18" t="s">
        <v>17</v>
      </c>
      <c r="BJ165" s="18" t="s">
        <v>17</v>
      </c>
      <c r="BK165" s="18" t="s">
        <v>17</v>
      </c>
    </row>
    <row r="166" spans="1:63" ht="27.95" customHeight="1">
      <c r="A166" s="14" t="s">
        <v>208</v>
      </c>
      <c r="B166" s="15" t="s">
        <v>209</v>
      </c>
      <c r="C166" s="15" t="s">
        <v>86</v>
      </c>
      <c r="D166" s="15"/>
      <c r="E166" s="43"/>
      <c r="F166" s="43"/>
      <c r="G166" s="17" t="str">
        <f>VLOOKUP(A166,'KPI Описание'!A:K,11,0)</f>
        <v>Оператор</v>
      </c>
      <c r="H166" s="17" t="s">
        <v>40</v>
      </c>
      <c r="I166" s="18"/>
      <c r="J166" s="19"/>
      <c r="K166" s="18" t="s">
        <v>17</v>
      </c>
      <c r="L166" s="24" t="s">
        <v>17</v>
      </c>
      <c r="M166" s="24">
        <f>1/1</f>
        <v>1</v>
      </c>
      <c r="N166" s="24" t="s">
        <v>17</v>
      </c>
      <c r="O166" s="24" t="s">
        <v>17</v>
      </c>
      <c r="P166" s="24" t="s">
        <v>17</v>
      </c>
      <c r="Q166" s="24">
        <f>2/2</f>
        <v>1</v>
      </c>
      <c r="R166" s="24" t="s">
        <v>17</v>
      </c>
      <c r="S166" s="18" t="s">
        <v>17</v>
      </c>
      <c r="T166" s="18">
        <f>12/14</f>
        <v>0.8571428571428571</v>
      </c>
      <c r="U166" s="18">
        <f>55/55</f>
        <v>1</v>
      </c>
      <c r="V166" s="18" t="s">
        <v>17</v>
      </c>
      <c r="W166" s="18">
        <f>2/2</f>
        <v>1</v>
      </c>
      <c r="X166" s="18" t="s">
        <v>17</v>
      </c>
      <c r="Y166" s="18">
        <f>20/20</f>
        <v>1</v>
      </c>
      <c r="Z166" s="18">
        <f>2/2</f>
        <v>1</v>
      </c>
      <c r="AA166" s="18">
        <f>1/1</f>
        <v>1</v>
      </c>
      <c r="AB166" s="18">
        <f>18/18</f>
        <v>1</v>
      </c>
      <c r="AC166" s="18" t="s">
        <v>17</v>
      </c>
      <c r="AD166" s="18" t="s">
        <v>17</v>
      </c>
      <c r="AE166" s="18">
        <f>2/2</f>
        <v>1</v>
      </c>
      <c r="AF166" s="18" t="s">
        <v>17</v>
      </c>
      <c r="AG166" s="18">
        <f>1/1</f>
        <v>1</v>
      </c>
      <c r="AH166" s="18">
        <f>4/4</f>
        <v>1</v>
      </c>
      <c r="AI166" s="18">
        <v>1</v>
      </c>
      <c r="AJ166" s="18">
        <f>1-0/14</f>
        <v>1</v>
      </c>
      <c r="AK166" s="18">
        <f>1-0/1</f>
        <v>1</v>
      </c>
      <c r="AL166" s="18">
        <f>1-0/1</f>
        <v>1</v>
      </c>
      <c r="AM166" s="18">
        <f>1-0/2</f>
        <v>1</v>
      </c>
      <c r="AN166" s="18"/>
      <c r="AO166" s="18">
        <f>1-0/15</f>
        <v>1</v>
      </c>
      <c r="AP166" s="18" t="s">
        <v>17</v>
      </c>
      <c r="AQ166" s="18">
        <f>1-0/22</f>
        <v>1</v>
      </c>
      <c r="AR166" s="18">
        <f>1-0/1</f>
        <v>1</v>
      </c>
      <c r="AS166" s="18">
        <f>1-0/1</f>
        <v>1</v>
      </c>
      <c r="AT166" s="18" t="s">
        <v>17</v>
      </c>
      <c r="AU166" s="18">
        <f>1-0/1</f>
        <v>1</v>
      </c>
      <c r="AV166" s="18" t="s">
        <v>17</v>
      </c>
      <c r="AW166" s="18">
        <f>1-0/20</f>
        <v>1</v>
      </c>
      <c r="AX166" s="18">
        <f>1-0/7</f>
        <v>1</v>
      </c>
      <c r="AY166" s="18">
        <f>1-0/12</f>
        <v>1</v>
      </c>
      <c r="AZ166" s="18">
        <f>1-0/11</f>
        <v>1</v>
      </c>
      <c r="BA166" s="18">
        <f>1-0/20</f>
        <v>1</v>
      </c>
      <c r="BB166" s="18" t="s">
        <v>17</v>
      </c>
      <c r="BC166" s="18" t="s">
        <v>17</v>
      </c>
      <c r="BD166" s="18" t="s">
        <v>17</v>
      </c>
      <c r="BE166" s="18" t="s">
        <v>17</v>
      </c>
      <c r="BF166" s="18" t="s">
        <v>17</v>
      </c>
      <c r="BG166" s="18" t="s">
        <v>17</v>
      </c>
      <c r="BH166" s="18" t="s">
        <v>17</v>
      </c>
      <c r="BI166" s="18" t="s">
        <v>17</v>
      </c>
      <c r="BJ166" s="18" t="s">
        <v>17</v>
      </c>
      <c r="BK166" s="18" t="s">
        <v>17</v>
      </c>
    </row>
    <row r="167" spans="1:63" ht="27.95" customHeight="1">
      <c r="A167" s="14" t="s">
        <v>208</v>
      </c>
      <c r="B167" s="15" t="s">
        <v>209</v>
      </c>
      <c r="C167" s="15" t="s">
        <v>86</v>
      </c>
      <c r="D167" s="15"/>
      <c r="E167" s="43"/>
      <c r="F167" s="43"/>
      <c r="G167" s="17" t="str">
        <f>VLOOKUP(A167,'KPI Описание'!A:K,11,0)</f>
        <v>Оператор</v>
      </c>
      <c r="H167" s="17" t="s">
        <v>43</v>
      </c>
      <c r="I167" s="18"/>
      <c r="J167" s="19"/>
      <c r="K167" s="18" t="s">
        <v>17</v>
      </c>
      <c r="L167" s="24">
        <f>20/20</f>
        <v>1</v>
      </c>
      <c r="M167" s="24" t="s">
        <v>17</v>
      </c>
      <c r="N167" s="24">
        <f>6/6</f>
        <v>1</v>
      </c>
      <c r="O167" s="24">
        <f>2/2</f>
        <v>1</v>
      </c>
      <c r="P167" s="24">
        <f>4/4</f>
        <v>1</v>
      </c>
      <c r="Q167" s="24">
        <f>3/3</f>
        <v>1</v>
      </c>
      <c r="R167" s="24" t="s">
        <v>17</v>
      </c>
      <c r="S167" s="18">
        <f>1/1</f>
        <v>1</v>
      </c>
      <c r="T167" s="18">
        <f>1/1</f>
        <v>1</v>
      </c>
      <c r="U167" s="18">
        <f>32/32</f>
        <v>1</v>
      </c>
      <c r="V167" s="18">
        <v>1</v>
      </c>
      <c r="W167" s="18">
        <f>5/5</f>
        <v>1</v>
      </c>
      <c r="X167" s="18" t="s">
        <v>17</v>
      </c>
      <c r="Y167" s="18">
        <f>49/49</f>
        <v>1</v>
      </c>
      <c r="Z167" s="18">
        <f>30/30</f>
        <v>1</v>
      </c>
      <c r="AA167" s="18">
        <f>2/2</f>
        <v>1</v>
      </c>
      <c r="AB167" s="18">
        <f>3/3</f>
        <v>1</v>
      </c>
      <c r="AC167" s="18">
        <f>1/1</f>
        <v>1</v>
      </c>
      <c r="AD167" s="18">
        <f>18/18</f>
        <v>1</v>
      </c>
      <c r="AE167" s="18">
        <f>7/7</f>
        <v>1</v>
      </c>
      <c r="AF167" s="18">
        <f>19/19</f>
        <v>1</v>
      </c>
      <c r="AG167" s="18">
        <f>1/1</f>
        <v>1</v>
      </c>
      <c r="AH167" s="18">
        <f>3/3</f>
        <v>1</v>
      </c>
      <c r="AI167" s="18">
        <v>1</v>
      </c>
      <c r="AJ167" s="18">
        <f>1-0/1</f>
        <v>1</v>
      </c>
      <c r="AK167" s="18">
        <f>1-0/4</f>
        <v>1</v>
      </c>
      <c r="AL167" s="18" t="s">
        <v>17</v>
      </c>
      <c r="AM167" s="18">
        <f>1-0/4</f>
        <v>1</v>
      </c>
      <c r="AN167" s="18">
        <f>1-0/18</f>
        <v>1</v>
      </c>
      <c r="AO167" s="18">
        <f>1-0/1</f>
        <v>1</v>
      </c>
      <c r="AP167" s="18">
        <f>1-0/6</f>
        <v>1</v>
      </c>
      <c r="AQ167" s="18">
        <f>1-0/37</f>
        <v>1</v>
      </c>
      <c r="AR167" s="18">
        <f>1-0/16</f>
        <v>1</v>
      </c>
      <c r="AS167" s="18">
        <f>1-0/15</f>
        <v>1</v>
      </c>
      <c r="AT167" s="18">
        <f>1-0/1</f>
        <v>1</v>
      </c>
      <c r="AU167" s="18">
        <f>1-0/20</f>
        <v>1</v>
      </c>
      <c r="AV167" s="18">
        <f>1-0/10</f>
        <v>1</v>
      </c>
      <c r="AW167" s="18">
        <f>1-0/5</f>
        <v>1</v>
      </c>
      <c r="AX167" s="18">
        <f>1-0/5</f>
        <v>1</v>
      </c>
      <c r="AY167" s="18">
        <f>1-0/9</f>
        <v>1</v>
      </c>
      <c r="AZ167" s="18">
        <f>1-0/32</f>
        <v>1</v>
      </c>
      <c r="BA167" s="18">
        <f>1-0/7</f>
        <v>1</v>
      </c>
      <c r="BB167" s="18" t="s">
        <v>17</v>
      </c>
      <c r="BC167" s="18" t="s">
        <v>17</v>
      </c>
      <c r="BD167" s="18" t="s">
        <v>17</v>
      </c>
      <c r="BE167" s="18" t="s">
        <v>17</v>
      </c>
      <c r="BF167" s="18" t="s">
        <v>17</v>
      </c>
      <c r="BG167" s="18" t="s">
        <v>17</v>
      </c>
      <c r="BH167" s="18" t="s">
        <v>17</v>
      </c>
      <c r="BI167" s="18" t="s">
        <v>17</v>
      </c>
      <c r="BJ167" s="18" t="s">
        <v>17</v>
      </c>
      <c r="BK167" s="18" t="s">
        <v>17</v>
      </c>
    </row>
    <row r="168" spans="1:63" ht="27.95" customHeight="1">
      <c r="A168" s="82" t="s">
        <v>212</v>
      </c>
      <c r="B168" s="84" t="s">
        <v>213</v>
      </c>
      <c r="C168" s="84" t="s">
        <v>86</v>
      </c>
      <c r="D168" s="84" t="s">
        <v>19</v>
      </c>
      <c r="E168" s="86" t="s">
        <v>210</v>
      </c>
      <c r="F168" s="86" t="s">
        <v>214</v>
      </c>
      <c r="G168" s="88" t="str">
        <f>VLOOKUP(A168,'KPI Описание'!A:K,11,0)</f>
        <v>Оператор</v>
      </c>
      <c r="H168" s="88" t="s">
        <v>16</v>
      </c>
      <c r="I168" s="91">
        <f>VLOOKUP(A168,'KPI Описание'!A:P,16,0)</f>
        <v>0.95</v>
      </c>
      <c r="J168" s="95" t="str">
        <f>IFERROR(VLOOKUP(A168,'KPI Описание'!A:Q,17,0),0)</f>
        <v>higher</v>
      </c>
      <c r="K168" s="91">
        <f>AVERAGE(K169:K174)</f>
        <v>1</v>
      </c>
      <c r="L168" s="91">
        <f>AVERAGE(L169:L174)</f>
        <v>1</v>
      </c>
      <c r="M168" s="91">
        <f>AVERAGE(M169:M174)</f>
        <v>1</v>
      </c>
      <c r="N168" s="91">
        <f>AVERAGE(N169:N174)</f>
        <v>1</v>
      </c>
      <c r="O168" s="91">
        <f>AVERAGE(O169:O174)</f>
        <v>1</v>
      </c>
      <c r="P168" s="91">
        <f>AVERAGE(P169:P174)</f>
        <v>1</v>
      </c>
      <c r="Q168" s="91">
        <f>AVERAGE(Q169:Q174)</f>
        <v>1</v>
      </c>
      <c r="R168" s="91">
        <f>AVERAGE(R169:R174)</f>
        <v>1</v>
      </c>
      <c r="S168" s="91">
        <f>AVERAGE(S169:S174)</f>
        <v>1</v>
      </c>
      <c r="T168" s="91">
        <f>AVERAGE(T169:T174)</f>
        <v>0.7541205188726825</v>
      </c>
      <c r="U168" s="91" t="s">
        <v>17</v>
      </c>
      <c r="V168" s="91">
        <v>1</v>
      </c>
      <c r="W168" s="91">
        <f>AVERAGE(W169:W174)</f>
        <v>0.92748879402702722</v>
      </c>
      <c r="X168" s="91">
        <f>AVERAGE(X169:X174)</f>
        <v>0.94178676873615308</v>
      </c>
      <c r="Y168" s="91">
        <f>AVERAGE(Y169:Y174)</f>
        <v>0.60845293667986267</v>
      </c>
      <c r="Z168" s="91">
        <f>AVERAGE(Z169:Z174)</f>
        <v>0.74837870494846681</v>
      </c>
      <c r="AA168" s="91">
        <f>AVERAGE(AA169:AA174)</f>
        <v>0.71927252859414303</v>
      </c>
      <c r="AB168" s="91">
        <f>AVERAGE(AB169:AB174)</f>
        <v>0.43258080104014934</v>
      </c>
      <c r="AC168" s="91">
        <f>AVERAGE(AC169:AC174)</f>
        <v>0.57932688226805884</v>
      </c>
      <c r="AD168" s="91">
        <v>1</v>
      </c>
      <c r="AE168" s="91">
        <v>1</v>
      </c>
      <c r="AF168" s="91">
        <v>1</v>
      </c>
      <c r="AG168" s="91">
        <v>1</v>
      </c>
      <c r="AH168" s="91">
        <v>1</v>
      </c>
      <c r="AI168" s="91">
        <f>AVERAGE(AI169:AI173)</f>
        <v>0.78052809278373181</v>
      </c>
      <c r="AJ168" s="91">
        <f>AVERAGE(AJ169:AJ174)</f>
        <v>0.84506113292231699</v>
      </c>
      <c r="AK168" s="91">
        <f>AVERAGE(AK169:AK174)</f>
        <v>1</v>
      </c>
      <c r="AL168" s="91">
        <f>AVERAGE(AL169:AL174)</f>
        <v>1</v>
      </c>
      <c r="AM168" s="91">
        <v>1</v>
      </c>
      <c r="AN168" s="91">
        <v>1</v>
      </c>
      <c r="AO168" s="91">
        <f>AVERAGE(AO169:AO174)</f>
        <v>0.96735330836454436</v>
      </c>
      <c r="AP168" s="91">
        <f>AVERAGE(AP169:AP174)</f>
        <v>0.66785589497853648</v>
      </c>
      <c r="AQ168" s="91">
        <f>1-339/652</f>
        <v>0.48006134969325154</v>
      </c>
      <c r="AR168" s="91">
        <f>1-13/260</f>
        <v>0.95</v>
      </c>
      <c r="AS168" s="91">
        <f>1-16/159</f>
        <v>0.89937106918238996</v>
      </c>
      <c r="AT168" s="91">
        <f>1-0/758</f>
        <v>1</v>
      </c>
      <c r="AU168" s="91">
        <f>1-2/317</f>
        <v>0.99369085173501581</v>
      </c>
      <c r="AV168" s="91">
        <f>1-19/286</f>
        <v>0.93356643356643354</v>
      </c>
      <c r="AW168" s="91">
        <f>1-0/421</f>
        <v>1</v>
      </c>
      <c r="AX168" s="91">
        <f>1-0/304</f>
        <v>1</v>
      </c>
      <c r="AY168" s="91">
        <f>1-41/370</f>
        <v>0.88918918918918921</v>
      </c>
      <c r="AZ168" s="91">
        <f>1-155/539</f>
        <v>0.71243042671614099</v>
      </c>
      <c r="BA168" s="91">
        <f>1-300/904</f>
        <v>0.66814159292035402</v>
      </c>
      <c r="BB168" s="91" t="s">
        <v>17</v>
      </c>
      <c r="BC168" s="91" t="s">
        <v>17</v>
      </c>
      <c r="BD168" s="91" t="s">
        <v>17</v>
      </c>
      <c r="BE168" s="91" t="s">
        <v>17</v>
      </c>
      <c r="BF168" s="91" t="s">
        <v>17</v>
      </c>
      <c r="BG168" s="91" t="s">
        <v>17</v>
      </c>
      <c r="BH168" s="91" t="s">
        <v>17</v>
      </c>
      <c r="BI168" s="91" t="s">
        <v>17</v>
      </c>
      <c r="BJ168" s="91" t="s">
        <v>17</v>
      </c>
      <c r="BK168" s="91" t="s">
        <v>17</v>
      </c>
    </row>
    <row r="169" spans="1:63" s="72" customFormat="1" ht="27.95" customHeight="1">
      <c r="A169" s="14" t="s">
        <v>212</v>
      </c>
      <c r="B169" s="83" t="s">
        <v>213</v>
      </c>
      <c r="C169" s="83" t="s">
        <v>86</v>
      </c>
      <c r="D169" s="83"/>
      <c r="E169" s="85"/>
      <c r="F169" s="85" t="s">
        <v>215</v>
      </c>
      <c r="G169" s="87" t="str">
        <f>VLOOKUP(A169,'KPI Описание'!A:K,11,0)</f>
        <v>Оператор</v>
      </c>
      <c r="H169" s="87" t="s">
        <v>33</v>
      </c>
      <c r="I169" s="93"/>
      <c r="J169" s="97"/>
      <c r="K169" s="99">
        <f>1/1</f>
        <v>1</v>
      </c>
      <c r="L169" s="99">
        <f>197/197</f>
        <v>1</v>
      </c>
      <c r="M169" s="99">
        <f>676/676</f>
        <v>1</v>
      </c>
      <c r="N169" s="99">
        <f>147/147</f>
        <v>1</v>
      </c>
      <c r="O169" s="99">
        <f>151/151</f>
        <v>1</v>
      </c>
      <c r="P169" s="99">
        <f>91/91</f>
        <v>1</v>
      </c>
      <c r="Q169" s="99">
        <f>139/139</f>
        <v>1</v>
      </c>
      <c r="R169" s="99">
        <f>28/28</f>
        <v>1</v>
      </c>
      <c r="S169" s="89">
        <f>116/116</f>
        <v>1</v>
      </c>
      <c r="T169" s="89">
        <f>27/39</f>
        <v>0.69230769230769229</v>
      </c>
      <c r="U169" s="89" t="s">
        <v>17</v>
      </c>
      <c r="V169" s="89">
        <v>1</v>
      </c>
      <c r="W169" s="89">
        <f>1-7/212</f>
        <v>0.96698113207547165</v>
      </c>
      <c r="X169" s="89">
        <f>73/77</f>
        <v>0.94805194805194803</v>
      </c>
      <c r="Y169" s="89">
        <f>49/75</f>
        <v>0.65333333333333332</v>
      </c>
      <c r="Z169" s="89">
        <f>1-85/127</f>
        <v>0.3307086614173228</v>
      </c>
      <c r="AA169" s="89">
        <f>1-44/177</f>
        <v>0.75141242937853103</v>
      </c>
      <c r="AB169" s="89">
        <f>1-16/56</f>
        <v>0.7142857142857143</v>
      </c>
      <c r="AC169" s="89">
        <f>1-15/135</f>
        <v>0.88888888888888884</v>
      </c>
      <c r="AD169" s="89">
        <f>1-0/768</f>
        <v>1</v>
      </c>
      <c r="AE169" s="89">
        <f>1-0/768</f>
        <v>1</v>
      </c>
      <c r="AF169" s="89">
        <f>134/134*100%</f>
        <v>1</v>
      </c>
      <c r="AG169" s="89">
        <f>212/212</f>
        <v>1</v>
      </c>
      <c r="AH169" s="89">
        <f>392/392</f>
        <v>1</v>
      </c>
      <c r="AI169" s="89">
        <f>1-6/95</f>
        <v>0.93684210526315792</v>
      </c>
      <c r="AJ169" s="89">
        <f>1-50/222</f>
        <v>0.77477477477477474</v>
      </c>
      <c r="AK169" s="89">
        <f>1-0/514</f>
        <v>1</v>
      </c>
      <c r="AL169" s="89">
        <f>1-0/176</f>
        <v>1</v>
      </c>
      <c r="AM169" s="89">
        <f>1-0/147</f>
        <v>1</v>
      </c>
      <c r="AN169" s="89">
        <f>1-0/55</f>
        <v>1</v>
      </c>
      <c r="AO169" s="89">
        <f>1-0/110</f>
        <v>1</v>
      </c>
      <c r="AP169" s="89">
        <f>1-76/280</f>
        <v>0.72857142857142865</v>
      </c>
      <c r="AQ169" s="89">
        <f>1-53/98</f>
        <v>0.45918367346938771</v>
      </c>
      <c r="AR169" s="89">
        <f>1-2/105</f>
        <v>0.98095238095238091</v>
      </c>
      <c r="AS169" s="89">
        <f>1-4/44</f>
        <v>0.90909090909090906</v>
      </c>
      <c r="AT169" s="89">
        <f>1-0/223</f>
        <v>1</v>
      </c>
      <c r="AU169" s="89">
        <f>1-0/79%</f>
        <v>1</v>
      </c>
      <c r="AV169" s="89">
        <f>1-12/110</f>
        <v>0.89090909090909087</v>
      </c>
      <c r="AW169" s="89">
        <f>1-0/105</f>
        <v>1</v>
      </c>
      <c r="AX169" s="89">
        <f>1-0/43</f>
        <v>1</v>
      </c>
      <c r="AY169" s="89">
        <f>1-30/201</f>
        <v>0.85074626865671643</v>
      </c>
      <c r="AZ169" s="89">
        <f>1-86/278</f>
        <v>0.69064748201438841</v>
      </c>
      <c r="BA169" s="89">
        <f>1-126/369</f>
        <v>0.65853658536585358</v>
      </c>
      <c r="BB169" s="89" t="s">
        <v>17</v>
      </c>
      <c r="BC169" s="89" t="s">
        <v>17</v>
      </c>
      <c r="BD169" s="89" t="s">
        <v>17</v>
      </c>
      <c r="BE169" s="89" t="s">
        <v>17</v>
      </c>
      <c r="BF169" s="89" t="s">
        <v>17</v>
      </c>
      <c r="BG169" s="89" t="s">
        <v>17</v>
      </c>
      <c r="BH169" s="89" t="s">
        <v>17</v>
      </c>
      <c r="BI169" s="89" t="s">
        <v>17</v>
      </c>
      <c r="BJ169" s="89" t="s">
        <v>17</v>
      </c>
      <c r="BK169" s="89" t="s">
        <v>17</v>
      </c>
    </row>
    <row r="170" spans="1:63" ht="27.95" customHeight="1">
      <c r="A170" s="14" t="s">
        <v>212</v>
      </c>
      <c r="B170" s="15" t="s">
        <v>213</v>
      </c>
      <c r="C170" s="15" t="s">
        <v>86</v>
      </c>
      <c r="D170" s="15"/>
      <c r="E170" s="43"/>
      <c r="F170" s="54" t="s">
        <v>216</v>
      </c>
      <c r="G170" s="17" t="str">
        <f>VLOOKUP(A170,'KPI Описание'!A:K,11,0)</f>
        <v>Оператор</v>
      </c>
      <c r="H170" s="17" t="s">
        <v>36</v>
      </c>
      <c r="I170" s="26"/>
      <c r="J170" s="53"/>
      <c r="K170" s="24" t="s">
        <v>17</v>
      </c>
      <c r="L170" s="24">
        <f>16/16</f>
        <v>1</v>
      </c>
      <c r="M170" s="24">
        <f>38/38</f>
        <v>1</v>
      </c>
      <c r="N170" s="24">
        <f>5/5</f>
        <v>1</v>
      </c>
      <c r="O170" s="24">
        <f>49/49</f>
        <v>1</v>
      </c>
      <c r="P170" s="24">
        <f>34/34</f>
        <v>1</v>
      </c>
      <c r="Q170" s="24">
        <f>8/8</f>
        <v>1</v>
      </c>
      <c r="R170" s="24">
        <f>3/3</f>
        <v>1</v>
      </c>
      <c r="S170" s="18">
        <f>5/5</f>
        <v>1</v>
      </c>
      <c r="T170" s="18">
        <f>3/6</f>
        <v>0.5</v>
      </c>
      <c r="U170" s="18">
        <f>7/7</f>
        <v>1</v>
      </c>
      <c r="V170" s="18">
        <v>1</v>
      </c>
      <c r="W170" s="18">
        <f>1-3/42</f>
        <v>0.9285714285714286</v>
      </c>
      <c r="X170" s="18">
        <f>19/19</f>
        <v>1</v>
      </c>
      <c r="Y170" s="18">
        <f>12/21</f>
        <v>0.5714285714285714</v>
      </c>
      <c r="Z170" s="18">
        <f>1-3/16</f>
        <v>0.8125</v>
      </c>
      <c r="AA170" s="18">
        <f>1-14/59</f>
        <v>0.76271186440677963</v>
      </c>
      <c r="AB170" s="18">
        <f>1-12/13</f>
        <v>7.6923076923076872E-2</v>
      </c>
      <c r="AC170" s="18">
        <f>1-11/28</f>
        <v>0.60714285714285721</v>
      </c>
      <c r="AD170" s="18">
        <f>1-0/13</f>
        <v>1</v>
      </c>
      <c r="AE170" s="18">
        <f>1-0/13</f>
        <v>1</v>
      </c>
      <c r="AF170" s="18">
        <f>33/33</f>
        <v>1</v>
      </c>
      <c r="AG170" s="18">
        <f>68/68</f>
        <v>1</v>
      </c>
      <c r="AH170" s="18">
        <f>16/16</f>
        <v>1</v>
      </c>
      <c r="AI170" s="18">
        <f>1-2/3</f>
        <v>0.33333333333333337</v>
      </c>
      <c r="AJ170" s="18">
        <f>1-9/27</f>
        <v>0.66666666666666674</v>
      </c>
      <c r="AK170" s="18">
        <f>1-0/15</f>
        <v>1</v>
      </c>
      <c r="AL170" s="18">
        <f>1-0/16</f>
        <v>1</v>
      </c>
      <c r="AM170" s="18">
        <f>-1-0/14%</f>
        <v>-1</v>
      </c>
      <c r="AN170" s="18">
        <f>1-0/19</f>
        <v>1</v>
      </c>
      <c r="AO170" s="18">
        <f>1-0/23</f>
        <v>1</v>
      </c>
      <c r="AP170" s="18">
        <f>1-7/7</f>
        <v>0</v>
      </c>
      <c r="AQ170" s="18">
        <f>1-30/51</f>
        <v>0.41176470588235292</v>
      </c>
      <c r="AR170" s="18">
        <f>1-2/5</f>
        <v>0.6</v>
      </c>
      <c r="AS170" s="18">
        <f>1-1/8</f>
        <v>0.875</v>
      </c>
      <c r="AT170" s="18">
        <f>1-0/3</f>
        <v>1</v>
      </c>
      <c r="AU170" s="18">
        <f>1-0/7</f>
        <v>1</v>
      </c>
      <c r="AV170" s="18">
        <f>1-0/37</f>
        <v>1</v>
      </c>
      <c r="AW170" s="18">
        <f>1-0/6</f>
        <v>1</v>
      </c>
      <c r="AX170" s="18">
        <f>1-0/32</f>
        <v>1</v>
      </c>
      <c r="AY170" s="18">
        <f>1-2/17</f>
        <v>0.88235294117647056</v>
      </c>
      <c r="AZ170" s="18">
        <f>1-1/14</f>
        <v>0.9285714285714286</v>
      </c>
      <c r="BA170" s="18">
        <f>1-14/30</f>
        <v>0.53333333333333333</v>
      </c>
      <c r="BB170" s="18" t="s">
        <v>17</v>
      </c>
      <c r="BC170" s="18" t="s">
        <v>17</v>
      </c>
      <c r="BD170" s="18" t="s">
        <v>17</v>
      </c>
      <c r="BE170" s="18" t="s">
        <v>17</v>
      </c>
      <c r="BF170" s="18" t="s">
        <v>17</v>
      </c>
      <c r="BG170" s="18" t="s">
        <v>17</v>
      </c>
      <c r="BH170" s="18" t="s">
        <v>17</v>
      </c>
      <c r="BI170" s="18" t="s">
        <v>17</v>
      </c>
      <c r="BJ170" s="18" t="s">
        <v>17</v>
      </c>
      <c r="BK170" s="18" t="s">
        <v>17</v>
      </c>
    </row>
    <row r="171" spans="1:63" ht="27.95" customHeight="1">
      <c r="A171" s="14" t="s">
        <v>212</v>
      </c>
      <c r="B171" s="15" t="s">
        <v>213</v>
      </c>
      <c r="C171" s="15" t="s">
        <v>86</v>
      </c>
      <c r="D171" s="15"/>
      <c r="E171" s="43"/>
      <c r="F171" s="43"/>
      <c r="G171" s="17" t="str">
        <f>VLOOKUP(A171,'KPI Описание'!A:K,11,0)</f>
        <v>Оператор</v>
      </c>
      <c r="H171" s="17" t="s">
        <v>37</v>
      </c>
      <c r="I171" s="26"/>
      <c r="J171" s="53"/>
      <c r="K171" s="24">
        <f>3/3</f>
        <v>1</v>
      </c>
      <c r="L171" s="24">
        <f>131/131</f>
        <v>1</v>
      </c>
      <c r="M171" s="24">
        <f>89/89</f>
        <v>1</v>
      </c>
      <c r="N171" s="24">
        <f>49/49</f>
        <v>1</v>
      </c>
      <c r="O171" s="24">
        <f>48/48</f>
        <v>1</v>
      </c>
      <c r="P171" s="24">
        <f>213/213</f>
        <v>1</v>
      </c>
      <c r="Q171" s="24">
        <f>87/87</f>
        <v>1</v>
      </c>
      <c r="R171" s="24">
        <f>13/13</f>
        <v>1</v>
      </c>
      <c r="S171" s="18">
        <f>74/74</f>
        <v>1</v>
      </c>
      <c r="T171" s="18">
        <f>19/31</f>
        <v>0.61290322580645162</v>
      </c>
      <c r="U171" s="18" t="s">
        <v>17</v>
      </c>
      <c r="V171" s="18">
        <v>1</v>
      </c>
      <c r="W171" s="18">
        <f>1-2/30</f>
        <v>0.93333333333333335</v>
      </c>
      <c r="X171" s="18">
        <f>58/63</f>
        <v>0.92063492063492058</v>
      </c>
      <c r="Y171" s="18">
        <f>43/146</f>
        <v>0.29452054794520549</v>
      </c>
      <c r="Z171" s="18">
        <f>1-46/127</f>
        <v>0.63779527559055116</v>
      </c>
      <c r="AA171" s="18">
        <f>1-92/216</f>
        <v>0.57407407407407407</v>
      </c>
      <c r="AB171" s="18">
        <f>1-36/109</f>
        <v>0.66972477064220182</v>
      </c>
      <c r="AC171" s="18">
        <f>1-34/63</f>
        <v>0.46031746031746035</v>
      </c>
      <c r="AD171" s="18">
        <f>1-0/26</f>
        <v>1</v>
      </c>
      <c r="AE171" s="18">
        <f>1-0/26</f>
        <v>1</v>
      </c>
      <c r="AF171" s="18">
        <f>31/31</f>
        <v>1</v>
      </c>
      <c r="AG171" s="18">
        <f>28/28</f>
        <v>1</v>
      </c>
      <c r="AH171" s="18">
        <f>30/30</f>
        <v>1</v>
      </c>
      <c r="AI171" s="18">
        <f>1-3/74</f>
        <v>0.95945945945945943</v>
      </c>
      <c r="AJ171" s="18">
        <f>1-7/36</f>
        <v>0.80555555555555558</v>
      </c>
      <c r="AK171" s="18">
        <f>1-0/24</f>
        <v>1</v>
      </c>
      <c r="AL171" s="18">
        <f>1-0/21</f>
        <v>1</v>
      </c>
      <c r="AM171" s="18">
        <f>1-0/22</f>
        <v>1</v>
      </c>
      <c r="AN171" s="18">
        <f>1-0/26</f>
        <v>1</v>
      </c>
      <c r="AO171" s="18">
        <f>1-1/15</f>
        <v>0.93333333333333335</v>
      </c>
      <c r="AP171" s="18">
        <f>1-11/53</f>
        <v>0.79245283018867929</v>
      </c>
      <c r="AQ171" s="18">
        <f>1-25/88</f>
        <v>0.71590909090909083</v>
      </c>
      <c r="AR171" s="18">
        <f>1-6/63</f>
        <v>0.90476190476190477</v>
      </c>
      <c r="AS171" s="18">
        <f>1-2/36</f>
        <v>0.94444444444444442</v>
      </c>
      <c r="AT171" s="18">
        <f>1-0/150</f>
        <v>1</v>
      </c>
      <c r="AU171" s="18">
        <f>1-0/151</f>
        <v>1</v>
      </c>
      <c r="AV171" s="18">
        <f>1-5/50</f>
        <v>0.9</v>
      </c>
      <c r="AW171" s="18">
        <f>1-0/163</f>
        <v>1</v>
      </c>
      <c r="AX171" s="18">
        <f>1-0/50</f>
        <v>1</v>
      </c>
      <c r="AY171" s="18">
        <f>1-3/33</f>
        <v>0.90909090909090906</v>
      </c>
      <c r="AZ171" s="18">
        <f>1-9/27</f>
        <v>0.66666666666666674</v>
      </c>
      <c r="BA171" s="18">
        <f>1-13/50</f>
        <v>0.74</v>
      </c>
      <c r="BB171" s="18" t="s">
        <v>17</v>
      </c>
      <c r="BC171" s="18" t="s">
        <v>17</v>
      </c>
      <c r="BD171" s="18" t="s">
        <v>17</v>
      </c>
      <c r="BE171" s="18" t="s">
        <v>17</v>
      </c>
      <c r="BF171" s="18" t="s">
        <v>17</v>
      </c>
      <c r="BG171" s="18" t="s">
        <v>17</v>
      </c>
      <c r="BH171" s="18" t="s">
        <v>17</v>
      </c>
      <c r="BI171" s="18" t="s">
        <v>17</v>
      </c>
      <c r="BJ171" s="18" t="s">
        <v>17</v>
      </c>
      <c r="BK171" s="18" t="s">
        <v>17</v>
      </c>
    </row>
    <row r="172" spans="1:63" ht="27.95" customHeight="1">
      <c r="A172" s="14" t="s">
        <v>212</v>
      </c>
      <c r="B172" s="15" t="s">
        <v>213</v>
      </c>
      <c r="C172" s="15" t="s">
        <v>86</v>
      </c>
      <c r="D172" s="15"/>
      <c r="E172" s="43"/>
      <c r="F172" s="43"/>
      <c r="G172" s="17" t="str">
        <f>VLOOKUP(A172,'KPI Описание'!A:K,11,0)</f>
        <v>Оператор</v>
      </c>
      <c r="H172" s="17" t="s">
        <v>40</v>
      </c>
      <c r="I172" s="26"/>
      <c r="J172" s="53"/>
      <c r="K172" s="24" t="s">
        <v>17</v>
      </c>
      <c r="L172" s="24">
        <f>192/192</f>
        <v>1</v>
      </c>
      <c r="M172" s="24">
        <f>427/427</f>
        <v>1</v>
      </c>
      <c r="N172" s="24">
        <f>127/127</f>
        <v>1</v>
      </c>
      <c r="O172" s="24">
        <f>146/146</f>
        <v>1</v>
      </c>
      <c r="P172" s="24">
        <f>173/173</f>
        <v>1</v>
      </c>
      <c r="Q172" s="24">
        <f>75/75</f>
        <v>1</v>
      </c>
      <c r="R172" s="24">
        <f>49/49</f>
        <v>1</v>
      </c>
      <c r="S172" s="18">
        <f>118/118</f>
        <v>1</v>
      </c>
      <c r="T172" s="18">
        <f>59/82</f>
        <v>0.71951219512195119</v>
      </c>
      <c r="U172" s="18">
        <f>2/2</f>
        <v>1</v>
      </c>
      <c r="V172" s="18">
        <v>1</v>
      </c>
      <c r="W172" s="18">
        <f>1-9/47</f>
        <v>0.8085106382978724</v>
      </c>
      <c r="X172" s="18">
        <f>37/43</f>
        <v>0.86046511627906974</v>
      </c>
      <c r="Y172" s="18">
        <f>63/113</f>
        <v>0.55752212389380529</v>
      </c>
      <c r="Z172" s="18">
        <f>1-21/123</f>
        <v>0.82926829268292679</v>
      </c>
      <c r="AA172" s="18">
        <f>1-40/188</f>
        <v>0.78723404255319152</v>
      </c>
      <c r="AB172" s="18">
        <f>1-19/29</f>
        <v>0.34482758620689657</v>
      </c>
      <c r="AC172" s="18">
        <f>1-18/34</f>
        <v>0.47058823529411764</v>
      </c>
      <c r="AD172" s="18">
        <f>1-3/126</f>
        <v>0.97619047619047616</v>
      </c>
      <c r="AE172" s="18">
        <f>1-3/126</f>
        <v>0.97619047619047616</v>
      </c>
      <c r="AF172" s="18">
        <f>64/64</f>
        <v>1</v>
      </c>
      <c r="AG172" s="18">
        <f>43/43</f>
        <v>1</v>
      </c>
      <c r="AH172" s="18">
        <f>54/54</f>
        <v>1</v>
      </c>
      <c r="AI172" s="18">
        <f>1-9/44</f>
        <v>0.79545454545454541</v>
      </c>
      <c r="AJ172" s="18">
        <f>1-47/343</f>
        <v>0.86297376093294464</v>
      </c>
      <c r="AK172" s="18">
        <f>1-0/102</f>
        <v>1</v>
      </c>
      <c r="AL172" s="18">
        <f>1-0/162</f>
        <v>1</v>
      </c>
      <c r="AM172" s="18">
        <f>1-0/144</f>
        <v>1</v>
      </c>
      <c r="AN172" s="18">
        <f>1-0/32</f>
        <v>1</v>
      </c>
      <c r="AO172" s="18">
        <f>1-0/41</f>
        <v>1</v>
      </c>
      <c r="AP172" s="18">
        <f>1-57/216</f>
        <v>0.73611111111111116</v>
      </c>
      <c r="AQ172" s="18">
        <f>1-78/144</f>
        <v>0.45833333333333337</v>
      </c>
      <c r="AR172" s="18">
        <f>1-2/38</f>
        <v>0.94736842105263164</v>
      </c>
      <c r="AS172" s="18">
        <f>1-3/36</f>
        <v>0.91666666666666663</v>
      </c>
      <c r="AT172" s="18">
        <f>1-0/326</f>
        <v>1</v>
      </c>
      <c r="AU172" s="18">
        <f>1-2/50</f>
        <v>0.96</v>
      </c>
      <c r="AV172" s="18">
        <f>1-0/43</f>
        <v>1</v>
      </c>
      <c r="AW172" s="18">
        <f>1-0/34</f>
        <v>1</v>
      </c>
      <c r="AX172" s="18">
        <f>1-0/63</f>
        <v>1</v>
      </c>
      <c r="AY172" s="18">
        <f>1-0/59</f>
        <v>1</v>
      </c>
      <c r="AZ172" s="18">
        <f>1-50/154</f>
        <v>0.67532467532467533</v>
      </c>
      <c r="BA172" s="18">
        <f>1-98/320</f>
        <v>0.69374999999999998</v>
      </c>
      <c r="BB172" s="18" t="s">
        <v>17</v>
      </c>
      <c r="BC172" s="18" t="s">
        <v>17</v>
      </c>
      <c r="BD172" s="18" t="s">
        <v>17</v>
      </c>
      <c r="BE172" s="18" t="s">
        <v>17</v>
      </c>
      <c r="BF172" s="18" t="s">
        <v>17</v>
      </c>
      <c r="BG172" s="18" t="s">
        <v>17</v>
      </c>
      <c r="BH172" s="18" t="s">
        <v>17</v>
      </c>
      <c r="BI172" s="18" t="s">
        <v>17</v>
      </c>
      <c r="BJ172" s="18" t="s">
        <v>17</v>
      </c>
      <c r="BK172" s="18" t="s">
        <v>17</v>
      </c>
    </row>
    <row r="173" spans="1:63" ht="27.95" customHeight="1">
      <c r="A173" s="14" t="s">
        <v>212</v>
      </c>
      <c r="B173" s="15" t="s">
        <v>213</v>
      </c>
      <c r="C173" s="15" t="s">
        <v>86</v>
      </c>
      <c r="D173" s="15"/>
      <c r="E173" s="43"/>
      <c r="F173" s="43"/>
      <c r="G173" s="17" t="str">
        <f>VLOOKUP(A173,'KPI Описание'!A:K,11,0)</f>
        <v>Оператор</v>
      </c>
      <c r="H173" s="17" t="s">
        <v>43</v>
      </c>
      <c r="I173" s="26"/>
      <c r="J173" s="53"/>
      <c r="K173" s="24">
        <f>1/1</f>
        <v>1</v>
      </c>
      <c r="L173" s="24">
        <f>292/292</f>
        <v>1</v>
      </c>
      <c r="M173" s="24">
        <f>90/90</f>
        <v>1</v>
      </c>
      <c r="N173" s="24">
        <f>121/121</f>
        <v>1</v>
      </c>
      <c r="O173" s="24">
        <f>124/124</f>
        <v>1</v>
      </c>
      <c r="P173" s="24">
        <f>134/134</f>
        <v>1</v>
      </c>
      <c r="Q173" s="24">
        <f>38/38</f>
        <v>1</v>
      </c>
      <c r="R173" s="24">
        <f>25/25</f>
        <v>1</v>
      </c>
      <c r="S173" s="18">
        <f>44/44</f>
        <v>1</v>
      </c>
      <c r="T173" s="18">
        <f>62/62</f>
        <v>1</v>
      </c>
      <c r="U173" s="18" t="s">
        <v>17</v>
      </c>
      <c r="V173" s="18">
        <v>1</v>
      </c>
      <c r="W173" s="18">
        <f>1-5/69</f>
        <v>0.92753623188405798</v>
      </c>
      <c r="X173" s="18">
        <f>47/51</f>
        <v>0.92156862745098034</v>
      </c>
      <c r="Y173" s="18">
        <f>31/46</f>
        <v>0.67391304347826086</v>
      </c>
      <c r="Z173" s="18">
        <f>1-3/25</f>
        <v>0.88</v>
      </c>
      <c r="AA173" s="18">
        <f>1-48/172</f>
        <v>0.72093023255813948</v>
      </c>
      <c r="AB173" s="18">
        <f>1-36/56</f>
        <v>0.3571428571428571</v>
      </c>
      <c r="AC173" s="18">
        <f>1-35/66</f>
        <v>0.46969696969696972</v>
      </c>
      <c r="AD173" s="18">
        <f>1-0/108</f>
        <v>1</v>
      </c>
      <c r="AE173" s="18">
        <f>1-0/108</f>
        <v>1</v>
      </c>
      <c r="AF173" s="18">
        <f>55/55</f>
        <v>1</v>
      </c>
      <c r="AG173" s="18">
        <f>41/41</f>
        <v>1</v>
      </c>
      <c r="AH173" s="18">
        <f>48/48</f>
        <v>1</v>
      </c>
      <c r="AI173" s="18">
        <f>1-6/49</f>
        <v>0.87755102040816324</v>
      </c>
      <c r="AJ173" s="18">
        <f>1-4/101</f>
        <v>0.96039603960396036</v>
      </c>
      <c r="AK173" s="18">
        <f>1-0/29</f>
        <v>1</v>
      </c>
      <c r="AL173" s="18">
        <f>1-0/10</f>
        <v>1</v>
      </c>
      <c r="AM173" s="18">
        <f>1-0/63</f>
        <v>1</v>
      </c>
      <c r="AN173" s="18">
        <f>1-0/24</f>
        <v>1</v>
      </c>
      <c r="AO173" s="18">
        <f>1-23/178</f>
        <v>0.8707865168539326</v>
      </c>
      <c r="AP173" s="18">
        <f>1-45/180</f>
        <v>0.75</v>
      </c>
      <c r="AQ173" s="18">
        <f>1-153/269</f>
        <v>0.43122676579925645</v>
      </c>
      <c r="AR173" s="18">
        <f>1-1/40</f>
        <v>0.97499999999999998</v>
      </c>
      <c r="AS173" s="18">
        <f>1-6/35</f>
        <v>0.82857142857142851</v>
      </c>
      <c r="AT173" s="18">
        <f>1-0/45</f>
        <v>1</v>
      </c>
      <c r="AU173" s="18">
        <f>1-0/19</f>
        <v>1</v>
      </c>
      <c r="AV173" s="18">
        <f>1-2/38</f>
        <v>0.94736842105263164</v>
      </c>
      <c r="AW173" s="18">
        <f>1-0/101</f>
        <v>1</v>
      </c>
      <c r="AX173" s="18">
        <f>1-0/103</f>
        <v>1</v>
      </c>
      <c r="AY173" s="18">
        <f>1-6/45</f>
        <v>0.8666666666666667</v>
      </c>
      <c r="AZ173" s="18">
        <f>1-9/53</f>
        <v>0.83018867924528306</v>
      </c>
      <c r="BA173" s="18">
        <f>1-49/127</f>
        <v>0.61417322834645671</v>
      </c>
      <c r="BB173" s="18" t="s">
        <v>17</v>
      </c>
      <c r="BC173" s="18" t="s">
        <v>17</v>
      </c>
      <c r="BD173" s="18" t="s">
        <v>17</v>
      </c>
      <c r="BE173" s="18" t="s">
        <v>17</v>
      </c>
      <c r="BF173" s="18" t="s">
        <v>17</v>
      </c>
      <c r="BG173" s="18" t="s">
        <v>17</v>
      </c>
      <c r="BH173" s="18" t="s">
        <v>17</v>
      </c>
      <c r="BI173" s="18" t="s">
        <v>17</v>
      </c>
      <c r="BJ173" s="18" t="s">
        <v>17</v>
      </c>
      <c r="BK173" s="18" t="s">
        <v>17</v>
      </c>
    </row>
    <row r="174" spans="1:63" ht="27.95" customHeight="1">
      <c r="A174" s="14" t="s">
        <v>212</v>
      </c>
      <c r="B174" s="15" t="s">
        <v>213</v>
      </c>
      <c r="C174" s="15" t="s">
        <v>86</v>
      </c>
      <c r="D174" s="15"/>
      <c r="E174" s="43"/>
      <c r="F174" s="43"/>
      <c r="G174" s="17" t="str">
        <f>VLOOKUP(A174,'KPI Описание'!A:K,11,0)</f>
        <v>Оператор</v>
      </c>
      <c r="H174" s="17" t="s">
        <v>183</v>
      </c>
      <c r="I174" s="26"/>
      <c r="J174" s="53"/>
      <c r="K174" s="24">
        <f>2/2</f>
        <v>1</v>
      </c>
      <c r="L174" s="24">
        <f>8/8</f>
        <v>1</v>
      </c>
      <c r="M174" s="24">
        <f>16/16</f>
        <v>1</v>
      </c>
      <c r="N174" s="24">
        <f>10/10</f>
        <v>1</v>
      </c>
      <c r="O174" s="24">
        <f>13/13</f>
        <v>1</v>
      </c>
      <c r="P174" s="24">
        <f>13/13</f>
        <v>1</v>
      </c>
      <c r="Q174" s="24">
        <f>12/12</f>
        <v>1</v>
      </c>
      <c r="R174" s="24">
        <f>11/11</f>
        <v>1</v>
      </c>
      <c r="S174" s="18">
        <f>3/3</f>
        <v>1</v>
      </c>
      <c r="T174" s="18">
        <f>1/1</f>
        <v>1</v>
      </c>
      <c r="U174" s="18" t="s">
        <v>17</v>
      </c>
      <c r="V174" s="18">
        <v>1</v>
      </c>
      <c r="W174" s="18">
        <f>2/2</f>
        <v>1</v>
      </c>
      <c r="X174" s="18">
        <f>8/8</f>
        <v>1</v>
      </c>
      <c r="Y174" s="18">
        <f>9/10</f>
        <v>0.9</v>
      </c>
      <c r="Z174" s="18">
        <f>5/5</f>
        <v>1</v>
      </c>
      <c r="AA174" s="18" t="s">
        <v>17</v>
      </c>
      <c r="AB174" s="18" t="s">
        <v>17</v>
      </c>
      <c r="AC174" s="18" t="s">
        <v>17</v>
      </c>
      <c r="AD174" s="18" t="s">
        <v>17</v>
      </c>
      <c r="AE174" s="18" t="s">
        <v>17</v>
      </c>
      <c r="AF174" s="18">
        <f>8/8</f>
        <v>1</v>
      </c>
      <c r="AG174" s="18">
        <f>7/7</f>
        <v>1</v>
      </c>
      <c r="AH174" s="18">
        <f>5/5</f>
        <v>1</v>
      </c>
      <c r="AI174" s="18" t="s">
        <v>17</v>
      </c>
      <c r="AJ174" s="18">
        <v>1</v>
      </c>
      <c r="AK174" s="18">
        <f>1-0/5</f>
        <v>1</v>
      </c>
      <c r="AL174" s="18">
        <f>1-0/7</f>
        <v>1</v>
      </c>
      <c r="AM174" s="18">
        <f>1-0/4</f>
        <v>1</v>
      </c>
      <c r="AN174" s="18">
        <f>1-0/6</f>
        <v>1</v>
      </c>
      <c r="AO174" s="18">
        <f>1-0/10</f>
        <v>1</v>
      </c>
      <c r="AP174" s="18">
        <f>1-0/1</f>
        <v>1</v>
      </c>
      <c r="AQ174" s="18">
        <f>1-0/2</f>
        <v>1</v>
      </c>
      <c r="AR174" s="18">
        <f>1-0/9</f>
        <v>1</v>
      </c>
      <c r="AS174" s="18">
        <f>1-0/3</f>
        <v>1</v>
      </c>
      <c r="AT174" s="18">
        <f>1-0/11</f>
        <v>1</v>
      </c>
      <c r="AU174" s="18">
        <f>1-0/11</f>
        <v>1</v>
      </c>
      <c r="AV174" s="18">
        <f>1-0/10</f>
        <v>1</v>
      </c>
      <c r="AW174" s="18">
        <f>1-0/12</f>
        <v>1</v>
      </c>
      <c r="AX174" s="18">
        <f>1-0/13</f>
        <v>1</v>
      </c>
      <c r="AY174" s="18">
        <f>1-0/20</f>
        <v>1</v>
      </c>
      <c r="AZ174" s="18">
        <f>1-0/13</f>
        <v>1</v>
      </c>
      <c r="BA174" s="18">
        <f>1-8/8</f>
        <v>0</v>
      </c>
      <c r="BB174" s="18" t="s">
        <v>17</v>
      </c>
      <c r="BC174" s="18" t="s">
        <v>17</v>
      </c>
      <c r="BD174" s="18" t="s">
        <v>17</v>
      </c>
      <c r="BE174" s="18" t="s">
        <v>17</v>
      </c>
      <c r="BF174" s="18" t="s">
        <v>17</v>
      </c>
      <c r="BG174" s="18" t="s">
        <v>17</v>
      </c>
      <c r="BH174" s="18" t="s">
        <v>17</v>
      </c>
      <c r="BI174" s="18" t="s">
        <v>17</v>
      </c>
      <c r="BJ174" s="18" t="s">
        <v>17</v>
      </c>
      <c r="BK174" s="18" t="s">
        <v>17</v>
      </c>
    </row>
    <row r="175" spans="1:63" s="72" customFormat="1" ht="57.75" hidden="1" customHeight="1">
      <c r="A175" s="5" t="s">
        <v>217</v>
      </c>
      <c r="B175" s="6" t="s">
        <v>140</v>
      </c>
      <c r="C175" s="6" t="s">
        <v>218</v>
      </c>
      <c r="D175" s="6" t="s">
        <v>19</v>
      </c>
      <c r="E175" s="42" t="s">
        <v>219</v>
      </c>
      <c r="F175" s="42" t="s">
        <v>220</v>
      </c>
      <c r="G175" s="8" t="str">
        <f>VLOOKUP(A175,'KPI Описание'!A:K,11,0)</f>
        <v>Ревизор</v>
      </c>
      <c r="H175" s="8" t="s">
        <v>16</v>
      </c>
      <c r="I175" s="9">
        <f>VLOOKUP(A175,'KPI Описание'!A:P,16,0)</f>
        <v>0.995</v>
      </c>
      <c r="J175" s="10" t="str">
        <f>IFERROR(VLOOKUP(A175,'KPI Описание'!A:Q,17,0),0)</f>
        <v>higher</v>
      </c>
      <c r="K175" s="9">
        <f>1-SUM(K176:K180)/166</f>
        <v>1</v>
      </c>
      <c r="L175" s="9">
        <v>1</v>
      </c>
      <c r="M175" s="9">
        <f>1-SUM(M176:M180)/2188</f>
        <v>0.99954296160877509</v>
      </c>
      <c r="N175" s="9">
        <f>1-SUM(N176:N180)/1091</f>
        <v>0.95325389550870765</v>
      </c>
      <c r="O175" s="9">
        <f>1-SUM(O176:O180)/1045</f>
        <v>1</v>
      </c>
      <c r="P175" s="9">
        <f>1-SUM(P176:P180)/1525</f>
        <v>1</v>
      </c>
      <c r="Q175" s="9">
        <f>1-SUM(Q176:Q180)/2401</f>
        <v>1</v>
      </c>
      <c r="R175" s="9">
        <f>1-SUM(R176:R180)/2401</f>
        <v>0.18867138692211582</v>
      </c>
      <c r="S175" s="9">
        <f>1-SUM(S176:S180)/2401</f>
        <v>1</v>
      </c>
      <c r="T175" s="9">
        <f>1-SUM(T176:T180)/2401</f>
        <v>1</v>
      </c>
      <c r="U175" s="9">
        <f>1-SUM(U176:U180)/2401</f>
        <v>0.94793835901707624</v>
      </c>
      <c r="V175" s="9">
        <f>1-SUM(V176:V180)/2401</f>
        <v>1</v>
      </c>
      <c r="W175" s="9">
        <f>1-SUM(W176:W180)/2401</f>
        <v>1</v>
      </c>
      <c r="X175" s="9">
        <f>1-SUM(X176:X180)/2401</f>
        <v>1</v>
      </c>
      <c r="Y175" s="9">
        <f>1-SUM(Y176:Y180)/2401</f>
        <v>1</v>
      </c>
      <c r="Z175" s="9">
        <f>1-SUM(Z176:Z180)/2401</f>
        <v>1</v>
      </c>
      <c r="AA175" s="9">
        <f>1-SUM(AA176:AA180)/2401</f>
        <v>1</v>
      </c>
      <c r="AB175" s="9">
        <f>1-SUM(AB176:AB180)/2401</f>
        <v>1</v>
      </c>
      <c r="AC175" s="9">
        <f>1-SUM(AC176:AC180)/2401</f>
        <v>1</v>
      </c>
      <c r="AD175" s="9">
        <f>1-SUM(AD176:AD180)/2401</f>
        <v>1</v>
      </c>
      <c r="AE175" s="9">
        <f>1-SUM(AE176:AE180)/2401</f>
        <v>1</v>
      </c>
      <c r="AF175" s="9">
        <f>1-SUM(AF176:AF180)/2401</f>
        <v>1</v>
      </c>
      <c r="AG175" s="9">
        <f>1-SUM(AG176:AG180)/2401</f>
        <v>1</v>
      </c>
      <c r="AH175" s="9">
        <f>1-SUM(AH176:AH180)/2401</f>
        <v>1</v>
      </c>
      <c r="AI175" s="9">
        <f>1-SUM(AI176:AI180)/2401</f>
        <v>1</v>
      </c>
      <c r="AJ175" s="9">
        <f>1-SUM(AJ176:AJ180)/2401</f>
        <v>1</v>
      </c>
      <c r="AK175" s="9">
        <f>1-SUM(AK176:AK180)/2401</f>
        <v>1</v>
      </c>
      <c r="AL175" s="9">
        <f>1-SUM(AL176:AL180)/2401</f>
        <v>1</v>
      </c>
      <c r="AM175" s="9">
        <f>1-SUM(AM176:AM180)/2401</f>
        <v>1</v>
      </c>
      <c r="AN175" s="9">
        <f>1-SUM(AN176:AN180)/2401</f>
        <v>1</v>
      </c>
      <c r="AO175" s="9">
        <f>1-SUM(AO176:AO180)/2401</f>
        <v>1</v>
      </c>
      <c r="AP175" s="9">
        <v>1</v>
      </c>
      <c r="AQ175" s="9">
        <v>1</v>
      </c>
      <c r="AR175" s="9">
        <v>1</v>
      </c>
      <c r="AS175" s="9">
        <f>1-0/1393</f>
        <v>1</v>
      </c>
      <c r="AT175" s="9">
        <f>1-2/1500</f>
        <v>0.9986666666666667</v>
      </c>
      <c r="AU175" s="9">
        <f>1-1/2040</f>
        <v>0.99950980392156863</v>
      </c>
      <c r="AV175" s="9">
        <f>1-1/2040</f>
        <v>0.99950980392156863</v>
      </c>
      <c r="AW175" s="9">
        <v>1</v>
      </c>
      <c r="AX175" s="9">
        <v>1</v>
      </c>
      <c r="AY175" s="9">
        <v>1</v>
      </c>
      <c r="AZ175" s="9">
        <v>1</v>
      </c>
      <c r="BA175" s="9" t="s">
        <v>17</v>
      </c>
      <c r="BB175" s="9" t="s">
        <v>17</v>
      </c>
      <c r="BC175" s="9" t="s">
        <v>17</v>
      </c>
      <c r="BD175" s="9" t="s">
        <v>17</v>
      </c>
      <c r="BE175" s="9" t="s">
        <v>17</v>
      </c>
      <c r="BF175" s="9" t="s">
        <v>17</v>
      </c>
      <c r="BG175" s="9" t="s">
        <v>17</v>
      </c>
      <c r="BH175" s="9" t="s">
        <v>17</v>
      </c>
      <c r="BI175" s="9" t="s">
        <v>17</v>
      </c>
      <c r="BJ175" s="9" t="s">
        <v>17</v>
      </c>
      <c r="BK175" s="9" t="s">
        <v>17</v>
      </c>
    </row>
    <row r="176" spans="1:63" ht="27.95" hidden="1" customHeight="1">
      <c r="A176" s="14" t="s">
        <v>217</v>
      </c>
      <c r="B176" s="15" t="s">
        <v>221</v>
      </c>
      <c r="C176" s="15" t="s">
        <v>222</v>
      </c>
      <c r="D176" s="15"/>
      <c r="E176" s="43"/>
      <c r="F176" s="43"/>
      <c r="G176" s="17" t="str">
        <f>VLOOKUP(A176,'KPI Описание'!A:K,11,0)</f>
        <v>Ревизор</v>
      </c>
      <c r="H176" s="17" t="s">
        <v>33</v>
      </c>
      <c r="I176" s="18"/>
      <c r="J176" s="19"/>
      <c r="K176" s="18" t="s">
        <v>17</v>
      </c>
      <c r="L176" s="26" t="s">
        <v>17</v>
      </c>
      <c r="M176" s="26" t="s">
        <v>17</v>
      </c>
      <c r="N176" s="26">
        <v>17</v>
      </c>
      <c r="O176" s="26" t="s">
        <v>17</v>
      </c>
      <c r="P176" s="26" t="s">
        <v>17</v>
      </c>
      <c r="Q176" s="26" t="s">
        <v>17</v>
      </c>
      <c r="R176" s="26">
        <v>211</v>
      </c>
      <c r="S176" s="26" t="s">
        <v>17</v>
      </c>
      <c r="T176" s="26" t="s">
        <v>17</v>
      </c>
      <c r="U176" s="26">
        <v>125</v>
      </c>
      <c r="V176" s="26" t="s">
        <v>17</v>
      </c>
      <c r="W176" s="26" t="s">
        <v>17</v>
      </c>
      <c r="X176" s="26" t="s">
        <v>17</v>
      </c>
      <c r="Y176" s="26" t="s">
        <v>17</v>
      </c>
      <c r="Z176" s="26" t="s">
        <v>17</v>
      </c>
      <c r="AA176" s="26" t="s">
        <v>17</v>
      </c>
      <c r="AB176" s="26" t="s">
        <v>17</v>
      </c>
      <c r="AC176" s="26" t="s">
        <v>17</v>
      </c>
      <c r="AD176" s="26" t="s">
        <v>17</v>
      </c>
      <c r="AE176" s="26" t="s">
        <v>17</v>
      </c>
      <c r="AF176" s="26" t="s">
        <v>17</v>
      </c>
      <c r="AG176" s="18" t="s">
        <v>17</v>
      </c>
      <c r="AH176" s="18" t="s">
        <v>17</v>
      </c>
      <c r="AI176" s="18" t="s">
        <v>17</v>
      </c>
      <c r="AJ176" s="18" t="s">
        <v>17</v>
      </c>
      <c r="AK176" s="18" t="s">
        <v>17</v>
      </c>
      <c r="AL176" s="18" t="s">
        <v>17</v>
      </c>
      <c r="AM176" s="18" t="s">
        <v>17</v>
      </c>
      <c r="AN176" s="18" t="s">
        <v>17</v>
      </c>
      <c r="AO176" s="18" t="s">
        <v>17</v>
      </c>
      <c r="AP176" s="18" t="s">
        <v>17</v>
      </c>
      <c r="AQ176" s="18" t="s">
        <v>17</v>
      </c>
      <c r="AR176" s="18" t="s">
        <v>17</v>
      </c>
      <c r="AS176" s="18">
        <f>1-0/366</f>
        <v>1</v>
      </c>
      <c r="AT176" s="18">
        <f>1-2/472</f>
        <v>0.99576271186440679</v>
      </c>
      <c r="AU176" s="18">
        <v>1</v>
      </c>
      <c r="AV176" s="18">
        <v>1</v>
      </c>
      <c r="AW176" s="18">
        <v>1</v>
      </c>
      <c r="AX176" s="18">
        <v>1</v>
      </c>
      <c r="AY176" s="18">
        <v>1</v>
      </c>
      <c r="AZ176" s="18">
        <v>1</v>
      </c>
      <c r="BA176" s="18" t="s">
        <v>17</v>
      </c>
      <c r="BB176" s="18" t="s">
        <v>17</v>
      </c>
      <c r="BC176" s="18" t="s">
        <v>17</v>
      </c>
      <c r="BD176" s="18" t="s">
        <v>17</v>
      </c>
      <c r="BE176" s="18" t="s">
        <v>17</v>
      </c>
      <c r="BF176" s="18" t="s">
        <v>17</v>
      </c>
      <c r="BG176" s="18" t="s">
        <v>17</v>
      </c>
      <c r="BH176" s="18" t="s">
        <v>17</v>
      </c>
      <c r="BI176" s="18" t="s">
        <v>17</v>
      </c>
      <c r="BJ176" s="18" t="s">
        <v>17</v>
      </c>
      <c r="BK176" s="18" t="s">
        <v>17</v>
      </c>
    </row>
    <row r="177" spans="1:63" ht="27.95" hidden="1" customHeight="1">
      <c r="A177" s="14" t="s">
        <v>217</v>
      </c>
      <c r="B177" s="15" t="s">
        <v>221</v>
      </c>
      <c r="C177" s="15" t="s">
        <v>222</v>
      </c>
      <c r="D177" s="15"/>
      <c r="E177" s="43"/>
      <c r="F177" s="43"/>
      <c r="G177" s="17" t="str">
        <f>VLOOKUP(A177,'KPI Описание'!A:K,11,0)</f>
        <v>Ревизор</v>
      </c>
      <c r="H177" s="17" t="s">
        <v>36</v>
      </c>
      <c r="I177" s="18"/>
      <c r="J177" s="19"/>
      <c r="K177" s="18" t="s">
        <v>17</v>
      </c>
      <c r="L177" s="26" t="s">
        <v>17</v>
      </c>
      <c r="M177" s="26" t="s">
        <v>17</v>
      </c>
      <c r="N177" s="26" t="s">
        <v>17</v>
      </c>
      <c r="O177" s="26" t="s">
        <v>17</v>
      </c>
      <c r="P177" s="26" t="s">
        <v>17</v>
      </c>
      <c r="Q177" s="26" t="s">
        <v>17</v>
      </c>
      <c r="R177" s="26" t="s">
        <v>17</v>
      </c>
      <c r="S177" s="26" t="s">
        <v>17</v>
      </c>
      <c r="T177" s="26" t="s">
        <v>17</v>
      </c>
      <c r="U177" s="26" t="s">
        <v>17</v>
      </c>
      <c r="V177" s="26" t="s">
        <v>17</v>
      </c>
      <c r="W177" s="26" t="s">
        <v>17</v>
      </c>
      <c r="X177" s="26" t="s">
        <v>17</v>
      </c>
      <c r="Y177" s="26" t="s">
        <v>17</v>
      </c>
      <c r="Z177" s="26" t="s">
        <v>17</v>
      </c>
      <c r="AA177" s="26" t="s">
        <v>17</v>
      </c>
      <c r="AB177" s="26" t="s">
        <v>17</v>
      </c>
      <c r="AC177" s="26" t="s">
        <v>17</v>
      </c>
      <c r="AD177" s="26" t="s">
        <v>17</v>
      </c>
      <c r="AE177" s="26" t="s">
        <v>17</v>
      </c>
      <c r="AF177" s="26" t="s">
        <v>17</v>
      </c>
      <c r="AG177" s="18" t="s">
        <v>17</v>
      </c>
      <c r="AH177" s="18" t="s">
        <v>17</v>
      </c>
      <c r="AI177" s="18" t="s">
        <v>17</v>
      </c>
      <c r="AJ177" s="18" t="s">
        <v>17</v>
      </c>
      <c r="AK177" s="18" t="s">
        <v>17</v>
      </c>
      <c r="AL177" s="18" t="s">
        <v>17</v>
      </c>
      <c r="AM177" s="18" t="s">
        <v>17</v>
      </c>
      <c r="AN177" s="18" t="s">
        <v>17</v>
      </c>
      <c r="AO177" s="18" t="s">
        <v>17</v>
      </c>
      <c r="AP177" s="18" t="s">
        <v>17</v>
      </c>
      <c r="AQ177" s="18" t="s">
        <v>17</v>
      </c>
      <c r="AR177" s="18" t="s">
        <v>17</v>
      </c>
      <c r="AS177" s="18">
        <f>1-0/31</f>
        <v>1</v>
      </c>
      <c r="AT177" s="18">
        <f>1-0/115</f>
        <v>1</v>
      </c>
      <c r="AU177" s="18">
        <v>1</v>
      </c>
      <c r="AV177" s="18">
        <v>1</v>
      </c>
      <c r="AW177" s="18">
        <v>1</v>
      </c>
      <c r="AX177" s="18">
        <v>1</v>
      </c>
      <c r="AY177" s="18">
        <v>1</v>
      </c>
      <c r="AZ177" s="18">
        <v>1</v>
      </c>
      <c r="BA177" s="18" t="s">
        <v>17</v>
      </c>
      <c r="BB177" s="18" t="s">
        <v>17</v>
      </c>
      <c r="BC177" s="18" t="s">
        <v>17</v>
      </c>
      <c r="BD177" s="18" t="s">
        <v>17</v>
      </c>
      <c r="BE177" s="18" t="s">
        <v>17</v>
      </c>
      <c r="BF177" s="18" t="s">
        <v>17</v>
      </c>
      <c r="BG177" s="18" t="s">
        <v>17</v>
      </c>
      <c r="BH177" s="18" t="s">
        <v>17</v>
      </c>
      <c r="BI177" s="18" t="s">
        <v>17</v>
      </c>
      <c r="BJ177" s="18" t="s">
        <v>17</v>
      </c>
      <c r="BK177" s="18" t="s">
        <v>17</v>
      </c>
    </row>
    <row r="178" spans="1:63" ht="27.95" hidden="1" customHeight="1">
      <c r="A178" s="14" t="s">
        <v>217</v>
      </c>
      <c r="B178" s="15" t="s">
        <v>221</v>
      </c>
      <c r="C178" s="15" t="s">
        <v>222</v>
      </c>
      <c r="D178" s="15"/>
      <c r="E178" s="43"/>
      <c r="F178" s="43"/>
      <c r="G178" s="17" t="str">
        <f>VLOOKUP(A178,'KPI Описание'!A:K,11,0)</f>
        <v>Ревизор</v>
      </c>
      <c r="H178" s="17" t="s">
        <v>37</v>
      </c>
      <c r="I178" s="18"/>
      <c r="J178" s="19"/>
      <c r="K178" s="18" t="s">
        <v>17</v>
      </c>
      <c r="L178" s="26" t="s">
        <v>17</v>
      </c>
      <c r="M178" s="26">
        <v>1</v>
      </c>
      <c r="N178" s="26" t="s">
        <v>17</v>
      </c>
      <c r="O178" s="26" t="s">
        <v>17</v>
      </c>
      <c r="P178" s="26" t="s">
        <v>17</v>
      </c>
      <c r="Q178" s="26" t="s">
        <v>17</v>
      </c>
      <c r="R178" s="26">
        <v>244</v>
      </c>
      <c r="S178" s="26" t="s">
        <v>17</v>
      </c>
      <c r="T178" s="26" t="s">
        <v>17</v>
      </c>
      <c r="U178" s="26" t="s">
        <v>17</v>
      </c>
      <c r="V178" s="26" t="s">
        <v>17</v>
      </c>
      <c r="W178" s="26" t="s">
        <v>17</v>
      </c>
      <c r="X178" s="26" t="s">
        <v>17</v>
      </c>
      <c r="Y178" s="26" t="s">
        <v>17</v>
      </c>
      <c r="Z178" s="26" t="s">
        <v>17</v>
      </c>
      <c r="AA178" s="26" t="s">
        <v>17</v>
      </c>
      <c r="AB178" s="26" t="s">
        <v>17</v>
      </c>
      <c r="AC178" s="26" t="s">
        <v>17</v>
      </c>
      <c r="AD178" s="26" t="s">
        <v>17</v>
      </c>
      <c r="AE178" s="26" t="s">
        <v>17</v>
      </c>
      <c r="AF178" s="26" t="s">
        <v>17</v>
      </c>
      <c r="AG178" s="18" t="s">
        <v>17</v>
      </c>
      <c r="AH178" s="18" t="s">
        <v>17</v>
      </c>
      <c r="AI178" s="18" t="s">
        <v>17</v>
      </c>
      <c r="AJ178" s="18" t="s">
        <v>17</v>
      </c>
      <c r="AK178" s="18" t="s">
        <v>17</v>
      </c>
      <c r="AL178" s="18" t="s">
        <v>17</v>
      </c>
      <c r="AM178" s="18" t="s">
        <v>17</v>
      </c>
      <c r="AN178" s="18" t="s">
        <v>17</v>
      </c>
      <c r="AO178" s="18" t="s">
        <v>17</v>
      </c>
      <c r="AP178" s="18" t="s">
        <v>17</v>
      </c>
      <c r="AQ178" s="18" t="s">
        <v>17</v>
      </c>
      <c r="AR178" s="18" t="s">
        <v>17</v>
      </c>
      <c r="AS178" s="18">
        <f>1-0/194</f>
        <v>1</v>
      </c>
      <c r="AT178" s="18">
        <f>1-0/300</f>
        <v>1</v>
      </c>
      <c r="AU178" s="18">
        <v>1</v>
      </c>
      <c r="AV178" s="18">
        <v>1</v>
      </c>
      <c r="AW178" s="18">
        <v>1</v>
      </c>
      <c r="AX178" s="18">
        <v>1</v>
      </c>
      <c r="AY178" s="18">
        <v>1</v>
      </c>
      <c r="AZ178" s="18">
        <v>1</v>
      </c>
      <c r="BA178" s="18" t="s">
        <v>17</v>
      </c>
      <c r="BB178" s="18" t="s">
        <v>17</v>
      </c>
      <c r="BC178" s="18" t="s">
        <v>17</v>
      </c>
      <c r="BD178" s="18" t="s">
        <v>17</v>
      </c>
      <c r="BE178" s="18" t="s">
        <v>17</v>
      </c>
      <c r="BF178" s="18" t="s">
        <v>17</v>
      </c>
      <c r="BG178" s="18" t="s">
        <v>17</v>
      </c>
      <c r="BH178" s="18" t="s">
        <v>17</v>
      </c>
      <c r="BI178" s="18" t="s">
        <v>17</v>
      </c>
      <c r="BJ178" s="18" t="s">
        <v>17</v>
      </c>
      <c r="BK178" s="18" t="s">
        <v>17</v>
      </c>
    </row>
    <row r="179" spans="1:63" ht="27.95" hidden="1" customHeight="1">
      <c r="A179" s="14" t="s">
        <v>217</v>
      </c>
      <c r="B179" s="15" t="s">
        <v>221</v>
      </c>
      <c r="C179" s="15" t="s">
        <v>222</v>
      </c>
      <c r="D179" s="15"/>
      <c r="E179" s="43"/>
      <c r="F179" s="43"/>
      <c r="G179" s="17" t="str">
        <f>VLOOKUP(A179,'KPI Описание'!A:K,11,0)</f>
        <v>Ревизор</v>
      </c>
      <c r="H179" s="17" t="s">
        <v>40</v>
      </c>
      <c r="I179" s="18"/>
      <c r="J179" s="19"/>
      <c r="K179" s="18" t="s">
        <v>17</v>
      </c>
      <c r="L179" s="26" t="s">
        <v>17</v>
      </c>
      <c r="M179" s="26" t="s">
        <v>17</v>
      </c>
      <c r="N179" s="26">
        <v>34</v>
      </c>
      <c r="O179" s="26" t="s">
        <v>17</v>
      </c>
      <c r="P179" s="26" t="s">
        <v>17</v>
      </c>
      <c r="Q179" s="26" t="s">
        <v>17</v>
      </c>
      <c r="R179" s="26">
        <v>1052</v>
      </c>
      <c r="S179" s="26" t="s">
        <v>17</v>
      </c>
      <c r="T179" s="26" t="s">
        <v>17</v>
      </c>
      <c r="U179" s="26" t="s">
        <v>17</v>
      </c>
      <c r="V179" s="26" t="s">
        <v>17</v>
      </c>
      <c r="W179" s="26" t="s">
        <v>17</v>
      </c>
      <c r="X179" s="26" t="s">
        <v>17</v>
      </c>
      <c r="Y179" s="26" t="s">
        <v>17</v>
      </c>
      <c r="Z179" s="26" t="s">
        <v>17</v>
      </c>
      <c r="AA179" s="26" t="s">
        <v>17</v>
      </c>
      <c r="AB179" s="26" t="s">
        <v>17</v>
      </c>
      <c r="AC179" s="26" t="s">
        <v>17</v>
      </c>
      <c r="AD179" s="26" t="s">
        <v>17</v>
      </c>
      <c r="AE179" s="26" t="s">
        <v>17</v>
      </c>
      <c r="AF179" s="26" t="s">
        <v>17</v>
      </c>
      <c r="AG179" s="18" t="s">
        <v>17</v>
      </c>
      <c r="AH179" s="18" t="s">
        <v>17</v>
      </c>
      <c r="AI179" s="18" t="s">
        <v>17</v>
      </c>
      <c r="AJ179" s="18" t="s">
        <v>17</v>
      </c>
      <c r="AK179" s="18" t="s">
        <v>17</v>
      </c>
      <c r="AL179" s="18" t="s">
        <v>17</v>
      </c>
      <c r="AM179" s="18" t="s">
        <v>17</v>
      </c>
      <c r="AN179" s="18" t="s">
        <v>17</v>
      </c>
      <c r="AO179" s="18" t="s">
        <v>17</v>
      </c>
      <c r="AP179" s="18" t="s">
        <v>17</v>
      </c>
      <c r="AQ179" s="18" t="s">
        <v>17</v>
      </c>
      <c r="AR179" s="18" t="s">
        <v>17</v>
      </c>
      <c r="AS179" s="18">
        <f>1-0/90</f>
        <v>1</v>
      </c>
      <c r="AT179" s="18">
        <f>1-0/350</f>
        <v>1</v>
      </c>
      <c r="AU179" s="18">
        <v>1</v>
      </c>
      <c r="AV179" s="18">
        <v>1</v>
      </c>
      <c r="AW179" s="18">
        <v>1</v>
      </c>
      <c r="AX179" s="18">
        <v>1</v>
      </c>
      <c r="AY179" s="18">
        <v>1</v>
      </c>
      <c r="AZ179" s="18">
        <v>1</v>
      </c>
      <c r="BA179" s="18" t="s">
        <v>17</v>
      </c>
      <c r="BB179" s="18" t="s">
        <v>17</v>
      </c>
      <c r="BC179" s="18" t="s">
        <v>17</v>
      </c>
      <c r="BD179" s="18" t="s">
        <v>17</v>
      </c>
      <c r="BE179" s="18" t="s">
        <v>17</v>
      </c>
      <c r="BF179" s="18" t="s">
        <v>17</v>
      </c>
      <c r="BG179" s="18" t="s">
        <v>17</v>
      </c>
      <c r="BH179" s="18" t="s">
        <v>17</v>
      </c>
      <c r="BI179" s="18" t="s">
        <v>17</v>
      </c>
      <c r="BJ179" s="18" t="s">
        <v>17</v>
      </c>
      <c r="BK179" s="18" t="s">
        <v>17</v>
      </c>
    </row>
    <row r="180" spans="1:63" ht="27.95" hidden="1" customHeight="1">
      <c r="A180" s="14" t="s">
        <v>217</v>
      </c>
      <c r="B180" s="15" t="s">
        <v>221</v>
      </c>
      <c r="C180" s="15" t="s">
        <v>222</v>
      </c>
      <c r="D180" s="15"/>
      <c r="E180" s="43"/>
      <c r="F180" s="43"/>
      <c r="G180" s="17" t="str">
        <f>VLOOKUP(A180,'KPI Описание'!A:K,11,0)</f>
        <v>Ревизор</v>
      </c>
      <c r="H180" s="17" t="s">
        <v>43</v>
      </c>
      <c r="I180" s="18"/>
      <c r="J180" s="19"/>
      <c r="K180" s="18" t="s">
        <v>17</v>
      </c>
      <c r="L180" s="26" t="s">
        <v>17</v>
      </c>
      <c r="M180" s="26" t="s">
        <v>17</v>
      </c>
      <c r="N180" s="26" t="s">
        <v>17</v>
      </c>
      <c r="O180" s="26" t="s">
        <v>17</v>
      </c>
      <c r="P180" s="26" t="s">
        <v>17</v>
      </c>
      <c r="Q180" s="26" t="s">
        <v>17</v>
      </c>
      <c r="R180" s="26">
        <v>441</v>
      </c>
      <c r="S180" s="26" t="s">
        <v>17</v>
      </c>
      <c r="T180" s="26" t="s">
        <v>17</v>
      </c>
      <c r="U180" s="26" t="s">
        <v>17</v>
      </c>
      <c r="V180" s="26" t="s">
        <v>17</v>
      </c>
      <c r="W180" s="26" t="s">
        <v>17</v>
      </c>
      <c r="X180" s="26" t="s">
        <v>17</v>
      </c>
      <c r="Y180" s="26" t="s">
        <v>17</v>
      </c>
      <c r="Z180" s="26" t="s">
        <v>17</v>
      </c>
      <c r="AA180" s="26" t="s">
        <v>17</v>
      </c>
      <c r="AB180" s="26" t="s">
        <v>17</v>
      </c>
      <c r="AC180" s="26" t="s">
        <v>17</v>
      </c>
      <c r="AD180" s="26" t="s">
        <v>17</v>
      </c>
      <c r="AE180" s="26" t="s">
        <v>17</v>
      </c>
      <c r="AF180" s="26" t="s">
        <v>17</v>
      </c>
      <c r="AG180" s="18" t="s">
        <v>17</v>
      </c>
      <c r="AH180" s="18" t="s">
        <v>17</v>
      </c>
      <c r="AI180" s="18" t="s">
        <v>17</v>
      </c>
      <c r="AJ180" s="18" t="s">
        <v>17</v>
      </c>
      <c r="AK180" s="18" t="s">
        <v>17</v>
      </c>
      <c r="AL180" s="18" t="s">
        <v>17</v>
      </c>
      <c r="AM180" s="18" t="s">
        <v>17</v>
      </c>
      <c r="AN180" s="18" t="s">
        <v>17</v>
      </c>
      <c r="AO180" s="18" t="s">
        <v>17</v>
      </c>
      <c r="AP180" s="18" t="s">
        <v>17</v>
      </c>
      <c r="AQ180" s="18" t="s">
        <v>17</v>
      </c>
      <c r="AR180" s="18" t="s">
        <v>17</v>
      </c>
      <c r="AS180" s="18">
        <f>1-0/514</f>
        <v>1</v>
      </c>
      <c r="AT180" s="18">
        <f>1-0/87</f>
        <v>1</v>
      </c>
      <c r="AU180" s="18">
        <v>1</v>
      </c>
      <c r="AV180" s="18">
        <v>1</v>
      </c>
      <c r="AW180" s="18">
        <v>1</v>
      </c>
      <c r="AX180" s="18">
        <v>1</v>
      </c>
      <c r="AY180" s="18">
        <v>1</v>
      </c>
      <c r="AZ180" s="18">
        <v>1</v>
      </c>
      <c r="BA180" s="18" t="s">
        <v>17</v>
      </c>
      <c r="BB180" s="18" t="s">
        <v>17</v>
      </c>
      <c r="BC180" s="18" t="s">
        <v>17</v>
      </c>
      <c r="BD180" s="18" t="s">
        <v>17</v>
      </c>
      <c r="BE180" s="18" t="s">
        <v>17</v>
      </c>
      <c r="BF180" s="18" t="s">
        <v>17</v>
      </c>
      <c r="BG180" s="18" t="s">
        <v>17</v>
      </c>
      <c r="BH180" s="18" t="s">
        <v>17</v>
      </c>
      <c r="BI180" s="18" t="s">
        <v>17</v>
      </c>
      <c r="BJ180" s="18" t="s">
        <v>17</v>
      </c>
      <c r="BK180" s="18" t="s">
        <v>17</v>
      </c>
    </row>
    <row r="181" spans="1:63" ht="27.95" hidden="1" customHeight="1">
      <c r="A181" s="82" t="s">
        <v>223</v>
      </c>
      <c r="B181" s="84" t="s">
        <v>158</v>
      </c>
      <c r="C181" s="84" t="s">
        <v>224</v>
      </c>
      <c r="D181" s="84" t="s">
        <v>19</v>
      </c>
      <c r="E181" s="86" t="s">
        <v>225</v>
      </c>
      <c r="F181" s="86" t="s">
        <v>226</v>
      </c>
      <c r="G181" s="88" t="str">
        <f>VLOOKUP(A181,'KPI Описание'!A:K,11,0)</f>
        <v>Ревизор</v>
      </c>
      <c r="H181" s="88" t="s">
        <v>16</v>
      </c>
      <c r="I181" s="92">
        <f>VLOOKUP(A181,'KPI Описание'!A:P,16,0)</f>
        <v>0</v>
      </c>
      <c r="J181" s="96">
        <f>IFERROR(VLOOKUP(A181,'KPI Описание'!A:Q,17,0),0)</f>
        <v>0</v>
      </c>
      <c r="K181" s="90">
        <v>1.1590844384756886E-5</v>
      </c>
      <c r="L181" s="90">
        <v>1.23752305424721E-5</v>
      </c>
      <c r="M181" s="90">
        <v>1.5154397438383747E-5</v>
      </c>
      <c r="N181" s="90">
        <v>1.829156885489126E-5</v>
      </c>
      <c r="O181" s="90">
        <v>1.8114801847840899E-5</v>
      </c>
      <c r="P181" s="90">
        <v>30</v>
      </c>
      <c r="Q181" s="90">
        <v>32</v>
      </c>
      <c r="R181" s="90">
        <v>41</v>
      </c>
      <c r="S181" s="90">
        <v>52</v>
      </c>
      <c r="T181" s="90">
        <v>53</v>
      </c>
      <c r="U181" s="90">
        <v>59</v>
      </c>
      <c r="V181" s="90">
        <v>62</v>
      </c>
      <c r="W181" s="90">
        <v>69</v>
      </c>
      <c r="X181" s="90">
        <v>71</v>
      </c>
      <c r="Y181" s="90">
        <v>77</v>
      </c>
      <c r="Z181" s="90">
        <v>82</v>
      </c>
      <c r="AA181" s="90">
        <v>80</v>
      </c>
      <c r="AB181" s="90">
        <v>81</v>
      </c>
      <c r="AC181" s="90">
        <v>86</v>
      </c>
      <c r="AD181" s="90">
        <v>89</v>
      </c>
      <c r="AE181" s="90">
        <v>96</v>
      </c>
      <c r="AF181" s="90">
        <v>100</v>
      </c>
      <c r="AG181" s="90">
        <v>100</v>
      </c>
      <c r="AH181" s="90">
        <v>98</v>
      </c>
      <c r="AI181" s="90">
        <v>104</v>
      </c>
      <c r="AJ181" s="90">
        <v>112</v>
      </c>
      <c r="AK181" s="90">
        <v>112</v>
      </c>
      <c r="AL181" s="90">
        <v>61</v>
      </c>
      <c r="AM181" s="90">
        <v>116</v>
      </c>
      <c r="AN181" s="90">
        <v>106</v>
      </c>
      <c r="AO181" s="90">
        <v>107</v>
      </c>
      <c r="AP181" s="90">
        <v>114</v>
      </c>
      <c r="AQ181" s="90">
        <v>116</v>
      </c>
      <c r="AR181" s="90">
        <v>118</v>
      </c>
      <c r="AS181" s="92">
        <v>119</v>
      </c>
      <c r="AT181" s="92">
        <v>120</v>
      </c>
      <c r="AU181" s="92">
        <v>123</v>
      </c>
      <c r="AV181" s="92">
        <v>122</v>
      </c>
      <c r="AW181" s="92">
        <v>116</v>
      </c>
      <c r="AX181" s="92">
        <v>117</v>
      </c>
      <c r="AY181" s="92">
        <v>119</v>
      </c>
      <c r="AZ181" s="92">
        <v>121</v>
      </c>
      <c r="BA181" s="92" t="s">
        <v>17</v>
      </c>
      <c r="BB181" s="92" t="s">
        <v>17</v>
      </c>
      <c r="BC181" s="92" t="s">
        <v>17</v>
      </c>
      <c r="BD181" s="92" t="s">
        <v>17</v>
      </c>
      <c r="BE181" s="92" t="s">
        <v>17</v>
      </c>
      <c r="BF181" s="92" t="s">
        <v>17</v>
      </c>
      <c r="BG181" s="92" t="s">
        <v>17</v>
      </c>
      <c r="BH181" s="92" t="s">
        <v>17</v>
      </c>
      <c r="BI181" s="92" t="s">
        <v>17</v>
      </c>
      <c r="BJ181" s="92" t="s">
        <v>17</v>
      </c>
      <c r="BK181" s="92" t="s">
        <v>17</v>
      </c>
    </row>
    <row r="182" spans="1:63" s="72" customFormat="1" ht="47.25" hidden="1" customHeight="1">
      <c r="A182" s="5" t="s">
        <v>227</v>
      </c>
      <c r="B182" s="6" t="s">
        <v>145</v>
      </c>
      <c r="C182" s="6" t="s">
        <v>58</v>
      </c>
      <c r="D182" s="6" t="s">
        <v>19</v>
      </c>
      <c r="E182" s="42" t="s">
        <v>228</v>
      </c>
      <c r="F182" s="42" t="s">
        <v>229</v>
      </c>
      <c r="G182" s="8" t="str">
        <f>VLOOKUP(A182,'KPI Описание'!A:K,11,0)</f>
        <v>Ревизор</v>
      </c>
      <c r="H182" s="8" t="s">
        <v>16</v>
      </c>
      <c r="I182" s="9">
        <f>VLOOKUP(A182,'KPI Описание'!A:P,16,0)</f>
        <v>0.98</v>
      </c>
      <c r="J182" s="10" t="str">
        <f>IFERROR(VLOOKUP(A182,'KPI Описание'!A:Q,17,0),0)</f>
        <v>higher</v>
      </c>
      <c r="K182" s="9">
        <f>1-1194453.437/1959502.433</f>
        <v>0.39043023530657694</v>
      </c>
      <c r="L182" s="9">
        <f>1-1205028.697/1954585.453</f>
        <v>0.38348630644392712</v>
      </c>
      <c r="M182" s="9">
        <f>1-1166028.337/2039220.373</f>
        <v>0.42819895660193064</v>
      </c>
      <c r="N182" s="9">
        <f>1-1469896.224/2266106.333</f>
        <v>0.35135602306266545</v>
      </c>
      <c r="O182" s="9">
        <f>1-1469896.224/2266178.333</f>
        <v>0.35137663148772158</v>
      </c>
      <c r="P182" s="9">
        <f>1-738696.237/2588336.423</f>
        <v>0.71460578677642794</v>
      </c>
      <c r="Q182" s="9">
        <f>1-214075/2542631</f>
        <v>0.91580571463181248</v>
      </c>
      <c r="R182" s="9">
        <f>1-119130/3964589</f>
        <v>0.96995148803570808</v>
      </c>
      <c r="S182" s="9">
        <f>1-129982.147/2938083.083</f>
        <v>0.95575954003748642</v>
      </c>
      <c r="T182" s="9">
        <f>1-115387.874/2925784.143</f>
        <v>0.96056172692162956</v>
      </c>
      <c r="U182" s="9">
        <f>1-105478.074/2718788.693</f>
        <v>0.96120401917531439</v>
      </c>
      <c r="V182" s="9">
        <f>1-259897.917/2871308.833</f>
        <v>0.90948451312064071</v>
      </c>
      <c r="W182" s="9">
        <f>1-85072.974/3484716.713</f>
        <v>0.97558683215693576</v>
      </c>
      <c r="X182" s="9">
        <f>1-168879.414/3389733.953</f>
        <v>0.95017915377974205</v>
      </c>
      <c r="Y182" s="9">
        <f>1-275378.997/3380244.373</f>
        <v>0.91853281401794085</v>
      </c>
      <c r="Z182" s="9">
        <f>1-124752.617/3092350.153</f>
        <v>0.95965766784884532</v>
      </c>
      <c r="AA182" s="9">
        <f>1-144541.102/2918928.978</f>
        <v>0.9504814597787723</v>
      </c>
      <c r="AB182" s="9">
        <f>1-240807.842/29116167.978</f>
        <v>0.99172941157016425</v>
      </c>
      <c r="AC182" s="9">
        <f>1-172155.592/2633943.698</f>
        <v>0.93463960823053249</v>
      </c>
      <c r="AD182" s="9">
        <f>1-146191.622/2730626.348</f>
        <v>0.94646223856036715</v>
      </c>
      <c r="AE182" s="9">
        <f>1-63490.12/2560306.748</f>
        <v>0.97520214323943966</v>
      </c>
      <c r="AF182" s="9">
        <f>1-466394.632/2742316.338</f>
        <v>0.82992675734115107</v>
      </c>
      <c r="AG182" s="9">
        <f>1-51865.61/2670863.648</f>
        <v>0.98058095925681643</v>
      </c>
      <c r="AH182" s="9">
        <f>1-43510.228/2606797.788</f>
        <v>0.98330893627411653</v>
      </c>
      <c r="AI182" s="9">
        <f>1-129011.684/2511640.488</f>
        <v>0.94863449422145163</v>
      </c>
      <c r="AJ182" s="9">
        <f>1-44365.432/2541948.748</f>
        <v>0.98254668508367582</v>
      </c>
      <c r="AK182" s="9">
        <f>1-21438.174/2556547.548</f>
        <v>0.9916144043490327</v>
      </c>
      <c r="AL182" s="9">
        <f>1-21438.174/2556547.548</f>
        <v>0.9916144043490327</v>
      </c>
      <c r="AM182" s="9">
        <f>1-115364.594/2628705.088</f>
        <v>0.9561135273307616</v>
      </c>
      <c r="AN182" s="9">
        <f>1-87141.294/2640692.208</f>
        <v>0.96700058653711907</v>
      </c>
      <c r="AO182" s="9">
        <f>1-463501.934/5280264.416</f>
        <v>0.91221993872209906</v>
      </c>
      <c r="AP182" s="9">
        <f>1-246998.814/5609604.16</f>
        <v>0.95596858406494056</v>
      </c>
      <c r="AQ182" s="9">
        <f>1-59069.01/6079563.396</f>
        <v>0.99028400459828025</v>
      </c>
      <c r="AR182" s="9">
        <f>1-28037.092/3106513.478</f>
        <v>0.99097473994606633</v>
      </c>
      <c r="AS182" s="9">
        <f>1-573904.042/2706852.338</f>
        <v>0.78798103097709493</v>
      </c>
      <c r="AT182" s="9">
        <f>1-18341.737/3230755.813</f>
        <v>0.99432277211227293</v>
      </c>
      <c r="AU182" s="9">
        <f>1-36427.158/3058783.438</f>
        <v>0.98809096533364971</v>
      </c>
      <c r="AV182" s="9">
        <f>1-106284.892/3065815.758</f>
        <v>0.96533226377917258</v>
      </c>
      <c r="AW182" s="9">
        <f>1-182481.377/2909149.993</f>
        <v>0.93727330064139458</v>
      </c>
      <c r="AX182" s="9">
        <f>1-150336.637/2835925.783</f>
        <v>0.9469885150375954</v>
      </c>
      <c r="AY182" s="9">
        <f>1-128873.427/2777650.743</f>
        <v>0.95360344444859535</v>
      </c>
      <c r="AZ182" s="9">
        <f>1-98824.687/3191119.243</f>
        <v>0.96903133995485102</v>
      </c>
      <c r="BA182" s="9">
        <f>1-261818.887/2983788.753</f>
        <v>0.91225287422349899</v>
      </c>
      <c r="BB182" s="9" t="s">
        <v>17</v>
      </c>
      <c r="BC182" s="9" t="s">
        <v>17</v>
      </c>
      <c r="BD182" s="9" t="s">
        <v>17</v>
      </c>
      <c r="BE182" s="9" t="s">
        <v>17</v>
      </c>
      <c r="BF182" s="9" t="s">
        <v>17</v>
      </c>
      <c r="BG182" s="9" t="s">
        <v>17</v>
      </c>
      <c r="BH182" s="9" t="s">
        <v>17</v>
      </c>
      <c r="BI182" s="9" t="s">
        <v>17</v>
      </c>
      <c r="BJ182" s="9" t="s">
        <v>17</v>
      </c>
      <c r="BK182" s="9" t="s">
        <v>17</v>
      </c>
    </row>
    <row r="183" spans="1:63" ht="27.95" hidden="1" customHeight="1">
      <c r="A183" s="14" t="s">
        <v>227</v>
      </c>
      <c r="B183" s="15" t="s">
        <v>230</v>
      </c>
      <c r="C183" s="15" t="s">
        <v>26</v>
      </c>
      <c r="D183" s="15"/>
      <c r="E183" s="43"/>
      <c r="F183" s="43"/>
      <c r="G183" s="17" t="str">
        <f>VLOOKUP(A183,'KPI Описание'!A:K,11,0)</f>
        <v>Ревизор</v>
      </c>
      <c r="H183" s="17" t="s">
        <v>33</v>
      </c>
      <c r="I183" s="18"/>
      <c r="J183" s="19"/>
      <c r="K183" s="32">
        <f>1-105961.31/184194.97</f>
        <v>0.42473287951348515</v>
      </c>
      <c r="L183" s="32">
        <f>1-115470.3/74788</f>
        <v>-0.54396828368187422</v>
      </c>
      <c r="M183" s="32">
        <f>1-105984.06/185069.15</f>
        <v>0.427327244978431</v>
      </c>
      <c r="N183" s="32">
        <f>1-108253.54/191412.63</f>
        <v>0.43444933597119484</v>
      </c>
      <c r="O183" s="32">
        <f>1-108253.45/191450.63</f>
        <v>0.43456205915854129</v>
      </c>
      <c r="P183" s="32">
        <f>1-107689.44/203805.77</f>
        <v>0.47160750159330622</v>
      </c>
      <c r="Q183" s="32">
        <f>1-21397/170497.33</f>
        <v>0.87450243355717061</v>
      </c>
      <c r="R183" s="32">
        <f>1-5427.5/246334.81</f>
        <v>0.97796697916952946</v>
      </c>
      <c r="S183" s="32">
        <f>1-41713.04/243590.25</f>
        <v>0.82875734968866777</v>
      </c>
      <c r="T183" s="32">
        <f>1-8393.12/205435.93</f>
        <v>0.95914482924189548</v>
      </c>
      <c r="U183" s="32">
        <f>1-4479.84/206313.41</f>
        <v>0.97828623936757186</v>
      </c>
      <c r="V183" s="32">
        <f>1-3734.2/185712.21</f>
        <v>0.97989254449128571</v>
      </c>
      <c r="W183" s="32">
        <f>1-4509.64/184148.79</f>
        <v>0.97551088986248569</v>
      </c>
      <c r="X183" s="32">
        <f>1-4723.27/177795.71</f>
        <v>0.97343428590037406</v>
      </c>
      <c r="Y183" s="32">
        <f>1-17809.64/179867.59</f>
        <v>0.90098471881454578</v>
      </c>
      <c r="Z183" s="32">
        <f>1-6340.64/172938.85</f>
        <v>0.96333594215527629</v>
      </c>
      <c r="AA183" s="32">
        <f>1-3377.64/162892.41</f>
        <v>0.97926459556955414</v>
      </c>
      <c r="AB183" s="32">
        <f>1-20090.64/162927.41</f>
        <v>0.87668962515269833</v>
      </c>
      <c r="AC183" s="32">
        <f>1-5649.24/149107.77</f>
        <v>0.96211304078922244</v>
      </c>
      <c r="AD183" s="32">
        <f>1-3046.84/192007.37</f>
        <v>0.98413165077986331</v>
      </c>
      <c r="AE183" s="32">
        <f>1-3244.16/147593.97</f>
        <v>0.97801969823021906</v>
      </c>
      <c r="AF183" s="32">
        <f>1-35552.16/151671.97</f>
        <v>0.76559835017637079</v>
      </c>
      <c r="AG183" s="32">
        <f>1-3869.89/185923.01</f>
        <v>0.97918552415862892</v>
      </c>
      <c r="AH183" s="32">
        <f>1-2636.47/177390.97</f>
        <v>0.98513751855576415</v>
      </c>
      <c r="AI183" s="32">
        <f>1-32597.13/175217.61</f>
        <v>0.81396202128313466</v>
      </c>
      <c r="AJ183" s="32">
        <f>1-2922.21/204566.73</f>
        <v>0.98571512581737997</v>
      </c>
      <c r="AK183" s="32">
        <f>1-2346.01/215095.53</f>
        <v>0.98909317176419242</v>
      </c>
      <c r="AL183" s="32">
        <f>1-2346.01/215095.53</f>
        <v>0.98909317176419242</v>
      </c>
      <c r="AM183" s="32">
        <f>1-1585/212981.53</f>
        <v>0.99255804012676596</v>
      </c>
      <c r="AN183" s="18">
        <f>1-4087/205585.53</f>
        <v>0.98012019620252455</v>
      </c>
      <c r="AO183" s="18">
        <f>1-8807.92/205665.53</f>
        <v>0.95717357206139497</v>
      </c>
      <c r="AP183" s="18">
        <f>1-4982.12/207810.81</f>
        <v>0.97602569375481474</v>
      </c>
      <c r="AQ183" s="18">
        <f>1-6838.84/206887.61</f>
        <v>0.96694417804913502</v>
      </c>
      <c r="AR183" s="18">
        <f>1-6688.12/214622.61</f>
        <v>0.96883776597442361</v>
      </c>
      <c r="AS183" s="18">
        <f>1-2686.72/210077.21</f>
        <v>0.98721079740158391</v>
      </c>
      <c r="AT183" s="18">
        <f>1-1275.12/211713.91</f>
        <v>0.99397715530358866</v>
      </c>
      <c r="AU183" s="18">
        <f>1-18477.12/203464.15</f>
        <v>0.90918734332313578</v>
      </c>
      <c r="AV183" s="18">
        <f>1-7000.12/189819.25</f>
        <v>0.9631221807061191</v>
      </c>
      <c r="AW183" s="18">
        <f>1-10414.12/216214.45</f>
        <v>0.95183430154645077</v>
      </c>
      <c r="AX183" s="18">
        <f>1-9518.75/202617.69</f>
        <v>0.95302113058341553</v>
      </c>
      <c r="AY183" s="18">
        <f>1-1248.88/243509.7</f>
        <v>0.9948713336676116</v>
      </c>
      <c r="AZ183" s="18">
        <f>1-13836.76/243725.94</f>
        <v>0.94322820131496876</v>
      </c>
      <c r="BA183" s="18">
        <f>1-14458.44/230790.5</f>
        <v>0.93735253400811558</v>
      </c>
      <c r="BB183" s="18" t="s">
        <v>17</v>
      </c>
      <c r="BC183" s="18" t="s">
        <v>17</v>
      </c>
      <c r="BD183" s="18" t="s">
        <v>17</v>
      </c>
      <c r="BE183" s="18" t="s">
        <v>17</v>
      </c>
      <c r="BF183" s="18" t="s">
        <v>17</v>
      </c>
      <c r="BG183" s="18" t="s">
        <v>17</v>
      </c>
      <c r="BH183" s="18" t="s">
        <v>17</v>
      </c>
      <c r="BI183" s="18" t="s">
        <v>17</v>
      </c>
      <c r="BJ183" s="18" t="s">
        <v>17</v>
      </c>
      <c r="BK183" s="18" t="s">
        <v>17</v>
      </c>
    </row>
    <row r="184" spans="1:63" ht="27.95" hidden="1" customHeight="1">
      <c r="A184" s="14" t="s">
        <v>227</v>
      </c>
      <c r="B184" s="15" t="s">
        <v>230</v>
      </c>
      <c r="C184" s="15" t="s">
        <v>26</v>
      </c>
      <c r="D184" s="15"/>
      <c r="E184" s="43"/>
      <c r="F184" s="43"/>
      <c r="G184" s="17" t="str">
        <f>VLOOKUP(A184,'KPI Описание'!A:K,11,0)</f>
        <v>Ревизор</v>
      </c>
      <c r="H184" s="17" t="s">
        <v>36</v>
      </c>
      <c r="I184" s="18"/>
      <c r="J184" s="19"/>
      <c r="K184" s="32">
        <f>1-122761.3/73407.4</f>
        <v>-0.67232867531066365</v>
      </c>
      <c r="L184" s="32">
        <f>110788.337/199795.013</f>
        <v>0.55451002172912089</v>
      </c>
      <c r="M184" s="32">
        <f>1-113018.8/73664.55</f>
        <v>-0.5342359384534352</v>
      </c>
      <c r="N184" s="32">
        <f>1-105320.4/68460.1</f>
        <v>-0.53842018927813395</v>
      </c>
      <c r="O184" s="32">
        <f>1-105320.4/64860.1</f>
        <v>-0.62380878228679881</v>
      </c>
      <c r="P184" s="32">
        <f>1-99447.6/66594</f>
        <v>-0.49334174249932428</v>
      </c>
      <c r="Q184" s="32">
        <f>1-1644/24091.9</f>
        <v>0.93176129736550461</v>
      </c>
      <c r="R184" s="32">
        <f>1-86364/59748.4</f>
        <v>-0.44546130105576043</v>
      </c>
      <c r="S184" s="32">
        <f>1-4059.6/148170.51</f>
        <v>0.97260183554743784</v>
      </c>
      <c r="T184" s="32">
        <f>1-8596.98/151755.78</f>
        <v>0.94334990074183667</v>
      </c>
      <c r="U184" s="32">
        <f>1-1478.8/144385.5</f>
        <v>0.989757974311825</v>
      </c>
      <c r="V184" s="32">
        <f>1-4836.7/150544.6</f>
        <v>0.96787197946655013</v>
      </c>
      <c r="W184" s="32">
        <f>1-4750.7/156633.4</f>
        <v>0.96966994268144602</v>
      </c>
      <c r="X184" s="32">
        <f>1-878.7/161276.7</f>
        <v>0.99455159982812147</v>
      </c>
      <c r="Y184" s="32">
        <f>1-10079.4/148518.3</f>
        <v>0.93213361585743981</v>
      </c>
      <c r="Z184" s="32">
        <f>1-724.8/155207</f>
        <v>0.99533010753380968</v>
      </c>
      <c r="AA184" s="32">
        <f>1-13912.6/143966.85</f>
        <v>0.90336247545876014</v>
      </c>
      <c r="AB184" s="32">
        <f>1-13494.6/144163.85</f>
        <v>0.90639400931648262</v>
      </c>
      <c r="AC184" s="32">
        <f>1-2272.6/154318.35</f>
        <v>0.9852733002912486</v>
      </c>
      <c r="AD184" s="32">
        <f>1-2293.6/151881.35</f>
        <v>0.98489873839019737</v>
      </c>
      <c r="AE184" s="32">
        <f>1-2628.1/157655.45</f>
        <v>0.98333010371668095</v>
      </c>
      <c r="AF184" s="32">
        <f>1-14966.7/154348.35</f>
        <v>0.90303297702890895</v>
      </c>
      <c r="AG184" s="32">
        <f>1-865.5/151992.65</f>
        <v>0.99430564570063096</v>
      </c>
      <c r="AH184" s="32">
        <f>1-426/155805.25</f>
        <v>0.99726581742271203</v>
      </c>
      <c r="AI184" s="32">
        <f>1-429/160651.63</f>
        <v>0.99732962560043736</v>
      </c>
      <c r="AJ184" s="32">
        <f>1-658.6/152725.33</f>
        <v>0.99568768324154222</v>
      </c>
      <c r="AK184" s="32">
        <f>1-2264.03/166526.73</f>
        <v>0.9864044048664139</v>
      </c>
      <c r="AL184" s="32">
        <f>1-2264.03/166526.73</f>
        <v>0.9864044048664139</v>
      </c>
      <c r="AM184" s="32">
        <f>1-412.01/163140.85</f>
        <v>0.99747451358749206</v>
      </c>
      <c r="AN184" s="18">
        <f>1-2158/163315.65</f>
        <v>0.98678632451941994</v>
      </c>
      <c r="AO184" s="18">
        <f>1-9788.75/163606.65</f>
        <v>0.94016899679811305</v>
      </c>
      <c r="AP184" s="18">
        <f>1-27218.4/146490.5</f>
        <v>0.81419682505008861</v>
      </c>
      <c r="AQ184" s="18">
        <f>1-3742.86/150004.82</f>
        <v>0.97504840177802288</v>
      </c>
      <c r="AR184" s="18">
        <f>1-331/146335.08</f>
        <v>0.99773806800119291</v>
      </c>
      <c r="AS184" s="18">
        <f>1-328/148496.08</f>
        <v>0.99779118748454509</v>
      </c>
      <c r="AT184" s="18">
        <f>1-375.005/146770.375</f>
        <v>0.99744495440581926</v>
      </c>
      <c r="AU184" s="18">
        <f>1-416/147042.04</f>
        <v>0.99717087711786367</v>
      </c>
      <c r="AV184" s="18">
        <f>1-1113/141383.96</f>
        <v>0.99212781987433374</v>
      </c>
      <c r="AW184" s="18">
        <f>1-2739.4/137310.16</f>
        <v>0.98004954622440177</v>
      </c>
      <c r="AX184" s="18">
        <f>1-1288.36/169692</f>
        <v>0.992407656224218</v>
      </c>
      <c r="AY184" s="18">
        <f>1-6534.36/154035.58</f>
        <v>0.95757889183784684</v>
      </c>
      <c r="AZ184" s="18">
        <f>1-2568.36/154769.98</f>
        <v>0.98340530896237111</v>
      </c>
      <c r="BA184" s="18">
        <f>1-2623.36/169067.68</f>
        <v>0.98448337375895856</v>
      </c>
      <c r="BB184" s="18" t="s">
        <v>17</v>
      </c>
      <c r="BC184" s="18" t="s">
        <v>17</v>
      </c>
      <c r="BD184" s="18" t="s">
        <v>17</v>
      </c>
      <c r="BE184" s="18" t="s">
        <v>17</v>
      </c>
      <c r="BF184" s="18" t="s">
        <v>17</v>
      </c>
      <c r="BG184" s="18" t="s">
        <v>17</v>
      </c>
      <c r="BH184" s="18" t="s">
        <v>17</v>
      </c>
      <c r="BI184" s="18" t="s">
        <v>17</v>
      </c>
      <c r="BJ184" s="18" t="s">
        <v>17</v>
      </c>
      <c r="BK184" s="18" t="s">
        <v>17</v>
      </c>
    </row>
    <row r="185" spans="1:63" ht="27.95" hidden="1" customHeight="1">
      <c r="A185" s="14" t="s">
        <v>227</v>
      </c>
      <c r="B185" s="15" t="s">
        <v>230</v>
      </c>
      <c r="C185" s="15" t="s">
        <v>26</v>
      </c>
      <c r="D185" s="15"/>
      <c r="E185" s="43"/>
      <c r="F185" s="43"/>
      <c r="G185" s="17" t="str">
        <f>VLOOKUP(A185,'KPI Описание'!A:K,11,0)</f>
        <v>Ревизор</v>
      </c>
      <c r="H185" s="17" t="s">
        <v>37</v>
      </c>
      <c r="I185" s="18"/>
      <c r="J185" s="19"/>
      <c r="K185" s="32">
        <f>1-111303.337/200022.013</f>
        <v>0.44354456126786412</v>
      </c>
      <c r="L185" s="32">
        <f>1-110788.337/199795.013</f>
        <v>0.44548997827087911</v>
      </c>
      <c r="M185" s="32">
        <f>1-111656.697/201941.053</f>
        <v>0.44708272368967006</v>
      </c>
      <c r="N185" s="32">
        <f>1-111397.697/201670.053</f>
        <v>0.44762400097152755</v>
      </c>
      <c r="O185" s="32">
        <f>1-111397.697/201704.053</f>
        <v>0.4477171115644365</v>
      </c>
      <c r="P185" s="32">
        <f>1-75644.497/2277813.333</f>
        <v>0.96679073921286951</v>
      </c>
      <c r="Q185" s="32">
        <f>1-20110/224709.33</f>
        <v>0.91050660869310585</v>
      </c>
      <c r="R185" s="32">
        <f>1-11908/238726.733</f>
        <v>0.95011869910689895</v>
      </c>
      <c r="S185" s="32">
        <f>1-13259.777/250153.613</f>
        <v>0.94699346197330359</v>
      </c>
      <c r="T185" s="32">
        <f>1-10724.777/252679.613</f>
        <v>0.95755582782216786</v>
      </c>
      <c r="U185" s="32">
        <f>1-8922.297/249615.613</f>
        <v>0.96425585365928213</v>
      </c>
      <c r="V185" s="32">
        <f>1-7287.777/250616.093</f>
        <v>0.9709205545710905</v>
      </c>
      <c r="W185" s="32">
        <f>1-7884.77/252125.093</f>
        <v>0.96872675422275401</v>
      </c>
      <c r="X185" s="32">
        <f>1-6258.777/257878.593</f>
        <v>0.9757297535743884</v>
      </c>
      <c r="Y185" s="32">
        <f>1-10518.777/245718.193</f>
        <v>0.95719170456377234</v>
      </c>
      <c r="Z185" s="32">
        <f>1-7854.177/245561.953</f>
        <v>0.96801549709127777</v>
      </c>
      <c r="AA185" s="32">
        <f>1-6639.177/264371.953</f>
        <v>0.9748869843239385</v>
      </c>
      <c r="AB185" s="32">
        <f>1-6543.177/264446.953</f>
        <v>0.97525712841168566</v>
      </c>
      <c r="AC185" s="32">
        <f>1-10529.177/262208.053</f>
        <v>0.95984418907225555</v>
      </c>
      <c r="AD185" s="32">
        <f>1-6688.177/255828.053</f>
        <v>0.97385674900946062</v>
      </c>
      <c r="AE185" s="32">
        <f>1-7467.177/272279.533</f>
        <v>0.97257532757704557</v>
      </c>
      <c r="AF185" s="32">
        <f>1-27731.057/263147.053</f>
        <v>0.89461764179437719</v>
      </c>
      <c r="AG185" s="32">
        <f>1-8046.597/262639.513</f>
        <v>0.96936258026034339</v>
      </c>
      <c r="AH185" s="32">
        <f>1-5837.177/257961.673</f>
        <v>0.97737192144819129</v>
      </c>
      <c r="AI185" s="32">
        <f>1-5509.897/249664.673</f>
        <v>0.97793081041946206</v>
      </c>
      <c r="AJ185" s="32">
        <f>1-5418.287/251659.273</f>
        <v>0.97846975024838445</v>
      </c>
      <c r="AK185" s="32">
        <f>1-5371.287/257861.273</f>
        <v>0.97916985773974674</v>
      </c>
      <c r="AL185" s="32">
        <f>1-5371.287/257861.273</f>
        <v>0.97916985773974674</v>
      </c>
      <c r="AM185" s="32">
        <f>1-5039.007/241564.313</f>
        <v>0.97914010170864929</v>
      </c>
      <c r="AN185" s="18">
        <f>1-4928.007/231728.633</f>
        <v>0.97873371565610534</v>
      </c>
      <c r="AO185" s="18">
        <f>1-5938.447/229728.633</f>
        <v>0.97415016612230487</v>
      </c>
      <c r="AP185" s="18">
        <f>1-21598.007/244632.2</f>
        <v>0.91171232977506644</v>
      </c>
      <c r="AQ185" s="18">
        <f>1-3861.007/240436.193</f>
        <v>0.98394165640444986</v>
      </c>
      <c r="AR185" s="18">
        <f>1-5081.007/218769.513</f>
        <v>0.97677461118634024</v>
      </c>
      <c r="AS185" s="18">
        <f>1-2857.007/210842.513</f>
        <v>0.98644956864083666</v>
      </c>
      <c r="AT185" s="18">
        <f>1-9456.007/210371.513</f>
        <v>0.95505091509229201</v>
      </c>
      <c r="AU185" s="18">
        <f>1-6185.007/200679.513</f>
        <v>0.96917967904376967</v>
      </c>
      <c r="AV185" s="18">
        <f>1-7318.007/193914.753</f>
        <v>0.96226173157645201</v>
      </c>
      <c r="AW185" s="18">
        <f>1-2145.007/196834.753</f>
        <v>0.98910249858164023</v>
      </c>
      <c r="AX185" s="18">
        <f>1-1026.007/197899.593</f>
        <v>0.99481551738208984</v>
      </c>
      <c r="AY185" s="18">
        <f>1-29.007/194313.593</f>
        <v>0.99985072068529968</v>
      </c>
      <c r="AZ185" s="18">
        <f>1-873.007/193705.593</f>
        <v>0.99549312445511062</v>
      </c>
      <c r="BA185" s="18">
        <f>1-2203.107/195468.593</f>
        <v>0.98872909982014345</v>
      </c>
      <c r="BB185" s="18" t="s">
        <v>17</v>
      </c>
      <c r="BC185" s="18" t="s">
        <v>17</v>
      </c>
      <c r="BD185" s="18" t="s">
        <v>17</v>
      </c>
      <c r="BE185" s="18" t="s">
        <v>17</v>
      </c>
      <c r="BF185" s="18" t="s">
        <v>17</v>
      </c>
      <c r="BG185" s="18" t="s">
        <v>17</v>
      </c>
      <c r="BH185" s="18" t="s">
        <v>17</v>
      </c>
      <c r="BI185" s="18" t="s">
        <v>17</v>
      </c>
      <c r="BJ185" s="18" t="s">
        <v>17</v>
      </c>
      <c r="BK185" s="18" t="s">
        <v>17</v>
      </c>
    </row>
    <row r="186" spans="1:63" ht="27.95" hidden="1" customHeight="1">
      <c r="A186" s="14" t="s">
        <v>227</v>
      </c>
      <c r="B186" s="15" t="s">
        <v>230</v>
      </c>
      <c r="C186" s="15" t="s">
        <v>26</v>
      </c>
      <c r="D186" s="15"/>
      <c r="E186" s="43"/>
      <c r="F186" s="43"/>
      <c r="G186" s="17" t="str">
        <f>VLOOKUP(A186,'KPI Описание'!A:K,11,0)</f>
        <v>Ревизор</v>
      </c>
      <c r="H186" s="17" t="s">
        <v>40</v>
      </c>
      <c r="I186" s="18"/>
      <c r="J186" s="19"/>
      <c r="K186" s="32">
        <f>1-227014.05/544197.75</f>
        <v>0.58284640096362028</v>
      </c>
      <c r="L186" s="32">
        <f>1-227317.05/546362.75</f>
        <v>0.58394482420333382</v>
      </c>
      <c r="M186" s="32">
        <f>1-220317.05/537708.75</f>
        <v>0.59026694283847903</v>
      </c>
      <c r="N186" s="32">
        <f>1-203974.65/552189.15</f>
        <v>0.63060728375412667</v>
      </c>
      <c r="O186" s="32">
        <f>1-203974.65/552189.15</f>
        <v>0.63060728375412667</v>
      </c>
      <c r="P186" s="32">
        <f>1-182726.88/574137.51</f>
        <v>0.68173673237270282</v>
      </c>
      <c r="Q186" s="32">
        <f>1-105290/572875.33</f>
        <v>0.81620783007011322</v>
      </c>
      <c r="R186" s="32">
        <f>1-16299/648330.74</f>
        <v>0.97486005368186002</v>
      </c>
      <c r="S186" s="32">
        <f>1-20294.47/698255.06</f>
        <v>0.97093544871697746</v>
      </c>
      <c r="T186" s="32">
        <f>1-19555.47/713855.78</f>
        <v>0.97260585324391435</v>
      </c>
      <c r="U186" s="32">
        <f>1-14618.67/682778.25</f>
        <v>0.97858943222049033</v>
      </c>
      <c r="V186" s="32">
        <f>1-217870.35/811036.85</f>
        <v>0.73136812464193213</v>
      </c>
      <c r="W186" s="32">
        <f>1-13026.17/840302.83</f>
        <v>0.98449824332972913</v>
      </c>
      <c r="X186" s="32">
        <f>1-12306.55/844096.63</f>
        <v>0.98542044884126601</v>
      </c>
      <c r="Y186" s="32">
        <f>1-62066.25/828323.85</f>
        <v>0.92507006770359201</v>
      </c>
      <c r="Z186" s="32">
        <f>1-71489.72/768552.93</f>
        <v>0.90698139684406642</v>
      </c>
      <c r="AA186" s="32">
        <f>1-48019.72/670880.24</f>
        <v>0.92842281358592404</v>
      </c>
      <c r="AB186" s="32">
        <f>1-111294.38/670660.24</f>
        <v>0.83405251517519507</v>
      </c>
      <c r="AC186" s="32">
        <f>1-36730.41/565040.68</f>
        <v>0.93499510513119166</v>
      </c>
      <c r="AD186" s="32">
        <f>1-41101.24/647367.09</f>
        <v>0.93651014913346919</v>
      </c>
      <c r="AE186" s="32">
        <f>1-13495.82/594751.47</f>
        <v>0.97730847138553523</v>
      </c>
      <c r="AF186" s="32">
        <f>1-128070.39/564958.68</f>
        <v>0.77331016491329951</v>
      </c>
      <c r="AG186" s="32">
        <f>1-8102.83/597598.11</f>
        <v>0.98644100464106221</v>
      </c>
      <c r="AH186" s="32">
        <f>1-7354.84/575108.6</f>
        <v>0.98721138929238761</v>
      </c>
      <c r="AI186" s="32">
        <f>1-13794.13/567713.8</f>
        <v>0.97570231690686404</v>
      </c>
      <c r="AJ186" s="32">
        <f>1-14733.91/534058.72</f>
        <v>0.97241144194780682</v>
      </c>
      <c r="AK186" s="32">
        <f>1-5579.39/475291.5</f>
        <v>0.98826111975492936</v>
      </c>
      <c r="AL186" s="32">
        <f>1-5579.39/475291.5</f>
        <v>0.98826111975492936</v>
      </c>
      <c r="AM186" s="32">
        <f>1-6066.39/477593.76</f>
        <v>0.98729801243634341</v>
      </c>
      <c r="AN186" s="18">
        <f>1-4702.88/560473.76</f>
        <v>0.99160909870249769</v>
      </c>
      <c r="AO186" s="18">
        <f>1-185953.04/560130.76</f>
        <v>0.66801851767612264</v>
      </c>
      <c r="AP186" s="18">
        <f>1-16817.52/692452.52</f>
        <v>0.97571310737666173</v>
      </c>
      <c r="AQ186" s="18">
        <f>1-8682.72/683796.86</f>
        <v>0.98730219381235529</v>
      </c>
      <c r="AR186" s="18">
        <f>1-11577.08/664796.06</f>
        <v>0.98258551652667736</v>
      </c>
      <c r="AS186" s="18">
        <f>1-6875.6/682127.6</f>
        <v>0.98992036094126667</v>
      </c>
      <c r="AT186" s="18">
        <f>1-3018/740090.8</f>
        <v>0.9959221219882749</v>
      </c>
      <c r="AU186" s="18">
        <f>1-5790/729411.4</f>
        <v>0.99206209280523994</v>
      </c>
      <c r="AV186" s="18">
        <f>1-4812.04/736377.26</f>
        <v>0.99346525176510747</v>
      </c>
      <c r="AW186" s="18">
        <f>1-10748.13/712819.42</f>
        <v>0.98492166501299871</v>
      </c>
      <c r="AX186" s="18">
        <f>1-51643/713607.29</f>
        <v>0.92763106441919896</v>
      </c>
      <c r="AY186" s="18">
        <f>1-19450.8/760376.82</f>
        <v>0.97441952530851739</v>
      </c>
      <c r="AZ186" s="18">
        <f>1-2496/726184.94</f>
        <v>0.99656285904249131</v>
      </c>
      <c r="BA186" s="18">
        <f>1-153990.7/711695.7</f>
        <v>0.78362845244112056</v>
      </c>
      <c r="BB186" s="18" t="s">
        <v>17</v>
      </c>
      <c r="BC186" s="18" t="s">
        <v>17</v>
      </c>
      <c r="BD186" s="18" t="s">
        <v>17</v>
      </c>
      <c r="BE186" s="18" t="s">
        <v>17</v>
      </c>
      <c r="BF186" s="18" t="s">
        <v>17</v>
      </c>
      <c r="BG186" s="18" t="s">
        <v>17</v>
      </c>
      <c r="BH186" s="18" t="s">
        <v>17</v>
      </c>
      <c r="BI186" s="18" t="s">
        <v>17</v>
      </c>
      <c r="BJ186" s="18" t="s">
        <v>17</v>
      </c>
      <c r="BK186" s="18" t="s">
        <v>17</v>
      </c>
    </row>
    <row r="187" spans="1:63" ht="27.95" hidden="1" customHeight="1">
      <c r="A187" s="14" t="s">
        <v>227</v>
      </c>
      <c r="B187" s="15" t="s">
        <v>230</v>
      </c>
      <c r="C187" s="15" t="s">
        <v>26</v>
      </c>
      <c r="D187" s="15"/>
      <c r="E187" s="43"/>
      <c r="F187" s="43"/>
      <c r="G187" s="17" t="str">
        <f>VLOOKUP(A187,'KPI Описание'!A:K,11,0)</f>
        <v>Ревизор</v>
      </c>
      <c r="H187" s="17" t="s">
        <v>43</v>
      </c>
      <c r="I187" s="18"/>
      <c r="J187" s="19"/>
      <c r="K187" s="32">
        <f>1-50916.43/234852.64</f>
        <v>0.78319839197890218</v>
      </c>
      <c r="L187" s="32">
        <f>1-51375/233859.42</f>
        <v>0.7803167390049971</v>
      </c>
      <c r="M187" s="32">
        <f>1-50072.73/231359.26</f>
        <v>0.78357153286192216</v>
      </c>
      <c r="N187" s="32">
        <f>1-51492.33/250717.74</f>
        <v>0.79462031685512158</v>
      </c>
      <c r="O187" s="32">
        <f>1-51492.33/250717.74</f>
        <v>0.79462031685512158</v>
      </c>
      <c r="P187" s="32">
        <f>1-37064.82/241777.15</f>
        <v>0.84669841628954601</v>
      </c>
      <c r="Q187" s="32">
        <f>1-16149/225539.19</f>
        <v>0.92839825309295465</v>
      </c>
      <c r="R187" s="32">
        <f>1-6716.9/217227.99</f>
        <v>0.96907903074553148</v>
      </c>
      <c r="S187" s="32">
        <f>1-2570.26/222845.99</f>
        <v>0.98846620484398218</v>
      </c>
      <c r="T187" s="32">
        <f>1-4390.5/223229.38</f>
        <v>0.98033189000480137</v>
      </c>
      <c r="U187" s="32">
        <f>1-6173.22/222591.26</f>
        <v>0.97226656608170514</v>
      </c>
      <c r="V187" s="32">
        <f>1-3275.89/232430.42</f>
        <v>0.98590593262276083</v>
      </c>
      <c r="W187" s="32">
        <f>1-2963.89/230195.94</f>
        <v>0.98712449055356932</v>
      </c>
      <c r="X187" s="32">
        <f>1-6396.35/224565.66</f>
        <v>0.97151679379652256</v>
      </c>
      <c r="Y187" s="32">
        <f>1-23855.93/200586.78</f>
        <v>0.88106928083695246</v>
      </c>
      <c r="Z187" s="32">
        <f>1-6998.28/157960.76</f>
        <v>0.95569608553415419</v>
      </c>
      <c r="AA187" s="32">
        <f>1-14914.965/176385.865</f>
        <v>0.91544126849393515</v>
      </c>
      <c r="AB187" s="32">
        <f>1-15997.045/176431.865</f>
        <v>0.90933018250416386</v>
      </c>
      <c r="AC187" s="32">
        <f>1-13208.165/194199.185</f>
        <v>0.93198650653451509</v>
      </c>
      <c r="AD187" s="32">
        <f>1-3553.765/172255.825</f>
        <v>0.97936926080729059</v>
      </c>
      <c r="AE187" s="32">
        <f>1-10715.765/163323.665</f>
        <v>0.93438939176389413</v>
      </c>
      <c r="AF187" s="32">
        <f>1-64465.325/193928.625</f>
        <v>0.6675822096918389</v>
      </c>
      <c r="AG187" s="32">
        <f>1-1869.565/147412.705</f>
        <v>0.98731747714689855</v>
      </c>
      <c r="AH187" s="32">
        <f>1-916.365/144477.635</f>
        <v>0.99365739202472414</v>
      </c>
      <c r="AI187" s="32">
        <f>1-987.365/133710.115</f>
        <v>0.99261562971507433</v>
      </c>
      <c r="AJ187" s="32">
        <f>1-1044.425/132007.035</f>
        <v>0.99208811106165673</v>
      </c>
      <c r="AK187" s="32">
        <f>1-1194.525/144221.855</f>
        <v>0.99171744809411866</v>
      </c>
      <c r="AL187" s="32">
        <f>1-1194.525/144221.855</f>
        <v>0.99171744809411866</v>
      </c>
      <c r="AM187" s="32">
        <f>1-2203.725/143098.975</f>
        <v>0.98459999451428637</v>
      </c>
      <c r="AN187" s="18">
        <f>1-32994.765/141734.975</f>
        <v>0.76720802328430227</v>
      </c>
      <c r="AO187" s="18">
        <f>1-34370.765/141204.975</f>
        <v>0.75658956067234884</v>
      </c>
      <c r="AP187" s="18">
        <f>1-17488.585/183647.39</f>
        <v>0.90477084918005102</v>
      </c>
      <c r="AQ187" s="18">
        <f>1-2975.725/167782.555</f>
        <v>0.98226439572338142</v>
      </c>
      <c r="AR187" s="18">
        <f>1-1191.885/161918.555</f>
        <v>0.99263898445734033</v>
      </c>
      <c r="AS187" s="18">
        <f>1-408.725/153185.275</f>
        <v>0.9973318257906969</v>
      </c>
      <c r="AT187" s="18">
        <f>1-3127.605/152764.555</f>
        <v>0.97952663168494813</v>
      </c>
      <c r="AU187" s="18">
        <f>1-391.725/146856.675</f>
        <v>0.99733260336991836</v>
      </c>
      <c r="AV187" s="18">
        <f>1-2866.725/146379.875</f>
        <v>0.98041585293060263</v>
      </c>
      <c r="AW187" s="18">
        <f>1-1076.72/145361.55</f>
        <v>0.99259281426209334</v>
      </c>
      <c r="AX187" s="18">
        <f>1-3810.52/198374.55</f>
        <v>0.98079128597897258</v>
      </c>
      <c r="AY187" s="18">
        <f>1-9584.38/184318.39</f>
        <v>0.94800095638856219</v>
      </c>
      <c r="AZ187" s="18">
        <f>1-6004.56/166886.13</f>
        <v>0.96402001772106527</v>
      </c>
      <c r="BA187" s="18">
        <f>1-3351.28/160115.62</f>
        <v>0.97906962481236992</v>
      </c>
      <c r="BB187" s="18" t="s">
        <v>17</v>
      </c>
      <c r="BC187" s="18" t="s">
        <v>17</v>
      </c>
      <c r="BD187" s="18" t="s">
        <v>17</v>
      </c>
      <c r="BE187" s="18" t="s">
        <v>17</v>
      </c>
      <c r="BF187" s="18" t="s">
        <v>17</v>
      </c>
      <c r="BG187" s="18" t="s">
        <v>17</v>
      </c>
      <c r="BH187" s="18" t="s">
        <v>17</v>
      </c>
      <c r="BI187" s="18" t="s">
        <v>17</v>
      </c>
      <c r="BJ187" s="18" t="s">
        <v>17</v>
      </c>
      <c r="BK187" s="18" t="s">
        <v>17</v>
      </c>
    </row>
    <row r="188" spans="1:63" s="72" customFormat="1" ht="27.95" hidden="1" customHeight="1">
      <c r="A188" s="81" t="s">
        <v>227</v>
      </c>
      <c r="B188" s="83" t="s">
        <v>230</v>
      </c>
      <c r="C188" s="83" t="s">
        <v>26</v>
      </c>
      <c r="D188" s="83"/>
      <c r="E188" s="85"/>
      <c r="F188" s="85"/>
      <c r="G188" s="87" t="str">
        <f>VLOOKUP(A188,'KPI Описание'!A:K,11,0)</f>
        <v>Ревизор</v>
      </c>
      <c r="H188" s="87" t="s">
        <v>183</v>
      </c>
      <c r="I188" s="89"/>
      <c r="J188" s="94"/>
      <c r="K188" s="103">
        <f>1-576445/722453.66</f>
        <v>0.20210107316779324</v>
      </c>
      <c r="L188" s="103">
        <f>1-593000/715158.66</f>
        <v>0.17081336888236809</v>
      </c>
      <c r="M188" s="103">
        <f>1-564931/809075.66</f>
        <v>0.30175751424780228</v>
      </c>
      <c r="N188" s="103">
        <f>1-393682/1001220.66</f>
        <v>0.60679796599482883</v>
      </c>
      <c r="O188" s="103">
        <f>1-393682/1001220.66</f>
        <v>0.60679796599482883</v>
      </c>
      <c r="P188" s="103">
        <f>1-236100/1274678.66</f>
        <v>0.81477684736637856</v>
      </c>
      <c r="Q188" s="103">
        <f>1-49486/1324917.7</f>
        <v>0.9626497555282113</v>
      </c>
      <c r="R188" s="103">
        <f>1-25503/1258691.99</f>
        <v>0.97973849027195292</v>
      </c>
      <c r="S188" s="103">
        <f>1-48073/1374648.66</f>
        <v>0.96502888236183926</v>
      </c>
      <c r="T188" s="103">
        <f>1-30520/1378498.66</f>
        <v>0.97785997122405621</v>
      </c>
      <c r="U188" s="103">
        <f>1-26590/1212688.66</f>
        <v>0.97807351476346782</v>
      </c>
      <c r="V188" s="103">
        <f>1-22881/1240552.66</f>
        <v>0.98155580110561369</v>
      </c>
      <c r="W188" s="103">
        <f>1-31351/1820894.66</f>
        <v>0.98278263938672872</v>
      </c>
      <c r="X188" s="103">
        <f>1-73356/1723705.66</f>
        <v>0.95744285019055975</v>
      </c>
      <c r="Y188" s="103">
        <f>1-151033/1776817.66</f>
        <v>0.91499803080525433</v>
      </c>
      <c r="Z188" s="103">
        <f>1-31329/1591721.66</f>
        <v>0.98031753868323934</v>
      </c>
      <c r="AA188" s="103">
        <f>1-57660/1500022.66</f>
        <v>0.9615605806914943</v>
      </c>
      <c r="AB188" s="103">
        <f>1-73289/1497128.66</f>
        <v>0.95104695945103346</v>
      </c>
      <c r="AC188" s="103">
        <f>1-103715/1308633.66</f>
        <v>0.92074558131112105</v>
      </c>
      <c r="AD188" s="103">
        <f>1-89453/1310847.66</f>
        <v>0.93175942351684105</v>
      </c>
      <c r="AE188" s="103">
        <f>1-19948/1224262.66</f>
        <v>0.98370611090923898</v>
      </c>
      <c r="AF188" s="103">
        <f>1-193632/1411901.66</f>
        <v>0.86285730409864381</v>
      </c>
      <c r="AG188" s="103">
        <f>1-21581/1324853.66</f>
        <v>0.98371065374873179</v>
      </c>
      <c r="AH188" s="103">
        <f>1-20023/1295611.66</f>
        <v>0.98454552346341184</v>
      </c>
      <c r="AI188" s="103">
        <f>1-38027/1224240.66</f>
        <v>0.96893829682147625</v>
      </c>
      <c r="AJ188" s="103">
        <f>1-19576/1266491.66</f>
        <v>0.9845431275875911</v>
      </c>
      <c r="AK188" s="103">
        <f>1-2871/1297112.66</f>
        <v>0.99778662248196703</v>
      </c>
      <c r="AL188" s="103">
        <f>1-2871/1297112.66</f>
        <v>0.99778662248196703</v>
      </c>
      <c r="AM188" s="103">
        <f>1-60635/1389882.66</f>
        <v>0.95637401505534292</v>
      </c>
      <c r="AN188" s="89">
        <f>1-3129/1337410.66</f>
        <v>0.99766040447142834</v>
      </c>
      <c r="AO188" s="89">
        <f>1-111429/1339352.66</f>
        <v>0.91680383865441384</v>
      </c>
      <c r="AP188" s="89">
        <f>1-80831/1329327.66</f>
        <v>0.9391940734912565</v>
      </c>
      <c r="AQ188" s="89">
        <f>1-32967.858/4630655.358</f>
        <v>0.99288052004495564</v>
      </c>
      <c r="AR188" s="89">
        <f>1-3168/1699627.66</f>
        <v>0.99813606234203089</v>
      </c>
      <c r="AS188" s="89">
        <f>1-602930/1302123.66</f>
        <v>0.53696410062927513</v>
      </c>
      <c r="AT188" s="89">
        <f>1-1090/1769044.66</f>
        <v>0.99938384822913406</v>
      </c>
      <c r="AU188" s="89">
        <f>1-11373/1631329.66</f>
        <v>0.99302838642681213</v>
      </c>
      <c r="AV188" s="89">
        <f>1-83175/1657940.66</f>
        <v>0.94983234200915245</v>
      </c>
      <c r="AW188" s="89">
        <f>1-155358/1500609.66</f>
        <v>0.89647007870121265</v>
      </c>
      <c r="AX188" s="89">
        <f>1-83050/1353357.66</f>
        <v>0.93863410800068914</v>
      </c>
      <c r="AY188" s="89">
        <f>1-92026/1241096.66</f>
        <v>0.92585106143142792</v>
      </c>
      <c r="AZ188" s="89">
        <f>1-73046/1705846.66</f>
        <v>0.957179035072238</v>
      </c>
      <c r="BA188" s="89">
        <f>1-85192/1516650.66</f>
        <v>0.94382885772785674</v>
      </c>
      <c r="BB188" s="89" t="s">
        <v>17</v>
      </c>
      <c r="BC188" s="89" t="s">
        <v>17</v>
      </c>
      <c r="BD188" s="89" t="s">
        <v>17</v>
      </c>
      <c r="BE188" s="89" t="s">
        <v>17</v>
      </c>
      <c r="BF188" s="89" t="s">
        <v>17</v>
      </c>
      <c r="BG188" s="89" t="s">
        <v>17</v>
      </c>
      <c r="BH188" s="89" t="s">
        <v>17</v>
      </c>
      <c r="BI188" s="89" t="s">
        <v>17</v>
      </c>
      <c r="BJ188" s="89" t="s">
        <v>17</v>
      </c>
      <c r="BK188" s="89" t="s">
        <v>17</v>
      </c>
    </row>
    <row r="189" spans="1:63" s="72" customFormat="1" ht="39" hidden="1" customHeight="1">
      <c r="A189" s="5" t="s">
        <v>231</v>
      </c>
      <c r="B189" s="6" t="s">
        <v>232</v>
      </c>
      <c r="C189" s="6" t="s">
        <v>224</v>
      </c>
      <c r="D189" s="6" t="s">
        <v>19</v>
      </c>
      <c r="E189" s="42" t="s">
        <v>225</v>
      </c>
      <c r="F189" s="42" t="s">
        <v>233</v>
      </c>
      <c r="G189" s="8" t="str">
        <f>VLOOKUP(A189,'KPI Описание'!A:K,11,0)</f>
        <v>Ревизор</v>
      </c>
      <c r="H189" s="8" t="s">
        <v>16</v>
      </c>
      <c r="I189" s="11">
        <f>VLOOKUP(A189,'KPI Описание'!A:P,16,0)</f>
        <v>50</v>
      </c>
      <c r="J189" s="10" t="str">
        <f>IFERROR(VLOOKUP(A189,'KPI Описание'!A:Q,17,0),0)</f>
        <v>lower</v>
      </c>
      <c r="K189" s="11" t="s">
        <v>17</v>
      </c>
      <c r="L189" s="11">
        <v>116</v>
      </c>
      <c r="M189" s="11">
        <v>116</v>
      </c>
      <c r="N189" s="11">
        <v>105</v>
      </c>
      <c r="O189" s="11">
        <v>121</v>
      </c>
      <c r="P189" s="11">
        <v>145</v>
      </c>
      <c r="Q189" s="11">
        <v>162</v>
      </c>
      <c r="R189" s="11">
        <v>294</v>
      </c>
      <c r="S189" s="11">
        <v>193</v>
      </c>
      <c r="T189" s="11">
        <v>104</v>
      </c>
      <c r="U189" s="11">
        <v>283</v>
      </c>
      <c r="V189" s="11">
        <v>236</v>
      </c>
      <c r="W189" s="11">
        <v>191</v>
      </c>
      <c r="X189" s="11">
        <v>439</v>
      </c>
      <c r="Y189" s="11">
        <v>254</v>
      </c>
      <c r="Z189" s="11">
        <v>203</v>
      </c>
      <c r="AA189" s="11">
        <v>160</v>
      </c>
      <c r="AB189" s="11">
        <v>145</v>
      </c>
      <c r="AC189" s="11"/>
      <c r="AD189" s="11">
        <v>159</v>
      </c>
      <c r="AE189" s="11">
        <v>151</v>
      </c>
      <c r="AF189" s="11">
        <v>10</v>
      </c>
      <c r="AG189" s="11">
        <v>8</v>
      </c>
      <c r="AH189" s="11">
        <v>44</v>
      </c>
      <c r="AI189" s="11">
        <v>61</v>
      </c>
      <c r="AJ189" s="11">
        <v>43</v>
      </c>
      <c r="AK189" s="11">
        <v>42</v>
      </c>
      <c r="AL189" s="11">
        <v>45</v>
      </c>
      <c r="AM189" s="11">
        <v>29</v>
      </c>
      <c r="AN189" s="11">
        <v>41</v>
      </c>
      <c r="AO189" s="11">
        <v>35</v>
      </c>
      <c r="AP189" s="11">
        <v>156</v>
      </c>
      <c r="AQ189" s="11">
        <v>86</v>
      </c>
      <c r="AR189" s="11">
        <v>92</v>
      </c>
      <c r="AS189" s="11">
        <v>39</v>
      </c>
      <c r="AT189" s="11">
        <v>59</v>
      </c>
      <c r="AU189" s="11">
        <v>43</v>
      </c>
      <c r="AV189" s="11">
        <v>69</v>
      </c>
      <c r="AW189" s="11">
        <v>62</v>
      </c>
      <c r="AX189" s="93">
        <v>46</v>
      </c>
      <c r="AY189" s="11">
        <v>115</v>
      </c>
      <c r="AZ189" s="11">
        <v>177</v>
      </c>
      <c r="BA189" s="11">
        <v>356</v>
      </c>
      <c r="BB189" s="11" t="s">
        <v>17</v>
      </c>
      <c r="BC189" s="11" t="s">
        <v>17</v>
      </c>
      <c r="BD189" s="11" t="s">
        <v>17</v>
      </c>
      <c r="BE189" s="11" t="s">
        <v>17</v>
      </c>
      <c r="BF189" s="11" t="s">
        <v>17</v>
      </c>
      <c r="BG189" s="11" t="s">
        <v>17</v>
      </c>
      <c r="BH189" s="11" t="s">
        <v>17</v>
      </c>
      <c r="BI189" s="11" t="s">
        <v>17</v>
      </c>
      <c r="BJ189" s="11" t="s">
        <v>17</v>
      </c>
      <c r="BK189" s="11" t="s">
        <v>17</v>
      </c>
    </row>
    <row r="190" spans="1:63" ht="27.95" customHeight="1">
      <c r="A190" s="82" t="s">
        <v>234</v>
      </c>
      <c r="B190" s="84" t="s">
        <v>22</v>
      </c>
      <c r="C190" s="84" t="s">
        <v>12</v>
      </c>
      <c r="D190" s="84" t="s">
        <v>19</v>
      </c>
      <c r="E190" s="86" t="s">
        <v>14</v>
      </c>
      <c r="F190" s="86" t="s">
        <v>235</v>
      </c>
      <c r="G190" s="88" t="str">
        <f>VLOOKUP(A190,'KPI Описание'!A:K,11,0)</f>
        <v>Оператор</v>
      </c>
      <c r="H190" s="88" t="s">
        <v>16</v>
      </c>
      <c r="I190" s="91">
        <f>VLOOKUP(A190,'KPI Описание'!A:P,16,0)</f>
        <v>0.98</v>
      </c>
      <c r="J190" s="95" t="str">
        <f>IFERROR(VLOOKUP(A190,'KPI Описание'!A:Q,17,0),0)</f>
        <v>higher</v>
      </c>
      <c r="K190" s="92" t="s">
        <v>17</v>
      </c>
      <c r="L190" s="92" t="s">
        <v>17</v>
      </c>
      <c r="M190" s="91">
        <f>1/1*100%</f>
        <v>1</v>
      </c>
      <c r="N190" s="91">
        <f>4/4*100%</f>
        <v>1</v>
      </c>
      <c r="O190" s="91">
        <f>7/7*100%</f>
        <v>1</v>
      </c>
      <c r="P190" s="91">
        <f>3/3*100%</f>
        <v>1</v>
      </c>
      <c r="Q190" s="91">
        <f>8/11*100%</f>
        <v>0.72727272727272729</v>
      </c>
      <c r="R190" s="91">
        <f>6/7*100%</f>
        <v>0.8571428571428571</v>
      </c>
      <c r="S190" s="91">
        <f>13/17</f>
        <v>0.76470588235294112</v>
      </c>
      <c r="T190" s="91">
        <f>14/16</f>
        <v>0.875</v>
      </c>
      <c r="U190" s="91">
        <f>14/16</f>
        <v>0.875</v>
      </c>
      <c r="V190" s="91">
        <f>15/16</f>
        <v>0.9375</v>
      </c>
      <c r="W190" s="91">
        <f>16/16</f>
        <v>1</v>
      </c>
      <c r="X190" s="91">
        <f>9/10</f>
        <v>0.9</v>
      </c>
      <c r="Y190" s="91">
        <f>10/17</f>
        <v>0.58823529411764708</v>
      </c>
      <c r="Z190" s="91">
        <f>17/18</f>
        <v>0.94444444444444442</v>
      </c>
      <c r="AA190" s="91">
        <f>18/20</f>
        <v>0.9</v>
      </c>
      <c r="AB190" s="91">
        <f>11/11</f>
        <v>1</v>
      </c>
      <c r="AC190" s="91">
        <f>10/11</f>
        <v>0.90909090909090906</v>
      </c>
      <c r="AD190" s="91">
        <f>9/10</f>
        <v>0.9</v>
      </c>
      <c r="AE190" s="91">
        <f>13/14</f>
        <v>0.9285714285714286</v>
      </c>
      <c r="AF190" s="108">
        <f>8/10*100%</f>
        <v>0.8</v>
      </c>
      <c r="AG190" s="108">
        <f>16/18*100%</f>
        <v>0.88888888888888884</v>
      </c>
      <c r="AH190" s="91">
        <v>1</v>
      </c>
      <c r="AI190" s="91">
        <v>1</v>
      </c>
      <c r="AJ190" s="92">
        <v>0.98</v>
      </c>
      <c r="AK190" s="92">
        <v>0.92</v>
      </c>
      <c r="AL190" s="91">
        <v>0.9</v>
      </c>
      <c r="AM190" s="91">
        <f>14/16</f>
        <v>0.875</v>
      </c>
      <c r="AN190" s="91">
        <f>40/41</f>
        <v>0.97560975609756095</v>
      </c>
      <c r="AO190" s="91">
        <f>16/19</f>
        <v>0.84210526315789469</v>
      </c>
      <c r="AP190" s="108">
        <v>0.86666666699999995</v>
      </c>
      <c r="AQ190" s="108">
        <v>0.83333333300000001</v>
      </c>
      <c r="AR190" s="108">
        <v>0.81</v>
      </c>
      <c r="AS190" s="104">
        <v>1</v>
      </c>
      <c r="AT190" s="112">
        <v>0.94</v>
      </c>
      <c r="AU190" s="112">
        <v>1</v>
      </c>
      <c r="AV190" s="112">
        <v>1</v>
      </c>
      <c r="AW190" s="112">
        <v>0.9</v>
      </c>
      <c r="AX190" s="104">
        <v>1</v>
      </c>
      <c r="AY190" s="104">
        <v>1</v>
      </c>
      <c r="AZ190" s="104">
        <v>1</v>
      </c>
      <c r="BA190" s="104">
        <v>0.94</v>
      </c>
      <c r="BB190" s="104" t="s">
        <v>17</v>
      </c>
      <c r="BC190" s="104" t="s">
        <v>17</v>
      </c>
      <c r="BD190" s="104" t="s">
        <v>17</v>
      </c>
      <c r="BE190" s="104" t="s">
        <v>17</v>
      </c>
      <c r="BF190" s="104" t="s">
        <v>17</v>
      </c>
      <c r="BG190" s="104" t="s">
        <v>17</v>
      </c>
      <c r="BH190" s="104" t="s">
        <v>17</v>
      </c>
      <c r="BI190" s="104" t="s">
        <v>17</v>
      </c>
      <c r="BJ190" s="104" t="s">
        <v>17</v>
      </c>
      <c r="BK190" s="104" t="s">
        <v>17</v>
      </c>
    </row>
    <row r="191" spans="1:63" ht="27.95" customHeight="1">
      <c r="A191" s="82" t="s">
        <v>236</v>
      </c>
      <c r="B191" s="84" t="s">
        <v>237</v>
      </c>
      <c r="C191" s="84" t="s">
        <v>26</v>
      </c>
      <c r="D191" s="84" t="s">
        <v>13</v>
      </c>
      <c r="E191" s="86" t="s">
        <v>48</v>
      </c>
      <c r="F191" s="86" t="s">
        <v>238</v>
      </c>
      <c r="G191" s="88" t="str">
        <f>VLOOKUP(A191,'KPI Описание'!A:K,11,0)</f>
        <v>Оператор</v>
      </c>
      <c r="H191" s="88" t="s">
        <v>16</v>
      </c>
      <c r="I191" s="91">
        <f>VLOOKUP(A191,'KPI Описание'!A:P,16,0)</f>
        <v>0</v>
      </c>
      <c r="J191" s="95">
        <f>IFERROR(VLOOKUP(A191,'KPI Описание'!A:Q,17,0),0)</f>
        <v>0</v>
      </c>
      <c r="K191" s="102">
        <f>SUM(K192:K196)</f>
        <v>0</v>
      </c>
      <c r="L191" s="102">
        <f>SUM(L192:L196)</f>
        <v>26</v>
      </c>
      <c r="M191" s="102">
        <f>SUM(M192:M196)</f>
        <v>323</v>
      </c>
      <c r="N191" s="102">
        <f>SUM(N192:N196)</f>
        <v>31</v>
      </c>
      <c r="O191" s="102">
        <f>SUM(O192:O196)</f>
        <v>237</v>
      </c>
      <c r="P191" s="102">
        <f>SUM(P192:P196)</f>
        <v>896</v>
      </c>
      <c r="Q191" s="102">
        <f>SUM(Q192:Q196)</f>
        <v>2927</v>
      </c>
      <c r="R191" s="102">
        <f>SUM(R192:R196)</f>
        <v>3976</v>
      </c>
      <c r="S191" s="102">
        <f>SUM(S192:S196)</f>
        <v>11610</v>
      </c>
      <c r="T191" s="102">
        <f>SUM(T192:T196)</f>
        <v>15767</v>
      </c>
      <c r="U191" s="102">
        <f>SUM(U192:U196)</f>
        <v>20620</v>
      </c>
      <c r="V191" s="102">
        <f>SUM(V192:V196)</f>
        <v>15001</v>
      </c>
      <c r="W191" s="102">
        <f>SUM(W192:W196)</f>
        <v>17469</v>
      </c>
      <c r="X191" s="102">
        <f>SUM(X192:X196)</f>
        <v>39846</v>
      </c>
      <c r="Y191" s="102">
        <f>SUM(Y192:Y196)</f>
        <v>17792</v>
      </c>
      <c r="Z191" s="92">
        <v>13471</v>
      </c>
      <c r="AA191" s="92">
        <v>34853</v>
      </c>
      <c r="AB191" s="92">
        <v>13191</v>
      </c>
      <c r="AC191" s="92">
        <v>9032</v>
      </c>
      <c r="AD191" s="92">
        <v>4042</v>
      </c>
      <c r="AE191" s="92">
        <v>8315</v>
      </c>
      <c r="AF191" s="92">
        <v>257</v>
      </c>
      <c r="AG191" s="92">
        <v>0</v>
      </c>
      <c r="AH191" s="92">
        <v>428</v>
      </c>
      <c r="AI191" s="102">
        <v>8063</v>
      </c>
      <c r="AJ191" s="102">
        <v>16245</v>
      </c>
      <c r="AK191" s="92">
        <v>5380</v>
      </c>
      <c r="AL191" s="102">
        <f>AL192+AL193+AL195+AL196</f>
        <v>12012</v>
      </c>
      <c r="AM191" s="102">
        <f>AM192+AM195+AM196</f>
        <v>9755</v>
      </c>
      <c r="AN191" s="92">
        <v>142</v>
      </c>
      <c r="AO191" s="92">
        <f>405</f>
        <v>405</v>
      </c>
      <c r="AP191" s="92">
        <v>1452</v>
      </c>
      <c r="AQ191" s="92">
        <v>3289</v>
      </c>
      <c r="AR191" s="90">
        <v>10638</v>
      </c>
      <c r="AS191" s="107" t="s">
        <v>239</v>
      </c>
      <c r="AT191" s="112">
        <v>4331</v>
      </c>
      <c r="AU191" s="112">
        <v>604</v>
      </c>
      <c r="AV191" s="112">
        <v>2530</v>
      </c>
      <c r="AW191" s="112">
        <v>3074</v>
      </c>
      <c r="AX191" s="90">
        <v>3060</v>
      </c>
      <c r="AY191" s="90">
        <v>6708</v>
      </c>
      <c r="AZ191" s="90">
        <v>2634</v>
      </c>
      <c r="BA191" s="92">
        <v>4312</v>
      </c>
      <c r="BB191" s="92" t="s">
        <v>17</v>
      </c>
      <c r="BC191" s="92" t="s">
        <v>17</v>
      </c>
      <c r="BD191" s="92" t="s">
        <v>17</v>
      </c>
      <c r="BE191" s="92" t="s">
        <v>17</v>
      </c>
      <c r="BF191" s="92" t="s">
        <v>17</v>
      </c>
      <c r="BG191" s="92" t="s">
        <v>17</v>
      </c>
      <c r="BH191" s="92" t="s">
        <v>17</v>
      </c>
      <c r="BI191" s="92" t="s">
        <v>17</v>
      </c>
      <c r="BJ191" s="92" t="s">
        <v>17</v>
      </c>
      <c r="BK191" s="92" t="s">
        <v>17</v>
      </c>
    </row>
    <row r="192" spans="1:63" ht="27.95" customHeight="1">
      <c r="A192" s="14" t="s">
        <v>236</v>
      </c>
      <c r="B192" s="15" t="s">
        <v>237</v>
      </c>
      <c r="C192" s="15" t="s">
        <v>26</v>
      </c>
      <c r="D192" s="15"/>
      <c r="E192" s="43"/>
      <c r="F192" s="43"/>
      <c r="G192" s="17" t="str">
        <f>VLOOKUP(A192,'KPI Описание'!A:K,11,0)</f>
        <v>Оператор</v>
      </c>
      <c r="H192" s="17" t="s">
        <v>33</v>
      </c>
      <c r="I192" s="18"/>
      <c r="J192" s="19"/>
      <c r="K192" s="20"/>
      <c r="L192" s="20">
        <v>15</v>
      </c>
      <c r="M192" s="20">
        <v>14</v>
      </c>
      <c r="N192" s="20">
        <v>5</v>
      </c>
      <c r="O192" s="20">
        <v>30</v>
      </c>
      <c r="P192" s="20">
        <v>324</v>
      </c>
      <c r="Q192" s="20">
        <v>426</v>
      </c>
      <c r="R192" s="20">
        <v>1339</v>
      </c>
      <c r="S192" s="20">
        <v>143</v>
      </c>
      <c r="T192" s="20">
        <v>4648</v>
      </c>
      <c r="U192" s="20">
        <v>1908</v>
      </c>
      <c r="V192" s="20">
        <v>906</v>
      </c>
      <c r="W192" s="20">
        <v>368</v>
      </c>
      <c r="X192" s="20">
        <v>4271</v>
      </c>
      <c r="Y192" s="20">
        <v>1798</v>
      </c>
      <c r="Z192" s="20"/>
      <c r="AA192" s="20"/>
      <c r="AB192" s="20"/>
      <c r="AC192" s="20"/>
      <c r="AD192" s="20"/>
      <c r="AE192" s="20"/>
      <c r="AF192" s="20">
        <v>1</v>
      </c>
      <c r="AG192" s="20"/>
      <c r="AH192" s="20"/>
      <c r="AI192" s="20">
        <v>3342</v>
      </c>
      <c r="AJ192" s="20">
        <v>15395</v>
      </c>
      <c r="AK192" s="20">
        <v>4853</v>
      </c>
      <c r="AL192" s="20">
        <v>8978</v>
      </c>
      <c r="AM192" s="20">
        <v>9679</v>
      </c>
      <c r="AN192" s="20"/>
      <c r="AO192" s="20"/>
      <c r="AP192" s="20"/>
      <c r="AQ192" s="20"/>
      <c r="AR192" s="20">
        <v>0</v>
      </c>
      <c r="AS192" s="44" t="s">
        <v>240</v>
      </c>
      <c r="AT192" s="25"/>
      <c r="AU192" s="25"/>
      <c r="AV192" s="25"/>
      <c r="AW192" s="25">
        <v>0</v>
      </c>
      <c r="AX192" s="26">
        <v>0</v>
      </c>
      <c r="AY192" s="26">
        <v>0</v>
      </c>
      <c r="AZ192" s="18">
        <v>0</v>
      </c>
      <c r="BA192" s="26"/>
      <c r="BB192" s="18"/>
      <c r="BC192" s="18"/>
      <c r="BD192" s="18"/>
      <c r="BE192" s="18"/>
      <c r="BF192" s="18"/>
      <c r="BG192" s="18"/>
      <c r="BH192" s="18"/>
      <c r="BI192" s="18"/>
      <c r="BJ192" s="18"/>
      <c r="BK192" s="18"/>
    </row>
    <row r="193" spans="1:64" ht="27.95" customHeight="1">
      <c r="A193" s="14" t="s">
        <v>236</v>
      </c>
      <c r="B193" s="15" t="s">
        <v>237</v>
      </c>
      <c r="C193" s="15" t="s">
        <v>26</v>
      </c>
      <c r="D193" s="15"/>
      <c r="E193" s="43"/>
      <c r="F193" s="43"/>
      <c r="G193" s="17" t="str">
        <f>VLOOKUP(A193,'KPI Описание'!A:K,11,0)</f>
        <v>Оператор</v>
      </c>
      <c r="H193" s="17" t="s">
        <v>36</v>
      </c>
      <c r="I193" s="18"/>
      <c r="J193" s="19"/>
      <c r="K193" s="20"/>
      <c r="L193" s="20">
        <v>0</v>
      </c>
      <c r="M193" s="20">
        <v>0</v>
      </c>
      <c r="N193" s="20">
        <v>0</v>
      </c>
      <c r="O193" s="20">
        <v>12</v>
      </c>
      <c r="P193" s="20">
        <v>9</v>
      </c>
      <c r="Q193" s="20">
        <v>9</v>
      </c>
      <c r="R193" s="20">
        <v>54</v>
      </c>
      <c r="S193" s="20">
        <v>54</v>
      </c>
      <c r="T193" s="20">
        <v>218</v>
      </c>
      <c r="U193" s="20">
        <v>180</v>
      </c>
      <c r="V193" s="20" t="s">
        <v>17</v>
      </c>
      <c r="W193" s="20"/>
      <c r="X193" s="20" t="s">
        <v>17</v>
      </c>
      <c r="Y193" s="20">
        <v>18</v>
      </c>
      <c r="Z193" s="20"/>
      <c r="AA193" s="20"/>
      <c r="AB193" s="20"/>
      <c r="AC193" s="20"/>
      <c r="AD193" s="20"/>
      <c r="AE193" s="20"/>
      <c r="AF193" s="20">
        <v>29</v>
      </c>
      <c r="AG193" s="20"/>
      <c r="AH193" s="20"/>
      <c r="AI193" s="20" t="s">
        <v>17</v>
      </c>
      <c r="AJ193" s="20" t="s">
        <v>17</v>
      </c>
      <c r="AK193" s="20" t="s">
        <v>17</v>
      </c>
      <c r="AL193" s="20">
        <v>3</v>
      </c>
      <c r="AM193" s="20"/>
      <c r="AN193" s="20"/>
      <c r="AO193" s="20"/>
      <c r="AP193" s="20"/>
      <c r="AQ193" s="20"/>
      <c r="AR193" s="20">
        <v>0</v>
      </c>
      <c r="AS193" s="44" t="s">
        <v>240</v>
      </c>
      <c r="AT193" s="25">
        <v>122</v>
      </c>
      <c r="AU193" s="25">
        <v>8</v>
      </c>
      <c r="AV193" s="25"/>
      <c r="AW193" s="25">
        <v>0</v>
      </c>
      <c r="AX193" s="26">
        <v>0</v>
      </c>
      <c r="AY193" s="26">
        <v>0</v>
      </c>
      <c r="AZ193" s="18">
        <v>0</v>
      </c>
      <c r="BA193" s="26"/>
      <c r="BB193" s="18"/>
      <c r="BC193" s="18"/>
      <c r="BD193" s="18"/>
      <c r="BE193" s="18"/>
      <c r="BF193" s="18"/>
      <c r="BG193" s="18"/>
      <c r="BH193" s="18"/>
      <c r="BI193" s="18"/>
      <c r="BJ193" s="18"/>
      <c r="BK193" s="18"/>
    </row>
    <row r="194" spans="1:64" ht="27.95" customHeight="1">
      <c r="A194" s="14" t="s">
        <v>236</v>
      </c>
      <c r="B194" s="15" t="s">
        <v>237</v>
      </c>
      <c r="C194" s="15" t="s">
        <v>26</v>
      </c>
      <c r="D194" s="15"/>
      <c r="E194" s="43"/>
      <c r="F194" s="43"/>
      <c r="G194" s="17" t="str">
        <f>VLOOKUP(A194,'KPI Описание'!A:K,11,0)</f>
        <v>Оператор</v>
      </c>
      <c r="H194" s="17" t="s">
        <v>37</v>
      </c>
      <c r="I194" s="18"/>
      <c r="J194" s="19"/>
      <c r="K194" s="20"/>
      <c r="L194" s="20">
        <v>1</v>
      </c>
      <c r="M194" s="20">
        <v>1</v>
      </c>
      <c r="N194" s="20">
        <v>0</v>
      </c>
      <c r="O194" s="20">
        <v>2</v>
      </c>
      <c r="P194" s="20">
        <v>3</v>
      </c>
      <c r="Q194" s="20">
        <v>1</v>
      </c>
      <c r="R194" s="20">
        <v>1769</v>
      </c>
      <c r="S194" s="20">
        <v>9821</v>
      </c>
      <c r="T194" s="20">
        <v>785</v>
      </c>
      <c r="U194" s="20">
        <v>5617</v>
      </c>
      <c r="V194" s="20">
        <v>3337</v>
      </c>
      <c r="W194" s="20">
        <v>3909</v>
      </c>
      <c r="X194" s="20">
        <v>222</v>
      </c>
      <c r="Y194" s="20">
        <v>22</v>
      </c>
      <c r="Z194" s="20"/>
      <c r="AA194" s="20"/>
      <c r="AB194" s="20"/>
      <c r="AC194" s="20"/>
      <c r="AD194" s="20"/>
      <c r="AE194" s="20"/>
      <c r="AF194" s="20">
        <v>0</v>
      </c>
      <c r="AG194" s="20"/>
      <c r="AH194" s="20"/>
      <c r="AI194" s="20">
        <v>262</v>
      </c>
      <c r="AJ194" s="20" t="s">
        <v>17</v>
      </c>
      <c r="AK194" s="20" t="s">
        <v>17</v>
      </c>
      <c r="AL194" s="20" t="s">
        <v>17</v>
      </c>
      <c r="AM194" s="20"/>
      <c r="AN194" s="20"/>
      <c r="AO194" s="20"/>
      <c r="AP194" s="20"/>
      <c r="AQ194" s="20"/>
      <c r="AR194" s="20">
        <v>0</v>
      </c>
      <c r="AS194" s="44" t="s">
        <v>240</v>
      </c>
      <c r="AT194" s="25"/>
      <c r="AU194" s="25"/>
      <c r="AV194" s="25"/>
      <c r="AW194" s="25">
        <v>1352</v>
      </c>
      <c r="AX194" s="26">
        <v>2480</v>
      </c>
      <c r="AY194" s="26">
        <v>3007</v>
      </c>
      <c r="AZ194" s="26">
        <v>853</v>
      </c>
      <c r="BA194" s="26">
        <v>182</v>
      </c>
      <c r="BB194" s="18"/>
      <c r="BC194" s="18"/>
      <c r="BD194" s="18"/>
      <c r="BE194" s="18"/>
      <c r="BF194" s="18"/>
      <c r="BG194" s="18"/>
      <c r="BH194" s="18"/>
      <c r="BI194" s="18"/>
      <c r="BJ194" s="18"/>
      <c r="BK194" s="18"/>
    </row>
    <row r="195" spans="1:64" ht="27.95" customHeight="1">
      <c r="A195" s="14" t="s">
        <v>236</v>
      </c>
      <c r="B195" s="15" t="s">
        <v>237</v>
      </c>
      <c r="C195" s="15" t="s">
        <v>26</v>
      </c>
      <c r="D195" s="15"/>
      <c r="E195" s="43"/>
      <c r="F195" s="43"/>
      <c r="G195" s="17" t="str">
        <f>VLOOKUP(A195,'KPI Описание'!A:K,11,0)</f>
        <v>Оператор</v>
      </c>
      <c r="H195" s="17" t="s">
        <v>40</v>
      </c>
      <c r="I195" s="18"/>
      <c r="J195" s="19"/>
      <c r="K195" s="20"/>
      <c r="L195" s="105">
        <v>6</v>
      </c>
      <c r="M195" s="20">
        <v>39</v>
      </c>
      <c r="N195" s="20">
        <v>26</v>
      </c>
      <c r="O195" s="20">
        <v>193</v>
      </c>
      <c r="P195" s="20">
        <v>538</v>
      </c>
      <c r="Q195" s="20">
        <v>2211</v>
      </c>
      <c r="R195" s="20">
        <v>814</v>
      </c>
      <c r="S195" s="20">
        <v>283</v>
      </c>
      <c r="T195" s="20">
        <v>319</v>
      </c>
      <c r="U195" s="20">
        <v>1656</v>
      </c>
      <c r="V195" s="20">
        <v>51</v>
      </c>
      <c r="W195" s="20">
        <v>79</v>
      </c>
      <c r="X195" s="20">
        <v>485</v>
      </c>
      <c r="Y195" s="20">
        <v>339</v>
      </c>
      <c r="Z195" s="20"/>
      <c r="AA195" s="20"/>
      <c r="AB195" s="20"/>
      <c r="AC195" s="20"/>
      <c r="AD195" s="20"/>
      <c r="AE195" s="20"/>
      <c r="AF195" s="20">
        <v>124</v>
      </c>
      <c r="AG195" s="20"/>
      <c r="AH195" s="20"/>
      <c r="AI195" s="20">
        <v>2809</v>
      </c>
      <c r="AJ195" s="20" t="s">
        <v>17</v>
      </c>
      <c r="AK195" s="20">
        <v>288</v>
      </c>
      <c r="AL195" s="20">
        <v>46</v>
      </c>
      <c r="AM195" s="20">
        <v>13</v>
      </c>
      <c r="AN195" s="20">
        <v>130</v>
      </c>
      <c r="AO195" s="20">
        <v>322</v>
      </c>
      <c r="AP195" s="20"/>
      <c r="AQ195" s="20"/>
      <c r="AR195" s="20">
        <v>0</v>
      </c>
      <c r="AS195" s="44" t="s">
        <v>240</v>
      </c>
      <c r="AT195" s="25"/>
      <c r="AU195" s="25">
        <v>31</v>
      </c>
      <c r="AV195" s="25">
        <v>81</v>
      </c>
      <c r="AW195" s="25">
        <v>0</v>
      </c>
      <c r="AX195" s="26">
        <v>0</v>
      </c>
      <c r="AY195" s="26">
        <v>18</v>
      </c>
      <c r="AZ195" s="18">
        <v>0</v>
      </c>
      <c r="BA195" s="26"/>
      <c r="BB195" s="18"/>
      <c r="BC195" s="18"/>
      <c r="BD195" s="18"/>
      <c r="BE195" s="18"/>
      <c r="BF195" s="18"/>
      <c r="BG195" s="18"/>
      <c r="BH195" s="18"/>
      <c r="BI195" s="18"/>
      <c r="BJ195" s="18"/>
      <c r="BK195" s="18"/>
    </row>
    <row r="196" spans="1:64" s="72" customFormat="1" ht="27.95" customHeight="1">
      <c r="A196" s="81" t="s">
        <v>236</v>
      </c>
      <c r="B196" s="83" t="s">
        <v>237</v>
      </c>
      <c r="C196" s="83" t="s">
        <v>26</v>
      </c>
      <c r="D196" s="83"/>
      <c r="E196" s="85"/>
      <c r="F196" s="85"/>
      <c r="G196" s="87" t="str">
        <f>VLOOKUP(A196,'KPI Описание'!A:K,11,0)</f>
        <v>Оператор</v>
      </c>
      <c r="H196" s="87" t="s">
        <v>43</v>
      </c>
      <c r="I196" s="89"/>
      <c r="J196" s="94"/>
      <c r="K196" s="98"/>
      <c r="L196" s="98">
        <v>4</v>
      </c>
      <c r="M196" s="98">
        <v>269</v>
      </c>
      <c r="N196" s="98">
        <v>0</v>
      </c>
      <c r="O196" s="98">
        <v>0</v>
      </c>
      <c r="P196" s="98">
        <v>22</v>
      </c>
      <c r="Q196" s="98">
        <v>280</v>
      </c>
      <c r="R196" s="98">
        <v>0</v>
      </c>
      <c r="S196" s="98">
        <v>1309</v>
      </c>
      <c r="T196" s="98">
        <v>9797</v>
      </c>
      <c r="U196" s="98">
        <v>11259</v>
      </c>
      <c r="V196" s="98">
        <v>10707</v>
      </c>
      <c r="W196" s="98">
        <v>13113</v>
      </c>
      <c r="X196" s="98">
        <v>34868</v>
      </c>
      <c r="Y196" s="98">
        <v>15615</v>
      </c>
      <c r="Z196" s="98"/>
      <c r="AA196" s="98"/>
      <c r="AB196" s="98"/>
      <c r="AC196" s="98"/>
      <c r="AD196" s="98"/>
      <c r="AE196" s="98"/>
      <c r="AF196" s="98">
        <v>42</v>
      </c>
      <c r="AG196" s="98"/>
      <c r="AH196" s="98"/>
      <c r="AI196" s="98">
        <v>306</v>
      </c>
      <c r="AJ196" s="98">
        <v>292</v>
      </c>
      <c r="AK196" s="98">
        <v>6</v>
      </c>
      <c r="AL196" s="98">
        <v>2985</v>
      </c>
      <c r="AM196" s="98">
        <v>63</v>
      </c>
      <c r="AN196" s="98">
        <v>12</v>
      </c>
      <c r="AO196" s="98">
        <v>83</v>
      </c>
      <c r="AP196" s="98">
        <v>1452</v>
      </c>
      <c r="AQ196" s="98">
        <v>3289</v>
      </c>
      <c r="AR196" s="98">
        <v>10638</v>
      </c>
      <c r="AS196" s="111" t="s">
        <v>239</v>
      </c>
      <c r="AT196" s="98">
        <v>4209</v>
      </c>
      <c r="AU196" s="93">
        <v>565</v>
      </c>
      <c r="AV196" s="93">
        <v>2449</v>
      </c>
      <c r="AW196" s="93">
        <v>1722</v>
      </c>
      <c r="AX196" s="93">
        <v>580</v>
      </c>
      <c r="AY196" s="93">
        <v>3683</v>
      </c>
      <c r="AZ196" s="93">
        <v>1781</v>
      </c>
      <c r="BA196" s="93">
        <v>4130</v>
      </c>
      <c r="BB196" s="89"/>
      <c r="BC196" s="89"/>
      <c r="BD196" s="89"/>
      <c r="BE196" s="89"/>
      <c r="BF196" s="89"/>
      <c r="BG196" s="89"/>
      <c r="BH196" s="89"/>
      <c r="BI196" s="89"/>
      <c r="BJ196" s="89"/>
      <c r="BK196" s="89"/>
      <c r="BL196" s="74"/>
    </row>
    <row r="197" spans="1:64" s="72" customFormat="1" ht="27.95" customHeight="1">
      <c r="A197" s="5" t="s">
        <v>241</v>
      </c>
      <c r="B197" s="6" t="s">
        <v>242</v>
      </c>
      <c r="C197" s="6" t="s">
        <v>224</v>
      </c>
      <c r="D197" s="6" t="s">
        <v>19</v>
      </c>
      <c r="E197" s="42" t="s">
        <v>243</v>
      </c>
      <c r="F197" s="42" t="s">
        <v>244</v>
      </c>
      <c r="G197" s="8" t="str">
        <f>VLOOKUP(A197,'KPI Описание'!A:K,11,0)</f>
        <v>Оператор</v>
      </c>
      <c r="H197" s="8" t="s">
        <v>16</v>
      </c>
      <c r="I197" s="11">
        <f>VLOOKUP(A197,'KPI Описание'!A:P,16,0)</f>
        <v>0</v>
      </c>
      <c r="J197" s="10">
        <f>IFERROR(VLOOKUP(A197,'KPI Описание'!A:Q,17,0),0)</f>
        <v>0</v>
      </c>
      <c r="K197" s="11">
        <f>SUM(K198:K203)</f>
        <v>168</v>
      </c>
      <c r="L197" s="11">
        <f>SUM(L198:L203)</f>
        <v>1347</v>
      </c>
      <c r="M197" s="11">
        <f>SUM(M198:M203)</f>
        <v>2180</v>
      </c>
      <c r="N197" s="11">
        <f>SUM(N198:N203)</f>
        <v>1132</v>
      </c>
      <c r="O197" s="11">
        <f>SUM(O198:O203)</f>
        <v>921</v>
      </c>
      <c r="P197" s="11">
        <f>SUM(P198:P203)</f>
        <v>1670</v>
      </c>
      <c r="Q197" s="11">
        <f>SUM(Q198:Q203)</f>
        <v>2719</v>
      </c>
      <c r="R197" s="11">
        <f>SUM(R198:R203)</f>
        <v>1167</v>
      </c>
      <c r="S197" s="11">
        <f>SUM(S198:S203)</f>
        <v>1849</v>
      </c>
      <c r="T197" s="11">
        <f>SUM(T198:T203)</f>
        <v>1887</v>
      </c>
      <c r="U197" s="11">
        <f>SUM(U198:U203)</f>
        <v>1842</v>
      </c>
      <c r="V197" s="11">
        <f>SUM(V198:V203)</f>
        <v>1190</v>
      </c>
      <c r="W197" s="11">
        <f>SUM(W198:W203)</f>
        <v>1142</v>
      </c>
      <c r="X197" s="11">
        <f>SUM(X198:X203)</f>
        <v>2259</v>
      </c>
      <c r="Y197" s="11">
        <f>SUM(Y198:Y203)</f>
        <v>3926</v>
      </c>
      <c r="Z197" s="11">
        <f>SUM(Z198:Z203)</f>
        <v>2457</v>
      </c>
      <c r="AA197" s="11">
        <f>SUM(AA198:AA203)</f>
        <v>2123</v>
      </c>
      <c r="AB197" s="11">
        <f>SUM(AB198:AB203)</f>
        <v>1846</v>
      </c>
      <c r="AC197" s="11">
        <f>SUM(AC198:AC203)</f>
        <v>1385</v>
      </c>
      <c r="AD197" s="11">
        <f>SUM(AD198:AD203)</f>
        <v>2217</v>
      </c>
      <c r="AE197" s="11">
        <f>SUM(AE198:AE203)</f>
        <v>2641</v>
      </c>
      <c r="AF197" s="11">
        <f>SUM(AF198:AF203)</f>
        <v>1223</v>
      </c>
      <c r="AG197" s="11">
        <f>SUM(AG198:AG203)</f>
        <v>1709</v>
      </c>
      <c r="AH197" s="11">
        <f>SUM(AH198:AH203)</f>
        <v>918</v>
      </c>
      <c r="AI197" s="11">
        <f>SUM(AI198:AI203)</f>
        <v>1343</v>
      </c>
      <c r="AJ197" s="11">
        <f>SUM(AJ198:AJ203)</f>
        <v>1945</v>
      </c>
      <c r="AK197" s="11">
        <f>SUM(AK198:AK203)</f>
        <v>1412</v>
      </c>
      <c r="AL197" s="11">
        <f>SUM(AL198:AL203)</f>
        <v>2116</v>
      </c>
      <c r="AM197" s="11">
        <f>SUM(AM198:AM203)</f>
        <v>1840</v>
      </c>
      <c r="AN197" s="11">
        <f>SUM(AN198:AN203)</f>
        <v>1050</v>
      </c>
      <c r="AO197" s="11">
        <f>SUM(AO198:AO203)</f>
        <v>1240</v>
      </c>
      <c r="AP197" s="11">
        <f>SUM(AP198:AP203)</f>
        <v>2083</v>
      </c>
      <c r="AQ197" s="11">
        <f>SUM(AQ198:AQ203)</f>
        <v>2802</v>
      </c>
      <c r="AR197" s="11">
        <f>SUM(AR198:AR203)</f>
        <v>1674</v>
      </c>
      <c r="AS197" s="11">
        <f>SUM(AS198:AS203)</f>
        <v>1151</v>
      </c>
      <c r="AT197" s="11">
        <v>1500</v>
      </c>
      <c r="AU197" s="11">
        <v>1921</v>
      </c>
      <c r="AV197" s="11">
        <v>722</v>
      </c>
      <c r="AW197" s="11">
        <v>1892</v>
      </c>
      <c r="AX197" s="11">
        <v>1309</v>
      </c>
      <c r="AY197" s="11">
        <v>1542</v>
      </c>
      <c r="AZ197" s="11">
        <v>2137</v>
      </c>
      <c r="BA197" s="11">
        <v>2741</v>
      </c>
      <c r="BB197" s="11"/>
      <c r="BC197" s="11"/>
      <c r="BD197" s="11"/>
      <c r="BE197" s="11"/>
      <c r="BF197" s="11"/>
      <c r="BG197" s="11"/>
      <c r="BH197" s="11"/>
      <c r="BI197" s="11"/>
      <c r="BJ197" s="11"/>
      <c r="BK197" s="11"/>
      <c r="BL197" s="74"/>
    </row>
    <row r="198" spans="1:64" ht="27.95" customHeight="1">
      <c r="A198" s="14" t="s">
        <v>241</v>
      </c>
      <c r="B198" s="15" t="s">
        <v>242</v>
      </c>
      <c r="C198" s="15" t="s">
        <v>86</v>
      </c>
      <c r="D198" s="15"/>
      <c r="E198" s="43"/>
      <c r="F198" s="43"/>
      <c r="G198" s="17" t="str">
        <f>VLOOKUP(A198,'KPI Описание'!A:K,11,0)</f>
        <v>Оператор</v>
      </c>
      <c r="H198" s="17" t="s">
        <v>33</v>
      </c>
      <c r="I198" s="29"/>
      <c r="J198" s="30"/>
      <c r="K198" s="29"/>
      <c r="L198" s="29">
        <v>181</v>
      </c>
      <c r="M198" s="29">
        <v>215</v>
      </c>
      <c r="N198" s="29">
        <v>111</v>
      </c>
      <c r="O198" s="29">
        <v>58</v>
      </c>
      <c r="P198" s="29">
        <v>169</v>
      </c>
      <c r="Q198" s="29">
        <v>11</v>
      </c>
      <c r="R198" s="29">
        <v>4</v>
      </c>
      <c r="S198" s="29">
        <v>21</v>
      </c>
      <c r="T198" s="29">
        <v>26</v>
      </c>
      <c r="U198" s="29">
        <v>215</v>
      </c>
      <c r="V198" s="29">
        <v>45</v>
      </c>
      <c r="W198" s="29">
        <v>102</v>
      </c>
      <c r="X198" s="29">
        <v>145</v>
      </c>
      <c r="Y198" s="29">
        <v>235</v>
      </c>
      <c r="Z198" s="29">
        <v>85</v>
      </c>
      <c r="AA198" s="29">
        <v>64</v>
      </c>
      <c r="AB198" s="29">
        <v>6</v>
      </c>
      <c r="AC198" s="29">
        <v>37</v>
      </c>
      <c r="AD198" s="29">
        <v>191</v>
      </c>
      <c r="AE198" s="29">
        <v>49</v>
      </c>
      <c r="AF198" s="29">
        <v>25</v>
      </c>
      <c r="AG198" s="29">
        <v>118</v>
      </c>
      <c r="AH198" s="29">
        <v>64</v>
      </c>
      <c r="AI198" s="29">
        <v>11</v>
      </c>
      <c r="AJ198" s="29">
        <v>77</v>
      </c>
      <c r="AK198" s="29">
        <v>25</v>
      </c>
      <c r="AL198" s="29">
        <v>32</v>
      </c>
      <c r="AM198" s="29">
        <v>47</v>
      </c>
      <c r="AN198" s="29">
        <v>35</v>
      </c>
      <c r="AO198" s="29">
        <v>47</v>
      </c>
      <c r="AP198" s="29">
        <v>252</v>
      </c>
      <c r="AQ198" s="29">
        <v>62</v>
      </c>
      <c r="AR198" s="29">
        <v>125</v>
      </c>
      <c r="AS198" s="29">
        <v>28</v>
      </c>
      <c r="AT198" s="29">
        <v>472</v>
      </c>
      <c r="AU198" s="29">
        <v>405</v>
      </c>
      <c r="AV198" s="29">
        <v>219</v>
      </c>
      <c r="AW198" s="29">
        <v>523</v>
      </c>
      <c r="AX198" s="29">
        <v>256</v>
      </c>
      <c r="AY198" s="29">
        <v>586</v>
      </c>
      <c r="AZ198" s="29">
        <v>427</v>
      </c>
      <c r="BA198" s="29">
        <v>1006</v>
      </c>
      <c r="BB198" s="29"/>
      <c r="BC198" s="29"/>
      <c r="BD198" s="29"/>
      <c r="BE198" s="29"/>
      <c r="BF198" s="29"/>
      <c r="BG198" s="29"/>
      <c r="BH198" s="29"/>
      <c r="BI198" s="29"/>
      <c r="BJ198" s="29"/>
      <c r="BK198" s="29"/>
    </row>
    <row r="199" spans="1:64" ht="27.95" customHeight="1">
      <c r="A199" s="14" t="s">
        <v>241</v>
      </c>
      <c r="B199" s="15" t="s">
        <v>242</v>
      </c>
      <c r="C199" s="15" t="s">
        <v>86</v>
      </c>
      <c r="D199" s="15"/>
      <c r="E199" s="43"/>
      <c r="F199" s="54"/>
      <c r="G199" s="17" t="str">
        <f>VLOOKUP(A199,'KPI Описание'!A:K,11,0)</f>
        <v>Оператор</v>
      </c>
      <c r="H199" s="17" t="s">
        <v>36</v>
      </c>
      <c r="I199" s="29"/>
      <c r="J199" s="30"/>
      <c r="K199" s="29">
        <v>17</v>
      </c>
      <c r="L199" s="29">
        <v>83</v>
      </c>
      <c r="M199" s="29">
        <v>156</v>
      </c>
      <c r="N199" s="29">
        <v>111</v>
      </c>
      <c r="O199" s="29">
        <v>68</v>
      </c>
      <c r="P199" s="29">
        <v>350</v>
      </c>
      <c r="Q199" s="29">
        <v>433</v>
      </c>
      <c r="R199" s="29">
        <v>327</v>
      </c>
      <c r="S199" s="29">
        <v>315</v>
      </c>
      <c r="T199" s="29">
        <v>311</v>
      </c>
      <c r="U199" s="29">
        <v>193</v>
      </c>
      <c r="V199" s="29">
        <v>127</v>
      </c>
      <c r="W199" s="29">
        <v>84</v>
      </c>
      <c r="X199" s="29">
        <v>538</v>
      </c>
      <c r="Y199" s="29">
        <v>458</v>
      </c>
      <c r="Z199" s="29">
        <v>376</v>
      </c>
      <c r="AA199" s="29">
        <v>212</v>
      </c>
      <c r="AB199" s="29">
        <v>100</v>
      </c>
      <c r="AC199" s="29">
        <v>114</v>
      </c>
      <c r="AD199" s="29">
        <v>211</v>
      </c>
      <c r="AE199" s="29">
        <v>80</v>
      </c>
      <c r="AF199" s="29">
        <v>224</v>
      </c>
      <c r="AG199" s="29">
        <v>477</v>
      </c>
      <c r="AH199" s="29">
        <v>92</v>
      </c>
      <c r="AI199" s="29">
        <v>115</v>
      </c>
      <c r="AJ199" s="29">
        <v>142</v>
      </c>
      <c r="AK199" s="29">
        <v>107</v>
      </c>
      <c r="AL199" s="29">
        <v>583</v>
      </c>
      <c r="AM199" s="29">
        <v>698</v>
      </c>
      <c r="AN199" s="29">
        <v>124</v>
      </c>
      <c r="AO199" s="29">
        <v>64</v>
      </c>
      <c r="AP199" s="29">
        <v>187</v>
      </c>
      <c r="AQ199" s="29">
        <v>407</v>
      </c>
      <c r="AR199" s="29">
        <v>520</v>
      </c>
      <c r="AS199" s="29">
        <v>156</v>
      </c>
      <c r="AT199" s="29">
        <v>115</v>
      </c>
      <c r="AU199" s="29">
        <v>39</v>
      </c>
      <c r="AV199" s="29">
        <v>62</v>
      </c>
      <c r="AW199" s="29">
        <v>203</v>
      </c>
      <c r="AX199" s="29">
        <v>166</v>
      </c>
      <c r="AY199" s="29">
        <v>67</v>
      </c>
      <c r="AZ199" s="29">
        <v>135</v>
      </c>
      <c r="BA199" s="29">
        <v>78</v>
      </c>
      <c r="BB199" s="29"/>
      <c r="BC199" s="29"/>
      <c r="BD199" s="29"/>
      <c r="BE199" s="29"/>
      <c r="BF199" s="29"/>
      <c r="BG199" s="29"/>
      <c r="BH199" s="29"/>
      <c r="BI199" s="29"/>
      <c r="BJ199" s="29"/>
      <c r="BK199" s="29"/>
    </row>
    <row r="200" spans="1:64" ht="27.95" customHeight="1">
      <c r="A200" s="14" t="s">
        <v>241</v>
      </c>
      <c r="B200" s="15" t="s">
        <v>242</v>
      </c>
      <c r="C200" s="15" t="s">
        <v>86</v>
      </c>
      <c r="D200" s="15"/>
      <c r="E200" s="43"/>
      <c r="F200" s="43"/>
      <c r="G200" s="17" t="str">
        <f>VLOOKUP(A200,'KPI Описание'!A:K,11,0)</f>
        <v>Оператор</v>
      </c>
      <c r="H200" s="17" t="s">
        <v>37</v>
      </c>
      <c r="I200" s="29"/>
      <c r="J200" s="30"/>
      <c r="K200" s="29">
        <v>59</v>
      </c>
      <c r="L200" s="29">
        <v>263</v>
      </c>
      <c r="M200" s="29">
        <v>477</v>
      </c>
      <c r="N200" s="29">
        <v>152</v>
      </c>
      <c r="O200" s="29">
        <v>182</v>
      </c>
      <c r="P200" s="29">
        <v>222</v>
      </c>
      <c r="Q200" s="29">
        <v>78</v>
      </c>
      <c r="R200" s="29">
        <v>121</v>
      </c>
      <c r="S200" s="29">
        <v>411</v>
      </c>
      <c r="T200" s="29">
        <v>1307</v>
      </c>
      <c r="U200" s="29">
        <v>554</v>
      </c>
      <c r="V200" s="29">
        <v>202</v>
      </c>
      <c r="W200" s="29">
        <v>254</v>
      </c>
      <c r="X200" s="29">
        <v>543</v>
      </c>
      <c r="Y200" s="29">
        <v>1028</v>
      </c>
      <c r="Z200" s="29">
        <v>537</v>
      </c>
      <c r="AA200" s="29">
        <v>880</v>
      </c>
      <c r="AB200" s="29">
        <v>1401</v>
      </c>
      <c r="AC200" s="29">
        <v>504</v>
      </c>
      <c r="AD200" s="29">
        <v>473</v>
      </c>
      <c r="AE200" s="29">
        <v>381</v>
      </c>
      <c r="AF200" s="29">
        <v>183</v>
      </c>
      <c r="AG200" s="29">
        <v>543</v>
      </c>
      <c r="AH200" s="29">
        <v>123</v>
      </c>
      <c r="AI200" s="29">
        <v>345</v>
      </c>
      <c r="AJ200" s="29">
        <v>896</v>
      </c>
      <c r="AK200" s="29">
        <v>206</v>
      </c>
      <c r="AL200" s="29">
        <v>728</v>
      </c>
      <c r="AM200" s="29">
        <v>372</v>
      </c>
      <c r="AN200" s="29">
        <v>133</v>
      </c>
      <c r="AO200" s="29">
        <v>591</v>
      </c>
      <c r="AP200" s="29">
        <v>605</v>
      </c>
      <c r="AQ200" s="29">
        <v>993</v>
      </c>
      <c r="AR200" s="29">
        <v>241</v>
      </c>
      <c r="AS200" s="29">
        <v>91</v>
      </c>
      <c r="AT200" s="29">
        <v>300</v>
      </c>
      <c r="AU200" s="29">
        <v>714</v>
      </c>
      <c r="AV200" s="29">
        <v>116</v>
      </c>
      <c r="AW200" s="29">
        <v>279</v>
      </c>
      <c r="AX200" s="29">
        <v>154</v>
      </c>
      <c r="AY200" s="29">
        <v>52</v>
      </c>
      <c r="AZ200" s="29">
        <v>46</v>
      </c>
      <c r="BA200" s="29">
        <v>140</v>
      </c>
      <c r="BB200" s="29"/>
      <c r="BC200" s="29"/>
      <c r="BD200" s="29"/>
      <c r="BE200" s="29"/>
      <c r="BF200" s="29"/>
      <c r="BG200" s="29"/>
      <c r="BH200" s="29"/>
      <c r="BI200" s="29"/>
      <c r="BJ200" s="29"/>
      <c r="BK200" s="29"/>
    </row>
    <row r="201" spans="1:64" ht="27.95" customHeight="1">
      <c r="A201" s="14" t="s">
        <v>241</v>
      </c>
      <c r="B201" s="15" t="s">
        <v>242</v>
      </c>
      <c r="C201" s="15" t="s">
        <v>86</v>
      </c>
      <c r="D201" s="15"/>
      <c r="E201" s="43"/>
      <c r="F201" s="43"/>
      <c r="G201" s="17" t="str">
        <f>VLOOKUP(A201,'KPI Описание'!A:K,11,0)</f>
        <v>Оператор</v>
      </c>
      <c r="H201" s="17" t="s">
        <v>40</v>
      </c>
      <c r="I201" s="29"/>
      <c r="J201" s="30"/>
      <c r="K201" s="29">
        <v>39</v>
      </c>
      <c r="L201" s="29">
        <v>327</v>
      </c>
      <c r="M201" s="29">
        <v>126</v>
      </c>
      <c r="N201" s="29">
        <v>185</v>
      </c>
      <c r="O201" s="29">
        <v>144</v>
      </c>
      <c r="P201" s="29">
        <v>694</v>
      </c>
      <c r="Q201" s="29">
        <v>1110</v>
      </c>
      <c r="R201" s="29">
        <v>110</v>
      </c>
      <c r="S201" s="29">
        <v>68</v>
      </c>
      <c r="T201" s="29">
        <v>149</v>
      </c>
      <c r="U201" s="29">
        <v>58</v>
      </c>
      <c r="V201" s="29">
        <v>132</v>
      </c>
      <c r="W201" s="29">
        <v>248</v>
      </c>
      <c r="X201" s="29">
        <v>407</v>
      </c>
      <c r="Y201" s="29">
        <v>1843</v>
      </c>
      <c r="Z201" s="29">
        <v>992</v>
      </c>
      <c r="AA201" s="29">
        <v>202</v>
      </c>
      <c r="AB201" s="29">
        <v>130</v>
      </c>
      <c r="AC201" s="29">
        <v>92</v>
      </c>
      <c r="AD201" s="29">
        <v>668</v>
      </c>
      <c r="AE201" s="29">
        <v>761</v>
      </c>
      <c r="AF201" s="29">
        <v>536</v>
      </c>
      <c r="AG201" s="29">
        <v>154</v>
      </c>
      <c r="AH201" s="29">
        <v>112</v>
      </c>
      <c r="AI201" s="29">
        <v>492</v>
      </c>
      <c r="AJ201" s="29">
        <v>157</v>
      </c>
      <c r="AK201" s="29">
        <v>76</v>
      </c>
      <c r="AL201" s="29">
        <v>106</v>
      </c>
      <c r="AM201" s="29">
        <v>252</v>
      </c>
      <c r="AN201" s="29">
        <v>426</v>
      </c>
      <c r="AO201" s="29">
        <v>308</v>
      </c>
      <c r="AP201" s="29">
        <v>476</v>
      </c>
      <c r="AQ201" s="29">
        <v>1070</v>
      </c>
      <c r="AR201" s="29">
        <v>424</v>
      </c>
      <c r="AS201" s="29">
        <v>516</v>
      </c>
      <c r="AT201" s="29">
        <v>350</v>
      </c>
      <c r="AU201" s="29">
        <v>179</v>
      </c>
      <c r="AV201" s="29">
        <v>91</v>
      </c>
      <c r="AW201" s="29">
        <v>610</v>
      </c>
      <c r="AX201" s="29">
        <v>447</v>
      </c>
      <c r="AY201" s="29">
        <v>446</v>
      </c>
      <c r="AZ201" s="29">
        <v>895</v>
      </c>
      <c r="BA201" s="29">
        <v>953</v>
      </c>
      <c r="BB201" s="29"/>
      <c r="BC201" s="29"/>
      <c r="BD201" s="29"/>
      <c r="BE201" s="29"/>
      <c r="BF201" s="29"/>
      <c r="BG201" s="29"/>
      <c r="BH201" s="29"/>
      <c r="BI201" s="29"/>
      <c r="BJ201" s="29"/>
      <c r="BK201" s="29"/>
    </row>
    <row r="202" spans="1:64" ht="27.95" customHeight="1">
      <c r="A202" s="14" t="s">
        <v>241</v>
      </c>
      <c r="B202" s="15" t="s">
        <v>242</v>
      </c>
      <c r="C202" s="15" t="s">
        <v>86</v>
      </c>
      <c r="D202" s="15"/>
      <c r="E202" s="43"/>
      <c r="F202" s="43"/>
      <c r="G202" s="17" t="str">
        <f>VLOOKUP(A202,'KPI Описание'!A:K,11,0)</f>
        <v>Оператор</v>
      </c>
      <c r="H202" s="17" t="s">
        <v>43</v>
      </c>
      <c r="I202" s="29"/>
      <c r="J202" s="30"/>
      <c r="K202" s="29">
        <v>33</v>
      </c>
      <c r="L202" s="29">
        <v>162</v>
      </c>
      <c r="M202" s="29">
        <v>1186</v>
      </c>
      <c r="N202" s="29">
        <v>540</v>
      </c>
      <c r="O202" s="29">
        <v>413</v>
      </c>
      <c r="P202" s="29">
        <v>200</v>
      </c>
      <c r="Q202" s="29">
        <v>980</v>
      </c>
      <c r="R202" s="29">
        <v>538</v>
      </c>
      <c r="S202" s="29">
        <v>956</v>
      </c>
      <c r="T202" s="29">
        <v>84</v>
      </c>
      <c r="U202" s="29">
        <v>716</v>
      </c>
      <c r="V202" s="29">
        <v>607</v>
      </c>
      <c r="W202" s="29">
        <v>359</v>
      </c>
      <c r="X202" s="29">
        <v>552</v>
      </c>
      <c r="Y202" s="29">
        <v>307</v>
      </c>
      <c r="Z202" s="29">
        <v>413</v>
      </c>
      <c r="AA202" s="29">
        <v>631</v>
      </c>
      <c r="AB202" s="29">
        <v>111</v>
      </c>
      <c r="AC202" s="29">
        <v>598</v>
      </c>
      <c r="AD202" s="29">
        <v>624</v>
      </c>
      <c r="AE202" s="29">
        <v>1116</v>
      </c>
      <c r="AF202" s="29">
        <v>215</v>
      </c>
      <c r="AG202" s="29">
        <v>369</v>
      </c>
      <c r="AH202" s="29">
        <v>444</v>
      </c>
      <c r="AI202" s="29">
        <v>330</v>
      </c>
      <c r="AJ202" s="29">
        <v>585</v>
      </c>
      <c r="AK202" s="29">
        <v>886</v>
      </c>
      <c r="AL202" s="29">
        <v>648</v>
      </c>
      <c r="AM202" s="29">
        <v>395</v>
      </c>
      <c r="AN202" s="29">
        <v>322</v>
      </c>
      <c r="AO202" s="29">
        <v>200</v>
      </c>
      <c r="AP202" s="29">
        <v>399</v>
      </c>
      <c r="AQ202" s="29">
        <v>217</v>
      </c>
      <c r="AR202" s="29">
        <v>293</v>
      </c>
      <c r="AS202" s="29">
        <v>319</v>
      </c>
      <c r="AT202" s="29">
        <v>87</v>
      </c>
      <c r="AU202" s="29">
        <v>536</v>
      </c>
      <c r="AV202" s="29">
        <v>193</v>
      </c>
      <c r="AW202" s="29">
        <v>122</v>
      </c>
      <c r="AX202" s="29">
        <v>129</v>
      </c>
      <c r="AY202" s="29">
        <v>242</v>
      </c>
      <c r="AZ202" s="29">
        <v>603</v>
      </c>
      <c r="BA202" s="29">
        <v>545</v>
      </c>
      <c r="BB202" s="29"/>
      <c r="BC202" s="29"/>
      <c r="BD202" s="29"/>
      <c r="BE202" s="29"/>
      <c r="BF202" s="29"/>
      <c r="BG202" s="29"/>
      <c r="BH202" s="29"/>
      <c r="BI202" s="29"/>
      <c r="BJ202" s="29"/>
      <c r="BK202" s="29"/>
    </row>
    <row r="203" spans="1:64" ht="27.95" customHeight="1">
      <c r="A203" s="14" t="s">
        <v>241</v>
      </c>
      <c r="B203" s="15" t="s">
        <v>242</v>
      </c>
      <c r="C203" s="15" t="s">
        <v>86</v>
      </c>
      <c r="D203" s="15"/>
      <c r="E203" s="43"/>
      <c r="F203" s="43"/>
      <c r="G203" s="17" t="str">
        <f>VLOOKUP(A203,'KPI Описание'!A:K,11,0)</f>
        <v>Оператор</v>
      </c>
      <c r="H203" s="17" t="s">
        <v>183</v>
      </c>
      <c r="I203" s="29"/>
      <c r="J203" s="30"/>
      <c r="K203" s="29">
        <v>20</v>
      </c>
      <c r="L203" s="29">
        <v>331</v>
      </c>
      <c r="M203" s="29">
        <v>20</v>
      </c>
      <c r="N203" s="29">
        <v>33</v>
      </c>
      <c r="O203" s="29">
        <v>56</v>
      </c>
      <c r="P203" s="29">
        <v>35</v>
      </c>
      <c r="Q203" s="29">
        <v>107</v>
      </c>
      <c r="R203" s="29">
        <v>67</v>
      </c>
      <c r="S203" s="29">
        <v>78</v>
      </c>
      <c r="T203" s="29">
        <v>10</v>
      </c>
      <c r="U203" s="29">
        <v>106</v>
      </c>
      <c r="V203" s="29">
        <v>77</v>
      </c>
      <c r="W203" s="29">
        <v>95</v>
      </c>
      <c r="X203" s="29">
        <v>74</v>
      </c>
      <c r="Y203" s="29">
        <v>55</v>
      </c>
      <c r="Z203" s="29">
        <v>54</v>
      </c>
      <c r="AA203" s="29">
        <v>134</v>
      </c>
      <c r="AB203" s="29">
        <v>98</v>
      </c>
      <c r="AC203" s="29">
        <v>40</v>
      </c>
      <c r="AD203" s="29">
        <v>50</v>
      </c>
      <c r="AE203" s="29">
        <v>254</v>
      </c>
      <c r="AF203" s="29">
        <v>40</v>
      </c>
      <c r="AG203" s="29">
        <v>48</v>
      </c>
      <c r="AH203" s="29">
        <v>83</v>
      </c>
      <c r="AI203" s="29">
        <v>50</v>
      </c>
      <c r="AJ203" s="29">
        <v>88</v>
      </c>
      <c r="AK203" s="29">
        <v>112</v>
      </c>
      <c r="AL203" s="29">
        <v>19</v>
      </c>
      <c r="AM203" s="29">
        <v>76</v>
      </c>
      <c r="AN203" s="29">
        <v>10</v>
      </c>
      <c r="AO203" s="29">
        <v>30</v>
      </c>
      <c r="AP203" s="29">
        <v>164</v>
      </c>
      <c r="AQ203" s="29">
        <v>53</v>
      </c>
      <c r="AR203" s="29">
        <v>71</v>
      </c>
      <c r="AS203" s="29">
        <v>41</v>
      </c>
      <c r="AT203" s="29">
        <v>170</v>
      </c>
      <c r="AU203" s="29">
        <v>48</v>
      </c>
      <c r="AV203" s="29">
        <v>41</v>
      </c>
      <c r="AW203" s="29">
        <v>155</v>
      </c>
      <c r="AX203" s="29">
        <v>157</v>
      </c>
      <c r="AY203" s="29">
        <v>149</v>
      </c>
      <c r="AZ203" s="29">
        <v>31</v>
      </c>
      <c r="BA203" s="29">
        <v>19</v>
      </c>
      <c r="BB203" s="29"/>
      <c r="BC203" s="29"/>
      <c r="BD203" s="29"/>
      <c r="BE203" s="29"/>
      <c r="BF203" s="29"/>
      <c r="BG203" s="29"/>
      <c r="BH203" s="29"/>
      <c r="BI203" s="29"/>
      <c r="BJ203" s="29"/>
      <c r="BK203" s="29"/>
    </row>
    <row r="204" spans="1:64" ht="27.95" customHeight="1">
      <c r="A204" s="27"/>
      <c r="B204" s="28"/>
      <c r="C204" s="28"/>
      <c r="D204" s="15"/>
      <c r="E204" s="43"/>
      <c r="F204" s="43"/>
      <c r="G204" s="17"/>
      <c r="H204" s="17"/>
      <c r="I204" s="29"/>
      <c r="J204" s="30"/>
      <c r="K204" s="29"/>
      <c r="L204" s="29"/>
      <c r="M204" s="33"/>
      <c r="N204" s="33"/>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row>
    <row r="205" spans="1:64" ht="27.95" customHeight="1">
      <c r="A205" s="27"/>
      <c r="B205" s="28"/>
      <c r="C205" s="28"/>
      <c r="D205" s="15"/>
      <c r="E205" s="43"/>
      <c r="F205" s="43"/>
      <c r="G205" s="17"/>
      <c r="H205" s="17"/>
      <c r="I205" s="29"/>
      <c r="J205" s="30"/>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row>
    <row r="206" spans="1:64" ht="27.95" customHeight="1">
      <c r="A206" s="27"/>
      <c r="B206" s="28"/>
      <c r="C206" s="28"/>
      <c r="D206" s="15"/>
      <c r="E206" s="43"/>
      <c r="F206" s="43"/>
      <c r="G206" s="17"/>
      <c r="H206" s="17"/>
      <c r="I206" s="29"/>
      <c r="J206" s="30"/>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row>
    <row r="207" spans="1:64" ht="27.95" customHeight="1">
      <c r="A207" s="27"/>
      <c r="B207" s="28"/>
      <c r="C207" s="28"/>
      <c r="D207" s="15"/>
      <c r="E207" s="43"/>
      <c r="F207" s="43"/>
      <c r="G207" s="17"/>
      <c r="H207" s="17"/>
      <c r="I207" s="29"/>
      <c r="J207" s="30"/>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row>
  </sheetData>
  <autoFilter ref="A1:BK203" xr:uid="{6102CFEF-D75F-462F-8D42-83B1B0352520}">
    <filterColumn colId="6">
      <filters>
        <filter val="Оператор"/>
      </filters>
    </filterColumn>
    <sortState ref="A2:BK203">
      <sortCondition ref="A1:A203"/>
    </sortState>
  </autoFilter>
  <conditionalFormatting sqref="K198:BK1048576 K126:AS126 AU126:AV126 K123:AV125 K122:AW122 K127:AW127 AY122:AY127 K128:BK134 K1:BK120 K121:AY121 BA121:BK127 K135:AY141 BA135:BK141 K142:BK196">
    <cfRule type="expression" dxfId="83" priority="29">
      <formula>AND($J1="higher", K1&lt;$I1)</formula>
    </cfRule>
    <cfRule type="expression" dxfId="82" priority="30">
      <formula>AND($J1="lower", K1&gt;$I1)</formula>
    </cfRule>
    <cfRule type="expression" dxfId="81" priority="31">
      <formula>AND($J1="lower", K1&lt;$I1)</formula>
    </cfRule>
    <cfRule type="expression" dxfId="80" priority="32">
      <formula>AND($J1="higher", K1&gt;$I1)</formula>
    </cfRule>
  </conditionalFormatting>
  <conditionalFormatting sqref="K197:BK197">
    <cfRule type="expression" dxfId="79" priority="25">
      <formula>AND($J197="higher", K197&lt;$I197)</formula>
    </cfRule>
    <cfRule type="expression" dxfId="78" priority="26">
      <formula>AND($J197="lower", K197&gt;$I197)</formula>
    </cfRule>
    <cfRule type="expression" dxfId="77" priority="27">
      <formula>AND($J197="lower", K197&lt;$I197)</formula>
    </cfRule>
    <cfRule type="expression" dxfId="76" priority="28">
      <formula>AND($J197="higher", K197&gt;$I197)</formula>
    </cfRule>
  </conditionalFormatting>
  <conditionalFormatting sqref="AW123:AW126">
    <cfRule type="expression" dxfId="75" priority="21">
      <formula>AND($J123="higher", AW123&lt;$I123)</formula>
    </cfRule>
    <cfRule type="expression" dxfId="74" priority="22">
      <formula>AND($J123="lower", AW123&gt;$I123)</formula>
    </cfRule>
    <cfRule type="expression" dxfId="73" priority="23">
      <formula>AND($J123="lower", AW123&lt;$I123)</formula>
    </cfRule>
    <cfRule type="expression" dxfId="72" priority="24">
      <formula>AND($J123="higher", AW123&gt;$I123)</formula>
    </cfRule>
  </conditionalFormatting>
  <conditionalFormatting sqref="AX122 AX127">
    <cfRule type="expression" dxfId="71" priority="17">
      <formula>AND($J122="higher", AX122&lt;$I122)</formula>
    </cfRule>
    <cfRule type="expression" dxfId="70" priority="18">
      <formula>AND($J122="lower", AX122&gt;$I122)</formula>
    </cfRule>
    <cfRule type="expression" dxfId="69" priority="19">
      <formula>AND($J122="lower", AX122&lt;$I122)</formula>
    </cfRule>
    <cfRule type="expression" dxfId="68" priority="20">
      <formula>AND($J122="higher", AX122&gt;$I122)</formula>
    </cfRule>
  </conditionalFormatting>
  <conditionalFormatting sqref="AX123:AX126">
    <cfRule type="expression" dxfId="67" priority="13">
      <formula>AND($J123="higher", AX123&lt;$I123)</formula>
    </cfRule>
    <cfRule type="expression" dxfId="66" priority="14">
      <formula>AND($J123="lower", AX123&gt;$I123)</formula>
    </cfRule>
    <cfRule type="expression" dxfId="65" priority="15">
      <formula>AND($J123="lower", AX123&lt;$I123)</formula>
    </cfRule>
    <cfRule type="expression" dxfId="64" priority="16">
      <formula>AND($J123="higher", AX123&gt;$I123)</formula>
    </cfRule>
  </conditionalFormatting>
  <conditionalFormatting sqref="AZ121:AZ127">
    <cfRule type="expression" dxfId="63" priority="9">
      <formula>AND($J121="higher", AZ121&lt;$I121)</formula>
    </cfRule>
    <cfRule type="expression" dxfId="62" priority="10">
      <formula>AND($J121="lower", AZ121&gt;$I121)</formula>
    </cfRule>
    <cfRule type="expression" dxfId="61" priority="11">
      <formula>AND($J121="lower", AZ121&lt;$I121)</formula>
    </cfRule>
    <cfRule type="expression" dxfId="60" priority="12">
      <formula>AND($J121="higher", AZ121&gt;$I121)</formula>
    </cfRule>
  </conditionalFormatting>
  <conditionalFormatting sqref="AZ135:AZ141">
    <cfRule type="expression" dxfId="59" priority="1">
      <formula>AND($J135="higher", AZ135&lt;$I135)</formula>
    </cfRule>
    <cfRule type="expression" dxfId="58" priority="2">
      <formula>AND($J135="lower", AZ135&gt;$I135)</formula>
    </cfRule>
    <cfRule type="expression" dxfId="57" priority="3">
      <formula>AND($J135="lower", AZ135&lt;$I135)</formula>
    </cfRule>
    <cfRule type="expression" dxfId="56" priority="4">
      <formula>AND($J135="higher", AZ135&gt;$I135)</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1EA0E-4645-4F5A-922A-DEC74781F32B}">
  <sheetPr>
    <tabColor rgb="FFFEE9C0"/>
  </sheetPr>
  <dimension ref="A1:G1123"/>
  <sheetViews>
    <sheetView zoomScale="85" zoomScaleNormal="85" workbookViewId="0" xr3:uid="{93029D33-6459-5C42-8B9D-0CF7D6588A89}">
      <pane ySplit="1" topLeftCell="A434" activePane="bottomLeft" state="frozen"/>
      <selection pane="bottomLeft" activeCell="F440" sqref="F440"/>
    </sheetView>
  </sheetViews>
  <sheetFormatPr defaultColWidth="99.42578125" defaultRowHeight="17.45"/>
  <cols>
    <col min="1" max="1" width="20" style="52" customWidth="1"/>
    <col min="2" max="2" width="18" style="51" customWidth="1"/>
    <col min="3" max="3" width="24.85546875" style="51" customWidth="1"/>
    <col min="4" max="4" width="17.140625" style="40" customWidth="1"/>
    <col min="5" max="5" width="21.42578125" style="51" customWidth="1"/>
    <col min="6" max="6" width="17.42578125" style="51" customWidth="1"/>
    <col min="7" max="7" width="145.42578125" style="46" customWidth="1"/>
    <col min="8" max="16384" width="99.42578125" style="46"/>
  </cols>
  <sheetData>
    <row r="1" spans="1:7" s="40" customFormat="1" ht="44.65" customHeight="1">
      <c r="A1" s="55" t="s">
        <v>245</v>
      </c>
      <c r="B1" s="56" t="s">
        <v>246</v>
      </c>
      <c r="C1" s="56" t="s">
        <v>7</v>
      </c>
      <c r="D1" s="56" t="s">
        <v>247</v>
      </c>
      <c r="E1" s="57" t="s">
        <v>248</v>
      </c>
      <c r="F1" s="56" t="s">
        <v>249</v>
      </c>
      <c r="G1" s="56" t="s">
        <v>250</v>
      </c>
    </row>
    <row r="2" spans="1:7" ht="18">
      <c r="A2" s="58">
        <f>ROW(Таблица1[[#This Row],[Номер п/п]])-1</f>
        <v>1</v>
      </c>
      <c r="B2" s="59" t="s">
        <v>189</v>
      </c>
      <c r="C2" s="59" t="s">
        <v>33</v>
      </c>
      <c r="D2" s="60">
        <v>1</v>
      </c>
      <c r="E2" s="59">
        <f>IFERROR(VLOOKUP(Таблица1[[#This Row],[ID KPI]],'KPI для заполнения'!A:BL,Таблица1[[#This Row],[Неделя]]+10,0),"Нет")</f>
        <v>185</v>
      </c>
      <c r="F2" s="61" t="s">
        <v>251</v>
      </c>
      <c r="G2" s="62" t="s">
        <v>252</v>
      </c>
    </row>
    <row r="3" spans="1:7" ht="36">
      <c r="A3" s="58">
        <f>ROW(Таблица1[[#This Row],[Номер п/п]])-1</f>
        <v>2</v>
      </c>
      <c r="B3" s="59" t="s">
        <v>201</v>
      </c>
      <c r="C3" s="59" t="s">
        <v>40</v>
      </c>
      <c r="D3" s="60">
        <v>1</v>
      </c>
      <c r="E3" s="59">
        <f>IFERROR(VLOOKUP(Таблица1[[#This Row],[ID KPI]],'KPI для заполнения'!A:BL,Таблица1[[#This Row],[Неделя]]+10,0),"Нет")</f>
        <v>1</v>
      </c>
      <c r="F3" s="61" t="s">
        <v>251</v>
      </c>
      <c r="G3" s="62" t="s">
        <v>253</v>
      </c>
    </row>
    <row r="4" spans="1:7" ht="18">
      <c r="A4" s="58">
        <f>ROW(Таблица1[[#This Row],[Номер п/п]])-1</f>
        <v>3</v>
      </c>
      <c r="B4" s="59" t="s">
        <v>231</v>
      </c>
      <c r="C4" s="59" t="s">
        <v>183</v>
      </c>
      <c r="D4" s="60">
        <v>1</v>
      </c>
      <c r="E4" s="59" t="str">
        <f>IFERROR(VLOOKUP(Таблица1[[#This Row],[ID KPI]],'KPI для заполнения'!A:BL,Таблица1[[#This Row],[Неделя]]+10,0),"Нет")</f>
        <v>-</v>
      </c>
      <c r="F4" s="61" t="s">
        <v>254</v>
      </c>
      <c r="G4" s="62" t="s">
        <v>255</v>
      </c>
    </row>
    <row r="5" spans="1:7" ht="18">
      <c r="A5" s="58">
        <f>ROW(Таблица1[[#This Row],[Номер п/п]])-1</f>
        <v>4</v>
      </c>
      <c r="B5" s="59" t="s">
        <v>231</v>
      </c>
      <c r="C5" s="59" t="s">
        <v>183</v>
      </c>
      <c r="D5" s="60">
        <v>1</v>
      </c>
      <c r="E5" s="59" t="str">
        <f>IFERROR(VLOOKUP(Таблица1[[#This Row],[ID KPI]],'KPI для заполнения'!A:BL,Таблица1[[#This Row],[Неделя]]+10,0),"Нет")</f>
        <v>-</v>
      </c>
      <c r="F5" s="61" t="s">
        <v>254</v>
      </c>
      <c r="G5" s="62" t="s">
        <v>256</v>
      </c>
    </row>
    <row r="6" spans="1:7" ht="18">
      <c r="A6" s="58">
        <f>ROW(Таблица1[[#This Row],[Номер п/п]])-1</f>
        <v>5</v>
      </c>
      <c r="B6" s="59" t="s">
        <v>189</v>
      </c>
      <c r="C6" s="59" t="s">
        <v>183</v>
      </c>
      <c r="D6" s="60">
        <v>2</v>
      </c>
      <c r="E6" s="59">
        <f>IFERROR(VLOOKUP(Таблица1[[#This Row],[ID KPI]],'KPI для заполнения'!A:BL,Таблица1[[#This Row],[Неделя]]+10,0),"Нет")</f>
        <v>184</v>
      </c>
      <c r="F6" s="61" t="s">
        <v>254</v>
      </c>
      <c r="G6" s="62" t="s">
        <v>257</v>
      </c>
    </row>
    <row r="7" spans="1:7" ht="18">
      <c r="A7" s="58">
        <f>ROW(Таблица1[[#This Row],[Номер п/п]])-1</f>
        <v>6</v>
      </c>
      <c r="B7" s="59" t="s">
        <v>201</v>
      </c>
      <c r="C7" s="59" t="s">
        <v>43</v>
      </c>
      <c r="D7" s="60">
        <v>2</v>
      </c>
      <c r="E7" s="59">
        <f>IFERROR(VLOOKUP(Таблица1[[#This Row],[ID KPI]],'KPI для заполнения'!A:BL,Таблица1[[#This Row],[Неделя]]+10,0),"Нет")</f>
        <v>0.99616938291317014</v>
      </c>
      <c r="F7" s="61" t="s">
        <v>254</v>
      </c>
      <c r="G7" s="62" t="s">
        <v>258</v>
      </c>
    </row>
    <row r="8" spans="1:7" ht="36">
      <c r="A8" s="58">
        <f>ROW(Таблица1[[#This Row],[Номер п/п]])-1</f>
        <v>7</v>
      </c>
      <c r="B8" s="59" t="s">
        <v>201</v>
      </c>
      <c r="C8" s="59" t="s">
        <v>36</v>
      </c>
      <c r="D8" s="60">
        <v>2</v>
      </c>
      <c r="E8" s="59">
        <f>IFERROR(VLOOKUP(Таблица1[[#This Row],[ID KPI]],'KPI для заполнения'!A:BL,Таблица1[[#This Row],[Неделя]]+10,0),"Нет")</f>
        <v>0.99616938291317014</v>
      </c>
      <c r="F8" s="61" t="s">
        <v>251</v>
      </c>
      <c r="G8" s="62" t="s">
        <v>259</v>
      </c>
    </row>
    <row r="9" spans="1:7" ht="18">
      <c r="A9" s="58">
        <f>ROW(Таблица1[[#This Row],[Номер п/п]])-1</f>
        <v>8</v>
      </c>
      <c r="B9" s="59" t="s">
        <v>201</v>
      </c>
      <c r="C9" s="59" t="s">
        <v>36</v>
      </c>
      <c r="D9" s="60">
        <v>2</v>
      </c>
      <c r="E9" s="59">
        <f>IFERROR(VLOOKUP(Таблица1[[#This Row],[ID KPI]],'KPI для заполнения'!A:BL,Таблица1[[#This Row],[Неделя]]+10,0),"Нет")</f>
        <v>0.99616938291317014</v>
      </c>
      <c r="F9" s="61" t="s">
        <v>251</v>
      </c>
      <c r="G9" s="62" t="s">
        <v>260</v>
      </c>
    </row>
    <row r="10" spans="1:7" ht="36">
      <c r="A10" s="58">
        <f>ROW(Таблица1[[#This Row],[Номер п/п]])-1</f>
        <v>9</v>
      </c>
      <c r="B10" s="59" t="s">
        <v>201</v>
      </c>
      <c r="C10" s="59" t="s">
        <v>33</v>
      </c>
      <c r="D10" s="60">
        <v>2</v>
      </c>
      <c r="E10" s="59">
        <f>IFERROR(VLOOKUP(Таблица1[[#This Row],[ID KPI]],'KPI для заполнения'!A:BL,Таблица1[[#This Row],[Неделя]]+10,0),"Нет")</f>
        <v>0.99616938291317014</v>
      </c>
      <c r="F10" s="61" t="s">
        <v>251</v>
      </c>
      <c r="G10" s="62" t="s">
        <v>261</v>
      </c>
    </row>
    <row r="11" spans="1:7" ht="36">
      <c r="A11" s="58">
        <f>ROW(Таблица1[[#This Row],[Номер п/п]])-1</f>
        <v>10</v>
      </c>
      <c r="B11" s="59" t="s">
        <v>201</v>
      </c>
      <c r="C11" s="59" t="s">
        <v>43</v>
      </c>
      <c r="D11" s="60">
        <v>2</v>
      </c>
      <c r="E11" s="59">
        <f>IFERROR(VLOOKUP(Таблица1[[#This Row],[ID KPI]],'KPI для заполнения'!A:BL,Таблица1[[#This Row],[Неделя]]+10,0),"Нет")</f>
        <v>0.99616938291317014</v>
      </c>
      <c r="F11" s="61" t="s">
        <v>251</v>
      </c>
      <c r="G11" s="62" t="s">
        <v>262</v>
      </c>
    </row>
    <row r="12" spans="1:7" ht="18">
      <c r="A12" s="58">
        <f>ROW(Таблица1[[#This Row],[Номер п/п]])-1</f>
        <v>11</v>
      </c>
      <c r="B12" s="59" t="s">
        <v>231</v>
      </c>
      <c r="C12" s="59" t="s">
        <v>40</v>
      </c>
      <c r="D12" s="60">
        <v>2</v>
      </c>
      <c r="E12" s="59">
        <f>IFERROR(VLOOKUP(Таблица1[[#This Row],[ID KPI]],'KPI для заполнения'!A:BL,Таблица1[[#This Row],[Неделя]]+10,0),"Нет")</f>
        <v>116</v>
      </c>
      <c r="F12" s="61" t="s">
        <v>254</v>
      </c>
      <c r="G12" s="62" t="s">
        <v>263</v>
      </c>
    </row>
    <row r="13" spans="1:7" ht="18">
      <c r="A13" s="58">
        <f>ROW(Таблица1[[#This Row],[Номер п/п]])-1</f>
        <v>12</v>
      </c>
      <c r="B13" s="59" t="s">
        <v>231</v>
      </c>
      <c r="C13" s="59" t="s">
        <v>183</v>
      </c>
      <c r="D13" s="60">
        <v>3</v>
      </c>
      <c r="E13" s="59">
        <f>IFERROR(VLOOKUP(Таблица1[[#This Row],[ID KPI]],'KPI для заполнения'!A:BL,Таблица1[[#This Row],[Неделя]]+10,0),"Нет")</f>
        <v>116</v>
      </c>
      <c r="F13" s="61" t="s">
        <v>254</v>
      </c>
      <c r="G13" s="62" t="s">
        <v>264</v>
      </c>
    </row>
    <row r="14" spans="1:7" ht="36">
      <c r="A14" s="58">
        <f>ROW(Таблица1[[#This Row],[Номер п/п]])-1</f>
        <v>13</v>
      </c>
      <c r="B14" s="59" t="s">
        <v>231</v>
      </c>
      <c r="C14" s="59" t="s">
        <v>36</v>
      </c>
      <c r="D14" s="60">
        <v>3</v>
      </c>
      <c r="E14" s="59">
        <f>IFERROR(VLOOKUP(Таблица1[[#This Row],[ID KPI]],'KPI для заполнения'!A:BL,Таблица1[[#This Row],[Неделя]]+10,0),"Нет")</f>
        <v>116</v>
      </c>
      <c r="F14" s="61" t="s">
        <v>251</v>
      </c>
      <c r="G14" s="62" t="s">
        <v>265</v>
      </c>
    </row>
    <row r="15" spans="1:7" ht="18">
      <c r="A15" s="58">
        <f>ROW(Таблица1[[#This Row],[Номер п/п]])-1</f>
        <v>14</v>
      </c>
      <c r="B15" s="59" t="s">
        <v>189</v>
      </c>
      <c r="C15" s="59" t="s">
        <v>183</v>
      </c>
      <c r="D15" s="60">
        <v>4</v>
      </c>
      <c r="E15" s="59">
        <f>IFERROR(VLOOKUP(Таблица1[[#This Row],[ID KPI]],'KPI для заполнения'!A:BL,Таблица1[[#This Row],[Неделя]]+10,0),"Нет")</f>
        <v>178</v>
      </c>
      <c r="F15" s="61" t="s">
        <v>254</v>
      </c>
      <c r="G15" s="62" t="s">
        <v>266</v>
      </c>
    </row>
    <row r="16" spans="1:7" ht="18">
      <c r="A16" s="58">
        <f>ROW(Таблица1[[#This Row],[Номер п/п]])-1</f>
        <v>15</v>
      </c>
      <c r="B16" s="59" t="s">
        <v>217</v>
      </c>
      <c r="C16" s="59" t="s">
        <v>33</v>
      </c>
      <c r="D16" s="60">
        <v>4</v>
      </c>
      <c r="E16" s="59">
        <f>IFERROR(VLOOKUP(Таблица1[[#This Row],[ID KPI]],'KPI для заполнения'!A:BL,Таблица1[[#This Row],[Неделя]]+10,0),"Нет")</f>
        <v>0.95325389550870765</v>
      </c>
      <c r="F16" s="61" t="s">
        <v>251</v>
      </c>
      <c r="G16" s="62" t="s">
        <v>267</v>
      </c>
    </row>
    <row r="17" spans="1:7" ht="18">
      <c r="A17" s="58">
        <f>ROW(Таблица1[[#This Row],[Номер п/п]])-1</f>
        <v>16</v>
      </c>
      <c r="B17" s="59" t="s">
        <v>217</v>
      </c>
      <c r="C17" s="59" t="s">
        <v>33</v>
      </c>
      <c r="D17" s="60">
        <v>4</v>
      </c>
      <c r="E17" s="59">
        <f>IFERROR(VLOOKUP(Таблица1[[#This Row],[ID KPI]],'KPI для заполнения'!A:BL,Таблица1[[#This Row],[Неделя]]+10,0),"Нет")</f>
        <v>0.95325389550870765</v>
      </c>
      <c r="F17" s="61" t="s">
        <v>251</v>
      </c>
      <c r="G17" s="62" t="s">
        <v>268</v>
      </c>
    </row>
    <row r="18" spans="1:7" ht="18">
      <c r="A18" s="58">
        <f>ROW(Таблица1[[#This Row],[Номер п/п]])-1</f>
        <v>17</v>
      </c>
      <c r="B18" s="59" t="s">
        <v>217</v>
      </c>
      <c r="C18" s="59" t="s">
        <v>33</v>
      </c>
      <c r="D18" s="60">
        <v>4</v>
      </c>
      <c r="E18" s="59">
        <f>IFERROR(VLOOKUP(Таблица1[[#This Row],[ID KPI]],'KPI для заполнения'!A:BL,Таблица1[[#This Row],[Неделя]]+10,0),"Нет")</f>
        <v>0.95325389550870765</v>
      </c>
      <c r="F18" s="61" t="s">
        <v>251</v>
      </c>
      <c r="G18" s="62" t="s">
        <v>269</v>
      </c>
    </row>
    <row r="19" spans="1:7" ht="36">
      <c r="A19" s="58">
        <f>ROW(Таблица1[[#This Row],[Номер п/п]])-1</f>
        <v>18</v>
      </c>
      <c r="B19" s="59" t="s">
        <v>217</v>
      </c>
      <c r="C19" s="59" t="s">
        <v>40</v>
      </c>
      <c r="D19" s="60">
        <v>4</v>
      </c>
      <c r="E19" s="59">
        <f>IFERROR(VLOOKUP(Таблица1[[#This Row],[ID KPI]],'KPI для заполнения'!A:BL,Таблица1[[#This Row],[Неделя]]+10,0),"Нет")</f>
        <v>0.95325389550870765</v>
      </c>
      <c r="F19" s="61" t="s">
        <v>251</v>
      </c>
      <c r="G19" s="62" t="s">
        <v>270</v>
      </c>
    </row>
    <row r="20" spans="1:7" ht="18">
      <c r="A20" s="58">
        <f>ROW(Таблица1[[#This Row],[Номер п/п]])-1</f>
        <v>19</v>
      </c>
      <c r="B20" s="59" t="s">
        <v>217</v>
      </c>
      <c r="C20" s="59" t="s">
        <v>33</v>
      </c>
      <c r="D20" s="60">
        <v>4</v>
      </c>
      <c r="E20" s="59">
        <f>IFERROR(VLOOKUP(Таблица1[[#This Row],[ID KPI]],'KPI для заполнения'!A:BL,Таблица1[[#This Row],[Неделя]]+10,0),"Нет")</f>
        <v>0.95325389550870765</v>
      </c>
      <c r="F20" s="61" t="s">
        <v>251</v>
      </c>
      <c r="G20" s="62" t="s">
        <v>271</v>
      </c>
    </row>
    <row r="21" spans="1:7" ht="36">
      <c r="A21" s="58">
        <f>ROW(Таблица1[[#This Row],[Номер п/п]])-1</f>
        <v>20</v>
      </c>
      <c r="B21" s="59" t="s">
        <v>217</v>
      </c>
      <c r="C21" s="59" t="s">
        <v>43</v>
      </c>
      <c r="D21" s="60">
        <v>4</v>
      </c>
      <c r="E21" s="59">
        <f>IFERROR(VLOOKUP(Таблица1[[#This Row],[ID KPI]],'KPI для заполнения'!A:BL,Таблица1[[#This Row],[Неделя]]+10,0),"Нет")</f>
        <v>0.95325389550870765</v>
      </c>
      <c r="F21" s="61" t="s">
        <v>251</v>
      </c>
      <c r="G21" s="62" t="s">
        <v>272</v>
      </c>
    </row>
    <row r="22" spans="1:7" ht="36">
      <c r="A22" s="58">
        <f>ROW(Таблица1[[#This Row],[Номер п/п]])-1</f>
        <v>21</v>
      </c>
      <c r="B22" s="59" t="s">
        <v>231</v>
      </c>
      <c r="C22" s="59" t="s">
        <v>40</v>
      </c>
      <c r="D22" s="60">
        <v>4</v>
      </c>
      <c r="E22" s="59">
        <f>IFERROR(VLOOKUP(Таблица1[[#This Row],[ID KPI]],'KPI для заполнения'!A:BL,Таблица1[[#This Row],[Неделя]]+10,0),"Нет")</f>
        <v>105</v>
      </c>
      <c r="F22" s="61" t="s">
        <v>251</v>
      </c>
      <c r="G22" s="62" t="s">
        <v>273</v>
      </c>
    </row>
    <row r="23" spans="1:7" ht="72">
      <c r="A23" s="58">
        <f>ROW(Таблица1[[#This Row],[Номер п/п]])-1</f>
        <v>22</v>
      </c>
      <c r="B23" s="59" t="s">
        <v>217</v>
      </c>
      <c r="C23" s="59" t="s">
        <v>33</v>
      </c>
      <c r="D23" s="60">
        <v>5</v>
      </c>
      <c r="E23" s="59">
        <f>IFERROR(VLOOKUP(Таблица1[[#This Row],[ID KPI]],'KPI для заполнения'!A:BL,Таблица1[[#This Row],[Неделя]]+10,0),"Нет")</f>
        <v>1</v>
      </c>
      <c r="F23" s="61" t="s">
        <v>251</v>
      </c>
      <c r="G23" s="62" t="s">
        <v>274</v>
      </c>
    </row>
    <row r="24" spans="1:7" ht="18">
      <c r="A24" s="58">
        <f>ROW(Таблица1[[#This Row],[Номер п/п]])-1</f>
        <v>23</v>
      </c>
      <c r="B24" s="59" t="s">
        <v>231</v>
      </c>
      <c r="C24" s="59" t="s">
        <v>183</v>
      </c>
      <c r="D24" s="60">
        <v>5</v>
      </c>
      <c r="E24" s="59">
        <f>IFERROR(VLOOKUP(Таблица1[[#This Row],[ID KPI]],'KPI для заполнения'!A:BL,Таблица1[[#This Row],[Неделя]]+10,0),"Нет")</f>
        <v>121</v>
      </c>
      <c r="F24" s="61" t="s">
        <v>254</v>
      </c>
      <c r="G24" s="62" t="s">
        <v>275</v>
      </c>
    </row>
    <row r="25" spans="1:7" ht="18">
      <c r="A25" s="58">
        <f>ROW(Таблица1[[#This Row],[Номер п/п]])-1</f>
        <v>24</v>
      </c>
      <c r="B25" s="59" t="s">
        <v>119</v>
      </c>
      <c r="C25" s="59" t="s">
        <v>183</v>
      </c>
      <c r="D25" s="60">
        <v>6</v>
      </c>
      <c r="E25" s="59">
        <f>IFERROR(VLOOKUP(Таблица1[[#This Row],[ID KPI]],'KPI для заполнения'!A:BL,Таблица1[[#This Row],[Неделя]]+10,0),"Нет")</f>
        <v>0.83333333333333337</v>
      </c>
      <c r="F25" s="61" t="s">
        <v>276</v>
      </c>
      <c r="G25" s="62" t="s">
        <v>277</v>
      </c>
    </row>
    <row r="26" spans="1:7" ht="18">
      <c r="A26" s="58">
        <f>ROW(Таблица1[[#This Row],[Номер п/п]])-1</f>
        <v>25</v>
      </c>
      <c r="B26" s="59" t="s">
        <v>189</v>
      </c>
      <c r="C26" s="59" t="s">
        <v>183</v>
      </c>
      <c r="D26" s="60">
        <v>6</v>
      </c>
      <c r="E26" s="59">
        <f>IFERROR(VLOOKUP(Таблица1[[#This Row],[ID KPI]],'KPI для заполнения'!A:BL,Таблица1[[#This Row],[Неделя]]+10,0),"Нет")</f>
        <v>160</v>
      </c>
      <c r="F26" s="61" t="s">
        <v>254</v>
      </c>
      <c r="G26" s="62" t="s">
        <v>278</v>
      </c>
    </row>
    <row r="27" spans="1:7" ht="36">
      <c r="A27" s="58">
        <f>ROW(Таблица1[[#This Row],[Номер п/п]])-1</f>
        <v>26</v>
      </c>
      <c r="B27" s="59" t="s">
        <v>189</v>
      </c>
      <c r="C27" s="59" t="s">
        <v>43</v>
      </c>
      <c r="D27" s="60">
        <v>6</v>
      </c>
      <c r="E27" s="59">
        <f>IFERROR(VLOOKUP(Таблица1[[#This Row],[ID KPI]],'KPI для заполнения'!A:BL,Таблица1[[#This Row],[Неделя]]+10,0),"Нет")</f>
        <v>160</v>
      </c>
      <c r="F27" s="61" t="s">
        <v>254</v>
      </c>
      <c r="G27" s="62" t="s">
        <v>279</v>
      </c>
    </row>
    <row r="28" spans="1:7" ht="36">
      <c r="A28" s="58">
        <f>ROW(Таблица1[[#This Row],[Номер п/п]])-1</f>
        <v>27</v>
      </c>
      <c r="B28" s="59" t="s">
        <v>201</v>
      </c>
      <c r="C28" s="59" t="s">
        <v>37</v>
      </c>
      <c r="D28" s="60">
        <v>6</v>
      </c>
      <c r="E28" s="59">
        <f>IFERROR(VLOOKUP(Таблица1[[#This Row],[ID KPI]],'KPI для заполнения'!A:BL,Таблица1[[#This Row],[Неделя]]+10,0),"Нет")</f>
        <v>0.99596132593716924</v>
      </c>
      <c r="F28" s="61" t="s">
        <v>254</v>
      </c>
      <c r="G28" s="62" t="s">
        <v>280</v>
      </c>
    </row>
    <row r="29" spans="1:7" ht="18">
      <c r="A29" s="58">
        <f>ROW(Таблица1[[#This Row],[Номер п/п]])-1</f>
        <v>28</v>
      </c>
      <c r="B29" s="59" t="s">
        <v>231</v>
      </c>
      <c r="C29" s="59" t="s">
        <v>37</v>
      </c>
      <c r="D29" s="60">
        <v>6</v>
      </c>
      <c r="E29" s="59">
        <f>IFERROR(VLOOKUP(Таблица1[[#This Row],[ID KPI]],'KPI для заполнения'!A:BL,Таблица1[[#This Row],[Неделя]]+10,0),"Нет")</f>
        <v>145</v>
      </c>
      <c r="F29" s="61" t="s">
        <v>254</v>
      </c>
      <c r="G29" s="62" t="s">
        <v>281</v>
      </c>
    </row>
    <row r="30" spans="1:7" ht="36">
      <c r="A30" s="58">
        <f>ROW(Таблица1[[#This Row],[Номер п/п]])-1</f>
        <v>29</v>
      </c>
      <c r="B30" s="59" t="s">
        <v>144</v>
      </c>
      <c r="C30" s="59" t="s">
        <v>36</v>
      </c>
      <c r="D30" s="60">
        <v>7</v>
      </c>
      <c r="E30" s="59">
        <f>IFERROR(VLOOKUP(Таблица1[[#This Row],[ID KPI]],'KPI для заполнения'!A:BL,Таблица1[[#This Row],[Неделя]]+10,0),"Нет")</f>
        <v>0.95726767672041346</v>
      </c>
      <c r="F30" s="61" t="s">
        <v>276</v>
      </c>
      <c r="G30" s="62" t="s">
        <v>282</v>
      </c>
    </row>
    <row r="31" spans="1:7" ht="36">
      <c r="A31" s="58">
        <f>ROW(Таблица1[[#This Row],[Номер п/п]])-1</f>
        <v>30</v>
      </c>
      <c r="B31" s="59" t="s">
        <v>201</v>
      </c>
      <c r="C31" s="59" t="s">
        <v>33</v>
      </c>
      <c r="D31" s="60">
        <v>7</v>
      </c>
      <c r="E31" s="59">
        <f>IFERROR(VLOOKUP(Таблица1[[#This Row],[ID KPI]],'KPI для заполнения'!A:BL,Таблица1[[#This Row],[Неделя]]+10,0),"Нет")</f>
        <v>0.99555555555555564</v>
      </c>
      <c r="F31" s="61" t="s">
        <v>251</v>
      </c>
      <c r="G31" s="62" t="s">
        <v>283</v>
      </c>
    </row>
    <row r="32" spans="1:7" ht="36">
      <c r="A32" s="58">
        <f>ROW(Таблица1[[#This Row],[Номер п/п]])-1</f>
        <v>31</v>
      </c>
      <c r="B32" s="59" t="s">
        <v>201</v>
      </c>
      <c r="C32" s="59" t="s">
        <v>43</v>
      </c>
      <c r="D32" s="60">
        <v>7</v>
      </c>
      <c r="E32" s="59">
        <f>IFERROR(VLOOKUP(Таблица1[[#This Row],[ID KPI]],'KPI для заполнения'!A:BL,Таблица1[[#This Row],[Неделя]]+10,0),"Нет")</f>
        <v>0.99555555555555564</v>
      </c>
      <c r="F32" s="61" t="s">
        <v>251</v>
      </c>
      <c r="G32" s="62" t="s">
        <v>284</v>
      </c>
    </row>
    <row r="33" spans="1:7" ht="36">
      <c r="A33" s="58">
        <f>ROW(Таблица1[[#This Row],[Номер п/п]])-1</f>
        <v>32</v>
      </c>
      <c r="B33" s="59" t="s">
        <v>201</v>
      </c>
      <c r="C33" s="59" t="s">
        <v>40</v>
      </c>
      <c r="D33" s="60">
        <v>7</v>
      </c>
      <c r="E33" s="59">
        <f>IFERROR(VLOOKUP(Таблица1[[#This Row],[ID KPI]],'KPI для заполнения'!A:BL,Таблица1[[#This Row],[Неделя]]+10,0),"Нет")</f>
        <v>0.99555555555555564</v>
      </c>
      <c r="F33" s="61" t="s">
        <v>251</v>
      </c>
      <c r="G33" s="62" t="s">
        <v>285</v>
      </c>
    </row>
    <row r="34" spans="1:7" ht="36">
      <c r="A34" s="58">
        <f>ROW(Таблица1[[#This Row],[Номер п/п]])-1</f>
        <v>33</v>
      </c>
      <c r="B34" s="59" t="s">
        <v>217</v>
      </c>
      <c r="C34" s="59" t="s">
        <v>183</v>
      </c>
      <c r="D34" s="60">
        <v>7</v>
      </c>
      <c r="E34" s="59">
        <f>IFERROR(VLOOKUP(Таблица1[[#This Row],[ID KPI]],'KPI для заполнения'!A:BL,Таблица1[[#This Row],[Неделя]]+10,0),"Нет")</f>
        <v>1</v>
      </c>
      <c r="F34" s="61" t="s">
        <v>254</v>
      </c>
      <c r="G34" s="62" t="s">
        <v>286</v>
      </c>
    </row>
    <row r="35" spans="1:7" ht="36">
      <c r="A35" s="58">
        <f>ROW(Таблица1[[#This Row],[Номер п/п]])-1</f>
        <v>34</v>
      </c>
      <c r="B35" s="59" t="s">
        <v>217</v>
      </c>
      <c r="C35" s="59" t="s">
        <v>33</v>
      </c>
      <c r="D35" s="60">
        <v>7</v>
      </c>
      <c r="E35" s="59">
        <f>IFERROR(VLOOKUP(Таблица1[[#This Row],[ID KPI]],'KPI для заполнения'!A:BL,Таблица1[[#This Row],[Неделя]]+10,0),"Нет")</f>
        <v>1</v>
      </c>
      <c r="F35" s="61" t="s">
        <v>251</v>
      </c>
      <c r="G35" s="62" t="s">
        <v>287</v>
      </c>
    </row>
    <row r="36" spans="1:7" ht="18">
      <c r="A36" s="58">
        <f>ROW(Таблица1[[#This Row],[Номер п/п]])-1</f>
        <v>35</v>
      </c>
      <c r="B36" s="59" t="s">
        <v>217</v>
      </c>
      <c r="C36" s="59" t="s">
        <v>33</v>
      </c>
      <c r="D36" s="60">
        <v>7</v>
      </c>
      <c r="E36" s="59">
        <f>IFERROR(VLOOKUP(Таблица1[[#This Row],[ID KPI]],'KPI для заполнения'!A:BL,Таблица1[[#This Row],[Неделя]]+10,0),"Нет")</f>
        <v>1</v>
      </c>
      <c r="F36" s="61" t="s">
        <v>251</v>
      </c>
      <c r="G36" s="62" t="s">
        <v>288</v>
      </c>
    </row>
    <row r="37" spans="1:7" ht="36">
      <c r="A37" s="58">
        <f>ROW(Таблица1[[#This Row],[Номер п/п]])-1</f>
        <v>36</v>
      </c>
      <c r="B37" s="59" t="s">
        <v>217</v>
      </c>
      <c r="C37" s="59" t="s">
        <v>43</v>
      </c>
      <c r="D37" s="60">
        <v>7</v>
      </c>
      <c r="E37" s="59">
        <f>IFERROR(VLOOKUP(Таблица1[[#This Row],[ID KPI]],'KPI для заполнения'!A:BL,Таблица1[[#This Row],[Неделя]]+10,0),"Нет")</f>
        <v>1</v>
      </c>
      <c r="F37" s="61" t="s">
        <v>251</v>
      </c>
      <c r="G37" s="62" t="s">
        <v>289</v>
      </c>
    </row>
    <row r="38" spans="1:7" ht="18">
      <c r="A38" s="58">
        <f>ROW(Таблица1[[#This Row],[Номер п/п]])-1</f>
        <v>37</v>
      </c>
      <c r="B38" s="59" t="s">
        <v>189</v>
      </c>
      <c r="C38" s="59" t="s">
        <v>183</v>
      </c>
      <c r="D38" s="60">
        <v>8</v>
      </c>
      <c r="E38" s="59">
        <f>IFERROR(VLOOKUP(Таблица1[[#This Row],[ID KPI]],'KPI для заполнения'!A:BL,Таблица1[[#This Row],[Неделя]]+10,0),"Нет")</f>
        <v>207</v>
      </c>
      <c r="F38" s="61" t="s">
        <v>254</v>
      </c>
      <c r="G38" s="62" t="s">
        <v>290</v>
      </c>
    </row>
    <row r="39" spans="1:7" ht="18">
      <c r="A39" s="58">
        <f>ROW(Таблица1[[#This Row],[Номер п/п]])-1</f>
        <v>38</v>
      </c>
      <c r="B39" s="59" t="s">
        <v>189</v>
      </c>
      <c r="C39" s="59" t="s">
        <v>183</v>
      </c>
      <c r="D39" s="60">
        <v>8</v>
      </c>
      <c r="E39" s="59">
        <f>IFERROR(VLOOKUP(Таблица1[[#This Row],[ID KPI]],'KPI для заполнения'!A:BL,Таблица1[[#This Row],[Неделя]]+10,0),"Нет")</f>
        <v>207</v>
      </c>
      <c r="F39" s="61" t="s">
        <v>254</v>
      </c>
      <c r="G39" s="62" t="s">
        <v>291</v>
      </c>
    </row>
    <row r="40" spans="1:7" ht="36">
      <c r="A40" s="58">
        <f>ROW(Таблица1[[#This Row],[Номер п/п]])-1</f>
        <v>39</v>
      </c>
      <c r="B40" s="59" t="s">
        <v>201</v>
      </c>
      <c r="C40" s="59" t="s">
        <v>33</v>
      </c>
      <c r="D40" s="60">
        <v>8</v>
      </c>
      <c r="E40" s="59">
        <f>IFERROR(VLOOKUP(Таблица1[[#This Row],[ID KPI]],'KPI для заполнения'!A:BL,Таблица1[[#This Row],[Неделя]]+10,0),"Нет")</f>
        <v>0.97889610389610393</v>
      </c>
      <c r="F40" s="61" t="s">
        <v>251</v>
      </c>
      <c r="G40" s="62" t="s">
        <v>292</v>
      </c>
    </row>
    <row r="41" spans="1:7" ht="36">
      <c r="A41" s="58">
        <f>ROW(Таблица1[[#This Row],[Номер п/п]])-1</f>
        <v>40</v>
      </c>
      <c r="B41" s="59" t="s">
        <v>201</v>
      </c>
      <c r="C41" s="59" t="s">
        <v>36</v>
      </c>
      <c r="D41" s="60">
        <v>8</v>
      </c>
      <c r="E41" s="59">
        <f>IFERROR(VLOOKUP(Таблица1[[#This Row],[ID KPI]],'KPI для заполнения'!A:BL,Таблица1[[#This Row],[Неделя]]+10,0),"Нет")</f>
        <v>0.97889610389610393</v>
      </c>
      <c r="F41" s="61" t="s">
        <v>251</v>
      </c>
      <c r="G41" s="62" t="s">
        <v>293</v>
      </c>
    </row>
    <row r="42" spans="1:7" ht="54">
      <c r="A42" s="58">
        <f>ROW(Таблица1[[#This Row],[Номер п/п]])-1</f>
        <v>41</v>
      </c>
      <c r="B42" s="59" t="s">
        <v>201</v>
      </c>
      <c r="C42" s="59" t="s">
        <v>33</v>
      </c>
      <c r="D42" s="60">
        <v>8</v>
      </c>
      <c r="E42" s="59">
        <f>IFERROR(VLOOKUP(Таблица1[[#This Row],[ID KPI]],'KPI для заполнения'!A:BL,Таблица1[[#This Row],[Неделя]]+10,0),"Нет")</f>
        <v>0.97889610389610393</v>
      </c>
      <c r="F42" s="61" t="s">
        <v>251</v>
      </c>
      <c r="G42" s="62" t="s">
        <v>294</v>
      </c>
    </row>
    <row r="43" spans="1:7" ht="18">
      <c r="A43" s="58">
        <f>ROW(Таблица1[[#This Row],[Номер п/п]])-1</f>
        <v>42</v>
      </c>
      <c r="B43" s="59" t="s">
        <v>231</v>
      </c>
      <c r="C43" s="59" t="s">
        <v>183</v>
      </c>
      <c r="D43" s="60">
        <v>8</v>
      </c>
      <c r="E43" s="59">
        <f>IFERROR(VLOOKUP(Таблица1[[#This Row],[ID KPI]],'KPI для заполнения'!A:BL,Таблица1[[#This Row],[Неделя]]+10,0),"Нет")</f>
        <v>294</v>
      </c>
      <c r="F43" s="61" t="s">
        <v>251</v>
      </c>
      <c r="G43" s="62" t="s">
        <v>295</v>
      </c>
    </row>
    <row r="44" spans="1:7" ht="18">
      <c r="A44" s="58">
        <f>ROW(Таблица1[[#This Row],[Номер п/п]])-1</f>
        <v>43</v>
      </c>
      <c r="B44" s="59" t="s">
        <v>231</v>
      </c>
      <c r="C44" s="59" t="s">
        <v>183</v>
      </c>
      <c r="D44" s="60">
        <v>8</v>
      </c>
      <c r="E44" s="59">
        <f>IFERROR(VLOOKUP(Таблица1[[#This Row],[ID KPI]],'KPI для заполнения'!A:BL,Таблица1[[#This Row],[Неделя]]+10,0),"Нет")</f>
        <v>294</v>
      </c>
      <c r="F44" s="61" t="s">
        <v>254</v>
      </c>
      <c r="G44" s="62" t="s">
        <v>296</v>
      </c>
    </row>
    <row r="45" spans="1:7" ht="18">
      <c r="A45" s="58">
        <f>ROW(Таблица1[[#This Row],[Номер п/п]])-1</f>
        <v>44</v>
      </c>
      <c r="B45" s="59" t="s">
        <v>115</v>
      </c>
      <c r="C45" s="59" t="s">
        <v>183</v>
      </c>
      <c r="D45" s="60">
        <v>9</v>
      </c>
      <c r="E45" s="59">
        <f>IFERROR(VLOOKUP(Таблица1[[#This Row],[ID KPI]],'KPI для заполнения'!A:BL,Таблица1[[#This Row],[Неделя]]+10,0),"Нет")</f>
        <v>0.7693478517469311</v>
      </c>
      <c r="F45" s="61" t="s">
        <v>276</v>
      </c>
      <c r="G45" s="62" t="s">
        <v>297</v>
      </c>
    </row>
    <row r="46" spans="1:7" ht="36">
      <c r="A46" s="58">
        <f>ROW(Таблица1[[#This Row],[Номер п/п]])-1</f>
        <v>45</v>
      </c>
      <c r="B46" s="59" t="s">
        <v>144</v>
      </c>
      <c r="C46" s="59" t="s">
        <v>33</v>
      </c>
      <c r="D46" s="60">
        <v>9</v>
      </c>
      <c r="E46" s="59" t="str">
        <f>IFERROR(VLOOKUP(Таблица1[[#This Row],[ID KPI]],'KPI для заполнения'!A:BL,Таблица1[[#This Row],[Неделя]]+10,0),"Нет")</f>
        <v>неповоротное</v>
      </c>
      <c r="F46" s="61" t="s">
        <v>276</v>
      </c>
      <c r="G46" s="62" t="s">
        <v>298</v>
      </c>
    </row>
    <row r="47" spans="1:7" ht="18">
      <c r="A47" s="58">
        <f>ROW(Таблица1[[#This Row],[Номер п/п]])-1</f>
        <v>46</v>
      </c>
      <c r="B47" s="59" t="s">
        <v>201</v>
      </c>
      <c r="C47" s="59" t="s">
        <v>183</v>
      </c>
      <c r="D47" s="60">
        <v>9</v>
      </c>
      <c r="E47" s="59">
        <f>IFERROR(VLOOKUP(Таблица1[[#This Row],[ID KPI]],'KPI для заполнения'!A:BL,Таблица1[[#This Row],[Неделя]]+10,0),"Нет")</f>
        <v>0.99108630574147816</v>
      </c>
      <c r="F47" s="61" t="s">
        <v>254</v>
      </c>
      <c r="G47" s="62" t="s">
        <v>299</v>
      </c>
    </row>
    <row r="48" spans="1:7" ht="18">
      <c r="A48" s="58">
        <f>ROW(Таблица1[[#This Row],[Номер п/п]])-1</f>
        <v>47</v>
      </c>
      <c r="B48" s="59" t="s">
        <v>201</v>
      </c>
      <c r="C48" s="59" t="s">
        <v>183</v>
      </c>
      <c r="D48" s="60">
        <v>9</v>
      </c>
      <c r="E48" s="59">
        <f>IFERROR(VLOOKUP(Таблица1[[#This Row],[ID KPI]],'KPI для заполнения'!A:BL,Таблица1[[#This Row],[Неделя]]+10,0),"Нет")</f>
        <v>0.99108630574147816</v>
      </c>
      <c r="F48" s="61" t="s">
        <v>251</v>
      </c>
      <c r="G48" s="62" t="s">
        <v>300</v>
      </c>
    </row>
    <row r="49" spans="1:7" ht="36">
      <c r="A49" s="58">
        <f>ROW(Таблица1[[#This Row],[Номер п/п]])-1</f>
        <v>48</v>
      </c>
      <c r="B49" s="59" t="s">
        <v>217</v>
      </c>
      <c r="C49" s="59" t="s">
        <v>183</v>
      </c>
      <c r="D49" s="60">
        <v>9</v>
      </c>
      <c r="E49" s="59">
        <f>IFERROR(VLOOKUP(Таблица1[[#This Row],[ID KPI]],'KPI для заполнения'!A:BL,Таблица1[[#This Row],[Неделя]]+10,0),"Нет")</f>
        <v>1</v>
      </c>
      <c r="F49" s="61" t="s">
        <v>251</v>
      </c>
      <c r="G49" s="62" t="s">
        <v>301</v>
      </c>
    </row>
    <row r="50" spans="1:7" ht="36">
      <c r="A50" s="58">
        <f>ROW(Таблица1[[#This Row],[Номер п/п]])-1</f>
        <v>49</v>
      </c>
      <c r="B50" s="59" t="s">
        <v>217</v>
      </c>
      <c r="C50" s="59" t="s">
        <v>36</v>
      </c>
      <c r="D50" s="60">
        <v>9</v>
      </c>
      <c r="E50" s="59">
        <f>IFERROR(VLOOKUP(Таблица1[[#This Row],[ID KPI]],'KPI для заполнения'!A:BL,Таблица1[[#This Row],[Неделя]]+10,0),"Нет")</f>
        <v>1</v>
      </c>
      <c r="F50" s="61" t="s">
        <v>251</v>
      </c>
      <c r="G50" s="62" t="s">
        <v>302</v>
      </c>
    </row>
    <row r="51" spans="1:7" ht="18">
      <c r="A51" s="58">
        <f>ROW(Таблица1[[#This Row],[Номер п/п]])-1</f>
        <v>50</v>
      </c>
      <c r="B51" s="59" t="s">
        <v>231</v>
      </c>
      <c r="C51" s="59" t="s">
        <v>183</v>
      </c>
      <c r="D51" s="60">
        <v>9</v>
      </c>
      <c r="E51" s="59">
        <f>IFERROR(VLOOKUP(Таблица1[[#This Row],[ID KPI]],'KPI для заполнения'!A:BL,Таблица1[[#This Row],[Неделя]]+10,0),"Нет")</f>
        <v>193</v>
      </c>
      <c r="F51" s="61" t="s">
        <v>254</v>
      </c>
      <c r="G51" s="62" t="s">
        <v>303</v>
      </c>
    </row>
    <row r="52" spans="1:7" ht="36">
      <c r="A52" s="58">
        <f>ROW(Таблица1[[#This Row],[Номер п/п]])-1</f>
        <v>51</v>
      </c>
      <c r="B52" s="59" t="s">
        <v>231</v>
      </c>
      <c r="C52" s="59" t="s">
        <v>183</v>
      </c>
      <c r="D52" s="60">
        <v>9</v>
      </c>
      <c r="E52" s="59">
        <f>IFERROR(VLOOKUP(Таблица1[[#This Row],[ID KPI]],'KPI для заполнения'!A:BL,Таблица1[[#This Row],[Неделя]]+10,0),"Нет")</f>
        <v>193</v>
      </c>
      <c r="F52" s="61" t="s">
        <v>254</v>
      </c>
      <c r="G52" s="62" t="s">
        <v>304</v>
      </c>
    </row>
    <row r="53" spans="1:7" ht="18">
      <c r="A53" s="58">
        <f>ROW(Таблица1[[#This Row],[Номер п/п]])-1</f>
        <v>52</v>
      </c>
      <c r="B53" s="59" t="s">
        <v>305</v>
      </c>
      <c r="C53" s="59" t="s">
        <v>183</v>
      </c>
      <c r="D53" s="60">
        <v>9</v>
      </c>
      <c r="E53" s="59" t="str">
        <f>IFERROR(VLOOKUP(Таблица1[[#This Row],[ID KPI]],'KPI для заполнения'!A:BL,Таблица1[[#This Row],[Неделя]]+10,0),"Нет")</f>
        <v>Нет</v>
      </c>
      <c r="F53" s="61"/>
      <c r="G53" s="62" t="s">
        <v>306</v>
      </c>
    </row>
    <row r="54" spans="1:7" ht="36">
      <c r="A54" s="58">
        <f>ROW(Таблица1[[#This Row],[Номер п/п]])-1</f>
        <v>53</v>
      </c>
      <c r="B54" s="59"/>
      <c r="C54" s="59" t="s">
        <v>183</v>
      </c>
      <c r="D54" s="60">
        <v>9</v>
      </c>
      <c r="E54" s="59" t="str">
        <f>IFERROR(VLOOKUP(Таблица1[[#This Row],[ID KPI]],'KPI для заполнения'!A:BL,Таблица1[[#This Row],[Неделя]]+10,0),"Нет")</f>
        <v>Нет</v>
      </c>
      <c r="F54" s="61" t="s">
        <v>276</v>
      </c>
      <c r="G54" s="62" t="s">
        <v>307</v>
      </c>
    </row>
    <row r="55" spans="1:7" ht="18">
      <c r="A55" s="58">
        <f>ROW(Таблица1[[#This Row],[Номер п/п]])-1</f>
        <v>54</v>
      </c>
      <c r="B55" s="59" t="s">
        <v>21</v>
      </c>
      <c r="C55" s="59" t="s">
        <v>183</v>
      </c>
      <c r="D55" s="60">
        <v>10</v>
      </c>
      <c r="E55" s="59">
        <f>IFERROR(VLOOKUP(Таблица1[[#This Row],[ID KPI]],'KPI для заполнения'!A:BL,Таблица1[[#This Row],[Неделя]]+10,0),"Нет")</f>
        <v>0.93333333333333335</v>
      </c>
      <c r="F55" s="61" t="s">
        <v>251</v>
      </c>
      <c r="G55" s="62" t="s">
        <v>308</v>
      </c>
    </row>
    <row r="56" spans="1:7" ht="18">
      <c r="A56" s="58">
        <f>ROW(Таблица1[[#This Row],[Номер п/п]])-1</f>
        <v>55</v>
      </c>
      <c r="B56" s="59" t="s">
        <v>21</v>
      </c>
      <c r="C56" s="59" t="s">
        <v>183</v>
      </c>
      <c r="D56" s="60">
        <v>10</v>
      </c>
      <c r="E56" s="59">
        <f>IFERROR(VLOOKUP(Таблица1[[#This Row],[ID KPI]],'KPI для заполнения'!A:BL,Таблица1[[#This Row],[Неделя]]+10,0),"Нет")</f>
        <v>0.93333333333333335</v>
      </c>
      <c r="F56" s="61" t="s">
        <v>251</v>
      </c>
      <c r="G56" s="62" t="s">
        <v>308</v>
      </c>
    </row>
    <row r="57" spans="1:7" ht="18">
      <c r="A57" s="58">
        <f>ROW(Таблица1[[#This Row],[Номер п/п]])-1</f>
        <v>56</v>
      </c>
      <c r="B57" s="59" t="s">
        <v>21</v>
      </c>
      <c r="C57" s="59" t="s">
        <v>183</v>
      </c>
      <c r="D57" s="60">
        <v>10</v>
      </c>
      <c r="E57" s="59">
        <f>IFERROR(VLOOKUP(Таблица1[[#This Row],[ID KPI]],'KPI для заполнения'!A:BL,Таблица1[[#This Row],[Неделя]]+10,0),"Нет")</f>
        <v>0.93333333333333335</v>
      </c>
      <c r="F57" s="61" t="s">
        <v>251</v>
      </c>
      <c r="G57" s="62" t="s">
        <v>308</v>
      </c>
    </row>
    <row r="58" spans="1:7" ht="18">
      <c r="A58" s="58">
        <f>ROW(Таблица1[[#This Row],[Номер п/п]])-1</f>
        <v>57</v>
      </c>
      <c r="B58" s="59" t="s">
        <v>21</v>
      </c>
      <c r="C58" s="59" t="s">
        <v>183</v>
      </c>
      <c r="D58" s="60">
        <v>10</v>
      </c>
      <c r="E58" s="59">
        <f>IFERROR(VLOOKUP(Таблица1[[#This Row],[ID KPI]],'KPI для заполнения'!A:BL,Таблица1[[#This Row],[Неделя]]+10,0),"Нет")</f>
        <v>0.93333333333333335</v>
      </c>
      <c r="F58" s="61" t="s">
        <v>251</v>
      </c>
      <c r="G58" s="62" t="s">
        <v>308</v>
      </c>
    </row>
    <row r="59" spans="1:7" ht="18">
      <c r="A59" s="58">
        <f>ROW(Таблица1[[#This Row],[Номер п/п]])-1</f>
        <v>58</v>
      </c>
      <c r="B59" s="59" t="s">
        <v>189</v>
      </c>
      <c r="C59" s="59" t="s">
        <v>183</v>
      </c>
      <c r="D59" s="60">
        <v>10</v>
      </c>
      <c r="E59" s="59">
        <f>IFERROR(VLOOKUP(Таблица1[[#This Row],[ID KPI]],'KPI для заполнения'!A:BL,Таблица1[[#This Row],[Неделя]]+10,0),"Нет")</f>
        <v>167</v>
      </c>
      <c r="F59" s="61" t="s">
        <v>254</v>
      </c>
      <c r="G59" s="62" t="s">
        <v>309</v>
      </c>
    </row>
    <row r="60" spans="1:7" ht="18">
      <c r="A60" s="58">
        <f>ROW(Таблица1[[#This Row],[Номер п/п]])-1</f>
        <v>59</v>
      </c>
      <c r="B60" s="59" t="s">
        <v>189</v>
      </c>
      <c r="C60" s="59" t="s">
        <v>183</v>
      </c>
      <c r="D60" s="60">
        <v>10</v>
      </c>
      <c r="E60" s="59">
        <f>IFERROR(VLOOKUP(Таблица1[[#This Row],[ID KPI]],'KPI для заполнения'!A:BL,Таблица1[[#This Row],[Неделя]]+10,0),"Нет")</f>
        <v>167</v>
      </c>
      <c r="F60" s="61" t="s">
        <v>254</v>
      </c>
      <c r="G60" s="62" t="s">
        <v>310</v>
      </c>
    </row>
    <row r="61" spans="1:7" ht="18">
      <c r="A61" s="58">
        <f>ROW(Таблица1[[#This Row],[Номер п/п]])-1</f>
        <v>60</v>
      </c>
      <c r="B61" s="59" t="s">
        <v>217</v>
      </c>
      <c r="C61" s="59" t="s">
        <v>37</v>
      </c>
      <c r="D61" s="60">
        <v>10</v>
      </c>
      <c r="E61" s="59">
        <f>IFERROR(VLOOKUP(Таблица1[[#This Row],[ID KPI]],'KPI для заполнения'!A:BL,Таблица1[[#This Row],[Неделя]]+10,0),"Нет")</f>
        <v>1</v>
      </c>
      <c r="F61" s="61" t="s">
        <v>251</v>
      </c>
      <c r="G61" s="62" t="s">
        <v>311</v>
      </c>
    </row>
    <row r="62" spans="1:7" ht="36">
      <c r="A62" s="58">
        <f>ROW(Таблица1[[#This Row],[Номер п/п]])-1</f>
        <v>61</v>
      </c>
      <c r="B62" s="59" t="s">
        <v>231</v>
      </c>
      <c r="C62" s="59" t="s">
        <v>183</v>
      </c>
      <c r="D62" s="60">
        <v>10</v>
      </c>
      <c r="E62" s="59">
        <f>IFERROR(VLOOKUP(Таблица1[[#This Row],[ID KPI]],'KPI для заполнения'!A:BL,Таблица1[[#This Row],[Неделя]]+10,0),"Нет")</f>
        <v>104</v>
      </c>
      <c r="F62" s="61" t="s">
        <v>254</v>
      </c>
      <c r="G62" s="62" t="s">
        <v>312</v>
      </c>
    </row>
    <row r="63" spans="1:7" ht="18">
      <c r="A63" s="58">
        <f>ROW(Таблица1[[#This Row],[Номер п/п]])-1</f>
        <v>62</v>
      </c>
      <c r="B63" s="59" t="s">
        <v>231</v>
      </c>
      <c r="C63" s="59" t="s">
        <v>183</v>
      </c>
      <c r="D63" s="60">
        <v>10</v>
      </c>
      <c r="E63" s="59">
        <f>IFERROR(VLOOKUP(Таблица1[[#This Row],[ID KPI]],'KPI для заполнения'!A:BL,Таблица1[[#This Row],[Неделя]]+10,0),"Нет")</f>
        <v>104</v>
      </c>
      <c r="F63" s="61" t="s">
        <v>254</v>
      </c>
      <c r="G63" s="62" t="s">
        <v>313</v>
      </c>
    </row>
    <row r="64" spans="1:7" ht="36">
      <c r="A64" s="58">
        <f>ROW(Таблица1[[#This Row],[Номер п/п]])-1</f>
        <v>63</v>
      </c>
      <c r="B64" s="59" t="s">
        <v>231</v>
      </c>
      <c r="C64" s="59" t="s">
        <v>40</v>
      </c>
      <c r="D64" s="60">
        <v>10</v>
      </c>
      <c r="E64" s="59">
        <f>IFERROR(VLOOKUP(Таблица1[[#This Row],[ID KPI]],'KPI для заполнения'!A:BL,Таблица1[[#This Row],[Неделя]]+10,0),"Нет")</f>
        <v>104</v>
      </c>
      <c r="F64" s="61" t="s">
        <v>254</v>
      </c>
      <c r="G64" s="62" t="s">
        <v>314</v>
      </c>
    </row>
    <row r="65" spans="1:7" ht="18">
      <c r="A65" s="58">
        <f>ROW(Таблица1[[#This Row],[Номер п/п]])-1</f>
        <v>64</v>
      </c>
      <c r="B65" s="59" t="s">
        <v>234</v>
      </c>
      <c r="C65" s="59" t="s">
        <v>183</v>
      </c>
      <c r="D65" s="60">
        <v>10</v>
      </c>
      <c r="E65" s="59">
        <f>IFERROR(VLOOKUP(Таблица1[[#This Row],[ID KPI]],'KPI для заполнения'!A:BL,Таблица1[[#This Row],[Неделя]]+10,0),"Нет")</f>
        <v>0.875</v>
      </c>
      <c r="F65" s="61" t="s">
        <v>251</v>
      </c>
      <c r="G65" s="62" t="s">
        <v>315</v>
      </c>
    </row>
    <row r="66" spans="1:7" ht="36">
      <c r="A66" s="58">
        <f>ROW(Таблица1[[#This Row],[Номер п/п]])-1</f>
        <v>65</v>
      </c>
      <c r="B66" s="59" t="s">
        <v>305</v>
      </c>
      <c r="C66" s="59" t="s">
        <v>33</v>
      </c>
      <c r="D66" s="60">
        <v>10</v>
      </c>
      <c r="E66" s="59" t="str">
        <f>IFERROR(VLOOKUP(Таблица1[[#This Row],[ID KPI]],'KPI для заполнения'!A:BL,Таблица1[[#This Row],[Неделя]]+10,0),"Нет")</f>
        <v>Нет</v>
      </c>
      <c r="F66" s="61" t="s">
        <v>276</v>
      </c>
      <c r="G66" s="62" t="s">
        <v>316</v>
      </c>
    </row>
    <row r="67" spans="1:7" ht="18">
      <c r="A67" s="58">
        <f>ROW(Таблица1[[#This Row],[Номер п/п]])-1</f>
        <v>66</v>
      </c>
      <c r="B67" s="59" t="s">
        <v>18</v>
      </c>
      <c r="C67" s="59" t="s">
        <v>183</v>
      </c>
      <c r="D67" s="60">
        <v>11</v>
      </c>
      <c r="E67" s="59">
        <f>IFERROR(VLOOKUP(Таблица1[[#This Row],[ID KPI]],'KPI для заполнения'!A:BL,Таблица1[[#This Row],[Неделя]]+10,0),"Нет")</f>
        <v>0.91428571428571426</v>
      </c>
      <c r="F67" s="61" t="s">
        <v>251</v>
      </c>
      <c r="G67" s="62" t="s">
        <v>315</v>
      </c>
    </row>
    <row r="68" spans="1:7" ht="18">
      <c r="A68" s="58">
        <f>ROW(Таблица1[[#This Row],[Номер п/п]])-1</f>
        <v>67</v>
      </c>
      <c r="B68" s="59" t="s">
        <v>189</v>
      </c>
      <c r="C68" s="59" t="s">
        <v>43</v>
      </c>
      <c r="D68" s="60">
        <v>11</v>
      </c>
      <c r="E68" s="59">
        <f>IFERROR(VLOOKUP(Таблица1[[#This Row],[ID KPI]],'KPI для заполнения'!A:BL,Таблица1[[#This Row],[Неделя]]+10,0),"Нет")</f>
        <v>170</v>
      </c>
      <c r="F68" s="61" t="s">
        <v>251</v>
      </c>
      <c r="G68" s="62" t="s">
        <v>317</v>
      </c>
    </row>
    <row r="69" spans="1:7" ht="36">
      <c r="A69" s="58">
        <f>ROW(Таблица1[[#This Row],[Номер п/п]])-1</f>
        <v>68</v>
      </c>
      <c r="B69" s="59" t="s">
        <v>189</v>
      </c>
      <c r="C69" s="59" t="s">
        <v>33</v>
      </c>
      <c r="D69" s="60">
        <v>11</v>
      </c>
      <c r="E69" s="59">
        <f>IFERROR(VLOOKUP(Таблица1[[#This Row],[ID KPI]],'KPI для заполнения'!A:BL,Таблица1[[#This Row],[Неделя]]+10,0),"Нет")</f>
        <v>170</v>
      </c>
      <c r="F69" s="61" t="s">
        <v>251</v>
      </c>
      <c r="G69" s="62" t="s">
        <v>318</v>
      </c>
    </row>
    <row r="70" spans="1:7" ht="18">
      <c r="A70" s="58">
        <f>ROW(Таблица1[[#This Row],[Номер п/п]])-1</f>
        <v>69</v>
      </c>
      <c r="B70" s="59" t="s">
        <v>189</v>
      </c>
      <c r="C70" s="59" t="s">
        <v>33</v>
      </c>
      <c r="D70" s="60">
        <v>11</v>
      </c>
      <c r="E70" s="59">
        <f>IFERROR(VLOOKUP(Таблица1[[#This Row],[ID KPI]],'KPI для заполнения'!A:BL,Таблица1[[#This Row],[Неделя]]+10,0),"Нет")</f>
        <v>170</v>
      </c>
      <c r="F70" s="61" t="s">
        <v>254</v>
      </c>
      <c r="G70" s="62" t="s">
        <v>319</v>
      </c>
    </row>
    <row r="71" spans="1:7" ht="36">
      <c r="A71" s="58">
        <f>ROW(Таблица1[[#This Row],[Номер п/п]])-1</f>
        <v>70</v>
      </c>
      <c r="B71" s="59" t="s">
        <v>201</v>
      </c>
      <c r="C71" s="59" t="s">
        <v>40</v>
      </c>
      <c r="D71" s="60">
        <v>11</v>
      </c>
      <c r="E71" s="59">
        <f>IFERROR(VLOOKUP(Таблица1[[#This Row],[ID KPI]],'KPI для заполнения'!A:BL,Таблица1[[#This Row],[Неделя]]+10,0),"Нет")</f>
        <v>0.94444444444444453</v>
      </c>
      <c r="F71" s="61" t="s">
        <v>251</v>
      </c>
      <c r="G71" s="62" t="s">
        <v>320</v>
      </c>
    </row>
    <row r="72" spans="1:7" ht="36">
      <c r="A72" s="58">
        <f>ROW(Таблица1[[#This Row],[Номер п/п]])-1</f>
        <v>71</v>
      </c>
      <c r="B72" s="59" t="s">
        <v>205</v>
      </c>
      <c r="C72" s="59" t="s">
        <v>183</v>
      </c>
      <c r="D72" s="60">
        <v>11</v>
      </c>
      <c r="E72" s="59">
        <f>IFERROR(VLOOKUP(Таблица1[[#This Row],[ID KPI]],'KPI для заполнения'!A:BL,Таблица1[[#This Row],[Неделя]]+10,0),"Нет")</f>
        <v>1</v>
      </c>
      <c r="F72" s="61" t="s">
        <v>254</v>
      </c>
      <c r="G72" s="62" t="s">
        <v>321</v>
      </c>
    </row>
    <row r="73" spans="1:7" ht="36">
      <c r="A73" s="58">
        <f>ROW(Таблица1[[#This Row],[Номер п/п]])-1</f>
        <v>72</v>
      </c>
      <c r="B73" s="59" t="s">
        <v>217</v>
      </c>
      <c r="C73" s="59" t="s">
        <v>40</v>
      </c>
      <c r="D73" s="60">
        <v>11</v>
      </c>
      <c r="E73" s="59">
        <f>IFERROR(VLOOKUP(Таблица1[[#This Row],[ID KPI]],'KPI для заполнения'!A:BL,Таблица1[[#This Row],[Неделя]]+10,0),"Нет")</f>
        <v>0.94793835901707624</v>
      </c>
      <c r="F73" s="61" t="s">
        <v>251</v>
      </c>
      <c r="G73" s="62" t="s">
        <v>322</v>
      </c>
    </row>
    <row r="74" spans="1:7" ht="36">
      <c r="A74" s="58">
        <f>ROW(Таблица1[[#This Row],[Номер п/п]])-1</f>
        <v>73</v>
      </c>
      <c r="B74" s="59" t="s">
        <v>217</v>
      </c>
      <c r="C74" s="59" t="s">
        <v>40</v>
      </c>
      <c r="D74" s="60">
        <v>11</v>
      </c>
      <c r="E74" s="59">
        <f>IFERROR(VLOOKUP(Таблица1[[#This Row],[ID KPI]],'KPI для заполнения'!A:BL,Таблица1[[#This Row],[Неделя]]+10,0),"Нет")</f>
        <v>0.94793835901707624</v>
      </c>
      <c r="F74" s="61" t="s">
        <v>251</v>
      </c>
      <c r="G74" s="62" t="s">
        <v>323</v>
      </c>
    </row>
    <row r="75" spans="1:7" ht="36">
      <c r="A75" s="58">
        <f>ROW(Таблица1[[#This Row],[Номер п/п]])-1</f>
        <v>74</v>
      </c>
      <c r="B75" s="59" t="s">
        <v>231</v>
      </c>
      <c r="C75" s="59" t="s">
        <v>183</v>
      </c>
      <c r="D75" s="60">
        <v>11</v>
      </c>
      <c r="E75" s="59">
        <f>IFERROR(VLOOKUP(Таблица1[[#This Row],[ID KPI]],'KPI для заполнения'!A:BL,Таблица1[[#This Row],[Неделя]]+10,0),"Нет")</f>
        <v>283</v>
      </c>
      <c r="F75" s="61" t="s">
        <v>254</v>
      </c>
      <c r="G75" s="62" t="s">
        <v>324</v>
      </c>
    </row>
    <row r="76" spans="1:7" ht="54">
      <c r="A76" s="58">
        <f>ROW(Таблица1[[#This Row],[Номер п/п]])-1</f>
        <v>75</v>
      </c>
      <c r="B76" s="59" t="s">
        <v>231</v>
      </c>
      <c r="C76" s="59" t="s">
        <v>37</v>
      </c>
      <c r="D76" s="60">
        <v>11</v>
      </c>
      <c r="E76" s="59">
        <f>IFERROR(VLOOKUP(Таблица1[[#This Row],[ID KPI]],'KPI для заполнения'!A:BL,Таблица1[[#This Row],[Неделя]]+10,0),"Нет")</f>
        <v>283</v>
      </c>
      <c r="F76" s="61" t="s">
        <v>251</v>
      </c>
      <c r="G76" s="62" t="s">
        <v>325</v>
      </c>
    </row>
    <row r="77" spans="1:7" ht="18">
      <c r="A77" s="58">
        <f>ROW(Таблица1[[#This Row],[Номер п/п]])-1</f>
        <v>76</v>
      </c>
      <c r="B77" s="59" t="s">
        <v>234</v>
      </c>
      <c r="C77" s="59" t="s">
        <v>183</v>
      </c>
      <c r="D77" s="60">
        <v>11</v>
      </c>
      <c r="E77" s="59">
        <f>IFERROR(VLOOKUP(Таблица1[[#This Row],[ID KPI]],'KPI для заполнения'!A:BL,Таблица1[[#This Row],[Неделя]]+10,0),"Нет")</f>
        <v>0.875</v>
      </c>
      <c r="F77" s="61" t="s">
        <v>251</v>
      </c>
      <c r="G77" s="62" t="s">
        <v>326</v>
      </c>
    </row>
    <row r="78" spans="1:7" ht="18">
      <c r="A78" s="58">
        <f>ROW(Таблица1[[#This Row],[Номер п/п]])-1</f>
        <v>77</v>
      </c>
      <c r="B78" s="59"/>
      <c r="C78" s="59" t="s">
        <v>183</v>
      </c>
      <c r="D78" s="60">
        <v>11</v>
      </c>
      <c r="E78" s="59" t="str">
        <f>IFERROR(VLOOKUP(Таблица1[[#This Row],[ID KPI]],'KPI для заполнения'!A:BL,Таблица1[[#This Row],[Неделя]]+10,0),"Нет")</f>
        <v>Нет</v>
      </c>
      <c r="F78" s="61" t="s">
        <v>251</v>
      </c>
      <c r="G78" s="62" t="s">
        <v>327</v>
      </c>
    </row>
    <row r="79" spans="1:7" ht="36">
      <c r="A79" s="58">
        <f>ROW(Таблица1[[#This Row],[Номер п/п]])-1</f>
        <v>78</v>
      </c>
      <c r="B79" s="59" t="s">
        <v>24</v>
      </c>
      <c r="C79" s="59" t="s">
        <v>183</v>
      </c>
      <c r="D79" s="60">
        <v>12</v>
      </c>
      <c r="E79" s="59">
        <f>IFERROR(VLOOKUP(Таблица1[[#This Row],[ID KPI]],'KPI для заполнения'!A:BL,Таблица1[[#This Row],[Неделя]]+10,0),"Нет")</f>
        <v>31597</v>
      </c>
      <c r="F79" s="61" t="s">
        <v>251</v>
      </c>
      <c r="G79" s="62" t="s">
        <v>328</v>
      </c>
    </row>
    <row r="80" spans="1:7" ht="18">
      <c r="A80" s="58">
        <f>ROW(Таблица1[[#This Row],[Номер п/п]])-1</f>
        <v>79</v>
      </c>
      <c r="B80" s="59" t="s">
        <v>81</v>
      </c>
      <c r="C80" s="59" t="s">
        <v>183</v>
      </c>
      <c r="D80" s="60">
        <v>12</v>
      </c>
      <c r="E80" s="59">
        <f>IFERROR(VLOOKUP(Таблица1[[#This Row],[ID KPI]],'KPI для заполнения'!A:BL,Таблица1[[#This Row],[Неделя]]+10,0),"Нет")</f>
        <v>0.17966448811041841</v>
      </c>
      <c r="F80" s="61" t="s">
        <v>251</v>
      </c>
      <c r="G80" s="62" t="s">
        <v>329</v>
      </c>
    </row>
    <row r="81" spans="1:7" ht="36">
      <c r="A81" s="58">
        <f>ROW(Таблица1[[#This Row],[Номер п/п]])-1</f>
        <v>80</v>
      </c>
      <c r="B81" s="59" t="s">
        <v>84</v>
      </c>
      <c r="C81" s="59" t="s">
        <v>183</v>
      </c>
      <c r="D81" s="60">
        <v>12</v>
      </c>
      <c r="E81" s="59">
        <f>IFERROR(VLOOKUP(Таблица1[[#This Row],[ID KPI]],'KPI для заполнения'!A:BL,Таблица1[[#This Row],[Неделя]]+10,0),"Нет")</f>
        <v>0.31034482758620691</v>
      </c>
      <c r="F81" s="61" t="s">
        <v>251</v>
      </c>
      <c r="G81" s="62" t="s">
        <v>330</v>
      </c>
    </row>
    <row r="82" spans="1:7" ht="36">
      <c r="A82" s="58">
        <f>ROW(Таблица1[[#This Row],[Номер п/п]])-1</f>
        <v>81</v>
      </c>
      <c r="B82" s="59" t="s">
        <v>96</v>
      </c>
      <c r="C82" s="59" t="s">
        <v>183</v>
      </c>
      <c r="D82" s="60">
        <v>12</v>
      </c>
      <c r="E82" s="59">
        <f>IFERROR(VLOOKUP(Таблица1[[#This Row],[ID KPI]],'KPI для заполнения'!A:BL,Таблица1[[#This Row],[Неделя]]+10,0),"Нет")</f>
        <v>23349</v>
      </c>
      <c r="F82" s="61" t="s">
        <v>251</v>
      </c>
      <c r="G82" s="62" t="s">
        <v>331</v>
      </c>
    </row>
    <row r="83" spans="1:7" ht="36">
      <c r="A83" s="58">
        <f>ROW(Таблица1[[#This Row],[Номер п/п]])-1</f>
        <v>82</v>
      </c>
      <c r="B83" s="59" t="s">
        <v>164</v>
      </c>
      <c r="C83" s="59" t="s">
        <v>183</v>
      </c>
      <c r="D83" s="60">
        <v>12</v>
      </c>
      <c r="E83" s="59">
        <f>IFERROR(VLOOKUP(Таблица1[[#This Row],[ID KPI]],'KPI для заполнения'!A:BL,Таблица1[[#This Row],[Неделя]]+10,0),"Нет")</f>
        <v>0.96247111802706653</v>
      </c>
      <c r="F83" s="61" t="s">
        <v>251</v>
      </c>
      <c r="G83" s="62" t="s">
        <v>332</v>
      </c>
    </row>
    <row r="84" spans="1:7" ht="54">
      <c r="A84" s="58">
        <f>ROW(Таблица1[[#This Row],[Номер п/п]])-1</f>
        <v>83</v>
      </c>
      <c r="B84" s="59" t="s">
        <v>189</v>
      </c>
      <c r="C84" s="59" t="s">
        <v>43</v>
      </c>
      <c r="D84" s="60">
        <v>12</v>
      </c>
      <c r="E84" s="59">
        <f>IFERROR(VLOOKUP(Таблица1[[#This Row],[ID KPI]],'KPI для заполнения'!A:BL,Таблица1[[#This Row],[Неделя]]+10,0),"Нет")</f>
        <v>166</v>
      </c>
      <c r="F84" s="61" t="s">
        <v>251</v>
      </c>
      <c r="G84" s="62" t="s">
        <v>333</v>
      </c>
    </row>
    <row r="85" spans="1:7" ht="54">
      <c r="A85" s="58">
        <f>ROW(Таблица1[[#This Row],[Номер п/п]])-1</f>
        <v>84</v>
      </c>
      <c r="B85" s="59" t="s">
        <v>201</v>
      </c>
      <c r="C85" s="59" t="s">
        <v>183</v>
      </c>
      <c r="D85" s="60">
        <v>12</v>
      </c>
      <c r="E85" s="59">
        <f>IFERROR(VLOOKUP(Таблица1[[#This Row],[ID KPI]],'KPI для заполнения'!A:BL,Таблица1[[#This Row],[Неделя]]+10,0),"Нет")</f>
        <v>0.99</v>
      </c>
      <c r="F85" s="61" t="s">
        <v>251</v>
      </c>
      <c r="G85" s="62" t="s">
        <v>334</v>
      </c>
    </row>
    <row r="86" spans="1:7" ht="18">
      <c r="A86" s="58">
        <f>ROW(Таблица1[[#This Row],[Номер п/п]])-1</f>
        <v>85</v>
      </c>
      <c r="B86" s="59" t="s">
        <v>201</v>
      </c>
      <c r="C86" s="59" t="s">
        <v>183</v>
      </c>
      <c r="D86" s="60">
        <v>12</v>
      </c>
      <c r="E86" s="59">
        <f>IFERROR(VLOOKUP(Таблица1[[#This Row],[ID KPI]],'KPI для заполнения'!A:BL,Таблица1[[#This Row],[Неделя]]+10,0),"Нет")</f>
        <v>0.99</v>
      </c>
      <c r="F86" s="61" t="s">
        <v>254</v>
      </c>
      <c r="G86" s="62" t="s">
        <v>335</v>
      </c>
    </row>
    <row r="87" spans="1:7" ht="36">
      <c r="A87" s="58">
        <f>ROW(Таблица1[[#This Row],[Номер п/п]])-1</f>
        <v>86</v>
      </c>
      <c r="B87" s="59" t="s">
        <v>201</v>
      </c>
      <c r="C87" s="59" t="s">
        <v>33</v>
      </c>
      <c r="D87" s="60">
        <v>12</v>
      </c>
      <c r="E87" s="59">
        <f>IFERROR(VLOOKUP(Таблица1[[#This Row],[ID KPI]],'KPI для заполнения'!A:BL,Таблица1[[#This Row],[Неделя]]+10,0),"Нет")</f>
        <v>0.99</v>
      </c>
      <c r="F87" s="61" t="s">
        <v>251</v>
      </c>
      <c r="G87" s="62" t="s">
        <v>336</v>
      </c>
    </row>
    <row r="88" spans="1:7" ht="18">
      <c r="A88" s="58">
        <f>ROW(Таблица1[[#This Row],[Номер п/п]])-1</f>
        <v>87</v>
      </c>
      <c r="B88" s="59" t="s">
        <v>205</v>
      </c>
      <c r="C88" s="59" t="s">
        <v>36</v>
      </c>
      <c r="D88" s="60">
        <v>12</v>
      </c>
      <c r="E88" s="59">
        <f>IFERROR(VLOOKUP(Таблица1[[#This Row],[ID KPI]],'KPI для заполнения'!A:BL,Таблица1[[#This Row],[Неделя]]+10,0),"Нет")</f>
        <v>0.86</v>
      </c>
      <c r="F88" s="61" t="s">
        <v>251</v>
      </c>
      <c r="G88" s="62" t="s">
        <v>337</v>
      </c>
    </row>
    <row r="89" spans="1:7" ht="36">
      <c r="A89" s="58">
        <f>ROW(Таблица1[[#This Row],[Номер п/п]])-1</f>
        <v>88</v>
      </c>
      <c r="B89" s="59" t="s">
        <v>231</v>
      </c>
      <c r="C89" s="59" t="s">
        <v>183</v>
      </c>
      <c r="D89" s="60">
        <v>12</v>
      </c>
      <c r="E89" s="59">
        <f>IFERROR(VLOOKUP(Таблица1[[#This Row],[ID KPI]],'KPI для заполнения'!A:BL,Таблица1[[#This Row],[Неделя]]+10,0),"Нет")</f>
        <v>236</v>
      </c>
      <c r="F89" s="61" t="s">
        <v>254</v>
      </c>
      <c r="G89" s="62" t="s">
        <v>338</v>
      </c>
    </row>
    <row r="90" spans="1:7" ht="36">
      <c r="A90" s="58">
        <f>ROW(Таблица1[[#This Row],[Номер п/п]])-1</f>
        <v>89</v>
      </c>
      <c r="B90" s="59" t="s">
        <v>231</v>
      </c>
      <c r="C90" s="59" t="s">
        <v>183</v>
      </c>
      <c r="D90" s="60">
        <v>12</v>
      </c>
      <c r="E90" s="59">
        <f>IFERROR(VLOOKUP(Таблица1[[#This Row],[ID KPI]],'KPI для заполнения'!A:BL,Таблица1[[#This Row],[Неделя]]+10,0),"Нет")</f>
        <v>236</v>
      </c>
      <c r="F90" s="61" t="s">
        <v>254</v>
      </c>
      <c r="G90" s="62" t="s">
        <v>339</v>
      </c>
    </row>
    <row r="91" spans="1:7" ht="18">
      <c r="A91" s="58">
        <f>ROW(Таблица1[[#This Row],[Номер п/п]])-1</f>
        <v>90</v>
      </c>
      <c r="B91" s="59" t="s">
        <v>231</v>
      </c>
      <c r="C91" s="59" t="s">
        <v>183</v>
      </c>
      <c r="D91" s="60">
        <v>12</v>
      </c>
      <c r="E91" s="59">
        <f>IFERROR(VLOOKUP(Таблица1[[#This Row],[ID KPI]],'KPI для заполнения'!A:BL,Таблица1[[#This Row],[Неделя]]+10,0),"Нет")</f>
        <v>236</v>
      </c>
      <c r="F91" s="61" t="s">
        <v>254</v>
      </c>
      <c r="G91" s="62" t="s">
        <v>340</v>
      </c>
    </row>
    <row r="92" spans="1:7" ht="18">
      <c r="A92" s="58">
        <f>ROW(Таблица1[[#This Row],[Номер п/п]])-1</f>
        <v>91</v>
      </c>
      <c r="B92" s="59" t="s">
        <v>234</v>
      </c>
      <c r="C92" s="59" t="s">
        <v>183</v>
      </c>
      <c r="D92" s="60">
        <v>12</v>
      </c>
      <c r="E92" s="59">
        <f>IFERROR(VLOOKUP(Таблица1[[#This Row],[ID KPI]],'KPI для заполнения'!A:BL,Таблица1[[#This Row],[Неделя]]+10,0),"Нет")</f>
        <v>0.9375</v>
      </c>
      <c r="F92" s="61" t="s">
        <v>251</v>
      </c>
      <c r="G92" s="62" t="s">
        <v>315</v>
      </c>
    </row>
    <row r="93" spans="1:7" ht="36">
      <c r="A93" s="58">
        <f>ROW(Таблица1[[#This Row],[Номер п/п]])-1</f>
        <v>92</v>
      </c>
      <c r="B93" s="59"/>
      <c r="C93" s="59" t="s">
        <v>183</v>
      </c>
      <c r="D93" s="60">
        <v>12</v>
      </c>
      <c r="E93" s="59" t="str">
        <f>IFERROR(VLOOKUP(Таблица1[[#This Row],[ID KPI]],'KPI для заполнения'!A:BL,Таблица1[[#This Row],[Неделя]]+10,0),"Нет")</f>
        <v>Нет</v>
      </c>
      <c r="F93" s="61" t="s">
        <v>251</v>
      </c>
      <c r="G93" s="62" t="s">
        <v>341</v>
      </c>
    </row>
    <row r="94" spans="1:7" ht="36">
      <c r="A94" s="58">
        <f>ROW(Таблица1[[#This Row],[Номер п/п]])-1</f>
        <v>93</v>
      </c>
      <c r="B94" s="59" t="s">
        <v>61</v>
      </c>
      <c r="C94" s="59" t="s">
        <v>183</v>
      </c>
      <c r="D94" s="60">
        <v>13</v>
      </c>
      <c r="E94" s="59">
        <f>IFERROR(VLOOKUP(Таблица1[[#This Row],[ID KPI]],'KPI для заполнения'!A:BL,Таблица1[[#This Row],[Неделя]]+10,0),"Нет")</f>
        <v>0</v>
      </c>
      <c r="F94" s="61" t="s">
        <v>251</v>
      </c>
      <c r="G94" s="62" t="s">
        <v>342</v>
      </c>
    </row>
    <row r="95" spans="1:7" ht="18">
      <c r="A95" s="58">
        <f>ROW(Таблица1[[#This Row],[Номер п/п]])-1</f>
        <v>94</v>
      </c>
      <c r="B95" s="59" t="s">
        <v>81</v>
      </c>
      <c r="C95" s="59" t="s">
        <v>183</v>
      </c>
      <c r="D95" s="60">
        <v>13</v>
      </c>
      <c r="E95" s="59">
        <f>IFERROR(VLOOKUP(Таблица1[[#This Row],[ID KPI]],'KPI для заполнения'!A:BL,Таблица1[[#This Row],[Неделя]]+10,0),"Нет")</f>
        <v>0.79198811087664667</v>
      </c>
      <c r="F95" s="61" t="s">
        <v>251</v>
      </c>
      <c r="G95" s="62" t="s">
        <v>329</v>
      </c>
    </row>
    <row r="96" spans="1:7" ht="36">
      <c r="A96" s="58">
        <f>ROW(Таблица1[[#This Row],[Номер п/п]])-1</f>
        <v>95</v>
      </c>
      <c r="B96" s="59" t="s">
        <v>84</v>
      </c>
      <c r="C96" s="59" t="s">
        <v>183</v>
      </c>
      <c r="D96" s="60">
        <v>13</v>
      </c>
      <c r="E96" s="59">
        <f>IFERROR(VLOOKUP(Таблица1[[#This Row],[ID KPI]],'KPI для заполнения'!A:BL,Таблица1[[#This Row],[Неделя]]+10,0),"Нет")</f>
        <v>0.8571428571428571</v>
      </c>
      <c r="F96" s="61" t="s">
        <v>251</v>
      </c>
      <c r="G96" s="62" t="s">
        <v>330</v>
      </c>
    </row>
    <row r="97" spans="1:7" ht="36">
      <c r="A97" s="58">
        <f>ROW(Таблица1[[#This Row],[Номер п/п]])-1</f>
        <v>96</v>
      </c>
      <c r="B97" s="59" t="s">
        <v>96</v>
      </c>
      <c r="C97" s="59" t="s">
        <v>183</v>
      </c>
      <c r="D97" s="60">
        <v>13</v>
      </c>
      <c r="E97" s="59">
        <f>IFERROR(VLOOKUP(Таблица1[[#This Row],[ID KPI]],'KPI для заполнения'!A:BL,Таблица1[[#This Row],[Неделя]]+10,0),"Нет")</f>
        <v>23470</v>
      </c>
      <c r="F97" s="61" t="s">
        <v>251</v>
      </c>
      <c r="G97" s="62" t="s">
        <v>343</v>
      </c>
    </row>
    <row r="98" spans="1:7" ht="18">
      <c r="A98" s="58">
        <f>ROW(Таблица1[[#This Row],[Номер п/п]])-1</f>
        <v>97</v>
      </c>
      <c r="B98" s="59" t="s">
        <v>119</v>
      </c>
      <c r="C98" s="59" t="s">
        <v>183</v>
      </c>
      <c r="D98" s="60">
        <v>13</v>
      </c>
      <c r="E98" s="59">
        <f>IFERROR(VLOOKUP(Таблица1[[#This Row],[ID KPI]],'KPI для заполнения'!A:BL,Таблица1[[#This Row],[Неделя]]+10,0),"Нет")</f>
        <v>0.75</v>
      </c>
      <c r="F98" s="61" t="s">
        <v>251</v>
      </c>
      <c r="G98" s="62" t="s">
        <v>344</v>
      </c>
    </row>
    <row r="99" spans="1:7" ht="54">
      <c r="A99" s="58">
        <f>ROW(Таблица1[[#This Row],[Номер п/п]])-1</f>
        <v>98</v>
      </c>
      <c r="B99" s="59" t="s">
        <v>223</v>
      </c>
      <c r="C99" s="59" t="s">
        <v>183</v>
      </c>
      <c r="D99" s="60">
        <v>13</v>
      </c>
      <c r="E99" s="59">
        <f>IFERROR(VLOOKUP(Таблица1[[#This Row],[ID KPI]],'KPI для заполнения'!A:BL,Таблица1[[#This Row],[Неделя]]+10,0),"Нет")</f>
        <v>69</v>
      </c>
      <c r="F99" s="61" t="s">
        <v>254</v>
      </c>
      <c r="G99" s="62" t="s">
        <v>345</v>
      </c>
    </row>
    <row r="100" spans="1:7" ht="36">
      <c r="A100" s="58">
        <f>ROW(Таблица1[[#This Row],[Номер п/п]])-1</f>
        <v>99</v>
      </c>
      <c r="B100" s="59" t="s">
        <v>231</v>
      </c>
      <c r="C100" s="59" t="s">
        <v>183</v>
      </c>
      <c r="D100" s="60">
        <v>13</v>
      </c>
      <c r="E100" s="59">
        <f>IFERROR(VLOOKUP(Таблица1[[#This Row],[ID KPI]],'KPI для заполнения'!A:BL,Таблица1[[#This Row],[Неделя]]+10,0),"Нет")</f>
        <v>191</v>
      </c>
      <c r="F100" s="61" t="s">
        <v>254</v>
      </c>
      <c r="G100" s="62" t="s">
        <v>346</v>
      </c>
    </row>
    <row r="101" spans="1:7" ht="18">
      <c r="A101" s="58">
        <f>ROW(Таблица1[[#This Row],[Номер п/п]])-1</f>
        <v>100</v>
      </c>
      <c r="B101" s="59" t="s">
        <v>231</v>
      </c>
      <c r="C101" s="59" t="s">
        <v>37</v>
      </c>
      <c r="D101" s="60">
        <v>13</v>
      </c>
      <c r="E101" s="59">
        <f>IFERROR(VLOOKUP(Таблица1[[#This Row],[ID KPI]],'KPI для заполнения'!A:BL,Таблица1[[#This Row],[Неделя]]+10,0),"Нет")</f>
        <v>191</v>
      </c>
      <c r="F101" s="61" t="s">
        <v>254</v>
      </c>
      <c r="G101" s="62" t="s">
        <v>347</v>
      </c>
    </row>
    <row r="102" spans="1:7" ht="18">
      <c r="A102" s="58">
        <f>ROW(Таблица1[[#This Row],[Номер п/п]])-1</f>
        <v>101</v>
      </c>
      <c r="B102" s="59" t="s">
        <v>234</v>
      </c>
      <c r="C102" s="59" t="s">
        <v>183</v>
      </c>
      <c r="D102" s="60">
        <v>13</v>
      </c>
      <c r="E102" s="59">
        <f>IFERROR(VLOOKUP(Таблица1[[#This Row],[ID KPI]],'KPI для заполнения'!A:BL,Таблица1[[#This Row],[Неделя]]+10,0),"Нет")</f>
        <v>1</v>
      </c>
      <c r="F102" s="61"/>
      <c r="G102" s="62" t="s">
        <v>348</v>
      </c>
    </row>
    <row r="103" spans="1:7" ht="18">
      <c r="A103" s="58">
        <f>ROW(Таблица1[[#This Row],[Номер п/п]])-1</f>
        <v>102</v>
      </c>
      <c r="B103" s="59" t="s">
        <v>73</v>
      </c>
      <c r="C103" s="59" t="s">
        <v>183</v>
      </c>
      <c r="D103" s="60">
        <v>14</v>
      </c>
      <c r="E103" s="59">
        <f>IFERROR(VLOOKUP(Таблица1[[#This Row],[ID KPI]],'KPI для заполнения'!A:BL,Таблица1[[#This Row],[Неделя]]+10,0),"Нет")</f>
        <v>12</v>
      </c>
      <c r="F103" s="61" t="s">
        <v>251</v>
      </c>
      <c r="G103" s="62" t="s">
        <v>349</v>
      </c>
    </row>
    <row r="104" spans="1:7" ht="18">
      <c r="A104" s="58">
        <f>ROW(Таблица1[[#This Row],[Номер п/п]])-1</f>
        <v>103</v>
      </c>
      <c r="B104" s="59" t="s">
        <v>81</v>
      </c>
      <c r="C104" s="59" t="s">
        <v>183</v>
      </c>
      <c r="D104" s="60">
        <v>14</v>
      </c>
      <c r="E104" s="59">
        <f>IFERROR(VLOOKUP(Таблица1[[#This Row],[ID KPI]],'KPI для заполнения'!A:BL,Таблица1[[#This Row],[Неделя]]+10,0),"Нет")</f>
        <v>0.69536771319796742</v>
      </c>
      <c r="F104" s="61" t="s">
        <v>251</v>
      </c>
      <c r="G104" s="62" t="s">
        <v>329</v>
      </c>
    </row>
    <row r="105" spans="1:7" ht="36">
      <c r="A105" s="58">
        <f>ROW(Таблица1[[#This Row],[Номер п/п]])-1</f>
        <v>104</v>
      </c>
      <c r="B105" s="59" t="s">
        <v>84</v>
      </c>
      <c r="C105" s="59" t="s">
        <v>183</v>
      </c>
      <c r="D105" s="60">
        <v>14</v>
      </c>
      <c r="E105" s="59">
        <f>IFERROR(VLOOKUP(Таблица1[[#This Row],[ID KPI]],'KPI для заполнения'!A:BL,Таблица1[[#This Row],[Неделя]]+10,0),"Нет")</f>
        <v>0</v>
      </c>
      <c r="F105" s="61" t="s">
        <v>251</v>
      </c>
      <c r="G105" s="62" t="s">
        <v>330</v>
      </c>
    </row>
    <row r="106" spans="1:7" ht="36">
      <c r="A106" s="58">
        <f>ROW(Таблица1[[#This Row],[Номер п/п]])-1</f>
        <v>105</v>
      </c>
      <c r="B106" s="59" t="s">
        <v>96</v>
      </c>
      <c r="C106" s="59" t="s">
        <v>183</v>
      </c>
      <c r="D106" s="60">
        <v>14</v>
      </c>
      <c r="E106" s="59">
        <f>IFERROR(VLOOKUP(Таблица1[[#This Row],[ID KPI]],'KPI для заполнения'!A:BL,Таблица1[[#This Row],[Неделя]]+10,0),"Нет")</f>
        <v>23233</v>
      </c>
      <c r="F106" s="61" t="s">
        <v>251</v>
      </c>
      <c r="G106" s="62" t="s">
        <v>350</v>
      </c>
    </row>
    <row r="107" spans="1:7" ht="18">
      <c r="A107" s="58">
        <f>ROW(Таблица1[[#This Row],[Номер п/п]])-1</f>
        <v>106</v>
      </c>
      <c r="B107" s="59" t="s">
        <v>119</v>
      </c>
      <c r="C107" s="59" t="s">
        <v>183</v>
      </c>
      <c r="D107" s="60">
        <v>14</v>
      </c>
      <c r="E107" s="59">
        <f>IFERROR(VLOOKUP(Таблица1[[#This Row],[ID KPI]],'KPI для заполнения'!A:BL,Таблица1[[#This Row],[Неделя]]+10,0),"Нет")</f>
        <v>0.58750000000000002</v>
      </c>
      <c r="F107" s="61" t="s">
        <v>251</v>
      </c>
      <c r="G107" s="62" t="s">
        <v>351</v>
      </c>
    </row>
    <row r="108" spans="1:7" ht="18">
      <c r="A108" s="58">
        <f>ROW(Таблица1[[#This Row],[Номер п/п]])-1</f>
        <v>107</v>
      </c>
      <c r="B108" s="59" t="s">
        <v>189</v>
      </c>
      <c r="C108" s="59" t="s">
        <v>183</v>
      </c>
      <c r="D108" s="60">
        <v>14</v>
      </c>
      <c r="E108" s="59">
        <f>IFERROR(VLOOKUP(Таблица1[[#This Row],[ID KPI]],'KPI для заполнения'!A:BL,Таблица1[[#This Row],[Неделя]]+10,0),"Нет")</f>
        <v>128</v>
      </c>
      <c r="F108" s="61" t="s">
        <v>254</v>
      </c>
      <c r="G108" s="62" t="s">
        <v>352</v>
      </c>
    </row>
    <row r="109" spans="1:7" ht="36">
      <c r="A109" s="58">
        <f>ROW(Таблица1[[#This Row],[Номер п/п]])-1</f>
        <v>108</v>
      </c>
      <c r="B109" s="59" t="s">
        <v>189</v>
      </c>
      <c r="C109" s="59" t="s">
        <v>183</v>
      </c>
      <c r="D109" s="60">
        <v>14</v>
      </c>
      <c r="E109" s="59">
        <f>IFERROR(VLOOKUP(Таблица1[[#This Row],[ID KPI]],'KPI для заполнения'!A:BL,Таблица1[[#This Row],[Неделя]]+10,0),"Нет")</f>
        <v>128</v>
      </c>
      <c r="F109" s="61" t="s">
        <v>254</v>
      </c>
      <c r="G109" s="62" t="s">
        <v>353</v>
      </c>
    </row>
    <row r="110" spans="1:7" ht="18">
      <c r="A110" s="58">
        <f>ROW(Таблица1[[#This Row],[Номер п/п]])-1</f>
        <v>109</v>
      </c>
      <c r="B110" s="59" t="s">
        <v>189</v>
      </c>
      <c r="C110" s="59" t="s">
        <v>183</v>
      </c>
      <c r="D110" s="60">
        <v>14</v>
      </c>
      <c r="E110" s="59">
        <f>IFERROR(VLOOKUP(Таблица1[[#This Row],[ID KPI]],'KPI для заполнения'!A:BL,Таблица1[[#This Row],[Неделя]]+10,0),"Нет")</f>
        <v>128</v>
      </c>
      <c r="F110" s="61" t="s">
        <v>254</v>
      </c>
      <c r="G110" s="62" t="s">
        <v>354</v>
      </c>
    </row>
    <row r="111" spans="1:7" ht="54">
      <c r="A111" s="58">
        <f>ROW(Таблица1[[#This Row],[Номер п/п]])-1</f>
        <v>110</v>
      </c>
      <c r="B111" s="59" t="s">
        <v>201</v>
      </c>
      <c r="C111" s="59" t="s">
        <v>183</v>
      </c>
      <c r="D111" s="60">
        <v>14</v>
      </c>
      <c r="E111" s="59">
        <f>IFERROR(VLOOKUP(Таблица1[[#This Row],[ID KPI]],'KPI для заполнения'!A:BL,Таблица1[[#This Row],[Неделя]]+10,0),"Нет")</f>
        <v>0.99350649350649345</v>
      </c>
      <c r="F111" s="61" t="s">
        <v>251</v>
      </c>
      <c r="G111" s="62" t="s">
        <v>355</v>
      </c>
    </row>
    <row r="112" spans="1:7" ht="36">
      <c r="A112" s="58">
        <f>ROW(Таблица1[[#This Row],[Номер п/п]])-1</f>
        <v>111</v>
      </c>
      <c r="B112" s="59" t="s">
        <v>201</v>
      </c>
      <c r="C112" s="59" t="s">
        <v>40</v>
      </c>
      <c r="D112" s="60">
        <v>14</v>
      </c>
      <c r="E112" s="59">
        <f>IFERROR(VLOOKUP(Таблица1[[#This Row],[ID KPI]],'KPI для заполнения'!A:BL,Таблица1[[#This Row],[Неделя]]+10,0),"Нет")</f>
        <v>0.99350649350649345</v>
      </c>
      <c r="F112" s="61" t="s">
        <v>251</v>
      </c>
      <c r="G112" s="62" t="s">
        <v>356</v>
      </c>
    </row>
    <row r="113" spans="1:7" ht="18">
      <c r="A113" s="58">
        <f>ROW(Таблица1[[#This Row],[Номер п/п]])-1</f>
        <v>112</v>
      </c>
      <c r="B113" s="59" t="s">
        <v>205</v>
      </c>
      <c r="C113" s="59" t="s">
        <v>183</v>
      </c>
      <c r="D113" s="60">
        <v>14</v>
      </c>
      <c r="E113" s="59">
        <f>IFERROR(VLOOKUP(Таблица1[[#This Row],[ID KPI]],'KPI для заполнения'!A:BL,Таблица1[[#This Row],[Неделя]]+10,0),"Нет")</f>
        <v>0.83333333333333326</v>
      </c>
      <c r="F113" s="61" t="s">
        <v>251</v>
      </c>
      <c r="G113" s="62" t="s">
        <v>357</v>
      </c>
    </row>
    <row r="114" spans="1:7" ht="18">
      <c r="A114" s="58">
        <f>ROW(Таблица1[[#This Row],[Номер п/п]])-1</f>
        <v>113</v>
      </c>
      <c r="B114" s="59" t="s">
        <v>212</v>
      </c>
      <c r="C114" s="59" t="s">
        <v>183</v>
      </c>
      <c r="D114" s="60">
        <v>14</v>
      </c>
      <c r="E114" s="59">
        <f>IFERROR(VLOOKUP(Таблица1[[#This Row],[ID KPI]],'KPI для заполнения'!A:BL,Таблица1[[#This Row],[Неделя]]+10,0),"Нет")</f>
        <v>0.94178676873615308</v>
      </c>
      <c r="F114" s="61" t="s">
        <v>251</v>
      </c>
      <c r="G114" s="62" t="s">
        <v>358</v>
      </c>
    </row>
    <row r="115" spans="1:7" ht="18">
      <c r="A115" s="58">
        <f>ROW(Таблица1[[#This Row],[Номер п/п]])-1</f>
        <v>114</v>
      </c>
      <c r="B115" s="59" t="s">
        <v>217</v>
      </c>
      <c r="C115" s="59" t="s">
        <v>37</v>
      </c>
      <c r="D115" s="60">
        <v>14</v>
      </c>
      <c r="E115" s="59">
        <f>IFERROR(VLOOKUP(Таблица1[[#This Row],[ID KPI]],'KPI для заполнения'!A:BL,Таблица1[[#This Row],[Неделя]]+10,0),"Нет")</f>
        <v>1</v>
      </c>
      <c r="F115" s="61" t="s">
        <v>251</v>
      </c>
      <c r="G115" s="62" t="s">
        <v>359</v>
      </c>
    </row>
    <row r="116" spans="1:7" ht="18">
      <c r="A116" s="58">
        <f>ROW(Таблица1[[#This Row],[Номер п/п]])-1</f>
        <v>115</v>
      </c>
      <c r="B116" s="59" t="s">
        <v>234</v>
      </c>
      <c r="C116" s="59" t="s">
        <v>183</v>
      </c>
      <c r="D116" s="60">
        <v>14</v>
      </c>
      <c r="E116" s="59">
        <f>IFERROR(VLOOKUP(Таблица1[[#This Row],[ID KPI]],'KPI для заполнения'!A:BL,Таблица1[[#This Row],[Неделя]]+10,0),"Нет")</f>
        <v>0.9</v>
      </c>
      <c r="F116" s="61" t="s">
        <v>251</v>
      </c>
      <c r="G116" s="62" t="s">
        <v>360</v>
      </c>
    </row>
    <row r="117" spans="1:7" ht="36">
      <c r="A117" s="58">
        <f>ROW(Таблица1[[#This Row],[Номер п/п]])-1</f>
        <v>116</v>
      </c>
      <c r="B117" s="59" t="s">
        <v>61</v>
      </c>
      <c r="C117" s="59" t="s">
        <v>183</v>
      </c>
      <c r="D117" s="60">
        <v>15</v>
      </c>
      <c r="E117" s="59">
        <f>IFERROR(VLOOKUP(Таблица1[[#This Row],[ID KPI]],'KPI для заполнения'!A:BL,Таблица1[[#This Row],[Неделя]]+10,0),"Нет")</f>
        <v>0</v>
      </c>
      <c r="F117" s="61" t="s">
        <v>251</v>
      </c>
      <c r="G117" s="62" t="s">
        <v>342</v>
      </c>
    </row>
    <row r="118" spans="1:7" ht="18">
      <c r="A118" s="58">
        <f>ROW(Таблица1[[#This Row],[Номер п/п]])-1</f>
        <v>117</v>
      </c>
      <c r="B118" s="59" t="s">
        <v>81</v>
      </c>
      <c r="C118" s="59" t="s">
        <v>183</v>
      </c>
      <c r="D118" s="60">
        <v>15</v>
      </c>
      <c r="E118" s="59">
        <f>IFERROR(VLOOKUP(Таблица1[[#This Row],[ID KPI]],'KPI для заполнения'!A:BL,Таблица1[[#This Row],[Неделя]]+10,0),"Нет")</f>
        <v>0.76121621621621627</v>
      </c>
      <c r="F118" s="61" t="s">
        <v>251</v>
      </c>
      <c r="G118" s="62" t="s">
        <v>329</v>
      </c>
    </row>
    <row r="119" spans="1:7" ht="36">
      <c r="A119" s="58">
        <f>ROW(Таблица1[[#This Row],[Номер п/п]])-1</f>
        <v>118</v>
      </c>
      <c r="B119" s="59" t="s">
        <v>84</v>
      </c>
      <c r="C119" s="59" t="s">
        <v>183</v>
      </c>
      <c r="D119" s="60">
        <v>15</v>
      </c>
      <c r="E119" s="59">
        <f>IFERROR(VLOOKUP(Таблица1[[#This Row],[ID KPI]],'KPI для заполнения'!A:BL,Таблица1[[#This Row],[Неделя]]+10,0),"Нет")</f>
        <v>0</v>
      </c>
      <c r="F119" s="61" t="s">
        <v>251</v>
      </c>
      <c r="G119" s="62" t="s">
        <v>330</v>
      </c>
    </row>
    <row r="120" spans="1:7" ht="36">
      <c r="A120" s="58">
        <f>ROW(Таблица1[[#This Row],[Номер п/п]])-1</f>
        <v>119</v>
      </c>
      <c r="B120" s="59" t="s">
        <v>96</v>
      </c>
      <c r="C120" s="59" t="s">
        <v>183</v>
      </c>
      <c r="D120" s="60">
        <v>15</v>
      </c>
      <c r="E120" s="59">
        <f>IFERROR(VLOOKUP(Таблица1[[#This Row],[ID KPI]],'KPI для заполнения'!A:BL,Таблица1[[#This Row],[Неделя]]+10,0),"Нет")</f>
        <v>18772</v>
      </c>
      <c r="F120" s="61" t="s">
        <v>251</v>
      </c>
      <c r="G120" s="62" t="s">
        <v>361</v>
      </c>
    </row>
    <row r="121" spans="1:7" ht="18">
      <c r="A121" s="58">
        <f>ROW(Таблица1[[#This Row],[Номер п/п]])-1</f>
        <v>120</v>
      </c>
      <c r="B121" s="59" t="s">
        <v>201</v>
      </c>
      <c r="C121" s="59" t="s">
        <v>183</v>
      </c>
      <c r="D121" s="60">
        <v>15</v>
      </c>
      <c r="E121" s="59">
        <f>IFERROR(VLOOKUP(Таблица1[[#This Row],[ID KPI]],'KPI для заполнения'!A:BL,Таблица1[[#This Row],[Неделя]]+10,0),"Нет")</f>
        <v>0.98333333333333339</v>
      </c>
      <c r="F121" s="61" t="s">
        <v>254</v>
      </c>
      <c r="G121" s="62" t="s">
        <v>362</v>
      </c>
    </row>
    <row r="122" spans="1:7" ht="36">
      <c r="A122" s="58">
        <f>ROW(Таблица1[[#This Row],[Номер п/п]])-1</f>
        <v>121</v>
      </c>
      <c r="B122" s="59" t="s">
        <v>201</v>
      </c>
      <c r="C122" s="59" t="s">
        <v>183</v>
      </c>
      <c r="D122" s="60">
        <v>15</v>
      </c>
      <c r="E122" s="59">
        <f>IFERROR(VLOOKUP(Таблица1[[#This Row],[ID KPI]],'KPI для заполнения'!A:BL,Таблица1[[#This Row],[Неделя]]+10,0),"Нет")</f>
        <v>0.98333333333333339</v>
      </c>
      <c r="F122" s="61" t="s">
        <v>254</v>
      </c>
      <c r="G122" s="62" t="s">
        <v>363</v>
      </c>
    </row>
    <row r="123" spans="1:7" ht="36">
      <c r="A123" s="58">
        <f>ROW(Таблица1[[#This Row],[Номер п/п]])-1</f>
        <v>122</v>
      </c>
      <c r="B123" s="59" t="s">
        <v>201</v>
      </c>
      <c r="C123" s="59" t="s">
        <v>43</v>
      </c>
      <c r="D123" s="60">
        <v>15</v>
      </c>
      <c r="E123" s="59">
        <f>IFERROR(VLOOKUP(Таблица1[[#This Row],[ID KPI]],'KPI для заполнения'!A:BL,Таблица1[[#This Row],[Неделя]]+10,0),"Нет")</f>
        <v>0.98333333333333339</v>
      </c>
      <c r="F123" s="61" t="s">
        <v>254</v>
      </c>
      <c r="G123" s="62" t="s">
        <v>364</v>
      </c>
    </row>
    <row r="124" spans="1:7" ht="36">
      <c r="A124" s="58">
        <f>ROW(Таблица1[[#This Row],[Номер п/п]])-1</f>
        <v>123</v>
      </c>
      <c r="B124" s="59" t="s">
        <v>201</v>
      </c>
      <c r="C124" s="59" t="s">
        <v>43</v>
      </c>
      <c r="D124" s="60">
        <v>15</v>
      </c>
      <c r="E124" s="59">
        <f>IFERROR(VLOOKUP(Таблица1[[#This Row],[ID KPI]],'KPI для заполнения'!A:BL,Таблица1[[#This Row],[Неделя]]+10,0),"Нет")</f>
        <v>0.98333333333333339</v>
      </c>
      <c r="F124" s="61" t="s">
        <v>251</v>
      </c>
      <c r="G124" s="62" t="s">
        <v>365</v>
      </c>
    </row>
    <row r="125" spans="1:7" ht="54">
      <c r="A125" s="58">
        <f>ROW(Таблица1[[#This Row],[Номер п/п]])-1</f>
        <v>124</v>
      </c>
      <c r="B125" s="59" t="s">
        <v>205</v>
      </c>
      <c r="C125" s="59" t="s">
        <v>43</v>
      </c>
      <c r="D125" s="60">
        <v>15</v>
      </c>
      <c r="E125" s="59">
        <f>IFERROR(VLOOKUP(Таблица1[[#This Row],[ID KPI]],'KPI для заполнения'!A:BL,Таблица1[[#This Row],[Неделя]]+10,0),"Нет")</f>
        <v>0.87636054421768705</v>
      </c>
      <c r="F125" s="61" t="s">
        <v>251</v>
      </c>
      <c r="G125" s="62" t="s">
        <v>366</v>
      </c>
    </row>
    <row r="126" spans="1:7" ht="18">
      <c r="A126" s="58">
        <f>ROW(Таблица1[[#This Row],[Номер п/п]])-1</f>
        <v>125</v>
      </c>
      <c r="B126" s="59" t="s">
        <v>212</v>
      </c>
      <c r="C126" s="59" t="s">
        <v>183</v>
      </c>
      <c r="D126" s="60">
        <v>15</v>
      </c>
      <c r="E126" s="59">
        <f>IFERROR(VLOOKUP(Таблица1[[#This Row],[ID KPI]],'KPI для заполнения'!A:BL,Таблица1[[#This Row],[Неделя]]+10,0),"Нет")</f>
        <v>0.60845293667986267</v>
      </c>
      <c r="F126" s="61" t="s">
        <v>251</v>
      </c>
      <c r="G126" s="62" t="s">
        <v>367</v>
      </c>
    </row>
    <row r="127" spans="1:7" ht="18">
      <c r="A127" s="58">
        <f>ROW(Таблица1[[#This Row],[Номер п/п]])-1</f>
        <v>126</v>
      </c>
      <c r="B127" s="59" t="s">
        <v>217</v>
      </c>
      <c r="C127" s="59" t="s">
        <v>183</v>
      </c>
      <c r="D127" s="60">
        <v>15</v>
      </c>
      <c r="E127" s="59">
        <f>IFERROR(VLOOKUP(Таблица1[[#This Row],[ID KPI]],'KPI для заполнения'!A:BL,Таблица1[[#This Row],[Неделя]]+10,0),"Нет")</f>
        <v>1</v>
      </c>
      <c r="F127" s="61" t="s">
        <v>254</v>
      </c>
      <c r="G127" s="62" t="s">
        <v>368</v>
      </c>
    </row>
    <row r="128" spans="1:7" ht="36">
      <c r="A128" s="58">
        <f>ROW(Таблица1[[#This Row],[Номер п/п]])-1</f>
        <v>127</v>
      </c>
      <c r="B128" s="59" t="s">
        <v>231</v>
      </c>
      <c r="C128" s="59" t="s">
        <v>183</v>
      </c>
      <c r="D128" s="60">
        <v>15</v>
      </c>
      <c r="E128" s="59">
        <f>IFERROR(VLOOKUP(Таблица1[[#This Row],[ID KPI]],'KPI для заполнения'!A:BL,Таблица1[[#This Row],[Неделя]]+10,0),"Нет")</f>
        <v>254</v>
      </c>
      <c r="F128" s="61" t="s">
        <v>254</v>
      </c>
      <c r="G128" s="62" t="s">
        <v>369</v>
      </c>
    </row>
    <row r="129" spans="1:7" ht="18">
      <c r="A129" s="58">
        <f>ROW(Таблица1[[#This Row],[Номер п/п]])-1</f>
        <v>128</v>
      </c>
      <c r="B129" s="59" t="s">
        <v>231</v>
      </c>
      <c r="C129" s="59" t="s">
        <v>183</v>
      </c>
      <c r="D129" s="60">
        <v>15</v>
      </c>
      <c r="E129" s="59">
        <f>IFERROR(VLOOKUP(Таблица1[[#This Row],[ID KPI]],'KPI для заполнения'!A:BL,Таблица1[[#This Row],[Неделя]]+10,0),"Нет")</f>
        <v>254</v>
      </c>
      <c r="F129" s="61" t="s">
        <v>254</v>
      </c>
      <c r="G129" s="62" t="s">
        <v>370</v>
      </c>
    </row>
    <row r="130" spans="1:7" ht="18">
      <c r="A130" s="58">
        <f>ROW(Таблица1[[#This Row],[Номер п/п]])-1</f>
        <v>129</v>
      </c>
      <c r="B130" s="59" t="s">
        <v>231</v>
      </c>
      <c r="C130" s="59" t="s">
        <v>183</v>
      </c>
      <c r="D130" s="60">
        <v>15</v>
      </c>
      <c r="E130" s="59">
        <f>IFERROR(VLOOKUP(Таблица1[[#This Row],[ID KPI]],'KPI для заполнения'!A:BL,Таблица1[[#This Row],[Неделя]]+10,0),"Нет")</f>
        <v>254</v>
      </c>
      <c r="F130" s="61" t="s">
        <v>254</v>
      </c>
      <c r="G130" s="62" t="s">
        <v>371</v>
      </c>
    </row>
    <row r="131" spans="1:7" ht="18">
      <c r="A131" s="58">
        <f>ROW(Таблица1[[#This Row],[Номер п/п]])-1</f>
        <v>130</v>
      </c>
      <c r="B131" s="59" t="s">
        <v>231</v>
      </c>
      <c r="C131" s="59" t="s">
        <v>183</v>
      </c>
      <c r="D131" s="60">
        <v>15</v>
      </c>
      <c r="E131" s="59">
        <f>IFERROR(VLOOKUP(Таблица1[[#This Row],[ID KPI]],'KPI для заполнения'!A:BL,Таблица1[[#This Row],[Неделя]]+10,0),"Нет")</f>
        <v>254</v>
      </c>
      <c r="F131" s="61" t="s">
        <v>254</v>
      </c>
      <c r="G131" s="62" t="s">
        <v>372</v>
      </c>
    </row>
    <row r="132" spans="1:7" ht="18">
      <c r="A132" s="58">
        <f>ROW(Таблица1[[#This Row],[Номер п/п]])-1</f>
        <v>131</v>
      </c>
      <c r="B132" s="59" t="s">
        <v>231</v>
      </c>
      <c r="C132" s="59" t="s">
        <v>183</v>
      </c>
      <c r="D132" s="60">
        <v>15</v>
      </c>
      <c r="E132" s="59">
        <f>IFERROR(VLOOKUP(Таблица1[[#This Row],[ID KPI]],'KPI для заполнения'!A:BL,Таблица1[[#This Row],[Неделя]]+10,0),"Нет")</f>
        <v>254</v>
      </c>
      <c r="F132" s="61" t="s">
        <v>254</v>
      </c>
      <c r="G132" s="62" t="s">
        <v>373</v>
      </c>
    </row>
    <row r="133" spans="1:7" ht="36">
      <c r="A133" s="58">
        <f>ROW(Таблица1[[#This Row],[Номер п/п]])-1</f>
        <v>132</v>
      </c>
      <c r="B133" s="59" t="s">
        <v>234</v>
      </c>
      <c r="C133" s="59" t="s">
        <v>183</v>
      </c>
      <c r="D133" s="60">
        <v>15</v>
      </c>
      <c r="E133" s="59">
        <f>IFERROR(VLOOKUP(Таблица1[[#This Row],[ID KPI]],'KPI для заполнения'!A:BL,Таблица1[[#This Row],[Неделя]]+10,0),"Нет")</f>
        <v>0.58823529411764708</v>
      </c>
      <c r="F133" s="61" t="s">
        <v>251</v>
      </c>
      <c r="G133" s="62" t="s">
        <v>374</v>
      </c>
    </row>
    <row r="134" spans="1:7" ht="36">
      <c r="A134" s="58">
        <f>ROW(Таблица1[[#This Row],[Номер п/п]])-1</f>
        <v>133</v>
      </c>
      <c r="B134" s="59" t="s">
        <v>61</v>
      </c>
      <c r="C134" s="59" t="s">
        <v>183</v>
      </c>
      <c r="D134" s="60">
        <v>16</v>
      </c>
      <c r="E134" s="59">
        <f>IFERROR(VLOOKUP(Таблица1[[#This Row],[ID KPI]],'KPI для заполнения'!A:BL,Таблица1[[#This Row],[Неделя]]+10,0),"Нет")</f>
        <v>0</v>
      </c>
      <c r="F134" s="61" t="s">
        <v>251</v>
      </c>
      <c r="G134" s="62" t="s">
        <v>342</v>
      </c>
    </row>
    <row r="135" spans="1:7" ht="18">
      <c r="A135" s="58">
        <f>ROW(Таблица1[[#This Row],[Номер п/п]])-1</f>
        <v>134</v>
      </c>
      <c r="B135" s="59" t="s">
        <v>81</v>
      </c>
      <c r="C135" s="59" t="s">
        <v>183</v>
      </c>
      <c r="D135" s="60">
        <v>16</v>
      </c>
      <c r="E135" s="59">
        <f>IFERROR(VLOOKUP(Таблица1[[#This Row],[ID KPI]],'KPI для заполнения'!A:BL,Таблица1[[#This Row],[Неделя]]+10,0),"Нет")</f>
        <v>0.9462138446538837</v>
      </c>
      <c r="F135" s="61" t="s">
        <v>251</v>
      </c>
      <c r="G135" s="62" t="s">
        <v>329</v>
      </c>
    </row>
    <row r="136" spans="1:7" ht="36">
      <c r="A136" s="58">
        <f>ROW(Таблица1[[#This Row],[Номер п/п]])-1</f>
        <v>135</v>
      </c>
      <c r="B136" s="59" t="s">
        <v>84</v>
      </c>
      <c r="C136" s="59" t="s">
        <v>183</v>
      </c>
      <c r="D136" s="60">
        <v>16</v>
      </c>
      <c r="E136" s="59">
        <f>IFERROR(VLOOKUP(Таблица1[[#This Row],[ID KPI]],'KPI для заполнения'!A:BL,Таблица1[[#This Row],[Неделя]]+10,0),"Нет")</f>
        <v>0.80769230769230771</v>
      </c>
      <c r="F136" s="61" t="s">
        <v>251</v>
      </c>
      <c r="G136" s="62" t="s">
        <v>330</v>
      </c>
    </row>
    <row r="137" spans="1:7" ht="36">
      <c r="A137" s="58">
        <f>ROW(Таблица1[[#This Row],[Номер п/п]])-1</f>
        <v>136</v>
      </c>
      <c r="B137" s="59" t="s">
        <v>96</v>
      </c>
      <c r="C137" s="59" t="s">
        <v>183</v>
      </c>
      <c r="D137" s="60">
        <v>16</v>
      </c>
      <c r="E137" s="59">
        <f>IFERROR(VLOOKUP(Таблица1[[#This Row],[ID KPI]],'KPI для заполнения'!A:BL,Таблица1[[#This Row],[Неделя]]+10,0),"Нет")</f>
        <v>17890</v>
      </c>
      <c r="F137" s="61" t="s">
        <v>251</v>
      </c>
      <c r="G137" s="62" t="s">
        <v>375</v>
      </c>
    </row>
    <row r="138" spans="1:7" ht="54">
      <c r="A138" s="58">
        <f>ROW(Таблица1[[#This Row],[Номер п/п]])-1</f>
        <v>137</v>
      </c>
      <c r="B138" s="59" t="s">
        <v>115</v>
      </c>
      <c r="C138" s="59" t="s">
        <v>183</v>
      </c>
      <c r="D138" s="60">
        <v>16</v>
      </c>
      <c r="E138" s="59">
        <f>IFERROR(VLOOKUP(Таблица1[[#This Row],[ID KPI]],'KPI для заполнения'!A:BL,Таблица1[[#This Row],[Неделя]]+10,0),"Нет")</f>
        <v>0.77583412671498442</v>
      </c>
      <c r="F138" s="61" t="s">
        <v>251</v>
      </c>
      <c r="G138" s="62" t="s">
        <v>376</v>
      </c>
    </row>
    <row r="139" spans="1:7" ht="36">
      <c r="A139" s="58">
        <f>ROW(Таблица1[[#This Row],[Номер п/п]])-1</f>
        <v>138</v>
      </c>
      <c r="B139" s="59" t="s">
        <v>119</v>
      </c>
      <c r="C139" s="59" t="s">
        <v>183</v>
      </c>
      <c r="D139" s="60">
        <v>16</v>
      </c>
      <c r="E139" s="59">
        <f>IFERROR(VLOOKUP(Таблица1[[#This Row],[ID KPI]],'KPI для заполнения'!A:BL,Таблица1[[#This Row],[Неделя]]+10,0),"Нет")</f>
        <v>0.1875</v>
      </c>
      <c r="F139" s="61" t="s">
        <v>251</v>
      </c>
      <c r="G139" s="62" t="s">
        <v>377</v>
      </c>
    </row>
    <row r="140" spans="1:7" ht="18">
      <c r="A140" s="58">
        <f>ROW(Таблица1[[#This Row],[Номер п/п]])-1</f>
        <v>139</v>
      </c>
      <c r="B140" s="59" t="s">
        <v>189</v>
      </c>
      <c r="C140" s="59" t="s">
        <v>183</v>
      </c>
      <c r="D140" s="60">
        <v>16</v>
      </c>
      <c r="E140" s="59">
        <f>IFERROR(VLOOKUP(Таблица1[[#This Row],[ID KPI]],'KPI для заполнения'!A:BL,Таблица1[[#This Row],[Неделя]]+10,0),"Нет")</f>
        <v>95</v>
      </c>
      <c r="F140" s="61" t="s">
        <v>254</v>
      </c>
      <c r="G140" s="62" t="s">
        <v>378</v>
      </c>
    </row>
    <row r="141" spans="1:7" ht="18">
      <c r="A141" s="58">
        <f>ROW(Таблица1[[#This Row],[Номер п/п]])-1</f>
        <v>140</v>
      </c>
      <c r="B141" s="59" t="s">
        <v>189</v>
      </c>
      <c r="C141" s="59" t="s">
        <v>36</v>
      </c>
      <c r="D141" s="60">
        <v>16</v>
      </c>
      <c r="E141" s="59">
        <f>IFERROR(VLOOKUP(Таблица1[[#This Row],[ID KPI]],'KPI для заполнения'!A:BL,Таблица1[[#This Row],[Неделя]]+10,0),"Нет")</f>
        <v>95</v>
      </c>
      <c r="F141" s="61" t="s">
        <v>251</v>
      </c>
      <c r="G141" s="62" t="s">
        <v>379</v>
      </c>
    </row>
    <row r="142" spans="1:7" ht="36">
      <c r="A142" s="58">
        <f>ROW(Таблица1[[#This Row],[Номер п/п]])-1</f>
        <v>141</v>
      </c>
      <c r="B142" s="59" t="s">
        <v>201</v>
      </c>
      <c r="C142" s="59" t="s">
        <v>40</v>
      </c>
      <c r="D142" s="60">
        <v>16</v>
      </c>
      <c r="E142" s="59">
        <f>IFERROR(VLOOKUP(Таблица1[[#This Row],[ID KPI]],'KPI для заполнения'!A:BL,Таблица1[[#This Row],[Неделя]]+10,0),"Нет")</f>
        <v>0.99733333333333329</v>
      </c>
      <c r="F142" s="61" t="s">
        <v>251</v>
      </c>
      <c r="G142" s="62" t="s">
        <v>380</v>
      </c>
    </row>
    <row r="143" spans="1:7" ht="90">
      <c r="A143" s="58">
        <f>ROW(Таблица1[[#This Row],[Номер п/п]])-1</f>
        <v>142</v>
      </c>
      <c r="B143" s="59" t="s">
        <v>205</v>
      </c>
      <c r="C143" s="59" t="s">
        <v>43</v>
      </c>
      <c r="D143" s="60">
        <v>16</v>
      </c>
      <c r="E143" s="59">
        <f>IFERROR(VLOOKUP(Таблица1[[#This Row],[ID KPI]],'KPI для заполнения'!A:BL,Таблица1[[#This Row],[Неделя]]+10,0),"Нет")</f>
        <v>0.85</v>
      </c>
      <c r="F143" s="61" t="s">
        <v>251</v>
      </c>
      <c r="G143" s="62" t="s">
        <v>381</v>
      </c>
    </row>
    <row r="144" spans="1:7" ht="36">
      <c r="A144" s="58">
        <f>ROW(Таблица1[[#This Row],[Номер п/п]])-1</f>
        <v>143</v>
      </c>
      <c r="B144" s="59" t="s">
        <v>205</v>
      </c>
      <c r="C144" s="59" t="s">
        <v>43</v>
      </c>
      <c r="D144" s="60">
        <v>16</v>
      </c>
      <c r="E144" s="59">
        <f>IFERROR(VLOOKUP(Таблица1[[#This Row],[ID KPI]],'KPI для заполнения'!A:BL,Таблица1[[#This Row],[Неделя]]+10,0),"Нет")</f>
        <v>0.85</v>
      </c>
      <c r="F144" s="61" t="s">
        <v>251</v>
      </c>
      <c r="G144" s="62" t="s">
        <v>382</v>
      </c>
    </row>
    <row r="145" spans="1:7" ht="18">
      <c r="A145" s="58">
        <f>ROW(Таблица1[[#This Row],[Номер п/п]])-1</f>
        <v>144</v>
      </c>
      <c r="B145" s="59" t="s">
        <v>212</v>
      </c>
      <c r="C145" s="59" t="s">
        <v>183</v>
      </c>
      <c r="D145" s="60">
        <v>16</v>
      </c>
      <c r="E145" s="59">
        <f>IFERROR(VLOOKUP(Таблица1[[#This Row],[ID KPI]],'KPI для заполнения'!A:BL,Таблица1[[#This Row],[Неделя]]+10,0),"Нет")</f>
        <v>0.74837870494846681</v>
      </c>
      <c r="F145" s="61" t="s">
        <v>251</v>
      </c>
      <c r="G145" s="62" t="s">
        <v>367</v>
      </c>
    </row>
    <row r="146" spans="1:7" ht="18">
      <c r="A146" s="58">
        <f>ROW(Таблица1[[#This Row],[Номер п/п]])-1</f>
        <v>145</v>
      </c>
      <c r="B146" s="59" t="s">
        <v>217</v>
      </c>
      <c r="C146" s="59" t="s">
        <v>33</v>
      </c>
      <c r="D146" s="60">
        <v>16</v>
      </c>
      <c r="E146" s="59">
        <f>IFERROR(VLOOKUP(Таблица1[[#This Row],[ID KPI]],'KPI для заполнения'!A:BL,Таблица1[[#This Row],[Неделя]]+10,0),"Нет")</f>
        <v>1</v>
      </c>
      <c r="F146" s="61" t="s">
        <v>251</v>
      </c>
      <c r="G146" s="62" t="s">
        <v>383</v>
      </c>
    </row>
    <row r="147" spans="1:7" ht="18">
      <c r="A147" s="58">
        <f>ROW(Таблица1[[#This Row],[Номер п/п]])-1</f>
        <v>146</v>
      </c>
      <c r="B147" s="59" t="s">
        <v>231</v>
      </c>
      <c r="C147" s="59" t="s">
        <v>183</v>
      </c>
      <c r="D147" s="60">
        <v>16</v>
      </c>
      <c r="E147" s="59">
        <f>IFERROR(VLOOKUP(Таблица1[[#This Row],[ID KPI]],'KPI для заполнения'!A:BL,Таблица1[[#This Row],[Неделя]]+10,0),"Нет")</f>
        <v>203</v>
      </c>
      <c r="F147" s="61" t="s">
        <v>254</v>
      </c>
      <c r="G147" s="62" t="s">
        <v>384</v>
      </c>
    </row>
    <row r="148" spans="1:7" ht="18">
      <c r="A148" s="58">
        <f>ROW(Таблица1[[#This Row],[Номер п/п]])-1</f>
        <v>147</v>
      </c>
      <c r="B148" s="59" t="s">
        <v>231</v>
      </c>
      <c r="C148" s="59" t="s">
        <v>183</v>
      </c>
      <c r="D148" s="60">
        <v>16</v>
      </c>
      <c r="E148" s="59">
        <f>IFERROR(VLOOKUP(Таблица1[[#This Row],[ID KPI]],'KPI для заполнения'!A:BL,Таблица1[[#This Row],[Неделя]]+10,0),"Нет")</f>
        <v>203</v>
      </c>
      <c r="F148" s="61" t="s">
        <v>254</v>
      </c>
      <c r="G148" s="62" t="s">
        <v>385</v>
      </c>
    </row>
    <row r="149" spans="1:7" ht="18">
      <c r="A149" s="58">
        <f>ROW(Таблица1[[#This Row],[Номер п/п]])-1</f>
        <v>148</v>
      </c>
      <c r="B149" s="59" t="s">
        <v>234</v>
      </c>
      <c r="C149" s="59" t="s">
        <v>183</v>
      </c>
      <c r="D149" s="60">
        <v>16</v>
      </c>
      <c r="E149" s="59">
        <f>IFERROR(VLOOKUP(Таблица1[[#This Row],[ID KPI]],'KPI для заполнения'!A:BL,Таблица1[[#This Row],[Неделя]]+10,0),"Нет")</f>
        <v>0.94444444444444442</v>
      </c>
      <c r="F149" s="61" t="s">
        <v>251</v>
      </c>
      <c r="G149" s="62" t="s">
        <v>386</v>
      </c>
    </row>
    <row r="150" spans="1:7" ht="36">
      <c r="A150" s="58">
        <f>ROW(Таблица1[[#This Row],[Номер п/п]])-1</f>
        <v>149</v>
      </c>
      <c r="B150" s="59" t="s">
        <v>61</v>
      </c>
      <c r="C150" s="59" t="s">
        <v>183</v>
      </c>
      <c r="D150" s="60">
        <v>17</v>
      </c>
      <c r="E150" s="59">
        <f>IFERROR(VLOOKUP(Таблица1[[#This Row],[ID KPI]],'KPI для заполнения'!A:BL,Таблица1[[#This Row],[Неделя]]+10,0),"Нет")</f>
        <v>3.8280725319006045E-2</v>
      </c>
      <c r="F150" s="61" t="s">
        <v>251</v>
      </c>
      <c r="G150" s="62" t="s">
        <v>342</v>
      </c>
    </row>
    <row r="151" spans="1:7" ht="18">
      <c r="A151" s="58">
        <f>ROW(Таблица1[[#This Row],[Номер п/п]])-1</f>
        <v>150</v>
      </c>
      <c r="B151" s="59" t="s">
        <v>81</v>
      </c>
      <c r="C151" s="59" t="s">
        <v>183</v>
      </c>
      <c r="D151" s="60">
        <v>17</v>
      </c>
      <c r="E151" s="59">
        <f>IFERROR(VLOOKUP(Таблица1[[#This Row],[ID KPI]],'KPI для заполнения'!A:BL,Таблица1[[#This Row],[Неделя]]+10,0),"Нет")</f>
        <v>0.80097940733299844</v>
      </c>
      <c r="F151" s="61" t="s">
        <v>251</v>
      </c>
      <c r="G151" s="62" t="s">
        <v>329</v>
      </c>
    </row>
    <row r="152" spans="1:7" ht="36">
      <c r="A152" s="58">
        <f>ROW(Таблица1[[#This Row],[Номер п/п]])-1</f>
        <v>151</v>
      </c>
      <c r="B152" s="59" t="s">
        <v>84</v>
      </c>
      <c r="C152" s="59" t="s">
        <v>183</v>
      </c>
      <c r="D152" s="60">
        <v>17</v>
      </c>
      <c r="E152" s="59">
        <f>IFERROR(VLOOKUP(Таблица1[[#This Row],[ID KPI]],'KPI для заполнения'!A:BL,Таблица1[[#This Row],[Неделя]]+10,0),"Нет")</f>
        <v>0.82857142857142863</v>
      </c>
      <c r="F152" s="61" t="s">
        <v>251</v>
      </c>
      <c r="G152" s="62" t="s">
        <v>330</v>
      </c>
    </row>
    <row r="153" spans="1:7" ht="36">
      <c r="A153" s="58">
        <f>ROW(Таблица1[[#This Row],[Номер п/п]])-1</f>
        <v>152</v>
      </c>
      <c r="B153" s="59" t="s">
        <v>96</v>
      </c>
      <c r="C153" s="59" t="s">
        <v>183</v>
      </c>
      <c r="D153" s="60">
        <v>17</v>
      </c>
      <c r="E153" s="59">
        <f>IFERROR(VLOOKUP(Таблица1[[#This Row],[ID KPI]],'KPI для заполнения'!A:BL,Таблица1[[#This Row],[Неделя]]+10,0),"Нет")</f>
        <v>17760</v>
      </c>
      <c r="F153" s="61" t="s">
        <v>251</v>
      </c>
      <c r="G153" s="62" t="s">
        <v>387</v>
      </c>
    </row>
    <row r="154" spans="1:7" ht="54">
      <c r="A154" s="58">
        <f>ROW(Таблица1[[#This Row],[Номер п/п]])-1</f>
        <v>153</v>
      </c>
      <c r="B154" s="59" t="s">
        <v>115</v>
      </c>
      <c r="C154" s="59" t="s">
        <v>183</v>
      </c>
      <c r="D154" s="60">
        <v>17</v>
      </c>
      <c r="E154" s="59">
        <f>IFERROR(VLOOKUP(Таблица1[[#This Row],[ID KPI]],'KPI для заполнения'!A:BL,Таблица1[[#This Row],[Неделя]]+10,0),"Нет")</f>
        <v>0.94295622948200164</v>
      </c>
      <c r="F154" s="61" t="s">
        <v>251</v>
      </c>
      <c r="G154" s="62" t="s">
        <v>388</v>
      </c>
    </row>
    <row r="155" spans="1:7" ht="36">
      <c r="A155" s="58">
        <f>ROW(Таблица1[[#This Row],[Номер п/п]])-1</f>
        <v>154</v>
      </c>
      <c r="B155" s="59" t="s">
        <v>167</v>
      </c>
      <c r="C155" s="59" t="s">
        <v>183</v>
      </c>
      <c r="D155" s="60">
        <v>17</v>
      </c>
      <c r="E155" s="59">
        <f>IFERROR(VLOOKUP(Таблица1[[#This Row],[ID KPI]],'KPI для заполнения'!A:BL,Таблица1[[#This Row],[Неделя]]+10,0),"Нет")</f>
        <v>1.6503125000000001</v>
      </c>
      <c r="F155" s="61" t="s">
        <v>251</v>
      </c>
      <c r="G155" s="62" t="s">
        <v>389</v>
      </c>
    </row>
    <row r="156" spans="1:7" ht="209.25" customHeight="1">
      <c r="A156" s="58">
        <f>ROW(Таблица1[[#This Row],[Номер п/п]])-1</f>
        <v>155</v>
      </c>
      <c r="B156" s="59" t="s">
        <v>201</v>
      </c>
      <c r="C156" s="59" t="s">
        <v>33</v>
      </c>
      <c r="D156" s="60">
        <v>17</v>
      </c>
      <c r="E156" s="59">
        <f>IFERROR(VLOOKUP(Таблица1[[#This Row],[ID KPI]],'KPI для заполнения'!A:BL,Таблица1[[#This Row],[Неделя]]+10,0),"Нет")</f>
        <v>0.99075187969924805</v>
      </c>
      <c r="F156" s="61" t="s">
        <v>251</v>
      </c>
      <c r="G156" s="62" t="s">
        <v>390</v>
      </c>
    </row>
    <row r="157" spans="1:7" ht="36">
      <c r="A157" s="58">
        <f>ROW(Таблица1[[#This Row],[Номер п/п]])-1</f>
        <v>156</v>
      </c>
      <c r="B157" s="59" t="s">
        <v>231</v>
      </c>
      <c r="C157" s="59" t="s">
        <v>183</v>
      </c>
      <c r="D157" s="60">
        <v>17</v>
      </c>
      <c r="E157" s="59">
        <f>IFERROR(VLOOKUP(Таблица1[[#This Row],[ID KPI]],'KPI для заполнения'!A:BL,Таблица1[[#This Row],[Неделя]]+10,0),"Нет")</f>
        <v>160</v>
      </c>
      <c r="F157" s="61" t="s">
        <v>254</v>
      </c>
      <c r="G157" s="62" t="s">
        <v>391</v>
      </c>
    </row>
    <row r="158" spans="1:7" ht="18">
      <c r="A158" s="58">
        <f>ROW(Таблица1[[#This Row],[Номер п/п]])-1</f>
        <v>157</v>
      </c>
      <c r="B158" s="59" t="s">
        <v>234</v>
      </c>
      <c r="C158" s="59" t="s">
        <v>183</v>
      </c>
      <c r="D158" s="60">
        <v>17</v>
      </c>
      <c r="E158" s="59">
        <f>IFERROR(VLOOKUP(Таблица1[[#This Row],[ID KPI]],'KPI для заполнения'!A:BL,Таблица1[[#This Row],[Неделя]]+10,0),"Нет")</f>
        <v>0.9</v>
      </c>
      <c r="F158" s="61" t="s">
        <v>251</v>
      </c>
      <c r="G158" s="62" t="s">
        <v>386</v>
      </c>
    </row>
    <row r="159" spans="1:7" ht="18">
      <c r="A159" s="58">
        <f>ROW(Таблица1[[#This Row],[Номер п/п]])-1</f>
        <v>158</v>
      </c>
      <c r="B159" s="59" t="s">
        <v>18</v>
      </c>
      <c r="C159" s="59" t="s">
        <v>183</v>
      </c>
      <c r="D159" s="60">
        <v>18</v>
      </c>
      <c r="E159" s="59">
        <f>IFERROR(VLOOKUP(Таблица1[[#This Row],[ID KPI]],'KPI для заполнения'!A:BL,Таблица1[[#This Row],[Неделя]]+10,0),"Нет")</f>
        <v>0.9</v>
      </c>
      <c r="F159" s="61" t="s">
        <v>251</v>
      </c>
      <c r="G159" s="62" t="s">
        <v>392</v>
      </c>
    </row>
    <row r="160" spans="1:7" ht="18">
      <c r="A160" s="58">
        <f>ROW(Таблица1[[#This Row],[Номер п/п]])-1</f>
        <v>159</v>
      </c>
      <c r="B160" s="59" t="s">
        <v>21</v>
      </c>
      <c r="C160" s="59" t="s">
        <v>183</v>
      </c>
      <c r="D160" s="60">
        <v>18</v>
      </c>
      <c r="E160" s="59">
        <f>IFERROR(VLOOKUP(Таблица1[[#This Row],[ID KPI]],'KPI для заполнения'!A:BL,Таблица1[[#This Row],[Неделя]]+10,0),"Нет")</f>
        <v>0.93181818181818177</v>
      </c>
      <c r="F160" s="61" t="s">
        <v>251</v>
      </c>
      <c r="G160" s="62" t="s">
        <v>308</v>
      </c>
    </row>
    <row r="161" spans="1:7" ht="18">
      <c r="A161" s="58">
        <f>ROW(Таблица1[[#This Row],[Номер п/п]])-1</f>
        <v>160</v>
      </c>
      <c r="B161" s="59" t="s">
        <v>84</v>
      </c>
      <c r="C161" s="59" t="s">
        <v>183</v>
      </c>
      <c r="D161" s="60">
        <v>18</v>
      </c>
      <c r="E161" s="59">
        <f>IFERROR(VLOOKUP(Таблица1[[#This Row],[ID KPI]],'KPI для заполнения'!A:BL,Таблица1[[#This Row],[Неделя]]+10,0),"Нет")</f>
        <v>0</v>
      </c>
      <c r="F161" s="61" t="s">
        <v>251</v>
      </c>
      <c r="G161" s="62" t="s">
        <v>393</v>
      </c>
    </row>
    <row r="162" spans="1:7" ht="36">
      <c r="A162" s="58">
        <f>ROW(Таблица1[[#This Row],[Номер п/п]])-1</f>
        <v>161</v>
      </c>
      <c r="B162" s="59" t="s">
        <v>96</v>
      </c>
      <c r="C162" s="59" t="s">
        <v>183</v>
      </c>
      <c r="D162" s="60">
        <v>18</v>
      </c>
      <c r="E162" s="59">
        <f>IFERROR(VLOOKUP(Таблица1[[#This Row],[ID KPI]],'KPI для заполнения'!A:BL,Таблица1[[#This Row],[Неделя]]+10,0),"Нет")</f>
        <v>16929</v>
      </c>
      <c r="F162" s="61" t="s">
        <v>251</v>
      </c>
      <c r="G162" s="62" t="s">
        <v>394</v>
      </c>
    </row>
    <row r="163" spans="1:7" ht="54">
      <c r="A163" s="58">
        <f>ROW(Таблица1[[#This Row],[Номер п/п]])-1</f>
        <v>162</v>
      </c>
      <c r="B163" s="59" t="s">
        <v>201</v>
      </c>
      <c r="C163" s="59" t="s">
        <v>40</v>
      </c>
      <c r="D163" s="60">
        <v>18</v>
      </c>
      <c r="E163" s="59">
        <f>IFERROR(VLOOKUP(Таблица1[[#This Row],[ID KPI]],'KPI для заполнения'!A:BL,Таблица1[[#This Row],[Неделя]]+10,0),"Нет")</f>
        <v>0.99122807017543868</v>
      </c>
      <c r="F163" s="61" t="s">
        <v>254</v>
      </c>
      <c r="G163" s="62" t="s">
        <v>395</v>
      </c>
    </row>
    <row r="164" spans="1:7" ht="36">
      <c r="A164" s="58">
        <f>ROW(Таблица1[[#This Row],[Номер п/п]])-1</f>
        <v>163</v>
      </c>
      <c r="B164" s="59" t="s">
        <v>201</v>
      </c>
      <c r="C164" s="59" t="s">
        <v>40</v>
      </c>
      <c r="D164" s="60">
        <v>18</v>
      </c>
      <c r="E164" s="59">
        <f>IFERROR(VLOOKUP(Таблица1[[#This Row],[ID KPI]],'KPI для заполнения'!A:BL,Таблица1[[#This Row],[Неделя]]+10,0),"Нет")</f>
        <v>0.99122807017543868</v>
      </c>
      <c r="F164" s="61" t="s">
        <v>254</v>
      </c>
      <c r="G164" s="62" t="s">
        <v>396</v>
      </c>
    </row>
    <row r="165" spans="1:7" ht="18">
      <c r="A165" s="58">
        <f>ROW(Таблица1[[#This Row],[Номер п/п]])-1</f>
        <v>164</v>
      </c>
      <c r="B165" s="59" t="s">
        <v>201</v>
      </c>
      <c r="C165" s="59" t="s">
        <v>40</v>
      </c>
      <c r="D165" s="60">
        <v>18</v>
      </c>
      <c r="E165" s="59">
        <f>IFERROR(VLOOKUP(Таблица1[[#This Row],[ID KPI]],'KPI для заполнения'!A:BL,Таблица1[[#This Row],[Неделя]]+10,0),"Нет")</f>
        <v>0.99122807017543868</v>
      </c>
      <c r="F165" s="61" t="s">
        <v>251</v>
      </c>
      <c r="G165" s="62" t="s">
        <v>397</v>
      </c>
    </row>
    <row r="166" spans="1:7" ht="18">
      <c r="A166" s="58">
        <f>ROW(Таблица1[[#This Row],[Номер п/п]])-1</f>
        <v>165</v>
      </c>
      <c r="B166" s="59" t="s">
        <v>10</v>
      </c>
      <c r="C166" s="59" t="s">
        <v>183</v>
      </c>
      <c r="D166" s="60">
        <v>19</v>
      </c>
      <c r="E166" s="59">
        <f>IFERROR(VLOOKUP(Таблица1[[#This Row],[ID KPI]],'KPI для заполнения'!A:BL,Таблица1[[#This Row],[Неделя]]+10,0),"Нет")</f>
        <v>0.93023255813953487</v>
      </c>
      <c r="F166" s="61" t="s">
        <v>251</v>
      </c>
      <c r="G166" s="62" t="s">
        <v>398</v>
      </c>
    </row>
    <row r="167" spans="1:7" ht="36">
      <c r="A167" s="58">
        <f>ROW(Таблица1[[#This Row],[Номер п/п]])-1</f>
        <v>166</v>
      </c>
      <c r="B167" s="59" t="s">
        <v>61</v>
      </c>
      <c r="C167" s="59" t="s">
        <v>183</v>
      </c>
      <c r="D167" s="60">
        <v>19</v>
      </c>
      <c r="E167" s="59">
        <f>IFERROR(VLOOKUP(Таблица1[[#This Row],[ID KPI]],'KPI для заполнения'!A:BL,Таблица1[[#This Row],[Неделя]]+10,0),"Нет")</f>
        <v>0</v>
      </c>
      <c r="F167" s="61" t="s">
        <v>251</v>
      </c>
      <c r="G167" s="62" t="s">
        <v>342</v>
      </c>
    </row>
    <row r="168" spans="1:7" ht="18">
      <c r="A168" s="58">
        <f>ROW(Таблица1[[#This Row],[Номер п/п]])-1</f>
        <v>167</v>
      </c>
      <c r="B168" s="59" t="s">
        <v>81</v>
      </c>
      <c r="C168" s="59" t="s">
        <v>183</v>
      </c>
      <c r="D168" s="60">
        <v>19</v>
      </c>
      <c r="E168" s="59">
        <f>IFERROR(VLOOKUP(Таблица1[[#This Row],[ID KPI]],'KPI для заполнения'!A:BL,Таблица1[[#This Row],[Неделя]]+10,0),"Нет")</f>
        <v>0.73748668796592121</v>
      </c>
      <c r="F168" s="61" t="s">
        <v>251</v>
      </c>
      <c r="G168" s="62" t="s">
        <v>329</v>
      </c>
    </row>
    <row r="169" spans="1:7" ht="36">
      <c r="A169" s="58">
        <f>ROW(Таблица1[[#This Row],[Номер п/п]])-1</f>
        <v>168</v>
      </c>
      <c r="B169" s="59" t="s">
        <v>96</v>
      </c>
      <c r="C169" s="59" t="s">
        <v>183</v>
      </c>
      <c r="D169" s="60">
        <v>19</v>
      </c>
      <c r="E169" s="59">
        <f>IFERROR(VLOOKUP(Таблица1[[#This Row],[ID KPI]],'KPI для заполнения'!A:BL,Таблица1[[#This Row],[Неделя]]+10,0),"Нет")</f>
        <v>16354</v>
      </c>
      <c r="F169" s="61" t="s">
        <v>251</v>
      </c>
      <c r="G169" s="62" t="s">
        <v>399</v>
      </c>
    </row>
    <row r="170" spans="1:7" ht="36">
      <c r="A170" s="58">
        <f>ROW(Таблица1[[#This Row],[Номер п/п]])-1</f>
        <v>169</v>
      </c>
      <c r="B170" s="59" t="s">
        <v>144</v>
      </c>
      <c r="C170" s="59" t="s">
        <v>33</v>
      </c>
      <c r="D170" s="60">
        <v>19</v>
      </c>
      <c r="E170" s="59">
        <f>IFERROR(VLOOKUP(Таблица1[[#This Row],[ID KPI]],'KPI для заполнения'!A:BL,Таблица1[[#This Row],[Неделя]]+10,0),"Нет")</f>
        <v>0.97696681839171451</v>
      </c>
      <c r="F170" s="61" t="s">
        <v>276</v>
      </c>
      <c r="G170" s="62" t="s">
        <v>400</v>
      </c>
    </row>
    <row r="171" spans="1:7" ht="18">
      <c r="A171" s="58">
        <f>ROW(Таблица1[[#This Row],[Номер п/п]])-1</f>
        <v>170</v>
      </c>
      <c r="B171" s="59" t="s">
        <v>144</v>
      </c>
      <c r="C171" s="59" t="s">
        <v>36</v>
      </c>
      <c r="D171" s="60">
        <v>19</v>
      </c>
      <c r="E171" s="59">
        <f>IFERROR(VLOOKUP(Таблица1[[#This Row],[ID KPI]],'KPI для заполнения'!A:BL,Таблица1[[#This Row],[Неделя]]+10,0),"Нет")</f>
        <v>0.97696681839171451</v>
      </c>
      <c r="F171" s="61" t="s">
        <v>276</v>
      </c>
      <c r="G171" s="62" t="s">
        <v>401</v>
      </c>
    </row>
    <row r="172" spans="1:7" ht="36">
      <c r="A172" s="58">
        <f>ROW(Таблица1[[#This Row],[Номер п/п]])-1</f>
        <v>171</v>
      </c>
      <c r="B172" s="59" t="s">
        <v>167</v>
      </c>
      <c r="C172" s="59" t="s">
        <v>183</v>
      </c>
      <c r="D172" s="60">
        <v>19</v>
      </c>
      <c r="E172" s="59">
        <f>IFERROR(VLOOKUP(Таблица1[[#This Row],[ID KPI]],'KPI для заполнения'!A:BL,Таблица1[[#This Row],[Неделя]]+10,0),"Нет")</f>
        <v>1.4256249999999999</v>
      </c>
      <c r="F172" s="61" t="s">
        <v>251</v>
      </c>
      <c r="G172" s="62" t="s">
        <v>402</v>
      </c>
    </row>
    <row r="173" spans="1:7" ht="18">
      <c r="A173" s="58">
        <f>ROW(Таблица1[[#This Row],[Номер п/п]])-1</f>
        <v>172</v>
      </c>
      <c r="B173" s="59" t="s">
        <v>201</v>
      </c>
      <c r="C173" s="59" t="s">
        <v>183</v>
      </c>
      <c r="D173" s="60">
        <v>19</v>
      </c>
      <c r="E173" s="59">
        <f>IFERROR(VLOOKUP(Таблица1[[#This Row],[ID KPI]],'KPI для заполнения'!A:BL,Таблица1[[#This Row],[Неделя]]+10,0),"Нет")</f>
        <v>0.98322879330943846</v>
      </c>
      <c r="F173" s="61" t="s">
        <v>254</v>
      </c>
      <c r="G173" s="62" t="s">
        <v>403</v>
      </c>
    </row>
    <row r="174" spans="1:7" ht="36">
      <c r="A174" s="58">
        <f>ROW(Таблица1[[#This Row],[Номер п/п]])-1</f>
        <v>173</v>
      </c>
      <c r="B174" s="59" t="s">
        <v>201</v>
      </c>
      <c r="C174" s="59" t="s">
        <v>183</v>
      </c>
      <c r="D174" s="60">
        <v>19</v>
      </c>
      <c r="E174" s="59">
        <f>IFERROR(VLOOKUP(Таблица1[[#This Row],[ID KPI]],'KPI для заполнения'!A:BL,Таблица1[[#This Row],[Неделя]]+10,0),"Нет")</f>
        <v>0.98322879330943846</v>
      </c>
      <c r="F174" s="61" t="s">
        <v>254</v>
      </c>
      <c r="G174" s="62" t="s">
        <v>404</v>
      </c>
    </row>
    <row r="175" spans="1:7" ht="36">
      <c r="A175" s="58">
        <f>ROW(Таблица1[[#This Row],[Номер п/п]])-1</f>
        <v>174</v>
      </c>
      <c r="B175" s="59" t="s">
        <v>201</v>
      </c>
      <c r="C175" s="59" t="s">
        <v>43</v>
      </c>
      <c r="D175" s="60">
        <v>19</v>
      </c>
      <c r="E175" s="59">
        <f>IFERROR(VLOOKUP(Таблица1[[#This Row],[ID KPI]],'KPI для заполнения'!A:BL,Таблица1[[#This Row],[Неделя]]+10,0),"Нет")</f>
        <v>0.98322879330943846</v>
      </c>
      <c r="F175" s="61" t="s">
        <v>251</v>
      </c>
      <c r="G175" s="62" t="s">
        <v>405</v>
      </c>
    </row>
    <row r="176" spans="1:7" ht="36">
      <c r="A176" s="58">
        <f>ROW(Таблица1[[#This Row],[Номер п/п]])-1</f>
        <v>175</v>
      </c>
      <c r="B176" s="59" t="s">
        <v>205</v>
      </c>
      <c r="C176" s="59" t="s">
        <v>406</v>
      </c>
      <c r="D176" s="60">
        <v>19</v>
      </c>
      <c r="E176" s="59">
        <f>IFERROR(VLOOKUP(Таблица1[[#This Row],[ID KPI]],'KPI для заполнения'!A:BL,Таблица1[[#This Row],[Неделя]]+10,0),"Нет")</f>
        <v>1</v>
      </c>
      <c r="F176" s="61" t="s">
        <v>254</v>
      </c>
      <c r="G176" s="62" t="s">
        <v>407</v>
      </c>
    </row>
    <row r="177" spans="1:7" ht="18">
      <c r="A177" s="58">
        <f>ROW(Таблица1[[#This Row],[Номер п/п]])-1</f>
        <v>176</v>
      </c>
      <c r="B177" s="59" t="s">
        <v>212</v>
      </c>
      <c r="C177" s="59" t="s">
        <v>183</v>
      </c>
      <c r="D177" s="60">
        <v>19</v>
      </c>
      <c r="E177" s="59">
        <f>IFERROR(VLOOKUP(Таблица1[[#This Row],[ID KPI]],'KPI для заполнения'!A:BL,Таблица1[[#This Row],[Неделя]]+10,0),"Нет")</f>
        <v>0.57932688226805884</v>
      </c>
      <c r="F177" s="61" t="s">
        <v>251</v>
      </c>
      <c r="G177" s="62" t="s">
        <v>358</v>
      </c>
    </row>
    <row r="178" spans="1:7" ht="18">
      <c r="A178" s="58">
        <f>ROW(Таблица1[[#This Row],[Номер п/п]])-1</f>
        <v>177</v>
      </c>
      <c r="B178" s="59" t="s">
        <v>234</v>
      </c>
      <c r="C178" s="59" t="s">
        <v>183</v>
      </c>
      <c r="D178" s="60">
        <v>19</v>
      </c>
      <c r="E178" s="59">
        <f>IFERROR(VLOOKUP(Таблица1[[#This Row],[ID KPI]],'KPI для заполнения'!A:BL,Таблица1[[#This Row],[Неделя]]+10,0),"Нет")</f>
        <v>0.90909090909090906</v>
      </c>
      <c r="F178" s="61" t="s">
        <v>251</v>
      </c>
      <c r="G178" s="62" t="s">
        <v>408</v>
      </c>
    </row>
    <row r="179" spans="1:7" ht="54">
      <c r="A179" s="58">
        <f>ROW(Таблица1[[#This Row],[Номер п/п]])-1</f>
        <v>178</v>
      </c>
      <c r="B179" s="59" t="s">
        <v>305</v>
      </c>
      <c r="C179" s="59" t="s">
        <v>40</v>
      </c>
      <c r="D179" s="60">
        <v>19</v>
      </c>
      <c r="E179" s="59" t="str">
        <f>IFERROR(VLOOKUP(Таблица1[[#This Row],[ID KPI]],'KPI для заполнения'!A:BL,Таблица1[[#This Row],[Неделя]]+10,0),"Нет")</f>
        <v>Нет</v>
      </c>
      <c r="F179" s="61" t="s">
        <v>251</v>
      </c>
      <c r="G179" s="62" t="s">
        <v>409</v>
      </c>
    </row>
    <row r="180" spans="1:7" ht="18">
      <c r="A180" s="58">
        <f>ROW(Таблица1[[#This Row],[Номер п/п]])-1</f>
        <v>179</v>
      </c>
      <c r="B180" s="59" t="s">
        <v>21</v>
      </c>
      <c r="C180" s="59" t="s">
        <v>183</v>
      </c>
      <c r="D180" s="60">
        <v>20</v>
      </c>
      <c r="E180" s="59">
        <f>IFERROR(VLOOKUP(Таблица1[[#This Row],[ID KPI]],'KPI для заполнения'!A:BL,Таблица1[[#This Row],[Неделя]]+10,0),"Нет")</f>
        <v>0.97222222222222221</v>
      </c>
      <c r="F180" s="61" t="s">
        <v>251</v>
      </c>
      <c r="G180" s="62" t="s">
        <v>308</v>
      </c>
    </row>
    <row r="181" spans="1:7" ht="36">
      <c r="A181" s="58">
        <f>ROW(Таблица1[[#This Row],[Номер п/п]])-1</f>
        <v>180</v>
      </c>
      <c r="B181" s="59" t="s">
        <v>24</v>
      </c>
      <c r="C181" s="59" t="s">
        <v>183</v>
      </c>
      <c r="D181" s="60">
        <v>20</v>
      </c>
      <c r="E181" s="59" t="str">
        <f>IFERROR(VLOOKUP(Таблица1[[#This Row],[ID KPI]],'KPI для заполнения'!A:BL,Таблица1[[#This Row],[Неделя]]+10,0),"Нет")</f>
        <v>84631</v>
      </c>
      <c r="F181" s="61" t="s">
        <v>251</v>
      </c>
      <c r="G181" s="62" t="s">
        <v>328</v>
      </c>
    </row>
    <row r="182" spans="1:7" ht="36">
      <c r="A182" s="58">
        <f>ROW(Таблица1[[#This Row],[Номер п/п]])-1</f>
        <v>181</v>
      </c>
      <c r="B182" s="59" t="s">
        <v>61</v>
      </c>
      <c r="C182" s="59" t="s">
        <v>183</v>
      </c>
      <c r="D182" s="60">
        <v>20</v>
      </c>
      <c r="E182" s="59">
        <f>IFERROR(VLOOKUP(Таблица1[[#This Row],[ID KPI]],'KPI для заполнения'!A:BL,Таблица1[[#This Row],[Неделя]]+10,0),"Нет")</f>
        <v>0</v>
      </c>
      <c r="F182" s="61" t="s">
        <v>251</v>
      </c>
      <c r="G182" s="62" t="s">
        <v>342</v>
      </c>
    </row>
    <row r="183" spans="1:7" ht="18">
      <c r="A183" s="58">
        <f>ROW(Таблица1[[#This Row],[Номер п/п]])-1</f>
        <v>182</v>
      </c>
      <c r="B183" s="59" t="s">
        <v>73</v>
      </c>
      <c r="C183" s="59" t="s">
        <v>183</v>
      </c>
      <c r="D183" s="60">
        <v>20</v>
      </c>
      <c r="E183" s="59">
        <f>IFERROR(VLOOKUP(Таблица1[[#This Row],[ID KPI]],'KPI для заполнения'!A:BL,Таблица1[[#This Row],[Неделя]]+10,0),"Нет")</f>
        <v>13</v>
      </c>
      <c r="F183" s="61" t="s">
        <v>251</v>
      </c>
      <c r="G183" s="62" t="s">
        <v>410</v>
      </c>
    </row>
    <row r="184" spans="1:7" ht="18">
      <c r="A184" s="58">
        <f>ROW(Таблица1[[#This Row],[Номер п/п]])-1</f>
        <v>183</v>
      </c>
      <c r="B184" s="59" t="s">
        <v>81</v>
      </c>
      <c r="C184" s="59" t="s">
        <v>183</v>
      </c>
      <c r="D184" s="60">
        <v>20</v>
      </c>
      <c r="E184" s="59">
        <f>IFERROR(VLOOKUP(Таблица1[[#This Row],[ID KPI]],'KPI для заполнения'!A:BL,Таблица1[[#This Row],[Неделя]]+10,0),"Нет")</f>
        <v>0.85512699905926626</v>
      </c>
      <c r="F184" s="61" t="s">
        <v>251</v>
      </c>
      <c r="G184" s="62" t="s">
        <v>329</v>
      </c>
    </row>
    <row r="185" spans="1:7" ht="18">
      <c r="A185" s="58">
        <f>ROW(Таблица1[[#This Row],[Номер п/п]])-1</f>
        <v>184</v>
      </c>
      <c r="B185" s="59" t="s">
        <v>89</v>
      </c>
      <c r="C185" s="59" t="s">
        <v>183</v>
      </c>
      <c r="D185" s="60">
        <v>20</v>
      </c>
      <c r="E185" s="59">
        <f>IFERROR(VLOOKUP(Таблица1[[#This Row],[ID KPI]],'KPI для заполнения'!A:BL,Таблица1[[#This Row],[Неделя]]+10,0),"Нет")</f>
        <v>0.97</v>
      </c>
      <c r="F185" s="61" t="s">
        <v>251</v>
      </c>
      <c r="G185" s="62" t="s">
        <v>411</v>
      </c>
    </row>
    <row r="186" spans="1:7" ht="36">
      <c r="A186" s="58">
        <f>ROW(Таблица1[[#This Row],[Номер п/п]])-1</f>
        <v>185</v>
      </c>
      <c r="B186" s="59" t="s">
        <v>96</v>
      </c>
      <c r="C186" s="59" t="s">
        <v>183</v>
      </c>
      <c r="D186" s="60">
        <v>20</v>
      </c>
      <c r="E186" s="59">
        <f>IFERROR(VLOOKUP(Таблица1[[#This Row],[ID KPI]],'KPI для заполнения'!A:BL,Таблица1[[#This Row],[Неделя]]+10,0),"Нет")</f>
        <v>18151</v>
      </c>
      <c r="F186" s="61" t="s">
        <v>251</v>
      </c>
      <c r="G186" s="62" t="s">
        <v>412</v>
      </c>
    </row>
    <row r="187" spans="1:7" ht="36">
      <c r="A187" s="58">
        <f>ROW(Таблица1[[#This Row],[Номер п/п]])-1</f>
        <v>186</v>
      </c>
      <c r="B187" s="59" t="s">
        <v>115</v>
      </c>
      <c r="C187" s="59" t="s">
        <v>43</v>
      </c>
      <c r="D187" s="60">
        <v>20</v>
      </c>
      <c r="E187" s="59">
        <f>IFERROR(VLOOKUP(Таблица1[[#This Row],[ID KPI]],'KPI для заполнения'!A:BL,Таблица1[[#This Row],[Неделя]]+10,0),"Нет")</f>
        <v>0.79938565784530191</v>
      </c>
      <c r="F187" s="61" t="s">
        <v>251</v>
      </c>
      <c r="G187" s="62" t="s">
        <v>413</v>
      </c>
    </row>
    <row r="188" spans="1:7" ht="36">
      <c r="A188" s="58">
        <f>ROW(Таблица1[[#This Row],[Номер п/п]])-1</f>
        <v>187</v>
      </c>
      <c r="B188" s="59" t="s">
        <v>167</v>
      </c>
      <c r="C188" s="59" t="s">
        <v>43</v>
      </c>
      <c r="D188" s="60">
        <v>20</v>
      </c>
      <c r="E188" s="59">
        <f>IFERROR(VLOOKUP(Таблица1[[#This Row],[ID KPI]],'KPI для заполнения'!A:BL,Таблица1[[#This Row],[Неделя]]+10,0),"Нет")</f>
        <v>1.595</v>
      </c>
      <c r="F188" s="61" t="s">
        <v>251</v>
      </c>
      <c r="G188" s="62" t="s">
        <v>414</v>
      </c>
    </row>
    <row r="189" spans="1:7" ht="36">
      <c r="A189" s="58">
        <f>ROW(Таблица1[[#This Row],[Номер п/п]])-1</f>
        <v>188</v>
      </c>
      <c r="B189" s="59" t="s">
        <v>189</v>
      </c>
      <c r="C189" s="59" t="s">
        <v>40</v>
      </c>
      <c r="D189" s="60">
        <v>20</v>
      </c>
      <c r="E189" s="59">
        <f>IFERROR(VLOOKUP(Таблица1[[#This Row],[ID KPI]],'KPI для заполнения'!A:BL,Таблица1[[#This Row],[Неделя]]+10,0),"Нет")</f>
        <v>124</v>
      </c>
      <c r="F189" s="61" t="s">
        <v>251</v>
      </c>
      <c r="G189" s="62" t="s">
        <v>415</v>
      </c>
    </row>
    <row r="190" spans="1:7" ht="36">
      <c r="A190" s="58">
        <f>ROW(Таблица1[[#This Row],[Номер п/п]])-1</f>
        <v>189</v>
      </c>
      <c r="B190" s="59" t="s">
        <v>231</v>
      </c>
      <c r="C190" s="59" t="s">
        <v>183</v>
      </c>
      <c r="D190" s="60">
        <v>20</v>
      </c>
      <c r="E190" s="59">
        <f>IFERROR(VLOOKUP(Таблица1[[#This Row],[ID KPI]],'KPI для заполнения'!A:BL,Таблица1[[#This Row],[Неделя]]+10,0),"Нет")</f>
        <v>159</v>
      </c>
      <c r="F190" s="61" t="s">
        <v>254</v>
      </c>
      <c r="G190" s="62" t="s">
        <v>416</v>
      </c>
    </row>
    <row r="191" spans="1:7" ht="18">
      <c r="A191" s="58">
        <f>ROW(Таблица1[[#This Row],[Номер п/п]])-1</f>
        <v>190</v>
      </c>
      <c r="B191" s="59" t="s">
        <v>234</v>
      </c>
      <c r="C191" s="59" t="s">
        <v>43</v>
      </c>
      <c r="D191" s="60">
        <v>20</v>
      </c>
      <c r="E191" s="59">
        <f>IFERROR(VLOOKUP(Таблица1[[#This Row],[ID KPI]],'KPI для заполнения'!A:BL,Таблица1[[#This Row],[Неделя]]+10,0),"Нет")</f>
        <v>0.9</v>
      </c>
      <c r="F191" s="61" t="s">
        <v>251</v>
      </c>
      <c r="G191" s="62" t="s">
        <v>417</v>
      </c>
    </row>
    <row r="192" spans="1:7" ht="36">
      <c r="A192" s="58">
        <f>ROW(Таблица1[[#This Row],[Номер п/п]])-1</f>
        <v>191</v>
      </c>
      <c r="B192" s="59" t="s">
        <v>305</v>
      </c>
      <c r="C192" s="59" t="s">
        <v>40</v>
      </c>
      <c r="D192" s="60">
        <v>20</v>
      </c>
      <c r="E192" s="59" t="str">
        <f>IFERROR(VLOOKUP(Таблица1[[#This Row],[ID KPI]],'KPI для заполнения'!A:BL,Таблица1[[#This Row],[Неделя]]+10,0),"Нет")</f>
        <v>Нет</v>
      </c>
      <c r="F192" s="61" t="s">
        <v>276</v>
      </c>
      <c r="G192" s="62" t="s">
        <v>418</v>
      </c>
    </row>
    <row r="193" spans="1:7" ht="18">
      <c r="A193" s="58">
        <f>ROW(Таблица1[[#This Row],[Номер п/п]])-1</f>
        <v>192</v>
      </c>
      <c r="B193" s="59" t="s">
        <v>305</v>
      </c>
      <c r="C193" s="59" t="s">
        <v>183</v>
      </c>
      <c r="D193" s="60">
        <v>20</v>
      </c>
      <c r="E193" s="59" t="str">
        <f>IFERROR(VLOOKUP(Таблица1[[#This Row],[ID KPI]],'KPI для заполнения'!A:BL,Таблица1[[#This Row],[Неделя]]+10,0),"Нет")</f>
        <v>Нет</v>
      </c>
      <c r="F193" s="61" t="s">
        <v>276</v>
      </c>
      <c r="G193" s="62" t="s">
        <v>419</v>
      </c>
    </row>
    <row r="194" spans="1:7" ht="54">
      <c r="A194" s="58">
        <f>ROW(Таблица1[[#This Row],[Номер п/п]])-1</f>
        <v>193</v>
      </c>
      <c r="B194" s="59" t="s">
        <v>305</v>
      </c>
      <c r="C194" s="59" t="s">
        <v>43</v>
      </c>
      <c r="D194" s="60">
        <v>20</v>
      </c>
      <c r="E194" s="59" t="str">
        <f>IFERROR(VLOOKUP(Таблица1[[#This Row],[ID KPI]],'KPI для заполнения'!A:BL,Таблица1[[#This Row],[Неделя]]+10,0),"Нет")</f>
        <v>Нет</v>
      </c>
      <c r="F194" s="61" t="s">
        <v>276</v>
      </c>
      <c r="G194" s="62" t="s">
        <v>420</v>
      </c>
    </row>
    <row r="195" spans="1:7" ht="36">
      <c r="A195" s="58">
        <f>ROW(Таблица1[[#This Row],[Номер п/п]])-1</f>
        <v>194</v>
      </c>
      <c r="B195" s="59" t="s">
        <v>18</v>
      </c>
      <c r="C195" s="59" t="s">
        <v>183</v>
      </c>
      <c r="D195" s="60">
        <v>21</v>
      </c>
      <c r="E195" s="59">
        <f>IFERROR(VLOOKUP(Таблица1[[#This Row],[ID KPI]],'KPI для заполнения'!A:BL,Таблица1[[#This Row],[Неделя]]+10,0),"Нет")</f>
        <v>0.93548387096774188</v>
      </c>
      <c r="F195" s="61" t="s">
        <v>276</v>
      </c>
      <c r="G195" s="62" t="s">
        <v>421</v>
      </c>
    </row>
    <row r="196" spans="1:7" ht="18">
      <c r="A196" s="58">
        <f>ROW(Таблица1[[#This Row],[Номер п/п]])-1</f>
        <v>195</v>
      </c>
      <c r="B196" s="59" t="s">
        <v>24</v>
      </c>
      <c r="C196" s="59" t="s">
        <v>183</v>
      </c>
      <c r="D196" s="60">
        <v>21</v>
      </c>
      <c r="E196" s="59" t="str">
        <f>IFERROR(VLOOKUP(Таблица1[[#This Row],[ID KPI]],'KPI для заполнения'!A:BL,Таблица1[[#This Row],[Неделя]]+10,0),"Нет")</f>
        <v>90605</v>
      </c>
      <c r="F196" s="61" t="s">
        <v>276</v>
      </c>
      <c r="G196" s="62" t="s">
        <v>422</v>
      </c>
    </row>
    <row r="197" spans="1:7" ht="18">
      <c r="A197" s="58">
        <f>ROW(Таблица1[[#This Row],[Номер п/п]])-1</f>
        <v>196</v>
      </c>
      <c r="B197" s="59" t="s">
        <v>46</v>
      </c>
      <c r="C197" s="59" t="s">
        <v>183</v>
      </c>
      <c r="D197" s="60">
        <v>21</v>
      </c>
      <c r="E197" s="59">
        <f>IFERROR(VLOOKUP(Таблица1[[#This Row],[ID KPI]],'KPI для заполнения'!A:BL,Таблица1[[#This Row],[Неделя]]+10,0),"Нет")</f>
        <v>23</v>
      </c>
      <c r="F197" s="61" t="s">
        <v>276</v>
      </c>
      <c r="G197" s="62" t="s">
        <v>422</v>
      </c>
    </row>
    <row r="198" spans="1:7" ht="18">
      <c r="A198" s="58">
        <f>ROW(Таблица1[[#This Row],[Номер п/п]])-1</f>
        <v>197</v>
      </c>
      <c r="B198" s="59" t="s">
        <v>61</v>
      </c>
      <c r="C198" s="59" t="s">
        <v>183</v>
      </c>
      <c r="D198" s="60">
        <v>21</v>
      </c>
      <c r="E198" s="59">
        <f>IFERROR(VLOOKUP(Таблица1[[#This Row],[ID KPI]],'KPI для заполнения'!A:BL,Таблица1[[#This Row],[Неделя]]+10,0),"Нет")</f>
        <v>0</v>
      </c>
      <c r="F198" s="61" t="s">
        <v>276</v>
      </c>
      <c r="G198" s="62" t="s">
        <v>422</v>
      </c>
    </row>
    <row r="199" spans="1:7" ht="18">
      <c r="A199" s="58">
        <f>ROW(Таблица1[[#This Row],[Номер п/п]])-1</f>
        <v>198</v>
      </c>
      <c r="B199" s="59" t="s">
        <v>81</v>
      </c>
      <c r="C199" s="59" t="s">
        <v>183</v>
      </c>
      <c r="D199" s="60">
        <v>21</v>
      </c>
      <c r="E199" s="59">
        <f>IFERROR(VLOOKUP(Таблица1[[#This Row],[ID KPI]],'KPI для заполнения'!A:BL,Таблица1[[#This Row],[Неделя]]+10,0),"Нет")</f>
        <v>0.9114698385726423</v>
      </c>
      <c r="F199" s="61" t="s">
        <v>276</v>
      </c>
      <c r="G199" s="62" t="s">
        <v>329</v>
      </c>
    </row>
    <row r="200" spans="1:7" ht="18">
      <c r="A200" s="58">
        <f>ROW(Таблица1[[#This Row],[Номер п/п]])-1</f>
        <v>199</v>
      </c>
      <c r="B200" s="59" t="s">
        <v>84</v>
      </c>
      <c r="C200" s="59" t="s">
        <v>183</v>
      </c>
      <c r="D200" s="60">
        <v>21</v>
      </c>
      <c r="E200" s="59">
        <f>IFERROR(VLOOKUP(Таблица1[[#This Row],[ID KPI]],'KPI для заполнения'!A:BL,Таблица1[[#This Row],[Неделя]]+10,0),"Нет")</f>
        <v>0</v>
      </c>
      <c r="F200" s="61" t="s">
        <v>276</v>
      </c>
      <c r="G200" s="62" t="s">
        <v>423</v>
      </c>
    </row>
    <row r="201" spans="1:7" ht="36">
      <c r="A201" s="58">
        <f>ROW(Таблица1[[#This Row],[Номер п/п]])-1</f>
        <v>200</v>
      </c>
      <c r="B201" s="59" t="s">
        <v>96</v>
      </c>
      <c r="C201" s="59" t="s">
        <v>183</v>
      </c>
      <c r="D201" s="60">
        <v>21</v>
      </c>
      <c r="E201" s="59">
        <f>IFERROR(VLOOKUP(Таблица1[[#This Row],[ID KPI]],'KPI для заполнения'!A:BL,Таблица1[[#This Row],[Неделя]]+10,0),"Нет")</f>
        <v>16732</v>
      </c>
      <c r="F201" s="61" t="s">
        <v>276</v>
      </c>
      <c r="G201" s="62" t="s">
        <v>424</v>
      </c>
    </row>
    <row r="202" spans="1:7" ht="54">
      <c r="A202" s="58">
        <f>ROW(Таблица1[[#This Row],[Номер п/п]])-1</f>
        <v>201</v>
      </c>
      <c r="B202" s="59" t="s">
        <v>115</v>
      </c>
      <c r="C202" s="59" t="s">
        <v>43</v>
      </c>
      <c r="D202" s="60">
        <v>21</v>
      </c>
      <c r="E202" s="59">
        <f>IFERROR(VLOOKUP(Таблица1[[#This Row],[ID KPI]],'KPI для заполнения'!A:BL,Таблица1[[#This Row],[Неделя]]+10,0),"Нет")</f>
        <v>0.84665797332612847</v>
      </c>
      <c r="F202" s="61" t="s">
        <v>251</v>
      </c>
      <c r="G202" s="62" t="s">
        <v>425</v>
      </c>
    </row>
    <row r="203" spans="1:7" ht="18">
      <c r="A203" s="58">
        <f>ROW(Таблица1[[#This Row],[Номер п/п]])-1</f>
        <v>202</v>
      </c>
      <c r="B203" s="59" t="s">
        <v>189</v>
      </c>
      <c r="C203" s="59" t="s">
        <v>33</v>
      </c>
      <c r="D203" s="60">
        <v>21</v>
      </c>
      <c r="E203" s="59">
        <f>IFERROR(VLOOKUP(Таблица1[[#This Row],[ID KPI]],'KPI для заполнения'!A:BL,Таблица1[[#This Row],[Неделя]]+10,0),"Нет")</f>
        <v>115</v>
      </c>
      <c r="F203" s="61" t="s">
        <v>251</v>
      </c>
      <c r="G203" s="62" t="s">
        <v>426</v>
      </c>
    </row>
    <row r="204" spans="1:7" ht="36">
      <c r="A204" s="58">
        <f>ROW(Таблица1[[#This Row],[Номер п/п]])-1</f>
        <v>203</v>
      </c>
      <c r="B204" s="59" t="s">
        <v>231</v>
      </c>
      <c r="C204" s="59" t="s">
        <v>183</v>
      </c>
      <c r="D204" s="60">
        <v>21</v>
      </c>
      <c r="E204" s="59">
        <f>IFERROR(VLOOKUP(Таблица1[[#This Row],[ID KPI]],'KPI для заполнения'!A:BL,Таблица1[[#This Row],[Неделя]]+10,0),"Нет")</f>
        <v>151</v>
      </c>
      <c r="F204" s="61" t="s">
        <v>254</v>
      </c>
      <c r="G204" s="62" t="s">
        <v>427</v>
      </c>
    </row>
    <row r="205" spans="1:7" ht="36">
      <c r="A205" s="58">
        <f>ROW(Таблица1[[#This Row],[Номер п/п]])-1</f>
        <v>204</v>
      </c>
      <c r="B205" s="59" t="s">
        <v>231</v>
      </c>
      <c r="C205" s="59" t="s">
        <v>183</v>
      </c>
      <c r="D205" s="60">
        <v>21</v>
      </c>
      <c r="E205" s="59">
        <f>IFERROR(VLOOKUP(Таблица1[[#This Row],[ID KPI]],'KPI для заполнения'!A:BL,Таблица1[[#This Row],[Неделя]]+10,0),"Нет")</f>
        <v>151</v>
      </c>
      <c r="F205" s="61" t="s">
        <v>254</v>
      </c>
      <c r="G205" s="62" t="s">
        <v>428</v>
      </c>
    </row>
    <row r="206" spans="1:7" ht="18">
      <c r="A206" s="58">
        <f>ROW(Таблица1[[#This Row],[Номер п/п]])-1</f>
        <v>205</v>
      </c>
      <c r="B206" s="59" t="s">
        <v>234</v>
      </c>
      <c r="C206" s="59" t="s">
        <v>43</v>
      </c>
      <c r="D206" s="60">
        <v>21</v>
      </c>
      <c r="E206" s="59">
        <f>IFERROR(VLOOKUP(Таблица1[[#This Row],[ID KPI]],'KPI для заполнения'!A:BL,Таблица1[[#This Row],[Неделя]]+10,0),"Нет")</f>
        <v>0.9285714285714286</v>
      </c>
      <c r="F206" s="61" t="s">
        <v>276</v>
      </c>
      <c r="G206" s="62" t="s">
        <v>429</v>
      </c>
    </row>
    <row r="207" spans="1:7" ht="72">
      <c r="A207" s="58">
        <f>ROW(Таблица1[[#This Row],[Номер п/п]])-1</f>
        <v>206</v>
      </c>
      <c r="B207" s="59" t="s">
        <v>305</v>
      </c>
      <c r="C207" s="59" t="s">
        <v>43</v>
      </c>
      <c r="D207" s="60">
        <v>21</v>
      </c>
      <c r="E207" s="59" t="str">
        <f>IFERROR(VLOOKUP(Таблица1[[#This Row],[ID KPI]],'KPI для заполнения'!A:BL,Таблица1[[#This Row],[Неделя]]+10,0),"Нет")</f>
        <v>Нет</v>
      </c>
      <c r="F207" s="61" t="s">
        <v>251</v>
      </c>
      <c r="G207" s="62" t="s">
        <v>430</v>
      </c>
    </row>
    <row r="208" spans="1:7" ht="36">
      <c r="A208" s="58">
        <f>ROW(Таблица1[[#This Row],[Номер п/п]])-1</f>
        <v>207</v>
      </c>
      <c r="B208" s="59" t="s">
        <v>305</v>
      </c>
      <c r="C208" s="59" t="s">
        <v>183</v>
      </c>
      <c r="D208" s="60">
        <v>21</v>
      </c>
      <c r="E208" s="59" t="str">
        <f>IFERROR(VLOOKUP(Таблица1[[#This Row],[ID KPI]],'KPI для заполнения'!A:BL,Таблица1[[#This Row],[Неделя]]+10,0),"Нет")</f>
        <v>Нет</v>
      </c>
      <c r="F208" s="61" t="s">
        <v>276</v>
      </c>
      <c r="G208" s="62" t="s">
        <v>431</v>
      </c>
    </row>
    <row r="209" spans="1:7" ht="36">
      <c r="A209" s="58">
        <f>ROW(Таблица1[[#This Row],[Номер п/п]])-1</f>
        <v>208</v>
      </c>
      <c r="B209" s="59" t="s">
        <v>305</v>
      </c>
      <c r="C209" s="59" t="s">
        <v>36</v>
      </c>
      <c r="D209" s="60">
        <v>21</v>
      </c>
      <c r="E209" s="59" t="str">
        <f>IFERROR(VLOOKUP(Таблица1[[#This Row],[ID KPI]],'KPI для заполнения'!A:BL,Таблица1[[#This Row],[Неделя]]+10,0),"Нет")</f>
        <v>Нет</v>
      </c>
      <c r="F209" s="61" t="s">
        <v>251</v>
      </c>
      <c r="G209" s="62" t="s">
        <v>432</v>
      </c>
    </row>
    <row r="210" spans="1:7" ht="36">
      <c r="A210" s="58">
        <f>ROW(Таблица1[[#This Row],[Номер п/п]])-1</f>
        <v>209</v>
      </c>
      <c r="B210" s="59" t="s">
        <v>305</v>
      </c>
      <c r="C210" s="59" t="s">
        <v>43</v>
      </c>
      <c r="D210" s="60">
        <v>21</v>
      </c>
      <c r="E210" s="59" t="str">
        <f>IFERROR(VLOOKUP(Таблица1[[#This Row],[ID KPI]],'KPI для заполнения'!A:BL,Таблица1[[#This Row],[Неделя]]+10,0),"Нет")</f>
        <v>Нет</v>
      </c>
      <c r="F210" s="61" t="s">
        <v>276</v>
      </c>
      <c r="G210" s="62" t="s">
        <v>433</v>
      </c>
    </row>
    <row r="211" spans="1:7" ht="36">
      <c r="A211" s="58">
        <f>ROW(Таблица1[[#This Row],[Номер п/п]])-1</f>
        <v>210</v>
      </c>
      <c r="B211" s="59" t="s">
        <v>305</v>
      </c>
      <c r="C211" s="59" t="s">
        <v>183</v>
      </c>
      <c r="D211" s="60">
        <v>21</v>
      </c>
      <c r="E211" s="59" t="str">
        <f>IFERROR(VLOOKUP(Таблица1[[#This Row],[ID KPI]],'KPI для заполнения'!A:BL,Таблица1[[#This Row],[Неделя]]+10,0),"Нет")</f>
        <v>Нет</v>
      </c>
      <c r="F211" s="61" t="s">
        <v>276</v>
      </c>
      <c r="G211" s="62" t="s">
        <v>434</v>
      </c>
    </row>
    <row r="212" spans="1:7" ht="36">
      <c r="A212" s="58">
        <f>ROW(Таблица1[[#This Row],[Номер п/п]])-1</f>
        <v>211</v>
      </c>
      <c r="B212" s="59" t="s">
        <v>18</v>
      </c>
      <c r="C212" s="59" t="s">
        <v>183</v>
      </c>
      <c r="D212" s="60">
        <v>22</v>
      </c>
      <c r="E212" s="59">
        <f>IFERROR(VLOOKUP(Таблица1[[#This Row],[ID KPI]],'KPI для заполнения'!A:BL,Таблица1[[#This Row],[Неделя]]+10,0),"Нет")</f>
        <v>0.93548387096774188</v>
      </c>
      <c r="F212" s="61" t="s">
        <v>276</v>
      </c>
      <c r="G212" s="62" t="s">
        <v>435</v>
      </c>
    </row>
    <row r="213" spans="1:7" ht="36">
      <c r="A213" s="58">
        <f>ROW(Таблица1[[#This Row],[Номер п/п]])-1</f>
        <v>212</v>
      </c>
      <c r="B213" s="59" t="s">
        <v>24</v>
      </c>
      <c r="C213" s="59" t="s">
        <v>183</v>
      </c>
      <c r="D213" s="60">
        <v>22</v>
      </c>
      <c r="E213" s="59">
        <f>IFERROR(VLOOKUP(Таблица1[[#This Row],[ID KPI]],'KPI для заполнения'!A:BL,Таблица1[[#This Row],[Неделя]]+10,0),"Нет")</f>
        <v>86900</v>
      </c>
      <c r="F213" s="61" t="s">
        <v>276</v>
      </c>
      <c r="G213" s="62" t="s">
        <v>328</v>
      </c>
    </row>
    <row r="214" spans="1:7" ht="36">
      <c r="A214" s="58">
        <f>ROW(Таблица1[[#This Row],[Номер п/п]])-1</f>
        <v>213</v>
      </c>
      <c r="B214" s="59" t="s">
        <v>61</v>
      </c>
      <c r="C214" s="59" t="s">
        <v>183</v>
      </c>
      <c r="D214" s="60">
        <v>22</v>
      </c>
      <c r="E214" s="59">
        <f>IFERROR(VLOOKUP(Таблица1[[#This Row],[ID KPI]],'KPI для заполнения'!A:BL,Таблица1[[#This Row],[Неделя]]+10,0),"Нет")</f>
        <v>0</v>
      </c>
      <c r="F214" s="61" t="s">
        <v>276</v>
      </c>
      <c r="G214" s="62" t="s">
        <v>342</v>
      </c>
    </row>
    <row r="215" spans="1:7" ht="18">
      <c r="A215" s="58">
        <f>ROW(Таблица1[[#This Row],[Номер п/п]])-1</f>
        <v>214</v>
      </c>
      <c r="B215" s="59" t="s">
        <v>73</v>
      </c>
      <c r="C215" s="59" t="s">
        <v>183</v>
      </c>
      <c r="D215" s="60">
        <v>22</v>
      </c>
      <c r="E215" s="59">
        <f>IFERROR(VLOOKUP(Таблица1[[#This Row],[ID KPI]],'KPI для заполнения'!A:BL,Таблица1[[#This Row],[Неделя]]+10,0),"Нет")</f>
        <v>19</v>
      </c>
      <c r="F215" s="61" t="s">
        <v>276</v>
      </c>
      <c r="G215" s="62" t="s">
        <v>436</v>
      </c>
    </row>
    <row r="216" spans="1:7" ht="18">
      <c r="A216" s="58">
        <f>ROW(Таблица1[[#This Row],[Номер п/п]])-1</f>
        <v>215</v>
      </c>
      <c r="B216" s="59" t="s">
        <v>81</v>
      </c>
      <c r="C216" s="59" t="s">
        <v>183</v>
      </c>
      <c r="D216" s="60">
        <v>22</v>
      </c>
      <c r="E216" s="59">
        <f>IFERROR(VLOOKUP(Таблица1[[#This Row],[ID KPI]],'KPI для заполнения'!A:BL,Таблица1[[#This Row],[Неделя]]+10,0),"Нет")</f>
        <v>0.63276709879302639</v>
      </c>
      <c r="F216" s="61" t="s">
        <v>276</v>
      </c>
      <c r="G216" s="62" t="s">
        <v>329</v>
      </c>
    </row>
    <row r="217" spans="1:7" ht="18">
      <c r="A217" s="58">
        <f>ROW(Таблица1[[#This Row],[Номер п/п]])-1</f>
        <v>216</v>
      </c>
      <c r="B217" s="59" t="s">
        <v>84</v>
      </c>
      <c r="C217" s="59" t="s">
        <v>183</v>
      </c>
      <c r="D217" s="60">
        <v>22</v>
      </c>
      <c r="E217" s="59">
        <f>IFERROR(VLOOKUP(Таблица1[[#This Row],[ID KPI]],'KPI для заполнения'!A:BL,Таблица1[[#This Row],[Неделя]]+10,0),"Нет")</f>
        <v>0.66666666666666663</v>
      </c>
      <c r="F217" s="61" t="s">
        <v>276</v>
      </c>
      <c r="G217" s="62" t="s">
        <v>329</v>
      </c>
    </row>
    <row r="218" spans="1:7" ht="36">
      <c r="A218" s="58">
        <f>ROW(Таблица1[[#This Row],[Номер п/п]])-1</f>
        <v>217</v>
      </c>
      <c r="B218" s="59" t="s">
        <v>96</v>
      </c>
      <c r="C218" s="59" t="s">
        <v>183</v>
      </c>
      <c r="D218" s="60">
        <v>22</v>
      </c>
      <c r="E218" s="59">
        <f>IFERROR(VLOOKUP(Таблица1[[#This Row],[ID KPI]],'KPI для заполнения'!A:BL,Таблица1[[#This Row],[Неделя]]+10,0),"Нет")</f>
        <v>16977</v>
      </c>
      <c r="F218" s="61" t="s">
        <v>276</v>
      </c>
      <c r="G218" s="62" t="s">
        <v>437</v>
      </c>
    </row>
    <row r="219" spans="1:7" ht="36">
      <c r="A219" s="58">
        <f>ROW(Таблица1[[#This Row],[Номер п/п]])-1</f>
        <v>218</v>
      </c>
      <c r="B219" s="59" t="s">
        <v>115</v>
      </c>
      <c r="C219" s="59" t="s">
        <v>33</v>
      </c>
      <c r="D219" s="60">
        <v>22</v>
      </c>
      <c r="E219" s="59">
        <f>IFERROR(VLOOKUP(Таблица1[[#This Row],[ID KPI]],'KPI для заполнения'!A:BL,Таблица1[[#This Row],[Неделя]]+10,0),"Нет")</f>
        <v>0.88129247261116572</v>
      </c>
      <c r="F219" s="61" t="s">
        <v>276</v>
      </c>
      <c r="G219" s="62" t="s">
        <v>438</v>
      </c>
    </row>
    <row r="220" spans="1:7" ht="36">
      <c r="A220" s="58">
        <f>ROW(Таблица1[[#This Row],[Номер п/п]])-1</f>
        <v>219</v>
      </c>
      <c r="B220" s="59" t="s">
        <v>119</v>
      </c>
      <c r="C220" s="59" t="s">
        <v>183</v>
      </c>
      <c r="D220" s="60">
        <v>22</v>
      </c>
      <c r="E220" s="59">
        <f>IFERROR(VLOOKUP(Таблица1[[#This Row],[ID KPI]],'KPI для заполнения'!A:BL,Таблица1[[#This Row],[Неделя]]+10,0),"Нет")</f>
        <v>0.69180672268907561</v>
      </c>
      <c r="F220" s="61" t="s">
        <v>276</v>
      </c>
      <c r="G220" s="62" t="s">
        <v>377</v>
      </c>
    </row>
    <row r="221" spans="1:7" ht="18">
      <c r="A221" s="58">
        <f>ROW(Таблица1[[#This Row],[Номер п/п]])-1</f>
        <v>220</v>
      </c>
      <c r="B221" s="59" t="s">
        <v>201</v>
      </c>
      <c r="C221" s="59" t="s">
        <v>183</v>
      </c>
      <c r="D221" s="60">
        <v>22</v>
      </c>
      <c r="E221" s="59">
        <f>IFERROR(VLOOKUP(Таблица1[[#This Row],[ID KPI]],'KPI для заполнения'!A:BL,Таблица1[[#This Row],[Неделя]]+10,0),"Нет")</f>
        <v>0.97358630952380942</v>
      </c>
      <c r="F221" s="61" t="s">
        <v>254</v>
      </c>
      <c r="G221" s="62" t="s">
        <v>439</v>
      </c>
    </row>
    <row r="222" spans="1:7" ht="36">
      <c r="A222" s="58">
        <f>ROW(Таблица1[[#This Row],[Номер п/п]])-1</f>
        <v>221</v>
      </c>
      <c r="B222" s="59" t="s">
        <v>201</v>
      </c>
      <c r="C222" s="59" t="s">
        <v>183</v>
      </c>
      <c r="D222" s="60">
        <v>22</v>
      </c>
      <c r="E222" s="59">
        <f>IFERROR(VLOOKUP(Таблица1[[#This Row],[ID KPI]],'KPI для заполнения'!A:BL,Таблица1[[#This Row],[Неделя]]+10,0),"Нет")</f>
        <v>0.97358630952380942</v>
      </c>
      <c r="F222" s="61" t="s">
        <v>254</v>
      </c>
      <c r="G222" s="62" t="s">
        <v>440</v>
      </c>
    </row>
    <row r="223" spans="1:7" ht="18">
      <c r="A223" s="58">
        <f>ROW(Таблица1[[#This Row],[Номер п/п]])-1</f>
        <v>222</v>
      </c>
      <c r="B223" s="59" t="s">
        <v>231</v>
      </c>
      <c r="C223" s="59" t="s">
        <v>43</v>
      </c>
      <c r="D223" s="60">
        <v>22</v>
      </c>
      <c r="E223" s="59">
        <f>IFERROR(VLOOKUP(Таблица1[[#This Row],[ID KPI]],'KPI для заполнения'!A:BL,Таблица1[[#This Row],[Неделя]]+10,0),"Нет")</f>
        <v>10</v>
      </c>
      <c r="F223" s="61" t="s">
        <v>251</v>
      </c>
      <c r="G223" s="62" t="s">
        <v>441</v>
      </c>
    </row>
    <row r="224" spans="1:7" ht="18">
      <c r="A224" s="58">
        <f>ROW(Таблица1[[#This Row],[Номер п/п]])-1</f>
        <v>223</v>
      </c>
      <c r="B224" s="59" t="s">
        <v>234</v>
      </c>
      <c r="C224" s="59" t="s">
        <v>183</v>
      </c>
      <c r="D224" s="60">
        <v>22</v>
      </c>
      <c r="E224" s="59">
        <f>IFERROR(VLOOKUP(Таблица1[[#This Row],[ID KPI]],'KPI для заполнения'!A:BL,Таблица1[[#This Row],[Неделя]]+10,0),"Нет")</f>
        <v>0.8</v>
      </c>
      <c r="F224" s="61" t="s">
        <v>276</v>
      </c>
      <c r="G224" s="62" t="s">
        <v>442</v>
      </c>
    </row>
    <row r="225" spans="1:7" ht="36">
      <c r="A225" s="58">
        <f>ROW(Таблица1[[#This Row],[Номер п/п]])-1</f>
        <v>224</v>
      </c>
      <c r="B225" s="59" t="s">
        <v>305</v>
      </c>
      <c r="C225" s="59" t="s">
        <v>43</v>
      </c>
      <c r="D225" s="60">
        <v>22</v>
      </c>
      <c r="E225" s="59" t="str">
        <f>IFERROR(VLOOKUP(Таблица1[[#This Row],[ID KPI]],'KPI для заполнения'!A:BL,Таблица1[[#This Row],[Неделя]]+10,0),"Нет")</f>
        <v>Нет</v>
      </c>
      <c r="F225" s="61" t="s">
        <v>276</v>
      </c>
      <c r="G225" s="62" t="s">
        <v>443</v>
      </c>
    </row>
    <row r="226" spans="1:7" ht="18">
      <c r="A226" s="58">
        <f>ROW(Таблица1[[#This Row],[Номер п/п]])-1</f>
        <v>225</v>
      </c>
      <c r="B226" s="59" t="s">
        <v>234</v>
      </c>
      <c r="C226" s="59" t="s">
        <v>37</v>
      </c>
      <c r="D226" s="60">
        <v>23</v>
      </c>
      <c r="E226" s="59">
        <f>IFERROR(VLOOKUP(Таблица1[[#This Row],[ID KPI]],'KPI для заполнения'!A:BL,Таблица1[[#This Row],[Неделя]]+10,0),"Нет")</f>
        <v>0.88888888888888884</v>
      </c>
      <c r="F226" s="61" t="s">
        <v>276</v>
      </c>
      <c r="G226" s="62" t="s">
        <v>444</v>
      </c>
    </row>
    <row r="227" spans="1:7" ht="36">
      <c r="A227" s="58">
        <f>ROW(Таблица1[[#This Row],[Номер п/п]])-1</f>
        <v>226</v>
      </c>
      <c r="B227" s="59" t="s">
        <v>10</v>
      </c>
      <c r="C227" s="59" t="s">
        <v>183</v>
      </c>
      <c r="D227" s="60">
        <v>24</v>
      </c>
      <c r="E227" s="59">
        <f>IFERROR(VLOOKUP(Таблица1[[#This Row],[ID KPI]],'KPI для заполнения'!A:BL,Таблица1[[#This Row],[Неделя]]+10,0),"Нет")</f>
        <v>0.97619047599999997</v>
      </c>
      <c r="F227" s="61" t="s">
        <v>276</v>
      </c>
      <c r="G227" s="62" t="s">
        <v>445</v>
      </c>
    </row>
    <row r="228" spans="1:7" ht="18">
      <c r="A228" s="58">
        <f>ROW(Таблица1[[#This Row],[Номер п/п]])-1</f>
        <v>227</v>
      </c>
      <c r="B228" s="59" t="s">
        <v>24</v>
      </c>
      <c r="C228" s="59" t="s">
        <v>183</v>
      </c>
      <c r="D228" s="60">
        <v>24</v>
      </c>
      <c r="E228" s="59">
        <f>IFERROR(VLOOKUP(Таблица1[[#This Row],[ID KPI]],'KPI для заполнения'!A:BL,Таблица1[[#This Row],[Неделя]]+10,0),"Нет")</f>
        <v>17926</v>
      </c>
      <c r="F228" s="61" t="s">
        <v>276</v>
      </c>
      <c r="G228" s="62" t="s">
        <v>446</v>
      </c>
    </row>
    <row r="229" spans="1:7" ht="36">
      <c r="A229" s="58">
        <f>ROW(Таблица1[[#This Row],[Номер п/п]])-1</f>
        <v>228</v>
      </c>
      <c r="B229" s="59" t="s">
        <v>81</v>
      </c>
      <c r="C229" s="59" t="s">
        <v>183</v>
      </c>
      <c r="D229" s="60">
        <v>24</v>
      </c>
      <c r="E229" s="59">
        <f>IFERROR(VLOOKUP(Таблица1[[#This Row],[ID KPI]],'KPI для заполнения'!A:BL,Таблица1[[#This Row],[Неделя]]+10,0),"Нет")</f>
        <v>0.69387447199999996</v>
      </c>
      <c r="F229" s="61" t="s">
        <v>276</v>
      </c>
      <c r="G229" s="62" t="s">
        <v>447</v>
      </c>
    </row>
    <row r="230" spans="1:7" ht="36">
      <c r="A230" s="58">
        <f>ROW(Таблица1[[#This Row],[Номер п/п]])-1</f>
        <v>229</v>
      </c>
      <c r="B230" s="59" t="s">
        <v>96</v>
      </c>
      <c r="C230" s="59" t="s">
        <v>183</v>
      </c>
      <c r="D230" s="60">
        <v>24</v>
      </c>
      <c r="E230" s="59">
        <f>IFERROR(VLOOKUP(Таблица1[[#This Row],[ID KPI]],'KPI для заполнения'!A:BL,Таблица1[[#This Row],[Неделя]]+10,0),"Нет")</f>
        <v>16501</v>
      </c>
      <c r="F230" s="61" t="s">
        <v>276</v>
      </c>
      <c r="G230" s="62" t="s">
        <v>448</v>
      </c>
    </row>
    <row r="231" spans="1:7" ht="18">
      <c r="A231" s="58">
        <f>ROW(Таблица1[[#This Row],[Номер п/п]])-1</f>
        <v>230</v>
      </c>
      <c r="B231" s="59" t="s">
        <v>201</v>
      </c>
      <c r="C231" s="59" t="s">
        <v>43</v>
      </c>
      <c r="D231" s="60">
        <v>24</v>
      </c>
      <c r="E231" s="59">
        <f>IFERROR(VLOOKUP(Таблица1[[#This Row],[ID KPI]],'KPI для заполнения'!A:BL,Таблица1[[#This Row],[Неделя]]+10,0),"Нет")</f>
        <v>0.96319444444444446</v>
      </c>
      <c r="F231" s="61" t="s">
        <v>276</v>
      </c>
      <c r="G231" s="62" t="s">
        <v>449</v>
      </c>
    </row>
    <row r="232" spans="1:7" ht="36">
      <c r="A232" s="58">
        <f>ROW(Таблица1[[#This Row],[Номер п/п]])-1</f>
        <v>231</v>
      </c>
      <c r="B232" s="59" t="s">
        <v>201</v>
      </c>
      <c r="C232" s="59" t="s">
        <v>33</v>
      </c>
      <c r="D232" s="60">
        <v>24</v>
      </c>
      <c r="E232" s="59">
        <f>IFERROR(VLOOKUP(Таблица1[[#This Row],[ID KPI]],'KPI для заполнения'!A:BL,Таблица1[[#This Row],[Неделя]]+10,0),"Нет")</f>
        <v>0.96319444444444446</v>
      </c>
      <c r="F232" s="61" t="s">
        <v>251</v>
      </c>
      <c r="G232" s="62" t="s">
        <v>450</v>
      </c>
    </row>
    <row r="233" spans="1:7" ht="18">
      <c r="A233" s="58">
        <f>ROW(Таблица1[[#This Row],[Номер п/п]])-1</f>
        <v>232</v>
      </c>
      <c r="B233" s="59" t="s">
        <v>217</v>
      </c>
      <c r="C233" s="59" t="s">
        <v>43</v>
      </c>
      <c r="D233" s="60">
        <v>24</v>
      </c>
      <c r="E233" s="59">
        <f>IFERROR(VLOOKUP(Таблица1[[#This Row],[ID KPI]],'KPI для заполнения'!A:BL,Таблица1[[#This Row],[Неделя]]+10,0),"Нет")</f>
        <v>1</v>
      </c>
      <c r="F233" s="61" t="s">
        <v>254</v>
      </c>
      <c r="G233" s="62" t="s">
        <v>451</v>
      </c>
    </row>
    <row r="234" spans="1:7" ht="18">
      <c r="A234" s="58">
        <f>ROW(Таблица1[[#This Row],[Номер п/п]])-1</f>
        <v>233</v>
      </c>
      <c r="B234" s="59" t="s">
        <v>231</v>
      </c>
      <c r="C234" s="59" t="s">
        <v>37</v>
      </c>
      <c r="D234" s="60">
        <v>24</v>
      </c>
      <c r="E234" s="59">
        <f>IFERROR(VLOOKUP(Таблица1[[#This Row],[ID KPI]],'KPI для заполнения'!A:BL,Таблица1[[#This Row],[Неделя]]+10,0),"Нет")</f>
        <v>44</v>
      </c>
      <c r="F234" s="61" t="s">
        <v>251</v>
      </c>
      <c r="G234" s="62" t="s">
        <v>452</v>
      </c>
    </row>
    <row r="235" spans="1:7" ht="18">
      <c r="A235" s="58">
        <f>ROW(Таблица1[[#This Row],[Номер п/п]])-1</f>
        <v>234</v>
      </c>
      <c r="B235" s="59" t="s">
        <v>10</v>
      </c>
      <c r="C235" s="59" t="s">
        <v>183</v>
      </c>
      <c r="D235" s="60">
        <v>25</v>
      </c>
      <c r="E235" s="59">
        <f>IFERROR(VLOOKUP(Таблица1[[#This Row],[ID KPI]],'KPI для заполнения'!A:BL,Таблица1[[#This Row],[Неделя]]+10,0),"Нет")</f>
        <v>0.97777777777777775</v>
      </c>
      <c r="F235" s="61" t="s">
        <v>276</v>
      </c>
      <c r="G235" s="62" t="s">
        <v>453</v>
      </c>
    </row>
    <row r="236" spans="1:7" ht="18">
      <c r="A236" s="58">
        <f>ROW(Таблица1[[#This Row],[Номер п/п]])-1</f>
        <v>235</v>
      </c>
      <c r="B236" s="59" t="s">
        <v>18</v>
      </c>
      <c r="C236" s="59" t="s">
        <v>183</v>
      </c>
      <c r="D236" s="60">
        <v>25</v>
      </c>
      <c r="E236" s="59">
        <f>IFERROR(VLOOKUP(Таблица1[[#This Row],[ID KPI]],'KPI для заполнения'!A:BL,Таблица1[[#This Row],[Неделя]]+10,0),"Нет")</f>
        <v>0.9642857142857143</v>
      </c>
      <c r="F236" s="61" t="s">
        <v>276</v>
      </c>
      <c r="G236" s="62" t="s">
        <v>454</v>
      </c>
    </row>
    <row r="237" spans="1:7" ht="18">
      <c r="A237" s="58">
        <f>ROW(Таблица1[[#This Row],[Номер п/п]])-1</f>
        <v>236</v>
      </c>
      <c r="B237" s="59" t="s">
        <v>21</v>
      </c>
      <c r="C237" s="59" t="s">
        <v>183</v>
      </c>
      <c r="D237" s="60">
        <v>25</v>
      </c>
      <c r="E237" s="59">
        <f>IFERROR(VLOOKUP(Таблица1[[#This Row],[ID KPI]],'KPI для заполнения'!A:BL,Таблица1[[#This Row],[Неделя]]+10,0),"Нет")</f>
        <v>0.91071428600000004</v>
      </c>
      <c r="F237" s="61" t="s">
        <v>276</v>
      </c>
      <c r="G237" s="62" t="s">
        <v>315</v>
      </c>
    </row>
    <row r="238" spans="1:7" ht="18">
      <c r="A238" s="58">
        <f>ROW(Таблица1[[#This Row],[Номер п/п]])-1</f>
        <v>237</v>
      </c>
      <c r="B238" s="59" t="s">
        <v>89</v>
      </c>
      <c r="C238" s="59" t="s">
        <v>183</v>
      </c>
      <c r="D238" s="60">
        <v>25</v>
      </c>
      <c r="E238" s="59">
        <f>IFERROR(VLOOKUP(Таблица1[[#This Row],[ID KPI]],'KPI для заполнения'!A:BL,Таблица1[[#This Row],[Неделя]]+10,0),"Нет")</f>
        <v>0.99</v>
      </c>
      <c r="F238" s="61"/>
      <c r="G238" s="62" t="s">
        <v>455</v>
      </c>
    </row>
    <row r="239" spans="1:7" ht="18">
      <c r="A239" s="58">
        <f>ROW(Таблица1[[#This Row],[Номер п/п]])-1</f>
        <v>238</v>
      </c>
      <c r="B239" s="59" t="s">
        <v>189</v>
      </c>
      <c r="C239" s="59" t="s">
        <v>37</v>
      </c>
      <c r="D239" s="60">
        <v>25</v>
      </c>
      <c r="E239" s="59">
        <f>IFERROR(VLOOKUP(Таблица1[[#This Row],[ID KPI]],'KPI для заполнения'!A:BL,Таблица1[[#This Row],[Неделя]]+10,0),"Нет")</f>
        <v>45</v>
      </c>
      <c r="F239" s="61" t="s">
        <v>254</v>
      </c>
      <c r="G239" s="62" t="s">
        <v>456</v>
      </c>
    </row>
    <row r="240" spans="1:7" ht="18">
      <c r="A240" s="58">
        <f>ROW(Таблица1[[#This Row],[Номер п/п]])-1</f>
        <v>239</v>
      </c>
      <c r="B240" s="59" t="s">
        <v>18</v>
      </c>
      <c r="C240" s="59" t="s">
        <v>183</v>
      </c>
      <c r="D240" s="60">
        <v>26</v>
      </c>
      <c r="E240" s="59">
        <f>IFERROR(VLOOKUP(Таблица1[[#This Row],[ID KPI]],'KPI для заполнения'!A:BL,Таблица1[[#This Row],[Неделя]]+10,0),"Нет")</f>
        <v>0.94736842099999996</v>
      </c>
      <c r="F240" s="61" t="s">
        <v>276</v>
      </c>
      <c r="G240" s="62" t="s">
        <v>457</v>
      </c>
    </row>
    <row r="241" spans="1:7" ht="36">
      <c r="A241" s="58">
        <f>ROW(Таблица1[[#This Row],[Номер п/п]])-1</f>
        <v>240</v>
      </c>
      <c r="B241" s="59" t="s">
        <v>18</v>
      </c>
      <c r="C241" s="59" t="s">
        <v>183</v>
      </c>
      <c r="D241" s="60">
        <v>26</v>
      </c>
      <c r="E241" s="59">
        <f>IFERROR(VLOOKUP(Таблица1[[#This Row],[ID KPI]],'KPI для заполнения'!A:BL,Таблица1[[#This Row],[Неделя]]+10,0),"Нет")</f>
        <v>0.94736842099999996</v>
      </c>
      <c r="F241" s="61" t="s">
        <v>254</v>
      </c>
      <c r="G241" s="62" t="s">
        <v>458</v>
      </c>
    </row>
    <row r="242" spans="1:7" ht="18">
      <c r="A242" s="58">
        <f>ROW(Таблица1[[#This Row],[Номер п/п]])-1</f>
        <v>241</v>
      </c>
      <c r="B242" s="59" t="s">
        <v>24</v>
      </c>
      <c r="C242" s="59" t="s">
        <v>183</v>
      </c>
      <c r="D242" s="60">
        <v>26</v>
      </c>
      <c r="E242" s="59">
        <f>IFERROR(VLOOKUP(Таблица1[[#This Row],[ID KPI]],'KPI для заполнения'!A:BL,Таблица1[[#This Row],[Неделя]]+10,0),"Нет")</f>
        <v>38265</v>
      </c>
      <c r="F242" s="61" t="s">
        <v>276</v>
      </c>
      <c r="G242" s="62" t="s">
        <v>422</v>
      </c>
    </row>
    <row r="243" spans="1:7" ht="18">
      <c r="A243" s="58">
        <f>ROW(Таблица1[[#This Row],[Номер п/п]])-1</f>
        <v>242</v>
      </c>
      <c r="B243" s="59" t="s">
        <v>70</v>
      </c>
      <c r="C243" s="59" t="s">
        <v>183</v>
      </c>
      <c r="D243" s="60">
        <v>26</v>
      </c>
      <c r="E243" s="59">
        <f>IFERROR(VLOOKUP(Таблица1[[#This Row],[ID KPI]],'KPI для заполнения'!A:BL,Таблица1[[#This Row],[Неделя]]+10,0),"Нет")</f>
        <v>0.93</v>
      </c>
      <c r="F243" s="61" t="s">
        <v>251</v>
      </c>
      <c r="G243" s="62" t="s">
        <v>459</v>
      </c>
    </row>
    <row r="244" spans="1:7" ht="18">
      <c r="A244" s="58">
        <f>ROW(Таблица1[[#This Row],[Номер п/п]])-1</f>
        <v>243</v>
      </c>
      <c r="B244" s="59" t="s">
        <v>81</v>
      </c>
      <c r="C244" s="59" t="s">
        <v>183</v>
      </c>
      <c r="D244" s="60">
        <v>26</v>
      </c>
      <c r="E244" s="59">
        <f>IFERROR(VLOOKUP(Таблица1[[#This Row],[ID KPI]],'KPI для заполнения'!A:BL,Таблица1[[#This Row],[Неделя]]+10,0),"Нет")</f>
        <v>0.902572614</v>
      </c>
      <c r="F244" s="61" t="s">
        <v>276</v>
      </c>
      <c r="G244" s="62" t="s">
        <v>460</v>
      </c>
    </row>
    <row r="245" spans="1:7" ht="18">
      <c r="A245" s="58">
        <f>ROW(Таблица1[[#This Row],[Номер п/п]])-1</f>
        <v>244</v>
      </c>
      <c r="B245" s="59" t="s">
        <v>89</v>
      </c>
      <c r="C245" s="59" t="s">
        <v>183</v>
      </c>
      <c r="D245" s="60">
        <v>26</v>
      </c>
      <c r="E245" s="59">
        <f>IFERROR(VLOOKUP(Таблица1[[#This Row],[ID KPI]],'KPI для заполнения'!A:BL,Таблица1[[#This Row],[Неделя]]+10,0),"Нет")</f>
        <v>0.87</v>
      </c>
      <c r="F245" s="61" t="s">
        <v>251</v>
      </c>
      <c r="G245" s="62" t="s">
        <v>461</v>
      </c>
    </row>
    <row r="246" spans="1:7" ht="18">
      <c r="A246" s="58">
        <f>ROW(Таблица1[[#This Row],[Номер п/п]])-1</f>
        <v>245</v>
      </c>
      <c r="B246" s="59" t="s">
        <v>115</v>
      </c>
      <c r="C246" s="59" t="s">
        <v>183</v>
      </c>
      <c r="D246" s="60">
        <v>26</v>
      </c>
      <c r="E246" s="59">
        <f>IFERROR(VLOOKUP(Таблица1[[#This Row],[ID KPI]],'KPI для заполнения'!A:BL,Таблица1[[#This Row],[Неделя]]+10,0),"Нет")</f>
        <v>0.92513319900000002</v>
      </c>
      <c r="F246" s="61" t="s">
        <v>276</v>
      </c>
      <c r="G246" s="62" t="s">
        <v>462</v>
      </c>
    </row>
    <row r="247" spans="1:7" ht="18">
      <c r="A247" s="58">
        <f>ROW(Таблица1[[#This Row],[Номер п/п]])-1</f>
        <v>246</v>
      </c>
      <c r="B247" s="59" t="s">
        <v>189</v>
      </c>
      <c r="C247" s="59" t="s">
        <v>37</v>
      </c>
      <c r="D247" s="60">
        <v>26</v>
      </c>
      <c r="E247" s="59">
        <f>IFERROR(VLOOKUP(Таблица1[[#This Row],[ID KPI]],'KPI для заполнения'!A:BL,Таблица1[[#This Row],[Неделя]]+10,0),"Нет")</f>
        <v>46</v>
      </c>
      <c r="F247" s="61" t="s">
        <v>254</v>
      </c>
      <c r="G247" s="62" t="s">
        <v>456</v>
      </c>
    </row>
    <row r="248" spans="1:7" ht="36">
      <c r="A248" s="58">
        <f>ROW(Таблица1[[#This Row],[Номер п/п]])-1</f>
        <v>247</v>
      </c>
      <c r="B248" s="59" t="s">
        <v>205</v>
      </c>
      <c r="C248" s="59" t="s">
        <v>463</v>
      </c>
      <c r="D248" s="60">
        <v>26</v>
      </c>
      <c r="E248" s="59">
        <f>IFERROR(VLOOKUP(Таблица1[[#This Row],[ID KPI]],'KPI для заполнения'!A:BL,Таблица1[[#This Row],[Неделя]]+10,0),"Нет")</f>
        <v>1</v>
      </c>
      <c r="F248" s="61" t="s">
        <v>276</v>
      </c>
      <c r="G248" s="62" t="s">
        <v>464</v>
      </c>
    </row>
    <row r="249" spans="1:7" ht="18">
      <c r="A249" s="58">
        <f>ROW(Таблица1[[#This Row],[Номер п/п]])-1</f>
        <v>248</v>
      </c>
      <c r="B249" s="59" t="s">
        <v>208</v>
      </c>
      <c r="C249" s="59" t="s">
        <v>33</v>
      </c>
      <c r="D249" s="60">
        <v>26</v>
      </c>
      <c r="E249" s="59">
        <f>IFERROR(VLOOKUP(Таблица1[[#This Row],[ID KPI]],'KPI для заполнения'!A:BL,Таблица1[[#This Row],[Неделя]]+10,0),"Нет")</f>
        <v>1</v>
      </c>
      <c r="F249" s="61" t="s">
        <v>251</v>
      </c>
      <c r="G249" s="62" t="s">
        <v>465</v>
      </c>
    </row>
    <row r="250" spans="1:7" ht="36">
      <c r="A250" s="58">
        <f>ROW(Таблица1[[#This Row],[Номер п/п]])-1</f>
        <v>249</v>
      </c>
      <c r="B250" s="59" t="s">
        <v>217</v>
      </c>
      <c r="C250" s="59" t="s">
        <v>183</v>
      </c>
      <c r="D250" s="60">
        <v>26</v>
      </c>
      <c r="E250" s="59">
        <f>IFERROR(VLOOKUP(Таблица1[[#This Row],[ID KPI]],'KPI для заполнения'!A:BL,Таблица1[[#This Row],[Неделя]]+10,0),"Нет")</f>
        <v>1</v>
      </c>
      <c r="F250" s="61" t="s">
        <v>254</v>
      </c>
      <c r="G250" s="62" t="s">
        <v>466</v>
      </c>
    </row>
    <row r="251" spans="1:7" ht="36">
      <c r="A251" s="58">
        <f>ROW(Таблица1[[#This Row],[Номер п/п]])-1</f>
        <v>250</v>
      </c>
      <c r="B251" s="59" t="s">
        <v>217</v>
      </c>
      <c r="C251" s="59" t="s">
        <v>183</v>
      </c>
      <c r="D251" s="60">
        <v>26</v>
      </c>
      <c r="E251" s="59">
        <f>IFERROR(VLOOKUP(Таблица1[[#This Row],[ID KPI]],'KPI для заполнения'!A:BL,Таблица1[[#This Row],[Неделя]]+10,0),"Нет")</f>
        <v>1</v>
      </c>
      <c r="F251" s="61" t="s">
        <v>254</v>
      </c>
      <c r="G251" s="62" t="s">
        <v>467</v>
      </c>
    </row>
    <row r="252" spans="1:7" ht="54">
      <c r="A252" s="58">
        <f>ROW(Таблица1[[#This Row],[Номер п/п]])-1</f>
        <v>251</v>
      </c>
      <c r="B252" s="59" t="s">
        <v>21</v>
      </c>
      <c r="C252" s="59" t="s">
        <v>183</v>
      </c>
      <c r="D252" s="60">
        <v>27</v>
      </c>
      <c r="E252" s="59">
        <f>IFERROR(VLOOKUP(Таблица1[[#This Row],[ID KPI]],'KPI для заполнения'!A:BL,Таблица1[[#This Row],[Неделя]]+10,0),"Нет")</f>
        <v>0.85714285700000004</v>
      </c>
      <c r="F252" s="61" t="s">
        <v>276</v>
      </c>
      <c r="G252" s="62" t="s">
        <v>468</v>
      </c>
    </row>
    <row r="253" spans="1:7" ht="36">
      <c r="A253" s="58">
        <f>ROW(Таблица1[[#This Row],[Номер п/п]])-1</f>
        <v>252</v>
      </c>
      <c r="B253" s="59" t="s">
        <v>201</v>
      </c>
      <c r="C253" s="59" t="s">
        <v>33</v>
      </c>
      <c r="D253" s="60">
        <v>27</v>
      </c>
      <c r="E253" s="59">
        <f>IFERROR(VLOOKUP(Таблица1[[#This Row],[ID KPI]],'KPI для заполнения'!A:BL,Таблица1[[#This Row],[Неделя]]+10,0),"Нет")</f>
        <v>0.95972222222222225</v>
      </c>
      <c r="F253" s="61" t="s">
        <v>254</v>
      </c>
      <c r="G253" s="62" t="s">
        <v>469</v>
      </c>
    </row>
    <row r="254" spans="1:7" ht="36">
      <c r="A254" s="58">
        <v>143</v>
      </c>
      <c r="B254" s="59" t="s">
        <v>24</v>
      </c>
      <c r="C254" s="59" t="s">
        <v>183</v>
      </c>
      <c r="D254" s="60">
        <v>28</v>
      </c>
      <c r="E254" s="59">
        <f>IFERROR(VLOOKUP(Таблица1[[#This Row],[ID KPI]],'KPI для заполнения'!A:BL,Таблица1[[#This Row],[Неделя]]+10,0),"Нет")</f>
        <v>17563</v>
      </c>
      <c r="F254" s="61" t="s">
        <v>276</v>
      </c>
      <c r="G254" s="62" t="s">
        <v>328</v>
      </c>
    </row>
    <row r="255" spans="1:7" ht="36">
      <c r="A255" s="58">
        <v>144</v>
      </c>
      <c r="B255" s="59" t="s">
        <v>61</v>
      </c>
      <c r="C255" s="59" t="s">
        <v>183</v>
      </c>
      <c r="D255" s="60">
        <v>28</v>
      </c>
      <c r="E255" s="59">
        <f>IFERROR(VLOOKUP(Таблица1[[#This Row],[ID KPI]],'KPI для заполнения'!A:BL,Таблица1[[#This Row],[Неделя]]+10,0),"Нет")</f>
        <v>0.49206349206349204</v>
      </c>
      <c r="F255" s="61" t="s">
        <v>276</v>
      </c>
      <c r="G255" s="62" t="s">
        <v>470</v>
      </c>
    </row>
    <row r="256" spans="1:7" ht="54">
      <c r="A256" s="58">
        <f>ROW(Таблица1[[#This Row],[Номер п/п]])-1</f>
        <v>255</v>
      </c>
      <c r="B256" s="59" t="s">
        <v>81</v>
      </c>
      <c r="C256" s="59" t="s">
        <v>43</v>
      </c>
      <c r="D256" s="60">
        <v>28</v>
      </c>
      <c r="E256" s="59">
        <f>IFERROR(VLOOKUP(Таблица1[[#This Row],[ID KPI]],'KPI для заполнения'!A:BL,Таблица1[[#This Row],[Неделя]]+10,0),"Нет")</f>
        <v>0.87</v>
      </c>
      <c r="F256" s="61" t="s">
        <v>276</v>
      </c>
      <c r="G256" s="62" t="s">
        <v>471</v>
      </c>
    </row>
    <row r="257" spans="1:7" ht="36">
      <c r="A257" s="58">
        <v>145</v>
      </c>
      <c r="B257" s="59" t="s">
        <v>84</v>
      </c>
      <c r="C257" s="59" t="s">
        <v>183</v>
      </c>
      <c r="D257" s="60">
        <v>28</v>
      </c>
      <c r="E257" s="59">
        <f>IFERROR(VLOOKUP(Таблица1[[#This Row],[ID KPI]],'KPI для заполнения'!A:BL,Таблица1[[#This Row],[Неделя]]+10,0),"Нет")</f>
        <v>0.54166666666666663</v>
      </c>
      <c r="F257" s="61" t="s">
        <v>276</v>
      </c>
      <c r="G257" s="62" t="s">
        <v>330</v>
      </c>
    </row>
    <row r="258" spans="1:7" ht="36">
      <c r="A258" s="58">
        <v>146</v>
      </c>
      <c r="B258" s="59" t="s">
        <v>96</v>
      </c>
      <c r="C258" s="59" t="s">
        <v>183</v>
      </c>
      <c r="D258" s="60">
        <v>28</v>
      </c>
      <c r="E258" s="59">
        <f>IFERROR(VLOOKUP(Таблица1[[#This Row],[ID KPI]],'KPI для заполнения'!A:BL,Таблица1[[#This Row],[Неделя]]+10,0),"Нет")</f>
        <v>22169</v>
      </c>
      <c r="F258" s="61" t="s">
        <v>276</v>
      </c>
      <c r="G258" s="62" t="s">
        <v>472</v>
      </c>
    </row>
    <row r="259" spans="1:7" ht="36">
      <c r="A259" s="58">
        <v>142</v>
      </c>
      <c r="B259" s="59" t="s">
        <v>234</v>
      </c>
      <c r="C259" s="59" t="s">
        <v>40</v>
      </c>
      <c r="D259" s="60">
        <v>28</v>
      </c>
      <c r="E259" s="59">
        <f>IFERROR(VLOOKUP(Таблица1[[#This Row],[ID KPI]],'KPI для заполнения'!A:BL,Таблица1[[#This Row],[Неделя]]+10,0),"Нет")</f>
        <v>0.9</v>
      </c>
      <c r="F259" s="61" t="s">
        <v>276</v>
      </c>
      <c r="G259" s="62" t="s">
        <v>473</v>
      </c>
    </row>
    <row r="260" spans="1:7" ht="36">
      <c r="A260" s="58">
        <f>ROW(Таблица1[[#This Row],[Номер п/п]])-1</f>
        <v>259</v>
      </c>
      <c r="B260" s="59" t="s">
        <v>24</v>
      </c>
      <c r="C260" s="59" t="s">
        <v>183</v>
      </c>
      <c r="D260" s="60">
        <v>29</v>
      </c>
      <c r="E260" s="59">
        <f>IFERROR(VLOOKUP(Таблица1[[#This Row],[ID KPI]],'KPI для заполнения'!A:BL,Таблица1[[#This Row],[Неделя]]+10,0),"Нет")</f>
        <v>23131</v>
      </c>
      <c r="F260" s="61" t="s">
        <v>276</v>
      </c>
      <c r="G260" s="62" t="s">
        <v>328</v>
      </c>
    </row>
    <row r="261" spans="1:7" ht="36">
      <c r="A261" s="58">
        <f>ROW(Таблица1[[#This Row],[Номер п/п]])-1</f>
        <v>260</v>
      </c>
      <c r="B261" s="59" t="s">
        <v>61</v>
      </c>
      <c r="C261" s="59" t="s">
        <v>183</v>
      </c>
      <c r="D261" s="60">
        <v>29</v>
      </c>
      <c r="E261" s="59">
        <f>IFERROR(VLOOKUP(Таблица1[[#This Row],[ID KPI]],'KPI для заполнения'!A:BL,Таблица1[[#This Row],[Неделя]]+10,0),"Нет")</f>
        <v>0</v>
      </c>
      <c r="F261" s="61" t="s">
        <v>276</v>
      </c>
      <c r="G261" s="62" t="s">
        <v>470</v>
      </c>
    </row>
    <row r="262" spans="1:7" ht="36">
      <c r="A262" s="58">
        <v>148</v>
      </c>
      <c r="B262" s="59" t="s">
        <v>96</v>
      </c>
      <c r="C262" s="59" t="s">
        <v>183</v>
      </c>
      <c r="D262" s="60">
        <v>29</v>
      </c>
      <c r="E262" s="59">
        <f>IFERROR(VLOOKUP(Таблица1[[#This Row],[ID KPI]],'KPI для заполнения'!A:BL,Таблица1[[#This Row],[Неделя]]+10,0),"Нет")</f>
        <v>18299</v>
      </c>
      <c r="F262" s="61" t="s">
        <v>276</v>
      </c>
      <c r="G262" s="62" t="s">
        <v>474</v>
      </c>
    </row>
    <row r="263" spans="1:7" ht="18">
      <c r="A263" s="58">
        <f>ROW(Таблица1[[#This Row],[Номер п/п]])-1</f>
        <v>262</v>
      </c>
      <c r="B263" s="59" t="s">
        <v>189</v>
      </c>
      <c r="C263" s="59" t="s">
        <v>183</v>
      </c>
      <c r="D263" s="60">
        <v>29</v>
      </c>
      <c r="E263" s="59">
        <f>IFERROR(VLOOKUP(Таблица1[[#This Row],[ID KPI]],'KPI для заполнения'!A:BL,Таблица1[[#This Row],[Неделя]]+10,0),"Нет")</f>
        <v>32</v>
      </c>
      <c r="F263" s="61" t="s">
        <v>254</v>
      </c>
      <c r="G263" s="62" t="s">
        <v>475</v>
      </c>
    </row>
    <row r="264" spans="1:7" ht="36">
      <c r="A264" s="58">
        <f>ROW(Таблица1[[#This Row],[Номер п/п]])-1</f>
        <v>263</v>
      </c>
      <c r="B264" s="59" t="s">
        <v>189</v>
      </c>
      <c r="C264" s="59" t="s">
        <v>183</v>
      </c>
      <c r="D264" s="60">
        <v>29</v>
      </c>
      <c r="E264" s="59">
        <f>IFERROR(VLOOKUP(Таблица1[[#This Row],[ID KPI]],'KPI для заполнения'!A:BL,Таблица1[[#This Row],[Неделя]]+10,0),"Нет")</f>
        <v>32</v>
      </c>
      <c r="F264" s="61" t="s">
        <v>254</v>
      </c>
      <c r="G264" s="62" t="s">
        <v>476</v>
      </c>
    </row>
    <row r="265" spans="1:7" ht="18">
      <c r="A265" s="58">
        <f>ROW(Таблица1[[#This Row],[Номер п/п]])-1</f>
        <v>264</v>
      </c>
      <c r="B265" s="59" t="s">
        <v>201</v>
      </c>
      <c r="C265" s="59" t="s">
        <v>40</v>
      </c>
      <c r="D265" s="60">
        <v>29</v>
      </c>
      <c r="E265" s="59">
        <f>IFERROR(VLOOKUP(Таблица1[[#This Row],[ID KPI]],'KPI для заполнения'!A:BL,Таблица1[[#This Row],[Неделя]]+10,0),"Нет")</f>
        <v>1</v>
      </c>
      <c r="F265" s="61" t="s">
        <v>251</v>
      </c>
      <c r="G265" s="62" t="s">
        <v>477</v>
      </c>
    </row>
    <row r="266" spans="1:7" ht="18">
      <c r="A266" s="58">
        <f>ROW(Таблица1[[#This Row],[Номер п/п]])-1</f>
        <v>265</v>
      </c>
      <c r="B266" s="59" t="s">
        <v>217</v>
      </c>
      <c r="C266" s="59" t="s">
        <v>33</v>
      </c>
      <c r="D266" s="60">
        <v>29</v>
      </c>
      <c r="E266" s="59">
        <f>IFERROR(VLOOKUP(Таблица1[[#This Row],[ID KPI]],'KPI для заполнения'!A:BL,Таблица1[[#This Row],[Неделя]]+10,0),"Нет")</f>
        <v>1</v>
      </c>
      <c r="F266" s="61" t="s">
        <v>251</v>
      </c>
      <c r="G266" s="62" t="s">
        <v>478</v>
      </c>
    </row>
    <row r="267" spans="1:7" ht="18">
      <c r="A267" s="58">
        <f>ROW(Таблица1[[#This Row],[Номер п/п]])-1</f>
        <v>266</v>
      </c>
      <c r="B267" s="59" t="s">
        <v>217</v>
      </c>
      <c r="C267" s="59" t="s">
        <v>37</v>
      </c>
      <c r="D267" s="60">
        <v>29</v>
      </c>
      <c r="E267" s="59">
        <f>IFERROR(VLOOKUP(Таблица1[[#This Row],[ID KPI]],'KPI для заполнения'!A:BL,Таблица1[[#This Row],[Неделя]]+10,0),"Нет")</f>
        <v>1</v>
      </c>
      <c r="F267" s="61" t="s">
        <v>251</v>
      </c>
      <c r="G267" s="62" t="s">
        <v>479</v>
      </c>
    </row>
    <row r="268" spans="1:7" ht="54">
      <c r="A268" s="58">
        <f>ROW(Таблица1[[#This Row],[Номер п/п]])-1</f>
        <v>267</v>
      </c>
      <c r="B268" s="59" t="s">
        <v>231</v>
      </c>
      <c r="C268" s="59" t="s">
        <v>40</v>
      </c>
      <c r="D268" s="60">
        <v>29</v>
      </c>
      <c r="E268" s="59">
        <f>IFERROR(VLOOKUP(Таблица1[[#This Row],[ID KPI]],'KPI для заполнения'!A:BL,Таблица1[[#This Row],[Неделя]]+10,0),"Нет")</f>
        <v>29</v>
      </c>
      <c r="F268" s="61" t="s">
        <v>254</v>
      </c>
      <c r="G268" s="62" t="s">
        <v>480</v>
      </c>
    </row>
    <row r="269" spans="1:7" ht="36">
      <c r="A269" s="58">
        <f>ROW(Таблица1[[#This Row],[Номер п/п]])-1</f>
        <v>268</v>
      </c>
      <c r="B269" s="59" t="s">
        <v>231</v>
      </c>
      <c r="C269" s="59" t="s">
        <v>43</v>
      </c>
      <c r="D269" s="60">
        <v>29</v>
      </c>
      <c r="E269" s="59">
        <f>IFERROR(VLOOKUP(Таблица1[[#This Row],[ID KPI]],'KPI для заполнения'!A:BL,Таблица1[[#This Row],[Неделя]]+10,0),"Нет")</f>
        <v>29</v>
      </c>
      <c r="F269" s="61" t="s">
        <v>254</v>
      </c>
      <c r="G269" s="62" t="s">
        <v>481</v>
      </c>
    </row>
    <row r="270" spans="1:7" ht="36">
      <c r="A270" s="58">
        <f>ROW(Таблица1[[#This Row],[Номер п/п]])-1</f>
        <v>269</v>
      </c>
      <c r="B270" s="59" t="s">
        <v>234</v>
      </c>
      <c r="C270" s="59" t="s">
        <v>183</v>
      </c>
      <c r="D270" s="60">
        <v>29</v>
      </c>
      <c r="E270" s="59">
        <f>IFERROR(VLOOKUP(Таблица1[[#This Row],[ID KPI]],'KPI для заполнения'!A:BL,Таблица1[[#This Row],[Неделя]]+10,0),"Нет")</f>
        <v>0.875</v>
      </c>
      <c r="F270" s="61" t="s">
        <v>276</v>
      </c>
      <c r="G270" s="62" t="s">
        <v>482</v>
      </c>
    </row>
    <row r="271" spans="1:7" ht="36">
      <c r="A271" s="58">
        <f>ROW(Таблица1[[#This Row],[Номер п/п]])-1</f>
        <v>270</v>
      </c>
      <c r="B271" s="59" t="s">
        <v>24</v>
      </c>
      <c r="C271" s="59" t="s">
        <v>183</v>
      </c>
      <c r="D271" s="60">
        <v>30</v>
      </c>
      <c r="E271" s="59">
        <f>IFERROR(VLOOKUP(Таблица1[[#This Row],[ID KPI]],'KPI для заполнения'!A:BL,Таблица1[[#This Row],[Неделя]]+10,0),"Нет")</f>
        <v>18521</v>
      </c>
      <c r="F271" s="61" t="s">
        <v>276</v>
      </c>
      <c r="G271" s="62" t="s">
        <v>328</v>
      </c>
    </row>
    <row r="272" spans="1:7" ht="36">
      <c r="A272" s="58">
        <f>ROW(Таблица1[[#This Row],[Номер п/п]])-1</f>
        <v>271</v>
      </c>
      <c r="B272" s="59" t="s">
        <v>61</v>
      </c>
      <c r="C272" s="59" t="s">
        <v>183</v>
      </c>
      <c r="D272" s="60">
        <v>30</v>
      </c>
      <c r="E272" s="59">
        <f>IFERROR(VLOOKUP(Таблица1[[#This Row],[ID KPI]],'KPI для заполнения'!A:BL,Таблица1[[#This Row],[Неделя]]+10,0),"Нет")</f>
        <v>0.52</v>
      </c>
      <c r="F272" s="61" t="s">
        <v>276</v>
      </c>
      <c r="G272" s="62" t="s">
        <v>470</v>
      </c>
    </row>
    <row r="273" spans="1:7" ht="36">
      <c r="A273" s="58">
        <f>ROW(Таблица1[[#This Row],[Номер п/п]])-1</f>
        <v>272</v>
      </c>
      <c r="B273" s="59" t="s">
        <v>84</v>
      </c>
      <c r="C273" s="59" t="s">
        <v>183</v>
      </c>
      <c r="D273" s="60">
        <v>30</v>
      </c>
      <c r="E273" s="59">
        <f>IFERROR(VLOOKUP(Таблица1[[#This Row],[ID KPI]],'KPI для заполнения'!A:BL,Таблица1[[#This Row],[Неделя]]+10,0),"Нет")</f>
        <v>0.375</v>
      </c>
      <c r="F273" s="61" t="s">
        <v>276</v>
      </c>
      <c r="G273" s="62" t="s">
        <v>330</v>
      </c>
    </row>
    <row r="274" spans="1:7" ht="36">
      <c r="A274" s="58">
        <f>ROW(Таблица1[[#This Row],[Номер п/п]])-1</f>
        <v>273</v>
      </c>
      <c r="B274" s="59" t="s">
        <v>96</v>
      </c>
      <c r="C274" s="59" t="s">
        <v>183</v>
      </c>
      <c r="D274" s="60">
        <v>30</v>
      </c>
      <c r="E274" s="59">
        <f>IFERROR(VLOOKUP(Таблица1[[#This Row],[ID KPI]],'KPI для заполнения'!A:BL,Таблица1[[#This Row],[Неделя]]+10,0),"Нет")</f>
        <v>18454</v>
      </c>
      <c r="F274" s="61" t="s">
        <v>276</v>
      </c>
      <c r="G274" s="62" t="s">
        <v>483</v>
      </c>
    </row>
    <row r="275" spans="1:7" ht="18">
      <c r="A275" s="58">
        <f>ROW(Таблица1[[#This Row],[Номер п/п]])-1</f>
        <v>274</v>
      </c>
      <c r="B275" s="59" t="s">
        <v>119</v>
      </c>
      <c r="C275" s="59" t="s">
        <v>183</v>
      </c>
      <c r="D275" s="60">
        <v>30</v>
      </c>
      <c r="E275" s="59">
        <f>IFERROR(VLOOKUP(Таблица1[[#This Row],[ID KPI]],'KPI для заполнения'!A:BL,Таблица1[[#This Row],[Неделя]]+10,0),"Нет")</f>
        <v>0.91489361700000005</v>
      </c>
      <c r="F275" s="61" t="s">
        <v>276</v>
      </c>
      <c r="G275" s="62" t="s">
        <v>484</v>
      </c>
    </row>
    <row r="276" spans="1:7" ht="36">
      <c r="A276" s="58">
        <f>ROW(Таблица1[[#This Row],[Номер п/п]])-1</f>
        <v>275</v>
      </c>
      <c r="B276" s="59" t="s">
        <v>217</v>
      </c>
      <c r="C276" s="59" t="s">
        <v>33</v>
      </c>
      <c r="D276" s="60">
        <v>30</v>
      </c>
      <c r="E276" s="59">
        <f>IFERROR(VLOOKUP(Таблица1[[#This Row],[ID KPI]],'KPI для заполнения'!A:BL,Таблица1[[#This Row],[Неделя]]+10,0),"Нет")</f>
        <v>1</v>
      </c>
      <c r="F276" s="61" t="s">
        <v>251</v>
      </c>
      <c r="G276" s="62" t="s">
        <v>485</v>
      </c>
    </row>
    <row r="277" spans="1:7" ht="90">
      <c r="A277" s="58">
        <f>ROW(Таблица1[[#This Row],[Номер п/п]])-1</f>
        <v>276</v>
      </c>
      <c r="B277" s="59" t="s">
        <v>115</v>
      </c>
      <c r="C277" s="59" t="s">
        <v>43</v>
      </c>
      <c r="D277" s="60">
        <v>31</v>
      </c>
      <c r="E277" s="59">
        <f>IFERROR(VLOOKUP(Таблица1[[#This Row],[ID KPI]],'KPI для заполнения'!A:BL,Таблица1[[#This Row],[Неделя]]+10,0),"Нет")</f>
        <v>0.9235051176153708</v>
      </c>
      <c r="F277" s="61" t="s">
        <v>276</v>
      </c>
      <c r="G277" s="62" t="s">
        <v>486</v>
      </c>
    </row>
    <row r="278" spans="1:7" ht="18">
      <c r="A278" s="58">
        <f>ROW(Таблица1[[#This Row],[Номер п/п]])-1</f>
        <v>277</v>
      </c>
      <c r="B278" s="59" t="s">
        <v>149</v>
      </c>
      <c r="C278" s="59" t="s">
        <v>183</v>
      </c>
      <c r="D278" s="60">
        <v>31</v>
      </c>
      <c r="E278" s="59">
        <f>IFERROR(VLOOKUP(Таблица1[[#This Row],[ID KPI]],'KPI для заполнения'!A:BL,Таблица1[[#This Row],[Неделя]]+10,0),"Нет")</f>
        <v>253</v>
      </c>
      <c r="F278" s="61" t="s">
        <v>276</v>
      </c>
      <c r="G278" s="62"/>
    </row>
    <row r="279" spans="1:7" ht="18">
      <c r="A279" s="58">
        <f>ROW(Таблица1[[#This Row],[Номер п/п]])-1</f>
        <v>278</v>
      </c>
      <c r="B279" s="59" t="s">
        <v>167</v>
      </c>
      <c r="C279" s="59" t="s">
        <v>43</v>
      </c>
      <c r="D279" s="60">
        <v>31</v>
      </c>
      <c r="E279" s="59">
        <f>IFERROR(VLOOKUP(Таблица1[[#This Row],[ID KPI]],'KPI для заполнения'!A:BL,Таблица1[[#This Row],[Неделя]]+10,0),"Нет")</f>
        <v>0.95374999999999999</v>
      </c>
      <c r="F279" s="61" t="s">
        <v>276</v>
      </c>
      <c r="G279" s="62" t="s">
        <v>487</v>
      </c>
    </row>
    <row r="280" spans="1:7" ht="36">
      <c r="A280" s="58">
        <f>ROW(Таблица1[[#This Row],[Номер п/п]])-1</f>
        <v>279</v>
      </c>
      <c r="B280" s="59" t="s">
        <v>189</v>
      </c>
      <c r="C280" s="59" t="s">
        <v>40</v>
      </c>
      <c r="D280" s="60">
        <v>31</v>
      </c>
      <c r="E280" s="59">
        <f>IFERROR(VLOOKUP(Таблица1[[#This Row],[ID KPI]],'KPI для заполнения'!A:BL,Таблица1[[#This Row],[Неделя]]+10,0),"Нет")</f>
        <v>37</v>
      </c>
      <c r="F280" s="61" t="s">
        <v>251</v>
      </c>
      <c r="G280" s="62" t="s">
        <v>488</v>
      </c>
    </row>
    <row r="281" spans="1:7" ht="18">
      <c r="A281" s="58">
        <f>ROW(Таблица1[[#This Row],[Номер п/п]])-1</f>
        <v>280</v>
      </c>
      <c r="B281" s="59" t="s">
        <v>234</v>
      </c>
      <c r="C281" s="59" t="s">
        <v>183</v>
      </c>
      <c r="D281" s="60">
        <v>31</v>
      </c>
      <c r="E281" s="59">
        <f>IFERROR(VLOOKUP(Таблица1[[#This Row],[ID KPI]],'KPI для заполнения'!A:BL,Таблица1[[#This Row],[Неделя]]+10,0),"Нет")</f>
        <v>0.84210526315789469</v>
      </c>
      <c r="F281" s="61" t="s">
        <v>276</v>
      </c>
      <c r="G281" s="62" t="s">
        <v>489</v>
      </c>
    </row>
    <row r="282" spans="1:7" ht="18">
      <c r="A282" s="58">
        <f>ROW(Таблица1[[#This Row],[Номер п/п]])-1</f>
        <v>281</v>
      </c>
      <c r="B282" s="59" t="s">
        <v>21</v>
      </c>
      <c r="C282" s="59" t="s">
        <v>40</v>
      </c>
      <c r="D282" s="60">
        <v>32</v>
      </c>
      <c r="E282" s="59">
        <f>IFERROR(VLOOKUP(Таблица1[[#This Row],[ID KPI]],'KPI для заполнения'!A:BL,Таблица1[[#This Row],[Неделя]]+10,0),"Нет")</f>
        <v>0.92307692299999999</v>
      </c>
      <c r="F282" s="61" t="s">
        <v>276</v>
      </c>
      <c r="G282" s="62" t="s">
        <v>490</v>
      </c>
    </row>
    <row r="283" spans="1:7" ht="36">
      <c r="A283" s="58">
        <f>ROW(Таблица1[[#This Row],[Номер п/п]])-1</f>
        <v>282</v>
      </c>
      <c r="B283" s="59" t="s">
        <v>61</v>
      </c>
      <c r="C283" s="59" t="s">
        <v>183</v>
      </c>
      <c r="D283" s="60">
        <v>32</v>
      </c>
      <c r="E283" s="59">
        <f>IFERROR(VLOOKUP(Таблица1[[#This Row],[ID KPI]],'KPI для заполнения'!A:BL,Таблица1[[#This Row],[Неделя]]+10,0),"Нет")</f>
        <v>0.7142857142857143</v>
      </c>
      <c r="F283" s="61" t="s">
        <v>276</v>
      </c>
      <c r="G283" s="62" t="s">
        <v>470</v>
      </c>
    </row>
    <row r="284" spans="1:7" ht="54">
      <c r="A284" s="58">
        <f>ROW(Таблица1[[#This Row],[Номер п/п]])-1</f>
        <v>283</v>
      </c>
      <c r="B284" s="59" t="s">
        <v>81</v>
      </c>
      <c r="C284" s="59" t="s">
        <v>183</v>
      </c>
      <c r="D284" s="60">
        <v>32</v>
      </c>
      <c r="E284" s="59">
        <f>IFERROR(VLOOKUP(Таблица1[[#This Row],[ID KPI]],'KPI для заполнения'!A:BL,Таблица1[[#This Row],[Неделя]]+10,0),"Нет")</f>
        <v>0.77127420099999999</v>
      </c>
      <c r="F284" s="61" t="s">
        <v>276</v>
      </c>
      <c r="G284" s="62" t="s">
        <v>491</v>
      </c>
    </row>
    <row r="285" spans="1:7" ht="36">
      <c r="A285" s="58">
        <f>ROW(Таблица1[[#This Row],[Номер п/п]])-1</f>
        <v>284</v>
      </c>
      <c r="B285" s="59" t="s">
        <v>84</v>
      </c>
      <c r="C285" s="59" t="s">
        <v>183</v>
      </c>
      <c r="D285" s="60">
        <v>32</v>
      </c>
      <c r="E285" s="59">
        <f>IFERROR(VLOOKUP(Таблица1[[#This Row],[ID KPI]],'KPI для заполнения'!A:BL,Таблица1[[#This Row],[Неделя]]+10,0),"Нет")</f>
        <v>0.42307692307692307</v>
      </c>
      <c r="F285" s="61" t="s">
        <v>276</v>
      </c>
      <c r="G285" s="62" t="s">
        <v>330</v>
      </c>
    </row>
    <row r="286" spans="1:7" ht="18">
      <c r="A286" s="58">
        <f>ROW(Таблица1[[#This Row],[Номер п/п]])-1</f>
        <v>285</v>
      </c>
      <c r="B286" s="59" t="s">
        <v>115</v>
      </c>
      <c r="C286" s="59" t="s">
        <v>183</v>
      </c>
      <c r="D286" s="60">
        <v>32</v>
      </c>
      <c r="E286" s="59">
        <f>IFERROR(VLOOKUP(Таблица1[[#This Row],[ID KPI]],'KPI для заполнения'!A:BL,Таблица1[[#This Row],[Неделя]]+10,0),"Нет")</f>
        <v>0.88456549900000003</v>
      </c>
      <c r="F286" s="61" t="s">
        <v>276</v>
      </c>
      <c r="G286" s="62" t="s">
        <v>492</v>
      </c>
    </row>
    <row r="287" spans="1:7" ht="36">
      <c r="A287" s="58">
        <f>ROW(Таблица1[[#This Row],[Номер п/п]])-1</f>
        <v>286</v>
      </c>
      <c r="B287" s="59" t="s">
        <v>119</v>
      </c>
      <c r="C287" s="59" t="s">
        <v>43</v>
      </c>
      <c r="D287" s="60">
        <v>32</v>
      </c>
      <c r="E287" s="59">
        <f>IFERROR(VLOOKUP(Таблица1[[#This Row],[ID KPI]],'KPI для заполнения'!A:BL,Таблица1[[#This Row],[Неделя]]+10,0),"Нет")</f>
        <v>0.77777777777777779</v>
      </c>
      <c r="F287" s="61" t="s">
        <v>276</v>
      </c>
      <c r="G287" s="62" t="s">
        <v>493</v>
      </c>
    </row>
    <row r="288" spans="1:7" ht="18">
      <c r="A288" s="58">
        <f>ROW(Таблица1[[#This Row],[Номер п/п]])-1</f>
        <v>287</v>
      </c>
      <c r="B288" s="59" t="s">
        <v>167</v>
      </c>
      <c r="C288" s="59" t="s">
        <v>43</v>
      </c>
      <c r="D288" s="60">
        <v>32</v>
      </c>
      <c r="E288" s="59">
        <f>IFERROR(VLOOKUP(Таблица1[[#This Row],[ID KPI]],'KPI для заполнения'!A:BL,Таблица1[[#This Row],[Неделя]]+10,0),"Нет")</f>
        <v>1.5171874999999999</v>
      </c>
      <c r="F288" s="61" t="s">
        <v>276</v>
      </c>
      <c r="G288" s="62" t="s">
        <v>494</v>
      </c>
    </row>
    <row r="289" spans="1:7" ht="18">
      <c r="A289" s="58">
        <f>ROW(Таблица1[[#This Row],[Номер п/п]])-1</f>
        <v>288</v>
      </c>
      <c r="B289" s="59" t="s">
        <v>179</v>
      </c>
      <c r="C289" s="59" t="s">
        <v>183</v>
      </c>
      <c r="D289" s="60">
        <v>32</v>
      </c>
      <c r="E289" s="59">
        <f>IFERROR(VLOOKUP(Таблица1[[#This Row],[ID KPI]],'KPI для заполнения'!A:BL,Таблица1[[#This Row],[Неделя]]+10,0),"Нет")</f>
        <v>0</v>
      </c>
      <c r="F289" s="61" t="s">
        <v>254</v>
      </c>
      <c r="G289" s="62" t="s">
        <v>495</v>
      </c>
    </row>
    <row r="290" spans="1:7" ht="18">
      <c r="A290" s="58">
        <f>ROW(Таблица1[[#This Row],[Номер п/п]])-1</f>
        <v>289</v>
      </c>
      <c r="B290" s="59" t="s">
        <v>189</v>
      </c>
      <c r="C290" s="59" t="s">
        <v>183</v>
      </c>
      <c r="D290" s="60">
        <v>32</v>
      </c>
      <c r="E290" s="59">
        <f>IFERROR(VLOOKUP(Таблица1[[#This Row],[ID KPI]],'KPI для заполнения'!A:BL,Таблица1[[#This Row],[Неделя]]+10,0),"Нет")</f>
        <v>48</v>
      </c>
      <c r="F290" s="61" t="s">
        <v>254</v>
      </c>
      <c r="G290" s="62" t="s">
        <v>496</v>
      </c>
    </row>
    <row r="291" spans="1:7" ht="18">
      <c r="A291" s="58">
        <f>ROW(Таблица1[[#This Row],[Номер п/п]])-1</f>
        <v>290</v>
      </c>
      <c r="B291" s="59" t="s">
        <v>201</v>
      </c>
      <c r="C291" s="59" t="s">
        <v>183</v>
      </c>
      <c r="D291" s="60">
        <v>32</v>
      </c>
      <c r="E291" s="59">
        <f>IFERROR(VLOOKUP(Таблица1[[#This Row],[ID KPI]],'KPI для заполнения'!A:BL,Таблица1[[#This Row],[Неделя]]+10,0),"Нет")</f>
        <v>0.96296296296296291</v>
      </c>
      <c r="F291" s="61" t="s">
        <v>276</v>
      </c>
      <c r="G291" s="62" t="s">
        <v>497</v>
      </c>
    </row>
    <row r="292" spans="1:7" ht="18">
      <c r="A292" s="58">
        <f>ROW(Таблица1[[#This Row],[Номер п/п]])-1</f>
        <v>291</v>
      </c>
      <c r="B292" s="59" t="s">
        <v>201</v>
      </c>
      <c r="C292" s="59" t="s">
        <v>183</v>
      </c>
      <c r="D292" s="60">
        <v>32</v>
      </c>
      <c r="E292" s="59">
        <f>IFERROR(VLOOKUP(Таблица1[[#This Row],[ID KPI]],'KPI для заполнения'!A:BL,Таблица1[[#This Row],[Неделя]]+10,0),"Нет")</f>
        <v>0.96296296296296291</v>
      </c>
      <c r="F292" s="61" t="s">
        <v>254</v>
      </c>
      <c r="G292" s="62" t="s">
        <v>495</v>
      </c>
    </row>
    <row r="293" spans="1:7" ht="18">
      <c r="A293" s="58">
        <f>ROW(Таблица1[[#This Row],[Номер п/п]])-1</f>
        <v>292</v>
      </c>
      <c r="B293" s="59" t="s">
        <v>205</v>
      </c>
      <c r="C293" s="59" t="s">
        <v>183</v>
      </c>
      <c r="D293" s="60">
        <v>32</v>
      </c>
      <c r="E293" s="59">
        <f>IFERROR(VLOOKUP(Таблица1[[#This Row],[ID KPI]],'KPI для заполнения'!A:BL,Таблица1[[#This Row],[Неделя]]+10,0),"Нет")</f>
        <v>0.95833333333333337</v>
      </c>
      <c r="F293" s="61" t="s">
        <v>276</v>
      </c>
      <c r="G293" s="62" t="s">
        <v>498</v>
      </c>
    </row>
    <row r="294" spans="1:7" ht="18">
      <c r="A294" s="58">
        <f>ROW(Таблица1[[#This Row],[Номер п/п]])-1</f>
        <v>293</v>
      </c>
      <c r="B294" s="59" t="s">
        <v>205</v>
      </c>
      <c r="C294" s="59" t="s">
        <v>183</v>
      </c>
      <c r="D294" s="60">
        <v>32</v>
      </c>
      <c r="E294" s="59">
        <f>IFERROR(VLOOKUP(Таблица1[[#This Row],[ID KPI]],'KPI для заполнения'!A:BL,Таблица1[[#This Row],[Неделя]]+10,0),"Нет")</f>
        <v>0.95833333333333337</v>
      </c>
      <c r="F294" s="61" t="s">
        <v>254</v>
      </c>
      <c r="G294" s="62" t="s">
        <v>495</v>
      </c>
    </row>
    <row r="295" spans="1:7" ht="18">
      <c r="A295" s="58">
        <f>ROW(Таблица1[[#This Row],[Номер п/п]])-1</f>
        <v>294</v>
      </c>
      <c r="B295" s="59" t="s">
        <v>212</v>
      </c>
      <c r="C295" s="59" t="s">
        <v>183</v>
      </c>
      <c r="D295" s="60">
        <v>32</v>
      </c>
      <c r="E295" s="59">
        <f>IFERROR(VLOOKUP(Таблица1[[#This Row],[ID KPI]],'KPI для заполнения'!A:BL,Таблица1[[#This Row],[Неделя]]+10,0),"Нет")</f>
        <v>0.66785589497853648</v>
      </c>
      <c r="F295" s="61" t="s">
        <v>276</v>
      </c>
      <c r="G295" s="62" t="s">
        <v>499</v>
      </c>
    </row>
    <row r="296" spans="1:7" ht="18">
      <c r="A296" s="58">
        <f>ROW(Таблица1[[#This Row],[Номер п/п]])-1</f>
        <v>295</v>
      </c>
      <c r="B296" s="59" t="s">
        <v>217</v>
      </c>
      <c r="C296" s="59" t="s">
        <v>183</v>
      </c>
      <c r="D296" s="60">
        <v>32</v>
      </c>
      <c r="E296" s="59">
        <f>IFERROR(VLOOKUP(Таблица1[[#This Row],[ID KPI]],'KPI для заполнения'!A:BL,Таблица1[[#This Row],[Неделя]]+10,0),"Нет")</f>
        <v>1</v>
      </c>
      <c r="F296" s="61" t="s">
        <v>254</v>
      </c>
      <c r="G296" s="62" t="s">
        <v>500</v>
      </c>
    </row>
    <row r="297" spans="1:7" ht="18">
      <c r="A297" s="58">
        <f>ROW(Таблица1[[#This Row],[Номер п/п]])-1</f>
        <v>296</v>
      </c>
      <c r="B297" s="59" t="s">
        <v>217</v>
      </c>
      <c r="C297" s="59" t="s">
        <v>183</v>
      </c>
      <c r="D297" s="60">
        <v>32</v>
      </c>
      <c r="E297" s="59">
        <f>IFERROR(VLOOKUP(Таблица1[[#This Row],[ID KPI]],'KPI для заполнения'!A:BL,Таблица1[[#This Row],[Неделя]]+10,0),"Нет")</f>
        <v>1</v>
      </c>
      <c r="F297" s="61" t="s">
        <v>251</v>
      </c>
      <c r="G297" s="62" t="s">
        <v>501</v>
      </c>
    </row>
    <row r="298" spans="1:7" ht="18">
      <c r="A298" s="58">
        <f>ROW(Таблица1[[#This Row],[Номер п/п]])-1</f>
        <v>297</v>
      </c>
      <c r="B298" s="59" t="s">
        <v>231</v>
      </c>
      <c r="C298" s="59" t="s">
        <v>183</v>
      </c>
      <c r="D298" s="60">
        <v>32</v>
      </c>
      <c r="E298" s="59">
        <f>IFERROR(VLOOKUP(Таблица1[[#This Row],[ID KPI]],'KPI для заполнения'!A:BL,Таблица1[[#This Row],[Неделя]]+10,0),"Нет")</f>
        <v>156</v>
      </c>
      <c r="F298" s="61" t="s">
        <v>254</v>
      </c>
      <c r="G298" s="62" t="s">
        <v>495</v>
      </c>
    </row>
    <row r="299" spans="1:7" ht="36">
      <c r="A299" s="58">
        <f>ROW(Таблица1[[#This Row],[Номер п/п]])-1</f>
        <v>298</v>
      </c>
      <c r="B299" s="59" t="s">
        <v>234</v>
      </c>
      <c r="C299" s="59" t="s">
        <v>33</v>
      </c>
      <c r="D299" s="60">
        <v>32</v>
      </c>
      <c r="E299" s="59">
        <f>IFERROR(VLOOKUP(Таблица1[[#This Row],[ID KPI]],'KPI для заполнения'!A:BL,Таблица1[[#This Row],[Неделя]]+10,0),"Нет")</f>
        <v>0.86666666699999995</v>
      </c>
      <c r="F299" s="61" t="s">
        <v>276</v>
      </c>
      <c r="G299" s="62" t="s">
        <v>502</v>
      </c>
    </row>
    <row r="300" spans="1:7" ht="36">
      <c r="A300" s="58">
        <f>ROW(Таблица1[[#This Row],[Номер п/п]])-1</f>
        <v>299</v>
      </c>
      <c r="B300" s="59" t="s">
        <v>61</v>
      </c>
      <c r="C300" s="59" t="s">
        <v>183</v>
      </c>
      <c r="D300" s="60">
        <v>33</v>
      </c>
      <c r="E300" s="59">
        <f>IFERROR(VLOOKUP(Таблица1[[#This Row],[ID KPI]],'KPI для заполнения'!A:BL,Таблица1[[#This Row],[Неделя]]+10,0),"Нет")</f>
        <v>0.53398058252427183</v>
      </c>
      <c r="F300" s="61" t="s">
        <v>276</v>
      </c>
      <c r="G300" s="62" t="s">
        <v>503</v>
      </c>
    </row>
    <row r="301" spans="1:7" ht="54">
      <c r="A301" s="58">
        <f>ROW(Таблица1[[#This Row],[Номер п/п]])-1</f>
        <v>300</v>
      </c>
      <c r="B301" s="59" t="s">
        <v>81</v>
      </c>
      <c r="C301" s="59" t="s">
        <v>183</v>
      </c>
      <c r="D301" s="60">
        <v>33</v>
      </c>
      <c r="E301" s="59">
        <f>IFERROR(VLOOKUP(Таблица1[[#This Row],[ID KPI]],'KPI для заполнения'!A:BL,Таблица1[[#This Row],[Неделя]]+10,0),"Нет")</f>
        <v>0.88139018000000002</v>
      </c>
      <c r="F301" s="61" t="s">
        <v>276</v>
      </c>
      <c r="G301" s="62" t="s">
        <v>491</v>
      </c>
    </row>
    <row r="302" spans="1:7" ht="36">
      <c r="A302" s="58">
        <f>ROW(Таблица1[[#This Row],[Номер п/п]])-1</f>
        <v>301</v>
      </c>
      <c r="B302" s="59" t="s">
        <v>84</v>
      </c>
      <c r="C302" s="59" t="s">
        <v>183</v>
      </c>
      <c r="D302" s="60">
        <v>33</v>
      </c>
      <c r="E302" s="59">
        <f>IFERROR(VLOOKUP(Таблица1[[#This Row],[ID KPI]],'KPI для заполнения'!A:BL,Таблица1[[#This Row],[Неделя]]+10,0),"Нет")</f>
        <v>0.8</v>
      </c>
      <c r="F302" s="61" t="s">
        <v>276</v>
      </c>
      <c r="G302" s="62" t="s">
        <v>504</v>
      </c>
    </row>
    <row r="303" spans="1:7" ht="72">
      <c r="A303" s="58">
        <f>ROW(Таблица1[[#This Row],[Номер п/п]])-1</f>
        <v>302</v>
      </c>
      <c r="B303" s="59" t="s">
        <v>115</v>
      </c>
      <c r="C303" s="59" t="s">
        <v>183</v>
      </c>
      <c r="D303" s="60">
        <v>33</v>
      </c>
      <c r="E303" s="59">
        <f>IFERROR(VLOOKUP(Таблица1[[#This Row],[ID KPI]],'KPI для заполнения'!A:BL,Таблица1[[#This Row],[Неделя]]+10,0),"Нет")</f>
        <v>0.96</v>
      </c>
      <c r="F303" s="61" t="s">
        <v>276</v>
      </c>
      <c r="G303" s="62" t="s">
        <v>505</v>
      </c>
    </row>
    <row r="304" spans="1:7" ht="18">
      <c r="A304" s="58">
        <f>ROW(Таблица1[[#This Row],[Номер п/п]])-1</f>
        <v>303</v>
      </c>
      <c r="B304" s="59" t="s">
        <v>119</v>
      </c>
      <c r="C304" s="59" t="s">
        <v>43</v>
      </c>
      <c r="D304" s="60">
        <v>33</v>
      </c>
      <c r="E304" s="59">
        <f>IFERROR(VLOOKUP(Таблица1[[#This Row],[ID KPI]],'KPI для заполнения'!A:BL,Таблица1[[#This Row],[Неделя]]+10,0),"Нет")</f>
        <v>0.9375</v>
      </c>
      <c r="F304" s="61" t="s">
        <v>276</v>
      </c>
      <c r="G304" s="62" t="s">
        <v>506</v>
      </c>
    </row>
    <row r="305" spans="1:7" ht="36">
      <c r="A305" s="58">
        <f>ROW(Таблица1[[#This Row],[Номер п/п]])-1</f>
        <v>304</v>
      </c>
      <c r="B305" s="59" t="s">
        <v>205</v>
      </c>
      <c r="C305" s="59" t="s">
        <v>183</v>
      </c>
      <c r="D305" s="60">
        <v>33</v>
      </c>
      <c r="E305" s="59">
        <f>IFERROR(VLOOKUP(Таблица1[[#This Row],[ID KPI]],'KPI для заполнения'!A:BL,Таблица1[[#This Row],[Неделя]]+10,0),"Нет")</f>
        <v>0.921875</v>
      </c>
      <c r="F305" s="61" t="s">
        <v>276</v>
      </c>
      <c r="G305" s="62" t="s">
        <v>507</v>
      </c>
    </row>
    <row r="306" spans="1:7" ht="36">
      <c r="A306" s="58">
        <f>ROW(Таблица1[[#This Row],[Номер п/п]])-1</f>
        <v>305</v>
      </c>
      <c r="B306" s="59" t="s">
        <v>205</v>
      </c>
      <c r="C306" s="59" t="s">
        <v>183</v>
      </c>
      <c r="D306" s="60">
        <v>33</v>
      </c>
      <c r="E306" s="59">
        <f>IFERROR(VLOOKUP(Таблица1[[#This Row],[ID KPI]],'KPI для заполнения'!A:BL,Таблица1[[#This Row],[Неделя]]+10,0),"Нет")</f>
        <v>0.921875</v>
      </c>
      <c r="F306" s="61" t="s">
        <v>276</v>
      </c>
      <c r="G306" s="62" t="s">
        <v>508</v>
      </c>
    </row>
    <row r="307" spans="1:7" ht="36">
      <c r="A307" s="58">
        <f>ROW(Таблица1[[#This Row],[Номер п/п]])-1</f>
        <v>306</v>
      </c>
      <c r="B307" s="59" t="s">
        <v>205</v>
      </c>
      <c r="C307" s="59" t="s">
        <v>183</v>
      </c>
      <c r="D307" s="60">
        <v>33</v>
      </c>
      <c r="E307" s="59">
        <f>IFERROR(VLOOKUP(Таблица1[[#This Row],[ID KPI]],'KPI для заполнения'!A:BL,Таблица1[[#This Row],[Неделя]]+10,0),"Нет")</f>
        <v>0.921875</v>
      </c>
      <c r="F307" s="61" t="s">
        <v>276</v>
      </c>
      <c r="G307" s="62" t="s">
        <v>509</v>
      </c>
    </row>
    <row r="308" spans="1:7" ht="18">
      <c r="A308" s="58">
        <f>ROW(Таблица1[[#This Row],[Номер п/п]])-1</f>
        <v>307</v>
      </c>
      <c r="B308" s="59" t="s">
        <v>205</v>
      </c>
      <c r="C308" s="59" t="s">
        <v>43</v>
      </c>
      <c r="D308" s="60">
        <v>33</v>
      </c>
      <c r="E308" s="59">
        <f>IFERROR(VLOOKUP(Таблица1[[#This Row],[ID KPI]],'KPI для заполнения'!A:BL,Таблица1[[#This Row],[Неделя]]+10,0),"Нет")</f>
        <v>0.921875</v>
      </c>
      <c r="F308" s="61" t="s">
        <v>276</v>
      </c>
      <c r="G308" s="62" t="s">
        <v>510</v>
      </c>
    </row>
    <row r="309" spans="1:7" ht="36">
      <c r="A309" s="58">
        <f>ROW(Таблица1[[#This Row],[Номер п/п]])-1</f>
        <v>308</v>
      </c>
      <c r="B309" s="59" t="s">
        <v>205</v>
      </c>
      <c r="C309" s="59" t="s">
        <v>183</v>
      </c>
      <c r="D309" s="60">
        <v>33</v>
      </c>
      <c r="E309" s="59">
        <f>IFERROR(VLOOKUP(Таблица1[[#This Row],[ID KPI]],'KPI для заполнения'!A:BL,Таблица1[[#This Row],[Неделя]]+10,0),"Нет")</f>
        <v>0.921875</v>
      </c>
      <c r="F309" s="61" t="s">
        <v>276</v>
      </c>
      <c r="G309" s="62" t="s">
        <v>511</v>
      </c>
    </row>
    <row r="310" spans="1:7" ht="36">
      <c r="A310" s="58">
        <f>ROW(Таблица1[[#This Row],[Номер п/п]])-1</f>
        <v>309</v>
      </c>
      <c r="B310" s="59" t="s">
        <v>205</v>
      </c>
      <c r="C310" s="59" t="s">
        <v>183</v>
      </c>
      <c r="D310" s="60">
        <v>33</v>
      </c>
      <c r="E310" s="59">
        <f>IFERROR(VLOOKUP(Таблица1[[#This Row],[ID KPI]],'KPI для заполнения'!A:BL,Таблица1[[#This Row],[Неделя]]+10,0),"Нет")</f>
        <v>0.921875</v>
      </c>
      <c r="F310" s="61" t="s">
        <v>276</v>
      </c>
      <c r="G310" s="62" t="s">
        <v>512</v>
      </c>
    </row>
    <row r="311" spans="1:7" ht="18">
      <c r="A311" s="58">
        <f>ROW(Таблица1[[#This Row],[Номер п/п]])-1</f>
        <v>310</v>
      </c>
      <c r="B311" s="59" t="s">
        <v>205</v>
      </c>
      <c r="C311" s="59" t="s">
        <v>183</v>
      </c>
      <c r="D311" s="60">
        <v>33</v>
      </c>
      <c r="E311" s="59">
        <f>IFERROR(VLOOKUP(Таблица1[[#This Row],[ID KPI]],'KPI для заполнения'!A:BL,Таблица1[[#This Row],[Неделя]]+10,0),"Нет")</f>
        <v>0.921875</v>
      </c>
      <c r="F311" s="61" t="s">
        <v>254</v>
      </c>
      <c r="G311" s="62" t="s">
        <v>513</v>
      </c>
    </row>
    <row r="312" spans="1:7" ht="36">
      <c r="A312" s="58">
        <f>ROW(Таблица1[[#This Row],[Номер п/п]])-1</f>
        <v>311</v>
      </c>
      <c r="B312" s="59" t="s">
        <v>212</v>
      </c>
      <c r="C312" s="59" t="s">
        <v>183</v>
      </c>
      <c r="D312" s="60">
        <v>33</v>
      </c>
      <c r="E312" s="59">
        <f>IFERROR(VLOOKUP(Таблица1[[#This Row],[ID KPI]],'KPI для заполнения'!A:BL,Таблица1[[#This Row],[Неделя]]+10,0),"Нет")</f>
        <v>0.48006134969325154</v>
      </c>
      <c r="F312" s="61" t="s">
        <v>276</v>
      </c>
      <c r="G312" s="62" t="s">
        <v>514</v>
      </c>
    </row>
    <row r="313" spans="1:7" ht="36">
      <c r="A313" s="58">
        <f>ROW(Таблица1[[#This Row],[Номер п/п]])-1</f>
        <v>312</v>
      </c>
      <c r="B313" s="59" t="s">
        <v>217</v>
      </c>
      <c r="C313" s="59" t="s">
        <v>183</v>
      </c>
      <c r="D313" s="60">
        <v>33</v>
      </c>
      <c r="E313" s="59">
        <f>IFERROR(VLOOKUP(Таблица1[[#This Row],[ID KPI]],'KPI для заполнения'!A:BL,Таблица1[[#This Row],[Неделя]]+10,0),"Нет")</f>
        <v>1</v>
      </c>
      <c r="F313" s="61" t="s">
        <v>251</v>
      </c>
      <c r="G313" s="62" t="s">
        <v>515</v>
      </c>
    </row>
    <row r="314" spans="1:7" ht="18">
      <c r="A314" s="58">
        <f>ROW(Таблица1[[#This Row],[Номер п/п]])-1</f>
        <v>313</v>
      </c>
      <c r="B314" s="59" t="s">
        <v>217</v>
      </c>
      <c r="C314" s="59" t="s">
        <v>183</v>
      </c>
      <c r="D314" s="60">
        <v>33</v>
      </c>
      <c r="E314" s="59">
        <f>IFERROR(VLOOKUP(Таблица1[[#This Row],[ID KPI]],'KPI для заполнения'!A:BL,Таблица1[[#This Row],[Неделя]]+10,0),"Нет")</f>
        <v>1</v>
      </c>
      <c r="F314" s="61" t="s">
        <v>251</v>
      </c>
      <c r="G314" s="62" t="s">
        <v>516</v>
      </c>
    </row>
    <row r="315" spans="1:7" ht="18">
      <c r="A315" s="58">
        <f>ROW(Таблица1[[#This Row],[Номер п/п]])-1</f>
        <v>314</v>
      </c>
      <c r="B315" s="59" t="s">
        <v>217</v>
      </c>
      <c r="C315" s="59" t="s">
        <v>183</v>
      </c>
      <c r="D315" s="60">
        <v>33</v>
      </c>
      <c r="E315" s="59">
        <f>IFERROR(VLOOKUP(Таблица1[[#This Row],[ID KPI]],'KPI для заполнения'!A:BL,Таблица1[[#This Row],[Неделя]]+10,0),"Нет")</f>
        <v>1</v>
      </c>
      <c r="F315" s="61" t="s">
        <v>251</v>
      </c>
      <c r="G315" s="62" t="s">
        <v>517</v>
      </c>
    </row>
    <row r="316" spans="1:7" ht="18">
      <c r="A316" s="58">
        <f>ROW(Таблица1[[#This Row],[Номер п/п]])-1</f>
        <v>315</v>
      </c>
      <c r="B316" s="59" t="s">
        <v>217</v>
      </c>
      <c r="C316" s="59" t="s">
        <v>183</v>
      </c>
      <c r="D316" s="60">
        <v>33</v>
      </c>
      <c r="E316" s="59">
        <f>IFERROR(VLOOKUP(Таблица1[[#This Row],[ID KPI]],'KPI для заполнения'!A:BL,Таблица1[[#This Row],[Неделя]]+10,0),"Нет")</f>
        <v>1</v>
      </c>
      <c r="F316" s="61" t="s">
        <v>251</v>
      </c>
      <c r="G316" s="62" t="s">
        <v>518</v>
      </c>
    </row>
    <row r="317" spans="1:7" ht="36">
      <c r="A317" s="58">
        <f>ROW(Таблица1[[#This Row],[Номер п/п]])-1</f>
        <v>316</v>
      </c>
      <c r="B317" s="59" t="s">
        <v>234</v>
      </c>
      <c r="C317" s="59" t="s">
        <v>43</v>
      </c>
      <c r="D317" s="60">
        <v>33</v>
      </c>
      <c r="E317" s="59">
        <f>IFERROR(VLOOKUP(Таблица1[[#This Row],[ID KPI]],'KPI для заполнения'!A:BL,Таблица1[[#This Row],[Неделя]]+10,0),"Нет")</f>
        <v>0.83333333300000001</v>
      </c>
      <c r="F317" s="61" t="s">
        <v>276</v>
      </c>
      <c r="G317" s="62" t="s">
        <v>519</v>
      </c>
    </row>
    <row r="318" spans="1:7" ht="18">
      <c r="A318" s="58">
        <f>ROW(Таблица1[[#This Row],[Номер п/п]])-1</f>
        <v>317</v>
      </c>
      <c r="B318" s="60" t="s">
        <v>10</v>
      </c>
      <c r="C318" s="59" t="s">
        <v>183</v>
      </c>
      <c r="D318" s="60">
        <v>34</v>
      </c>
      <c r="E318" s="59">
        <f>IFERROR(VLOOKUP(Таблица1[[#This Row],[ID KPI]],'KPI для заполнения'!A:BL,Таблица1[[#This Row],[Неделя]]+10,0),"Нет")</f>
        <v>0.97</v>
      </c>
      <c r="F318" s="61" t="s">
        <v>276</v>
      </c>
      <c r="G318" s="62" t="s">
        <v>520</v>
      </c>
    </row>
    <row r="319" spans="1:7" ht="18">
      <c r="A319" s="58">
        <f>ROW(Таблица1[[#This Row],[Номер п/п]])-1</f>
        <v>318</v>
      </c>
      <c r="B319" s="60" t="s">
        <v>10</v>
      </c>
      <c r="C319" s="59" t="s">
        <v>183</v>
      </c>
      <c r="D319" s="60">
        <v>34</v>
      </c>
      <c r="E319" s="59">
        <f>IFERROR(VLOOKUP(Таблица1[[#This Row],[ID KPI]],'KPI для заполнения'!A:BL,Таблица1[[#This Row],[Неделя]]+10,0),"Нет")</f>
        <v>0.97</v>
      </c>
      <c r="F319" s="61" t="s">
        <v>276</v>
      </c>
      <c r="G319" s="62" t="s">
        <v>521</v>
      </c>
    </row>
    <row r="320" spans="1:7" ht="18">
      <c r="A320" s="58">
        <f>ROW(Таблица1[[#This Row],[Номер п/п]])-1</f>
        <v>319</v>
      </c>
      <c r="B320" s="60" t="s">
        <v>18</v>
      </c>
      <c r="C320" s="59" t="s">
        <v>183</v>
      </c>
      <c r="D320" s="60">
        <v>34</v>
      </c>
      <c r="E320" s="59">
        <f>IFERROR(VLOOKUP(Таблица1[[#This Row],[ID KPI]],'KPI для заполнения'!A:BL,Таблица1[[#This Row],[Неделя]]+10,0),"Нет")</f>
        <v>0.97</v>
      </c>
      <c r="F320" s="61" t="s">
        <v>276</v>
      </c>
      <c r="G320" s="62" t="s">
        <v>522</v>
      </c>
    </row>
    <row r="321" spans="1:7" ht="36">
      <c r="A321" s="58">
        <f>ROW(Таблица1[[#This Row],[Номер п/п]])-1</f>
        <v>320</v>
      </c>
      <c r="B321" s="60" t="s">
        <v>61</v>
      </c>
      <c r="C321" s="59" t="s">
        <v>183</v>
      </c>
      <c r="D321" s="60">
        <v>34</v>
      </c>
      <c r="E321" s="59">
        <f>IFERROR(VLOOKUP(Таблица1[[#This Row],[ID KPI]],'KPI для заполнения'!A:BL,Таблица1[[#This Row],[Неделя]]+10,0),"Нет")</f>
        <v>0</v>
      </c>
      <c r="F321" s="61" t="s">
        <v>276</v>
      </c>
      <c r="G321" s="62" t="s">
        <v>523</v>
      </c>
    </row>
    <row r="322" spans="1:7" ht="54">
      <c r="A322" s="58">
        <f>ROW(Таблица1[[#This Row],[Номер п/п]])-1</f>
        <v>321</v>
      </c>
      <c r="B322" s="59" t="s">
        <v>81</v>
      </c>
      <c r="C322" s="59" t="s">
        <v>183</v>
      </c>
      <c r="D322" s="60">
        <v>34</v>
      </c>
      <c r="E322" s="59">
        <f>IFERROR(VLOOKUP(Таблица1[[#This Row],[ID KPI]],'KPI для заполнения'!A:BL,Таблица1[[#This Row],[Неделя]]+10,0),"Нет")</f>
        <v>0.45242754600000001</v>
      </c>
      <c r="F322" s="61" t="s">
        <v>276</v>
      </c>
      <c r="G322" s="62" t="s">
        <v>524</v>
      </c>
    </row>
    <row r="323" spans="1:7" ht="36">
      <c r="A323" s="58">
        <f>ROW(Таблица1[[#This Row],[Номер п/п]])-1</f>
        <v>322</v>
      </c>
      <c r="B323" s="60" t="s">
        <v>84</v>
      </c>
      <c r="C323" s="59" t="s">
        <v>183</v>
      </c>
      <c r="D323" s="60">
        <v>34</v>
      </c>
      <c r="E323" s="59">
        <f>IFERROR(VLOOKUP(Таблица1[[#This Row],[ID KPI]],'KPI для заполнения'!A:BL,Таблица1[[#This Row],[Неделя]]+10,0),"Нет")</f>
        <v>0.25</v>
      </c>
      <c r="F323" s="61" t="s">
        <v>276</v>
      </c>
      <c r="G323" s="62" t="s">
        <v>525</v>
      </c>
    </row>
    <row r="324" spans="1:7" ht="36">
      <c r="A324" s="58">
        <f>ROW(Таблица1[[#This Row],[Номер п/п]])-1</f>
        <v>323</v>
      </c>
      <c r="B324" s="59" t="s">
        <v>115</v>
      </c>
      <c r="C324" s="59" t="s">
        <v>183</v>
      </c>
      <c r="D324" s="60">
        <v>34</v>
      </c>
      <c r="E324" s="59">
        <f>IFERROR(VLOOKUP(Таблица1[[#This Row],[ID KPI]],'KPI для заполнения'!A:BL,Таблица1[[#This Row],[Неделя]]+10,0),"Нет")</f>
        <v>0.96923800100000002</v>
      </c>
      <c r="F324" s="61" t="s">
        <v>276</v>
      </c>
      <c r="G324" s="62" t="s">
        <v>526</v>
      </c>
    </row>
    <row r="325" spans="1:7" ht="36">
      <c r="A325" s="58">
        <f>ROW(Таблица1[[#This Row],[Номер п/п]])-1</f>
        <v>324</v>
      </c>
      <c r="B325" s="59" t="s">
        <v>201</v>
      </c>
      <c r="C325" s="59" t="s">
        <v>183</v>
      </c>
      <c r="D325" s="60">
        <v>34</v>
      </c>
      <c r="E325" s="59">
        <f>IFERROR(VLOOKUP(Таблица1[[#This Row],[ID KPI]],'KPI для заполнения'!A:BL,Таблица1[[#This Row],[Неделя]]+10,0),"Нет")</f>
        <v>1</v>
      </c>
      <c r="F325" s="61" t="s">
        <v>251</v>
      </c>
      <c r="G325" s="62" t="s">
        <v>527</v>
      </c>
    </row>
    <row r="326" spans="1:7" ht="54">
      <c r="A326" s="58">
        <f>ROW(Таблица1[[#This Row],[Номер п/п]])-1</f>
        <v>325</v>
      </c>
      <c r="B326" s="59" t="s">
        <v>201</v>
      </c>
      <c r="C326" s="59" t="s">
        <v>183</v>
      </c>
      <c r="D326" s="60">
        <v>34</v>
      </c>
      <c r="E326" s="59">
        <f>IFERROR(VLOOKUP(Таблица1[[#This Row],[ID KPI]],'KPI для заполнения'!A:BL,Таблица1[[#This Row],[Неделя]]+10,0),"Нет")</f>
        <v>1</v>
      </c>
      <c r="F326" s="61" t="s">
        <v>254</v>
      </c>
      <c r="G326" s="62" t="s">
        <v>528</v>
      </c>
    </row>
    <row r="327" spans="1:7" ht="36">
      <c r="A327" s="58">
        <f>ROW(Таблица1[[#This Row],[Номер п/п]])-1</f>
        <v>326</v>
      </c>
      <c r="B327" s="59" t="s">
        <v>201</v>
      </c>
      <c r="C327" s="59" t="s">
        <v>183</v>
      </c>
      <c r="D327" s="60">
        <v>34</v>
      </c>
      <c r="E327" s="59">
        <f>IFERROR(VLOOKUP(Таблица1[[#This Row],[ID KPI]],'KPI для заполнения'!A:BL,Таблица1[[#This Row],[Неделя]]+10,0),"Нет")</f>
        <v>1</v>
      </c>
      <c r="F327" s="61" t="s">
        <v>254</v>
      </c>
      <c r="G327" s="62" t="s">
        <v>529</v>
      </c>
    </row>
    <row r="328" spans="1:7" ht="18">
      <c r="A328" s="58">
        <f>ROW(Таблица1[[#This Row],[Номер п/п]])-1</f>
        <v>327</v>
      </c>
      <c r="B328" s="60" t="s">
        <v>205</v>
      </c>
      <c r="C328" s="59" t="s">
        <v>183</v>
      </c>
      <c r="D328" s="60">
        <v>34</v>
      </c>
      <c r="E328" s="59">
        <f>IFERROR(VLOOKUP(Таблица1[[#This Row],[ID KPI]],'KPI для заполнения'!A:BL,Таблица1[[#This Row],[Неделя]]+10,0),"Нет")</f>
        <v>0.95454545454545459</v>
      </c>
      <c r="F328" s="61" t="s">
        <v>276</v>
      </c>
      <c r="G328" s="62" t="s">
        <v>530</v>
      </c>
    </row>
    <row r="329" spans="1:7" ht="18">
      <c r="A329" s="58">
        <f>ROW(Таблица1[[#This Row],[Номер п/п]])-1</f>
        <v>328</v>
      </c>
      <c r="B329" s="60" t="s">
        <v>205</v>
      </c>
      <c r="C329" s="59" t="s">
        <v>183</v>
      </c>
      <c r="D329" s="60">
        <v>34</v>
      </c>
      <c r="E329" s="59">
        <f>IFERROR(VLOOKUP(Таблица1[[#This Row],[ID KPI]],'KPI для заполнения'!A:BL,Таблица1[[#This Row],[Неделя]]+10,0),"Нет")</f>
        <v>0.95454545454545459</v>
      </c>
      <c r="F329" s="61" t="s">
        <v>276</v>
      </c>
      <c r="G329" s="62" t="s">
        <v>531</v>
      </c>
    </row>
    <row r="330" spans="1:7" ht="18">
      <c r="A330" s="58">
        <f>ROW(Таблица1[[#This Row],[Номер п/п]])-1</f>
        <v>329</v>
      </c>
      <c r="B330" s="59" t="s">
        <v>212</v>
      </c>
      <c r="C330" s="59" t="s">
        <v>183</v>
      </c>
      <c r="D330" s="60">
        <v>34</v>
      </c>
      <c r="E330" s="59">
        <f>IFERROR(VLOOKUP(Таблица1[[#This Row],[ID KPI]],'KPI для заполнения'!A:BL,Таблица1[[#This Row],[Неделя]]+10,0),"Нет")</f>
        <v>0.95</v>
      </c>
      <c r="F330" s="61" t="s">
        <v>276</v>
      </c>
      <c r="G330" s="62" t="s">
        <v>532</v>
      </c>
    </row>
    <row r="331" spans="1:7" ht="36">
      <c r="A331" s="58">
        <f>ROW(Таблица1[[#This Row],[Номер п/п]])-1</f>
        <v>330</v>
      </c>
      <c r="B331" s="59" t="s">
        <v>217</v>
      </c>
      <c r="C331" s="59" t="s">
        <v>183</v>
      </c>
      <c r="D331" s="60">
        <v>34</v>
      </c>
      <c r="E331" s="59">
        <f>IFERROR(VLOOKUP(Таблица1[[#This Row],[ID KPI]],'KPI для заполнения'!A:BL,Таблица1[[#This Row],[Неделя]]+10,0),"Нет")</f>
        <v>1</v>
      </c>
      <c r="F331" s="61" t="s">
        <v>251</v>
      </c>
      <c r="G331" s="62" t="s">
        <v>533</v>
      </c>
    </row>
    <row r="332" spans="1:7" ht="18">
      <c r="A332" s="58">
        <f>ROW(Таблица1[[#This Row],[Номер п/п]])-1</f>
        <v>331</v>
      </c>
      <c r="B332" s="59" t="s">
        <v>217</v>
      </c>
      <c r="C332" s="59" t="s">
        <v>183</v>
      </c>
      <c r="D332" s="60">
        <v>34</v>
      </c>
      <c r="E332" s="59">
        <f>IFERROR(VLOOKUP(Таблица1[[#This Row],[ID KPI]],'KPI для заполнения'!A:BL,Таблица1[[#This Row],[Неделя]]+10,0),"Нет")</f>
        <v>1</v>
      </c>
      <c r="F332" s="61" t="s">
        <v>251</v>
      </c>
      <c r="G332" s="62" t="s">
        <v>534</v>
      </c>
    </row>
    <row r="333" spans="1:7" ht="36">
      <c r="A333" s="58">
        <f>ROW(Таблица1[[#This Row],[Номер п/п]])-1</f>
        <v>332</v>
      </c>
      <c r="B333" s="60" t="s">
        <v>234</v>
      </c>
      <c r="C333" s="59" t="s">
        <v>43</v>
      </c>
      <c r="D333" s="60">
        <v>34</v>
      </c>
      <c r="E333" s="59">
        <f>IFERROR(VLOOKUP(Таблица1[[#This Row],[ID KPI]],'KPI для заполнения'!A:BL,Таблица1[[#This Row],[Неделя]]+10,0),"Нет")</f>
        <v>0.81</v>
      </c>
      <c r="F333" s="61" t="s">
        <v>276</v>
      </c>
      <c r="G333" s="62" t="s">
        <v>535</v>
      </c>
    </row>
    <row r="334" spans="1:7" ht="18">
      <c r="A334" s="58">
        <f>ROW(Таблица1[[#This Row],[Номер п/п]])-1</f>
        <v>333</v>
      </c>
      <c r="B334" s="60" t="s">
        <v>234</v>
      </c>
      <c r="C334" s="59" t="s">
        <v>183</v>
      </c>
      <c r="D334" s="60">
        <v>34</v>
      </c>
      <c r="E334" s="59">
        <f>IFERROR(VLOOKUP(Таблица1[[#This Row],[ID KPI]],'KPI для заполнения'!A:BL,Таблица1[[#This Row],[Неделя]]+10,0),"Нет")</f>
        <v>0.81</v>
      </c>
      <c r="F334" s="61" t="s">
        <v>276</v>
      </c>
      <c r="G334" s="62" t="s">
        <v>536</v>
      </c>
    </row>
    <row r="335" spans="1:7" ht="18">
      <c r="A335" s="58">
        <f>ROW(Таблица1[[#This Row],[Номер п/п]])-1</f>
        <v>334</v>
      </c>
      <c r="B335" s="60" t="s">
        <v>234</v>
      </c>
      <c r="C335" s="59" t="s">
        <v>183</v>
      </c>
      <c r="D335" s="60">
        <v>34</v>
      </c>
      <c r="E335" s="59">
        <f>IFERROR(VLOOKUP(Таблица1[[#This Row],[ID KPI]],'KPI для заполнения'!A:BL,Таблица1[[#This Row],[Неделя]]+10,0),"Нет")</f>
        <v>0.81</v>
      </c>
      <c r="F335" s="61" t="s">
        <v>276</v>
      </c>
      <c r="G335" s="62" t="s">
        <v>537</v>
      </c>
    </row>
    <row r="336" spans="1:7" ht="18">
      <c r="A336" s="58">
        <f>ROW(Таблица1[[#This Row],[Номер п/п]])-1</f>
        <v>335</v>
      </c>
      <c r="B336" s="59" t="s">
        <v>10</v>
      </c>
      <c r="C336" s="59" t="s">
        <v>183</v>
      </c>
      <c r="D336" s="60">
        <v>35</v>
      </c>
      <c r="E336" s="59">
        <f>IFERROR(VLOOKUP(Таблица1[[#This Row],[ID KPI]],'KPI для заполнения'!A:BL,Таблица1[[#This Row],[Неделя]]+10,0),"Нет")</f>
        <v>0.96491228100000004</v>
      </c>
      <c r="F336" s="61" t="s">
        <v>276</v>
      </c>
      <c r="G336" s="62" t="s">
        <v>538</v>
      </c>
    </row>
    <row r="337" spans="1:7" ht="36">
      <c r="A337" s="58">
        <f>ROW(Таблица1[[#This Row],[Номер п/п]])-1</f>
        <v>336</v>
      </c>
      <c r="B337" s="59" t="s">
        <v>24</v>
      </c>
      <c r="C337" s="59" t="s">
        <v>183</v>
      </c>
      <c r="D337" s="60">
        <v>35</v>
      </c>
      <c r="E337" s="59">
        <f>IFERROR(VLOOKUP(Таблица1[[#This Row],[ID KPI]],'KPI для заполнения'!A:BL,Таблица1[[#This Row],[Неделя]]+10,0),"Нет")</f>
        <v>51574</v>
      </c>
      <c r="F337" s="61" t="s">
        <v>276</v>
      </c>
      <c r="G337" s="62" t="s">
        <v>328</v>
      </c>
    </row>
    <row r="338" spans="1:7" ht="18">
      <c r="A338" s="58">
        <f>ROW(Таблица1[[#This Row],[Номер п/п]])-1</f>
        <v>337</v>
      </c>
      <c r="B338" s="59" t="s">
        <v>46</v>
      </c>
      <c r="C338" s="59" t="s">
        <v>43</v>
      </c>
      <c r="D338" s="60">
        <v>35</v>
      </c>
      <c r="E338" s="59">
        <f>IFERROR(VLOOKUP(Таблица1[[#This Row],[ID KPI]],'KPI для заполнения'!A:BL,Таблица1[[#This Row],[Неделя]]+10,0),"Нет")</f>
        <v>1994</v>
      </c>
      <c r="F338" s="61" t="s">
        <v>276</v>
      </c>
      <c r="G338" s="62" t="s">
        <v>539</v>
      </c>
    </row>
    <row r="339" spans="1:7" ht="36">
      <c r="A339" s="58">
        <f>ROW(Таблица1[[#This Row],[Номер п/п]])-1</f>
        <v>338</v>
      </c>
      <c r="B339" s="59" t="s">
        <v>61</v>
      </c>
      <c r="C339" s="59" t="s">
        <v>183</v>
      </c>
      <c r="D339" s="60">
        <v>35</v>
      </c>
      <c r="E339" s="59">
        <f>IFERROR(VLOOKUP(Таблица1[[#This Row],[ID KPI]],'KPI для заполнения'!A:BL,Таблица1[[#This Row],[Неделя]]+10,0),"Нет")</f>
        <v>2.976190476190476E-2</v>
      </c>
      <c r="F339" s="61" t="s">
        <v>276</v>
      </c>
      <c r="G339" s="62" t="s">
        <v>540</v>
      </c>
    </row>
    <row r="340" spans="1:7" ht="54">
      <c r="A340" s="58">
        <f>ROW(Таблица1[[#This Row],[Номер п/п]])-1</f>
        <v>339</v>
      </c>
      <c r="B340" s="59" t="s">
        <v>81</v>
      </c>
      <c r="C340" s="59" t="s">
        <v>183</v>
      </c>
      <c r="D340" s="60">
        <v>35</v>
      </c>
      <c r="E340" s="59">
        <f>IFERROR(VLOOKUP(Таблица1[[#This Row],[ID KPI]],'KPI для заполнения'!A:BL,Таблица1[[#This Row],[Неделя]]+10,0),"Нет")</f>
        <v>0.67293510300000003</v>
      </c>
      <c r="F340" s="61" t="s">
        <v>276</v>
      </c>
      <c r="G340" s="62" t="s">
        <v>491</v>
      </c>
    </row>
    <row r="341" spans="1:7" ht="36">
      <c r="A341" s="58">
        <f>ROW(Таблица1[[#This Row],[Номер п/п]])-1</f>
        <v>340</v>
      </c>
      <c r="B341" s="59" t="s">
        <v>84</v>
      </c>
      <c r="C341" s="59" t="s">
        <v>183</v>
      </c>
      <c r="D341" s="60">
        <v>35</v>
      </c>
      <c r="E341" s="59">
        <f>IFERROR(VLOOKUP(Таблица1[[#This Row],[ID KPI]],'KPI для заполнения'!A:BL,Таблица1[[#This Row],[Неделя]]+10,0),"Нет")</f>
        <v>0.88235294117647056</v>
      </c>
      <c r="F341" s="61" t="s">
        <v>276</v>
      </c>
      <c r="G341" s="62" t="s">
        <v>330</v>
      </c>
    </row>
    <row r="342" spans="1:7" ht="36">
      <c r="A342" s="58">
        <f>ROW(Таблица1[[#This Row],[Номер п/п]])-1</f>
        <v>341</v>
      </c>
      <c r="B342" s="59" t="s">
        <v>96</v>
      </c>
      <c r="C342" s="59" t="s">
        <v>183</v>
      </c>
      <c r="D342" s="60">
        <v>35</v>
      </c>
      <c r="E342" s="59">
        <f>IFERROR(VLOOKUP(Таблица1[[#This Row],[ID KPI]],'KPI для заполнения'!A:BL,Таблица1[[#This Row],[Неделя]]+10,0),"Нет")</f>
        <v>11119</v>
      </c>
      <c r="F342" s="61" t="s">
        <v>276</v>
      </c>
      <c r="G342" s="62" t="s">
        <v>541</v>
      </c>
    </row>
    <row r="343" spans="1:7" ht="18">
      <c r="A343" s="58">
        <f>ROW(Таблица1[[#This Row],[Номер п/п]])-1</f>
        <v>342</v>
      </c>
      <c r="B343" s="59" t="s">
        <v>119</v>
      </c>
      <c r="C343" s="59" t="s">
        <v>43</v>
      </c>
      <c r="D343" s="60">
        <v>35</v>
      </c>
      <c r="E343" s="59">
        <f>IFERROR(VLOOKUP(Таблица1[[#This Row],[ID KPI]],'KPI для заполнения'!A:BL,Таблица1[[#This Row],[Неделя]]+10,0),"Нет")</f>
        <v>0.88888888899999996</v>
      </c>
      <c r="F343" s="61" t="s">
        <v>276</v>
      </c>
      <c r="G343" s="62" t="s">
        <v>542</v>
      </c>
    </row>
    <row r="344" spans="1:7" ht="18">
      <c r="A344" s="58">
        <f>ROW(Таблица1[[#This Row],[Номер п/п]])-1</f>
        <v>343</v>
      </c>
      <c r="B344" s="59" t="s">
        <v>167</v>
      </c>
      <c r="C344" s="59" t="s">
        <v>43</v>
      </c>
      <c r="D344" s="60">
        <v>35</v>
      </c>
      <c r="E344" s="59">
        <f>IFERROR(VLOOKUP(Таблица1[[#This Row],[ID KPI]],'KPI для заполнения'!A:BL,Таблица1[[#This Row],[Неделя]]+10,0),"Нет")</f>
        <v>1.8078125</v>
      </c>
      <c r="F344" s="61" t="s">
        <v>276</v>
      </c>
      <c r="G344" s="62" t="s">
        <v>543</v>
      </c>
    </row>
    <row r="345" spans="1:7" ht="18">
      <c r="A345" s="58">
        <f>ROW(Таблица1[[#This Row],[Номер п/п]])-1</f>
        <v>344</v>
      </c>
      <c r="B345" s="59" t="s">
        <v>212</v>
      </c>
      <c r="C345" s="59" t="s">
        <v>183</v>
      </c>
      <c r="D345" s="60">
        <v>35</v>
      </c>
      <c r="E345" s="59">
        <f>IFERROR(VLOOKUP(Таблица1[[#This Row],[ID KPI]],'KPI для заполнения'!A:BL,Таблица1[[#This Row],[Неделя]]+10,0),"Нет")</f>
        <v>0.89937106918238996</v>
      </c>
      <c r="F345" s="61" t="s">
        <v>276</v>
      </c>
      <c r="G345" s="62" t="s">
        <v>544</v>
      </c>
    </row>
    <row r="346" spans="1:7" ht="18">
      <c r="A346" s="58">
        <f>ROW(Таблица1[[#This Row],[Номер п/п]])-1</f>
        <v>345</v>
      </c>
      <c r="B346" s="59" t="s">
        <v>231</v>
      </c>
      <c r="C346" s="59" t="s">
        <v>183</v>
      </c>
      <c r="D346" s="60">
        <v>35</v>
      </c>
      <c r="E346" s="59">
        <f>IFERROR(VLOOKUP(Таблица1[[#This Row],[ID KPI]],'KPI для заполнения'!A:BL,Таблица1[[#This Row],[Неделя]]+10,0),"Нет")</f>
        <v>39</v>
      </c>
      <c r="F346" s="61" t="s">
        <v>276</v>
      </c>
      <c r="G346" s="62" t="s">
        <v>545</v>
      </c>
    </row>
    <row r="347" spans="1:7" ht="18">
      <c r="A347" s="58">
        <f>ROW(Таблица1[[#This Row],[Номер п/п]])-1</f>
        <v>346</v>
      </c>
      <c r="B347" s="59" t="s">
        <v>217</v>
      </c>
      <c r="C347" s="59" t="s">
        <v>183</v>
      </c>
      <c r="D347" s="60">
        <v>36</v>
      </c>
      <c r="E347" s="59">
        <f>IFERROR(VLOOKUP(Таблица1[[#This Row],[ID KPI]],'KPI для заполнения'!A:BL,Таблица1[[#This Row],[Неделя]]+10,0),"Нет")</f>
        <v>0.9986666666666667</v>
      </c>
      <c r="F347" s="61" t="s">
        <v>254</v>
      </c>
      <c r="G347" s="62" t="s">
        <v>546</v>
      </c>
    </row>
    <row r="348" spans="1:7" ht="54">
      <c r="A348" s="58">
        <f>ROW(Таблица1[[#This Row],[Номер п/п]])-1</f>
        <v>347</v>
      </c>
      <c r="B348" s="59" t="s">
        <v>217</v>
      </c>
      <c r="C348" s="59" t="s">
        <v>33</v>
      </c>
      <c r="D348" s="60">
        <v>36</v>
      </c>
      <c r="E348" s="59">
        <f>IFERROR(VLOOKUP(Таблица1[[#This Row],[ID KPI]],'KPI для заполнения'!A:BL,Таблица1[[#This Row],[Неделя]]+10,0),"Нет")</f>
        <v>0.9986666666666667</v>
      </c>
      <c r="F348" s="61" t="s">
        <v>251</v>
      </c>
      <c r="G348" s="62" t="s">
        <v>547</v>
      </c>
    </row>
    <row r="349" spans="1:7" ht="18">
      <c r="A349" s="58">
        <f>ROW(Таблица1[[#This Row],[Номер п/п]])-1</f>
        <v>348</v>
      </c>
      <c r="B349" s="59" t="s">
        <v>305</v>
      </c>
      <c r="C349" s="59" t="s">
        <v>183</v>
      </c>
      <c r="D349" s="60"/>
      <c r="E349" s="59" t="str">
        <f>IFERROR(VLOOKUP(Таблица1[[#This Row],[ID KPI]],'KPI для заполнения'!A:BL,Таблица1[[#This Row],[Неделя]]+10,0),"Нет")</f>
        <v>Нет</v>
      </c>
      <c r="F349" s="61" t="s">
        <v>251</v>
      </c>
      <c r="G349" s="62" t="s">
        <v>548</v>
      </c>
    </row>
    <row r="350" spans="1:7" ht="18">
      <c r="A350" s="58">
        <f>ROW(Таблица1[[#This Row],[Номер п/п]])-1</f>
        <v>349</v>
      </c>
      <c r="B350" s="59" t="s">
        <v>305</v>
      </c>
      <c r="C350" s="59" t="s">
        <v>183</v>
      </c>
      <c r="D350" s="60"/>
      <c r="E350" s="59" t="str">
        <f>IFERROR(VLOOKUP(Таблица1[[#This Row],[ID KPI]],'KPI для заполнения'!A:BL,Таблица1[[#This Row],[Неделя]]+10,0),"Нет")</f>
        <v>Нет</v>
      </c>
      <c r="F350" s="61" t="s">
        <v>251</v>
      </c>
      <c r="G350" s="62" t="s">
        <v>549</v>
      </c>
    </row>
    <row r="351" spans="1:7" ht="18">
      <c r="A351" s="58">
        <f>ROW(Таблица1[[#This Row],[Номер п/п]])-1</f>
        <v>350</v>
      </c>
      <c r="B351" s="80" t="s">
        <v>234</v>
      </c>
      <c r="C351" s="59" t="s">
        <v>183</v>
      </c>
      <c r="D351" s="60">
        <v>36</v>
      </c>
      <c r="E351" s="59">
        <f>IFERROR(VLOOKUP(Таблица1[[#This Row],[ID KPI]],'KPI для заполнения'!A:BL,Таблица1[[#This Row],[Неделя]]+10,0),"Нет")</f>
        <v>0.94</v>
      </c>
      <c r="F351" s="61" t="s">
        <v>251</v>
      </c>
      <c r="G351" s="62" t="s">
        <v>550</v>
      </c>
    </row>
    <row r="352" spans="1:7" ht="18">
      <c r="A352" s="58">
        <f>ROW(Таблица1[[#This Row],[Номер п/п]])-1</f>
        <v>351</v>
      </c>
      <c r="B352" s="59" t="s">
        <v>24</v>
      </c>
      <c r="C352" s="59" t="s">
        <v>43</v>
      </c>
      <c r="D352" s="60">
        <v>36</v>
      </c>
      <c r="E352" s="59" t="s">
        <v>551</v>
      </c>
      <c r="F352" s="61" t="s">
        <v>276</v>
      </c>
      <c r="G352" s="62" t="s">
        <v>552</v>
      </c>
    </row>
    <row r="353" spans="1:7" ht="18">
      <c r="A353" s="58">
        <f>ROW(Таблица1[[#This Row],[Номер п/п]])-1</f>
        <v>352</v>
      </c>
      <c r="B353" s="59" t="s">
        <v>73</v>
      </c>
      <c r="C353" s="59" t="s">
        <v>183</v>
      </c>
      <c r="D353" s="60">
        <v>36</v>
      </c>
      <c r="E353" s="59">
        <f>IFERROR(VLOOKUP(Таблица1[[#This Row],[ID KPI]],'KPI для заполнения'!A:BL,Таблица1[[#This Row],[Неделя]]+10,0),"Нет")</f>
        <v>23</v>
      </c>
      <c r="F353" s="61" t="s">
        <v>251</v>
      </c>
      <c r="G353" s="62" t="s">
        <v>553</v>
      </c>
    </row>
    <row r="354" spans="1:7" ht="18">
      <c r="A354" s="58">
        <f>ROW(Таблица1[[#This Row],[Номер п/п]])-1</f>
        <v>353</v>
      </c>
      <c r="B354" s="59" t="s">
        <v>81</v>
      </c>
      <c r="C354" s="59" t="s">
        <v>183</v>
      </c>
      <c r="D354" s="60">
        <v>36</v>
      </c>
      <c r="E354" s="59">
        <f>IFERROR(VLOOKUP(Таблица1[[#This Row],[ID KPI]],'KPI для заполнения'!A:BL,Таблица1[[#This Row],[Неделя]]+10,0),"Нет")</f>
        <v>0.76</v>
      </c>
      <c r="F354" s="61" t="s">
        <v>276</v>
      </c>
      <c r="G354" s="62" t="s">
        <v>554</v>
      </c>
    </row>
    <row r="355" spans="1:7" ht="18">
      <c r="A355" s="58">
        <f>ROW(Таблица1[[#This Row],[Номер п/п]])-1</f>
        <v>354</v>
      </c>
      <c r="B355" s="80" t="s">
        <v>84</v>
      </c>
      <c r="C355" s="59" t="s">
        <v>183</v>
      </c>
      <c r="D355" s="60">
        <v>36</v>
      </c>
      <c r="E355" s="59">
        <f>IFERROR(VLOOKUP(Таблица1[[#This Row],[ID KPI]],'KPI для заполнения'!A:BL,Таблица1[[#This Row],[Неделя]]+10,0),"Нет")</f>
        <v>0</v>
      </c>
      <c r="F355" s="61" t="s">
        <v>276</v>
      </c>
      <c r="G355" s="62" t="s">
        <v>555</v>
      </c>
    </row>
    <row r="356" spans="1:7" ht="18">
      <c r="A356" s="58">
        <f>ROW(Таблица1[[#This Row],[Номер п/п]])-1</f>
        <v>355</v>
      </c>
      <c r="B356" s="80" t="s">
        <v>96</v>
      </c>
      <c r="C356" s="59" t="s">
        <v>183</v>
      </c>
      <c r="D356" s="60">
        <v>36</v>
      </c>
      <c r="E356" s="59">
        <f>IFERROR(VLOOKUP(Таблица1[[#This Row],[ID KPI]],'KPI для заполнения'!A:BL,Таблица1[[#This Row],[Неделя]]+10,0),"Нет")</f>
        <v>9948</v>
      </c>
      <c r="F356" s="61" t="s">
        <v>276</v>
      </c>
      <c r="G356" s="62" t="s">
        <v>556</v>
      </c>
    </row>
    <row r="357" spans="1:7" ht="54">
      <c r="A357" s="58">
        <f>ROW(Таблица1[[#This Row],[Номер п/п]])-1</f>
        <v>356</v>
      </c>
      <c r="B357" s="80" t="s">
        <v>115</v>
      </c>
      <c r="C357" s="59" t="s">
        <v>183</v>
      </c>
      <c r="D357" s="60">
        <v>36</v>
      </c>
      <c r="E357" s="59">
        <f>IFERROR(VLOOKUP(Таблица1[[#This Row],[ID KPI]],'KPI для заполнения'!A:BL,Таблица1[[#This Row],[Неделя]]+10,0),"Нет")</f>
        <v>0.84</v>
      </c>
      <c r="F357" s="61" t="s">
        <v>251</v>
      </c>
      <c r="G357" s="62" t="s">
        <v>557</v>
      </c>
    </row>
    <row r="358" spans="1:7" ht="18">
      <c r="A358" s="58">
        <f>ROW(Таблица1[[#This Row],[Номер п/п]])-1</f>
        <v>357</v>
      </c>
      <c r="B358" s="80" t="s">
        <v>167</v>
      </c>
      <c r="C358" s="59" t="s">
        <v>43</v>
      </c>
      <c r="D358" s="60">
        <v>36</v>
      </c>
      <c r="E358" s="59">
        <f>IFERROR(VLOOKUP(Таблица1[[#This Row],[ID KPI]],'KPI для заполнения'!A:BL,Таблица1[[#This Row],[Неделя]]+10,0),"Нет")</f>
        <v>2.0931250000000001</v>
      </c>
      <c r="F358" s="61" t="s">
        <v>276</v>
      </c>
      <c r="G358" s="62" t="s">
        <v>558</v>
      </c>
    </row>
    <row r="359" spans="1:7" ht="18">
      <c r="A359" s="58">
        <f>ROW(Таблица1[[#This Row],[Номер п/п]])-1</f>
        <v>358</v>
      </c>
      <c r="B359" s="80" t="s">
        <v>184</v>
      </c>
      <c r="C359" s="59" t="s">
        <v>40</v>
      </c>
      <c r="D359" s="60">
        <v>36</v>
      </c>
      <c r="E359" s="59">
        <f>IFERROR(VLOOKUP(Таблица1[[#This Row],[ID KPI]],'KPI для заполнения'!A:BL,Таблица1[[#This Row],[Неделя]]+10,0),"Нет")</f>
        <v>10</v>
      </c>
      <c r="F359" s="61" t="s">
        <v>276</v>
      </c>
      <c r="G359" s="62" t="s">
        <v>559</v>
      </c>
    </row>
    <row r="360" spans="1:7" ht="18">
      <c r="A360" s="58">
        <f>ROW(Таблица1[[#This Row],[Номер п/п]])-1</f>
        <v>359</v>
      </c>
      <c r="B360" s="59" t="s">
        <v>149</v>
      </c>
      <c r="C360" s="59" t="s">
        <v>183</v>
      </c>
      <c r="D360" s="60">
        <v>36</v>
      </c>
      <c r="E360" s="59">
        <f>IFERROR(VLOOKUP(Таблица1[[#This Row],[ID KPI]],'KPI для заполнения'!A:BL,Таблица1[[#This Row],[Неделя]]+10,0),"Нет")</f>
        <v>124</v>
      </c>
      <c r="F360" s="61" t="s">
        <v>276</v>
      </c>
      <c r="G360" s="62"/>
    </row>
    <row r="361" spans="1:7" ht="36">
      <c r="A361" s="58">
        <f>ROW(Таблица1[[#This Row],[Номер п/п]])-1</f>
        <v>360</v>
      </c>
      <c r="B361" s="80" t="s">
        <v>21</v>
      </c>
      <c r="C361" s="59" t="s">
        <v>183</v>
      </c>
      <c r="D361" s="60">
        <v>37</v>
      </c>
      <c r="E361" s="59">
        <f>IFERROR(VLOOKUP(Таблица1[[#This Row],[ID KPI]],'KPI для заполнения'!A:BL,Таблица1[[#This Row],[Неделя]]+10,0),"Нет")</f>
        <v>0.91</v>
      </c>
      <c r="F361" s="61" t="s">
        <v>276</v>
      </c>
      <c r="G361" s="62" t="s">
        <v>560</v>
      </c>
    </row>
    <row r="362" spans="1:7" ht="18">
      <c r="A362" s="58">
        <f>ROW(Таблица1[[#This Row],[Номер п/п]])-1</f>
        <v>361</v>
      </c>
      <c r="B362" s="80" t="s">
        <v>24</v>
      </c>
      <c r="C362" s="59" t="s">
        <v>43</v>
      </c>
      <c r="D362" s="60">
        <v>37</v>
      </c>
      <c r="E362" s="59">
        <f>IFERROR(VLOOKUP(Таблица1[[#This Row],[ID KPI]],'KPI для заполнения'!A:BL,Таблица1[[#This Row],[Неделя]]+10,0),"Нет")</f>
        <v>53910</v>
      </c>
      <c r="F362" s="61" t="s">
        <v>276</v>
      </c>
      <c r="G362" s="62" t="s">
        <v>552</v>
      </c>
    </row>
    <row r="363" spans="1:7" ht="18">
      <c r="A363" s="58">
        <f>ROW(Таблица1[[#This Row],[Номер п/п]])-1</f>
        <v>362</v>
      </c>
      <c r="B363" s="59" t="s">
        <v>61</v>
      </c>
      <c r="C363" s="59" t="s">
        <v>183</v>
      </c>
      <c r="D363" s="60">
        <v>37</v>
      </c>
      <c r="E363" s="59">
        <f>IFERROR(VLOOKUP(Таблица1[[#This Row],[ID KPI]],'KPI для заполнения'!A:BL,Таблица1[[#This Row],[Неделя]]+10,0),"Нет")</f>
        <v>0.125</v>
      </c>
      <c r="F363" s="61" t="s">
        <v>276</v>
      </c>
      <c r="G363" s="62" t="s">
        <v>561</v>
      </c>
    </row>
    <row r="364" spans="1:7" ht="18">
      <c r="A364" s="58">
        <f>ROW(Таблица1[[#This Row],[Номер п/п]])-1</f>
        <v>363</v>
      </c>
      <c r="B364" s="59" t="s">
        <v>81</v>
      </c>
      <c r="C364" s="59" t="s">
        <v>183</v>
      </c>
      <c r="D364" s="60">
        <v>37</v>
      </c>
      <c r="E364" s="59">
        <f>IFERROR(VLOOKUP(Таблица1[[#This Row],[ID KPI]],'KPI для заполнения'!A:BL,Таблица1[[#This Row],[Неделя]]+10,0),"Нет")</f>
        <v>0.94</v>
      </c>
      <c r="F364" s="61" t="s">
        <v>276</v>
      </c>
      <c r="G364" s="62" t="s">
        <v>554</v>
      </c>
    </row>
    <row r="365" spans="1:7" ht="18">
      <c r="A365" s="58">
        <f>ROW(Таблица1[[#This Row],[Номер п/п]])-1</f>
        <v>364</v>
      </c>
      <c r="B365" s="80" t="s">
        <v>84</v>
      </c>
      <c r="C365" s="59" t="s">
        <v>183</v>
      </c>
      <c r="D365" s="60">
        <v>37</v>
      </c>
      <c r="E365" s="59">
        <f>IFERROR(VLOOKUP(Таблица1[[#This Row],[ID KPI]],'KPI для заполнения'!A:BL,Таблица1[[#This Row],[Неделя]]+10,0),"Нет")</f>
        <v>0</v>
      </c>
      <c r="F365" s="61" t="s">
        <v>276</v>
      </c>
      <c r="G365" s="62" t="s">
        <v>562</v>
      </c>
    </row>
    <row r="366" spans="1:7" ht="18">
      <c r="A366" s="58">
        <f>ROW(Таблица1[[#This Row],[Номер п/п]])-1</f>
        <v>365</v>
      </c>
      <c r="B366" s="80" t="s">
        <v>96</v>
      </c>
      <c r="C366" s="59" t="s">
        <v>183</v>
      </c>
      <c r="D366" s="60">
        <v>37</v>
      </c>
      <c r="E366" s="59">
        <f>IFERROR(VLOOKUP(Таблица1[[#This Row],[ID KPI]],'KPI для заполнения'!A:BL,Таблица1[[#This Row],[Неделя]]+10,0),"Нет")</f>
        <v>9590</v>
      </c>
      <c r="F366" s="61" t="s">
        <v>276</v>
      </c>
      <c r="G366" s="62" t="s">
        <v>556</v>
      </c>
    </row>
    <row r="367" spans="1:7" ht="36">
      <c r="A367" s="58">
        <f>ROW(Таблица1[[#This Row],[Номер п/п]])-1</f>
        <v>366</v>
      </c>
      <c r="B367" s="80" t="s">
        <v>115</v>
      </c>
      <c r="C367" s="59" t="s">
        <v>37</v>
      </c>
      <c r="D367" s="60">
        <v>37</v>
      </c>
      <c r="E367" s="59">
        <f>IFERROR(VLOOKUP(Таблица1[[#This Row],[ID KPI]],'KPI для заполнения'!A:BL,Таблица1[[#This Row],[Неделя]]+10,0),"Нет")</f>
        <v>0.97</v>
      </c>
      <c r="F367" s="61" t="s">
        <v>276</v>
      </c>
      <c r="G367" s="62" t="s">
        <v>563</v>
      </c>
    </row>
    <row r="368" spans="1:7" ht="18">
      <c r="A368" s="58">
        <f>ROW(Таблица1[[#This Row],[Номер п/п]])-1</f>
        <v>367</v>
      </c>
      <c r="B368" s="80" t="s">
        <v>167</v>
      </c>
      <c r="C368" s="59" t="s">
        <v>183</v>
      </c>
      <c r="D368" s="60">
        <v>37</v>
      </c>
      <c r="E368" s="59">
        <f>IFERROR(VLOOKUP(Таблица1[[#This Row],[ID KPI]],'KPI для заполнения'!A:BL,Таблица1[[#This Row],[Неделя]]+10,0),"Нет")</f>
        <v>1.3215625</v>
      </c>
      <c r="F368" s="61" t="s">
        <v>276</v>
      </c>
      <c r="G368" s="62" t="s">
        <v>564</v>
      </c>
    </row>
    <row r="369" spans="1:7" ht="18">
      <c r="A369" s="58">
        <f>ROW(Таблица1[[#This Row],[Номер п/п]])-1</f>
        <v>368</v>
      </c>
      <c r="B369" s="59" t="s">
        <v>205</v>
      </c>
      <c r="C369" s="59" t="s">
        <v>43</v>
      </c>
      <c r="D369" s="60">
        <v>37</v>
      </c>
      <c r="E369" s="59">
        <f>IFERROR(VLOOKUP(Таблица1[[#This Row],[ID KPI]],'KPI для заполнения'!A:BL,Таблица1[[#This Row],[Неделя]]+10,0),"Нет")</f>
        <v>0.98333333333333328</v>
      </c>
      <c r="F369" s="61" t="s">
        <v>276</v>
      </c>
      <c r="G369" s="62" t="s">
        <v>565</v>
      </c>
    </row>
    <row r="370" spans="1:7" ht="18">
      <c r="A370" s="58">
        <f>ROW(Таблица1[[#This Row],[Номер п/п]])-1</f>
        <v>369</v>
      </c>
      <c r="B370" s="59" t="s">
        <v>212</v>
      </c>
      <c r="C370" s="59" t="s">
        <v>40</v>
      </c>
      <c r="D370" s="60">
        <v>37</v>
      </c>
      <c r="E370" s="59">
        <f>IFERROR(VLOOKUP(Таблица1[[#This Row],[ID KPI]],'KPI для заполнения'!A:BL,Таблица1[[#This Row],[Неделя]]+10,0),"Нет")</f>
        <v>0.99369085173501581</v>
      </c>
      <c r="F370" s="61" t="s">
        <v>276</v>
      </c>
      <c r="G370" s="62" t="s">
        <v>544</v>
      </c>
    </row>
    <row r="371" spans="1:7" ht="18">
      <c r="A371" s="58">
        <f>ROW(Таблица1[[#This Row],[Номер п/п]])-1</f>
        <v>370</v>
      </c>
      <c r="B371" s="59" t="s">
        <v>217</v>
      </c>
      <c r="C371" s="59" t="s">
        <v>37</v>
      </c>
      <c r="D371" s="60">
        <v>37</v>
      </c>
      <c r="E371" s="59">
        <f>IFERROR(VLOOKUP(Таблица1[[#This Row],[ID KPI]],'KPI для заполнения'!A:BL,Таблица1[[#This Row],[Неделя]]+10,0),"Нет")</f>
        <v>0.99950980392156863</v>
      </c>
      <c r="F371" s="61" t="s">
        <v>251</v>
      </c>
      <c r="G371" s="62" t="s">
        <v>566</v>
      </c>
    </row>
    <row r="372" spans="1:7" ht="18">
      <c r="A372" s="58">
        <f>ROW(Таблица1[[#This Row],[Номер п/п]])-1</f>
        <v>371</v>
      </c>
      <c r="B372" s="59" t="s">
        <v>149</v>
      </c>
      <c r="C372" s="59" t="s">
        <v>183</v>
      </c>
      <c r="D372" s="60">
        <v>37</v>
      </c>
      <c r="E372" s="59">
        <f>IFERROR(VLOOKUP(Таблица1[[#This Row],[ID KPI]],'KPI для заполнения'!A:BL,Таблица1[[#This Row],[Неделя]]+10,0),"Нет")</f>
        <v>248</v>
      </c>
      <c r="F372" s="61" t="s">
        <v>276</v>
      </c>
      <c r="G372" s="62" t="s">
        <v>567</v>
      </c>
    </row>
    <row r="373" spans="1:7" ht="18">
      <c r="A373" s="58">
        <f>ROW(Таблица1[[#This Row],[Номер п/п]])-1</f>
        <v>372</v>
      </c>
      <c r="B373" s="59" t="s">
        <v>164</v>
      </c>
      <c r="C373" s="59" t="s">
        <v>183</v>
      </c>
      <c r="D373" s="60">
        <v>37</v>
      </c>
      <c r="E373" s="59">
        <f>IFERROR(VLOOKUP(Таблица1[[#This Row],[ID KPI]],'KPI для заполнения'!A:BL,Таблица1[[#This Row],[Неделя]]+10,0),"Нет")</f>
        <v>0.91</v>
      </c>
      <c r="F373" s="61" t="s">
        <v>276</v>
      </c>
      <c r="G373" s="62" t="s">
        <v>568</v>
      </c>
    </row>
    <row r="374" spans="1:7" ht="18">
      <c r="A374" s="58">
        <f>ROW(Таблица1[[#This Row],[Номер п/п]])-1</f>
        <v>373</v>
      </c>
      <c r="B374" s="59" t="s">
        <v>179</v>
      </c>
      <c r="C374" s="59" t="s">
        <v>183</v>
      </c>
      <c r="D374" s="60">
        <v>37</v>
      </c>
      <c r="E374" s="59">
        <f>IFERROR(VLOOKUP(Таблица1[[#This Row],[ID KPI]],'KPI для заполнения'!A:BL,Таблица1[[#This Row],[Неделя]]+10,0),"Нет")</f>
        <v>0</v>
      </c>
      <c r="F374" s="61" t="s">
        <v>276</v>
      </c>
      <c r="G374" s="62" t="s">
        <v>569</v>
      </c>
    </row>
    <row r="375" spans="1:7" ht="18">
      <c r="A375" s="58">
        <f>ROW(Таблица1[[#This Row],[Номер п/п]])-1</f>
        <v>374</v>
      </c>
      <c r="B375" s="59" t="s">
        <v>184</v>
      </c>
      <c r="C375" s="59" t="s">
        <v>183</v>
      </c>
      <c r="D375" s="60">
        <v>37</v>
      </c>
      <c r="E375" s="59">
        <f>IFERROR(VLOOKUP(Таблица1[[#This Row],[ID KPI]],'KPI для заполнения'!A:BL,Таблица1[[#This Row],[Неделя]]+10,0),"Нет")</f>
        <v>13</v>
      </c>
      <c r="F375" s="61" t="s">
        <v>276</v>
      </c>
      <c r="G375" s="62" t="s">
        <v>570</v>
      </c>
    </row>
    <row r="376" spans="1:7" ht="18">
      <c r="A376" s="58">
        <f>ROW(Таблица1[[#This Row],[Номер п/п]])-1</f>
        <v>375</v>
      </c>
      <c r="B376" s="59" t="s">
        <v>189</v>
      </c>
      <c r="C376" s="59" t="s">
        <v>183</v>
      </c>
      <c r="D376" s="60">
        <v>37</v>
      </c>
      <c r="E376" s="59">
        <f>IFERROR(VLOOKUP(Таблица1[[#This Row],[ID KPI]],'KPI для заполнения'!A:BL,Таблица1[[#This Row],[Неделя]]+10,0),"Нет")</f>
        <v>6</v>
      </c>
      <c r="F376" s="61" t="s">
        <v>276</v>
      </c>
      <c r="G376" s="62" t="s">
        <v>570</v>
      </c>
    </row>
    <row r="377" spans="1:7" ht="18">
      <c r="A377" s="58">
        <f>ROW(Таблица1[[#This Row],[Номер п/п]])-1</f>
        <v>376</v>
      </c>
      <c r="B377" s="59" t="s">
        <v>196</v>
      </c>
      <c r="C377" s="59" t="s">
        <v>183</v>
      </c>
      <c r="D377" s="60">
        <v>37</v>
      </c>
      <c r="E377" s="59">
        <f>IFERROR(VLOOKUP(Таблица1[[#This Row],[ID KPI]],'KPI для заполнения'!A:BL,Таблица1[[#This Row],[Неделя]]+10,0),"Нет")</f>
        <v>0.13552631600000001</v>
      </c>
      <c r="F377" s="61" t="s">
        <v>276</v>
      </c>
      <c r="G377" s="62" t="s">
        <v>571</v>
      </c>
    </row>
    <row r="378" spans="1:7" ht="18">
      <c r="A378" s="58">
        <f>ROW(Таблица1[[#This Row],[Номер п/п]])-1</f>
        <v>377</v>
      </c>
      <c r="B378" s="59" t="s">
        <v>231</v>
      </c>
      <c r="C378" s="59" t="s">
        <v>183</v>
      </c>
      <c r="D378" s="60">
        <v>37</v>
      </c>
      <c r="E378" s="59">
        <f>IFERROR(VLOOKUP(Таблица1[[#This Row],[ID KPI]],'KPI для заполнения'!A:BL,Таблица1[[#This Row],[Неделя]]+10,0),"Нет")</f>
        <v>43</v>
      </c>
      <c r="F378" s="61" t="s">
        <v>276</v>
      </c>
      <c r="G378" s="62" t="s">
        <v>572</v>
      </c>
    </row>
    <row r="379" spans="1:7" ht="18">
      <c r="A379" s="58">
        <f>ROW(Таблица1[[#This Row],[Номер п/п]])-1</f>
        <v>378</v>
      </c>
      <c r="B379" s="80" t="s">
        <v>18</v>
      </c>
      <c r="C379" s="59" t="s">
        <v>183</v>
      </c>
      <c r="D379" s="60">
        <v>38</v>
      </c>
      <c r="E379" s="59">
        <f>IFERROR(VLOOKUP(Таблица1[[#This Row],[ID KPI]],'KPI для заполнения'!A:BL,Таблица1[[#This Row],[Неделя]]+10,0),"Нет")</f>
        <v>0.96666666700000003</v>
      </c>
      <c r="F379" s="61" t="s">
        <v>276</v>
      </c>
      <c r="G379" s="62" t="s">
        <v>573</v>
      </c>
    </row>
    <row r="380" spans="1:7" ht="18">
      <c r="A380" s="58">
        <f>ROW(Таблица1[[#This Row],[Номер п/п]])-1</f>
        <v>379</v>
      </c>
      <c r="B380" s="80" t="s">
        <v>21</v>
      </c>
      <c r="C380" s="59" t="s">
        <v>183</v>
      </c>
      <c r="D380" s="60">
        <v>38</v>
      </c>
      <c r="E380" s="59">
        <f>IFERROR(VLOOKUP(Таблица1[[#This Row],[ID KPI]],'KPI для заполнения'!A:BL,Таблица1[[#This Row],[Неделя]]+10,0),"Нет")</f>
        <v>0.94285714300000001</v>
      </c>
      <c r="F380" s="61" t="s">
        <v>276</v>
      </c>
      <c r="G380" s="62" t="s">
        <v>574</v>
      </c>
    </row>
    <row r="381" spans="1:7" ht="18">
      <c r="A381" s="58">
        <f>ROW(Таблица1[[#This Row],[Номер п/п]])-1</f>
        <v>380</v>
      </c>
      <c r="B381" s="80" t="s">
        <v>24</v>
      </c>
      <c r="C381" s="59" t="s">
        <v>183</v>
      </c>
      <c r="D381" s="60">
        <v>38</v>
      </c>
      <c r="E381" s="59">
        <f>IFERROR(VLOOKUP(Таблица1[[#This Row],[ID KPI]],'KPI для заполнения'!A:BL,Таблица1[[#This Row],[Неделя]]+10,0),"Нет")</f>
        <v>44689</v>
      </c>
      <c r="F381" s="61" t="s">
        <v>276</v>
      </c>
      <c r="G381" s="62" t="s">
        <v>575</v>
      </c>
    </row>
    <row r="382" spans="1:7" ht="18">
      <c r="A382" s="58">
        <f>ROW(Таблица1[[#This Row],[Номер п/п]])-1</f>
        <v>381</v>
      </c>
      <c r="B382" s="80" t="s">
        <v>46</v>
      </c>
      <c r="C382" s="59" t="s">
        <v>183</v>
      </c>
      <c r="D382" s="60">
        <v>38</v>
      </c>
      <c r="E382" s="59">
        <f>IFERROR(VLOOKUP(Таблица1[[#This Row],[ID KPI]],'KPI для заполнения'!A:BL,Таблица1[[#This Row],[Неделя]]+10,0),"Нет")</f>
        <v>1344</v>
      </c>
      <c r="F382" s="61" t="s">
        <v>276</v>
      </c>
      <c r="G382" s="62" t="s">
        <v>576</v>
      </c>
    </row>
    <row r="383" spans="1:7" ht="18">
      <c r="A383" s="58">
        <f>ROW(Таблица1[[#This Row],[Номер п/п]])-1</f>
        <v>382</v>
      </c>
      <c r="B383" s="80" t="s">
        <v>81</v>
      </c>
      <c r="C383" s="59" t="s">
        <v>183</v>
      </c>
      <c r="D383" s="60">
        <v>38</v>
      </c>
      <c r="E383" s="59">
        <f>IFERROR(VLOOKUP(Таблица1[[#This Row],[ID KPI]],'KPI для заполнения'!A:BL,Таблица1[[#This Row],[Неделя]]+10,0),"Нет")</f>
        <v>0.35</v>
      </c>
      <c r="F383" s="61" t="s">
        <v>276</v>
      </c>
      <c r="G383" s="62" t="s">
        <v>554</v>
      </c>
    </row>
    <row r="384" spans="1:7" ht="18">
      <c r="A384" s="58">
        <f>ROW(Таблица1[[#This Row],[Номер п/п]])-1</f>
        <v>383</v>
      </c>
      <c r="B384" s="80" t="s">
        <v>96</v>
      </c>
      <c r="C384" s="59" t="s">
        <v>183</v>
      </c>
      <c r="D384" s="60">
        <v>38</v>
      </c>
      <c r="E384" s="59">
        <f>IFERROR(VLOOKUP(Таблица1[[#This Row],[ID KPI]],'KPI для заполнения'!A:BL,Таблица1[[#This Row],[Неделя]]+10,0),"Нет")</f>
        <v>9449</v>
      </c>
      <c r="F384" s="61" t="s">
        <v>276</v>
      </c>
      <c r="G384" s="62" t="s">
        <v>556</v>
      </c>
    </row>
    <row r="385" spans="1:7" ht="18">
      <c r="A385" s="58">
        <f>ROW(Таблица1[[#This Row],[Номер п/п]])-1</f>
        <v>384</v>
      </c>
      <c r="B385" s="80" t="s">
        <v>115</v>
      </c>
      <c r="C385" s="59" t="s">
        <v>33</v>
      </c>
      <c r="D385" s="60">
        <v>38</v>
      </c>
      <c r="E385" s="59">
        <f>IFERROR(VLOOKUP(Таблица1[[#This Row],[ID KPI]],'KPI для заполнения'!A:BL,Таблица1[[#This Row],[Неделя]]+10,0),"Нет")</f>
        <v>0.96329447700000004</v>
      </c>
      <c r="F385" s="61" t="s">
        <v>276</v>
      </c>
      <c r="G385" s="62" t="s">
        <v>577</v>
      </c>
    </row>
    <row r="386" spans="1:7" ht="18">
      <c r="A386" s="58">
        <f>ROW(Таблица1[[#This Row],[Номер п/п]])-1</f>
        <v>385</v>
      </c>
      <c r="B386" s="80" t="s">
        <v>167</v>
      </c>
      <c r="C386" s="59" t="s">
        <v>183</v>
      </c>
      <c r="D386" s="60">
        <v>38</v>
      </c>
      <c r="E386" s="59">
        <f>IFERROR(VLOOKUP(Таблица1[[#This Row],[ID KPI]],'KPI для заполнения'!A:BL,Таблица1[[#This Row],[Неделя]]+10,0),"Нет")</f>
        <v>1.9740625000000001</v>
      </c>
      <c r="F386" s="61" t="s">
        <v>276</v>
      </c>
      <c r="G386" s="62" t="s">
        <v>578</v>
      </c>
    </row>
    <row r="387" spans="1:7" ht="18">
      <c r="A387" s="58">
        <f>ROW(Таблица1[[#This Row],[Номер п/п]])-1</f>
        <v>386</v>
      </c>
      <c r="B387" s="80" t="s">
        <v>61</v>
      </c>
      <c r="C387" s="59" t="s">
        <v>40</v>
      </c>
      <c r="D387" s="60">
        <v>38</v>
      </c>
      <c r="E387" s="59">
        <f>IFERROR(VLOOKUP(Таблица1[[#This Row],[ID KPI]],'KPI для заполнения'!A:BL,Таблица1[[#This Row],[Неделя]]+10,0),"Нет")</f>
        <v>3.2258064516129031E-2</v>
      </c>
      <c r="F387" s="61" t="s">
        <v>276</v>
      </c>
      <c r="G387" s="62" t="s">
        <v>579</v>
      </c>
    </row>
    <row r="388" spans="1:7" ht="18">
      <c r="A388" s="58">
        <f>ROW(Таблица1[[#This Row],[Номер п/п]])-1</f>
        <v>387</v>
      </c>
      <c r="B388" s="80" t="s">
        <v>84</v>
      </c>
      <c r="C388" s="59" t="s">
        <v>183</v>
      </c>
      <c r="D388" s="60">
        <v>38</v>
      </c>
      <c r="E388" s="59">
        <f>IFERROR(VLOOKUP(Таблица1[[#This Row],[ID KPI]],'KPI для заполнения'!A:BL,Таблица1[[#This Row],[Неделя]]+10,0),"Нет")</f>
        <v>0.48275862068965519</v>
      </c>
      <c r="F388" s="61" t="s">
        <v>276</v>
      </c>
      <c r="G388" s="62" t="s">
        <v>562</v>
      </c>
    </row>
    <row r="389" spans="1:7" ht="36">
      <c r="A389" s="58">
        <f>ROW(Таблица1[[#This Row],[Номер п/п]])-1</f>
        <v>388</v>
      </c>
      <c r="B389" s="80" t="s">
        <v>212</v>
      </c>
      <c r="C389" s="59" t="s">
        <v>183</v>
      </c>
      <c r="D389" s="60">
        <v>38</v>
      </c>
      <c r="E389" s="59">
        <f>IFERROR(VLOOKUP(Таблица1[[#This Row],[ID KPI]],'KPI для заполнения'!A:BL,Таблица1[[#This Row],[Неделя]]+10,0),"Нет")</f>
        <v>0.93356643356643354</v>
      </c>
      <c r="F389" s="61" t="s">
        <v>276</v>
      </c>
      <c r="G389" s="62" t="s">
        <v>580</v>
      </c>
    </row>
    <row r="390" spans="1:7" ht="18">
      <c r="A390" s="58">
        <f>ROW(Таблица1[[#This Row],[Номер п/п]])-1</f>
        <v>389</v>
      </c>
      <c r="B390" s="59" t="s">
        <v>149</v>
      </c>
      <c r="C390" s="59" t="s">
        <v>183</v>
      </c>
      <c r="D390" s="60">
        <v>38</v>
      </c>
      <c r="E390" s="59">
        <v>141</v>
      </c>
      <c r="F390" s="61" t="s">
        <v>276</v>
      </c>
      <c r="G390" s="62" t="s">
        <v>581</v>
      </c>
    </row>
    <row r="391" spans="1:7" ht="18">
      <c r="A391" s="58">
        <f>ROW(Таблица1[[#This Row],[Номер п/п]])-1</f>
        <v>390</v>
      </c>
      <c r="B391" s="80" t="s">
        <v>24</v>
      </c>
      <c r="C391" s="59" t="s">
        <v>183</v>
      </c>
      <c r="D391" s="60">
        <v>39</v>
      </c>
      <c r="E391" s="59">
        <f>IFERROR(VLOOKUP(Таблица1[[#This Row],[ID KPI]],'KPI для заполнения'!A:BL,Таблица1[[#This Row],[Неделя]]+10,0),"Нет")</f>
        <v>44582</v>
      </c>
      <c r="F391" s="61" t="s">
        <v>276</v>
      </c>
      <c r="G391" s="62" t="s">
        <v>575</v>
      </c>
    </row>
    <row r="392" spans="1:7" ht="18">
      <c r="A392" s="58">
        <f>ROW(Таблица1[[#This Row],[Номер п/п]])-1</f>
        <v>391</v>
      </c>
      <c r="B392" s="80" t="s">
        <v>73</v>
      </c>
      <c r="C392" s="59" t="s">
        <v>183</v>
      </c>
      <c r="D392" s="60">
        <v>39</v>
      </c>
      <c r="E392" s="59">
        <f>IFERROR(VLOOKUP(Таблица1[[#This Row],[ID KPI]],'KPI для заполнения'!A:BL,Таблица1[[#This Row],[Неделя]]+10,0),"Нет")</f>
        <v>268</v>
      </c>
      <c r="F392" s="61" t="s">
        <v>276</v>
      </c>
      <c r="G392" s="62" t="s">
        <v>582</v>
      </c>
    </row>
    <row r="393" spans="1:7" ht="18">
      <c r="A393" s="58">
        <f>ROW(Таблица1[[#This Row],[Номер п/п]])-1</f>
        <v>392</v>
      </c>
      <c r="B393" s="80" t="s">
        <v>81</v>
      </c>
      <c r="C393" s="59" t="s">
        <v>183</v>
      </c>
      <c r="D393" s="60">
        <v>39</v>
      </c>
      <c r="E393" s="59">
        <f>IFERROR(VLOOKUP(Таблица1[[#This Row],[ID KPI]],'KPI для заполнения'!A:BL,Таблица1[[#This Row],[Неделя]]+10,0),"Нет")</f>
        <v>0.88</v>
      </c>
      <c r="F393" s="61" t="s">
        <v>276</v>
      </c>
      <c r="G393" s="62" t="s">
        <v>554</v>
      </c>
    </row>
    <row r="394" spans="1:7" ht="18">
      <c r="A394" s="58">
        <f>ROW(Таблица1[[#This Row],[Номер п/п]])-1</f>
        <v>393</v>
      </c>
      <c r="B394" s="80" t="s">
        <v>84</v>
      </c>
      <c r="C394" s="59" t="s">
        <v>183</v>
      </c>
      <c r="D394" s="60">
        <v>39</v>
      </c>
      <c r="E394" s="59">
        <f>IFERROR(VLOOKUP(Таблица1[[#This Row],[ID KPI]],'KPI для заполнения'!A:BL,Таблица1[[#This Row],[Неделя]]+10,0),"Нет")</f>
        <v>2E-3</v>
      </c>
      <c r="F394" s="61" t="s">
        <v>276</v>
      </c>
      <c r="G394" s="62" t="s">
        <v>562</v>
      </c>
    </row>
    <row r="395" spans="1:7" ht="18">
      <c r="A395" s="58">
        <f>ROW(Таблица1[[#This Row],[Номер п/п]])-1</f>
        <v>394</v>
      </c>
      <c r="B395" s="80" t="s">
        <v>96</v>
      </c>
      <c r="C395" s="59" t="s">
        <v>183</v>
      </c>
      <c r="D395" s="60">
        <v>39</v>
      </c>
      <c r="E395" s="59">
        <f>IFERROR(VLOOKUP(Таблица1[[#This Row],[ID KPI]],'KPI для заполнения'!A:BL,Таблица1[[#This Row],[Неделя]]+10,0),"Нет")</f>
        <v>9327</v>
      </c>
      <c r="F395" s="61" t="s">
        <v>276</v>
      </c>
      <c r="G395" s="62" t="s">
        <v>556</v>
      </c>
    </row>
    <row r="396" spans="1:7" ht="18">
      <c r="A396" s="58">
        <f>ROW(Таблица1[[#This Row],[Номер п/п]])-1</f>
        <v>395</v>
      </c>
      <c r="B396" s="80" t="s">
        <v>115</v>
      </c>
      <c r="C396" s="59" t="s">
        <v>183</v>
      </c>
      <c r="D396" s="60">
        <v>39</v>
      </c>
      <c r="E396" s="59">
        <f>IFERROR(VLOOKUP(Таблица1[[#This Row],[ID KPI]],'KPI для заполнения'!A:BL,Таблица1[[#This Row],[Неделя]]+10,0),"Нет")</f>
        <v>0.95</v>
      </c>
      <c r="F396" s="61" t="s">
        <v>276</v>
      </c>
      <c r="G396" s="62" t="s">
        <v>577</v>
      </c>
    </row>
    <row r="397" spans="1:7" ht="18">
      <c r="A397" s="58">
        <f>ROW(Таблица1[[#This Row],[Номер п/п]])-1</f>
        <v>396</v>
      </c>
      <c r="B397" s="80" t="s">
        <v>119</v>
      </c>
      <c r="C397" s="59" t="s">
        <v>183</v>
      </c>
      <c r="D397" s="60">
        <v>39</v>
      </c>
      <c r="E397" s="59">
        <f>IFERROR(VLOOKUP(Таблица1[[#This Row],[ID KPI]],'KPI для заполнения'!A:BL,Таблица1[[#This Row],[Неделя]]+10,0),"Нет")</f>
        <v>0.72</v>
      </c>
      <c r="F397" s="61" t="s">
        <v>276</v>
      </c>
      <c r="G397" s="62" t="s">
        <v>583</v>
      </c>
    </row>
    <row r="398" spans="1:7" ht="18">
      <c r="A398" s="58">
        <f>ROW(Таблица1[[#This Row],[Номер п/п]])-1</f>
        <v>397</v>
      </c>
      <c r="B398" s="80" t="s">
        <v>167</v>
      </c>
      <c r="C398" s="59" t="s">
        <v>183</v>
      </c>
      <c r="D398" s="60">
        <v>39</v>
      </c>
      <c r="E398" s="59">
        <f>IFERROR(VLOOKUP(Таблица1[[#This Row],[ID KPI]],'KPI для заполнения'!A:BL,Таблица1[[#This Row],[Неделя]]+10,0),"Нет")</f>
        <v>1.6115625</v>
      </c>
      <c r="F398" s="61" t="s">
        <v>276</v>
      </c>
      <c r="G398" s="62" t="s">
        <v>578</v>
      </c>
    </row>
    <row r="399" spans="1:7" ht="18">
      <c r="A399" s="58">
        <f>ROW(Таблица1[[#This Row],[Номер п/п]])-1</f>
        <v>398</v>
      </c>
      <c r="B399" s="80" t="s">
        <v>61</v>
      </c>
      <c r="C399" s="59" t="s">
        <v>183</v>
      </c>
      <c r="D399" s="60">
        <v>39</v>
      </c>
      <c r="E399" s="59">
        <f>IFERROR(VLOOKUP(Таблица1[[#This Row],[ID KPI]],'KPI для заполнения'!A:BL,Таблица1[[#This Row],[Неделя]]+10,0),"Нет")</f>
        <v>1.8518518518518517E-2</v>
      </c>
      <c r="F399" s="61" t="s">
        <v>276</v>
      </c>
      <c r="G399" s="62" t="s">
        <v>579</v>
      </c>
    </row>
    <row r="400" spans="1:7" ht="36">
      <c r="A400" s="58">
        <f>ROW(Таблица1[[#This Row],[Номер п/п]])-1</f>
        <v>399</v>
      </c>
      <c r="B400" s="80" t="s">
        <v>234</v>
      </c>
      <c r="C400" s="59" t="s">
        <v>183</v>
      </c>
      <c r="D400" s="60">
        <v>39</v>
      </c>
      <c r="E400" s="59">
        <f>IFERROR(VLOOKUP(Таблица1[[#This Row],[ID KPI]],'KPI для заполнения'!A:BL,Таблица1[[#This Row],[Неделя]]+10,0),"Нет")</f>
        <v>0.9</v>
      </c>
      <c r="F400" s="61" t="s">
        <v>276</v>
      </c>
      <c r="G400" s="62" t="s">
        <v>584</v>
      </c>
    </row>
    <row r="401" spans="1:7" ht="36">
      <c r="A401" s="58">
        <f>ROW(Таблица1[[#This Row],[Номер п/п]])-1</f>
        <v>400</v>
      </c>
      <c r="B401" s="80" t="s">
        <v>21</v>
      </c>
      <c r="C401" s="59" t="s">
        <v>183</v>
      </c>
      <c r="D401" s="60">
        <v>40</v>
      </c>
      <c r="E401" s="59">
        <f>IFERROR(VLOOKUP(Таблица1[[#This Row],[ID KPI]],'KPI для заполнения'!A:BL,Таблица1[[#This Row],[Неделя]]+10,0),"Нет")</f>
        <v>0.95161290300000001</v>
      </c>
      <c r="F401" s="61" t="s">
        <v>276</v>
      </c>
      <c r="G401" s="62" t="s">
        <v>585</v>
      </c>
    </row>
    <row r="402" spans="1:7" ht="18">
      <c r="A402" s="58">
        <f>ROW(Таблица1[[#This Row],[Номер п/п]])-1</f>
        <v>401</v>
      </c>
      <c r="B402" s="80" t="s">
        <v>24</v>
      </c>
      <c r="C402" s="59" t="s">
        <v>183</v>
      </c>
      <c r="D402" s="60">
        <v>40</v>
      </c>
      <c r="E402" s="59">
        <f>IFERROR(VLOOKUP(Таблица1[[#This Row],[ID KPI]],'KPI для заполнения'!A:BL,Таблица1[[#This Row],[Неделя]]+10,0),"Нет")</f>
        <v>50836</v>
      </c>
      <c r="F402" s="61" t="s">
        <v>276</v>
      </c>
      <c r="G402" s="62" t="s">
        <v>586</v>
      </c>
    </row>
    <row r="403" spans="1:7" ht="18">
      <c r="A403" s="58">
        <f>ROW(Таблица1[[#This Row],[Номер п/п]])-1</f>
        <v>402</v>
      </c>
      <c r="B403" s="80" t="s">
        <v>81</v>
      </c>
      <c r="C403" s="59" t="s">
        <v>183</v>
      </c>
      <c r="D403" s="60">
        <v>40</v>
      </c>
      <c r="E403" s="59">
        <f>IFERROR(VLOOKUP(Таблица1[[#This Row],[ID KPI]],'KPI для заполнения'!A:BL,Таблица1[[#This Row],[Неделя]]+10,0),"Нет")</f>
        <v>0.419570736</v>
      </c>
      <c r="F403" s="61" t="s">
        <v>276</v>
      </c>
      <c r="G403" s="62" t="s">
        <v>554</v>
      </c>
    </row>
    <row r="404" spans="1:7" ht="18">
      <c r="A404" s="58">
        <f>ROW(Таблица1[[#This Row],[Номер п/п]])-1</f>
        <v>403</v>
      </c>
      <c r="B404" s="80" t="s">
        <v>96</v>
      </c>
      <c r="C404" s="59" t="s">
        <v>183</v>
      </c>
      <c r="D404" s="60">
        <v>40</v>
      </c>
      <c r="E404" s="59">
        <f>IFERROR(VLOOKUP(Таблица1[[#This Row],[ID KPI]],'KPI для заполнения'!A:BL,Таблица1[[#This Row],[Неделя]]+10,0),"Нет")</f>
        <v>10554</v>
      </c>
      <c r="F404" s="61" t="s">
        <v>276</v>
      </c>
      <c r="G404" s="62" t="s">
        <v>556</v>
      </c>
    </row>
    <row r="405" spans="1:7" ht="18">
      <c r="A405" s="58">
        <f>ROW(Таблица1[[#This Row],[Номер п/п]])-1</f>
        <v>404</v>
      </c>
      <c r="B405" s="80" t="s">
        <v>115</v>
      </c>
      <c r="C405" s="59" t="s">
        <v>183</v>
      </c>
      <c r="D405" s="60">
        <v>40</v>
      </c>
      <c r="E405" s="59">
        <f>IFERROR(VLOOKUP(Таблица1[[#This Row],[ID KPI]],'KPI для заполнения'!A:BL,Таблица1[[#This Row],[Неделя]]+10,0),"Нет")</f>
        <v>0.95977666399999995</v>
      </c>
      <c r="F405" s="61" t="s">
        <v>276</v>
      </c>
      <c r="G405" s="62" t="s">
        <v>577</v>
      </c>
    </row>
    <row r="406" spans="1:7" ht="18">
      <c r="A406" s="58">
        <f>ROW(Таблица1[[#This Row],[Номер п/п]])-1</f>
        <v>405</v>
      </c>
      <c r="B406" s="80" t="s">
        <v>167</v>
      </c>
      <c r="C406" s="59" t="s">
        <v>183</v>
      </c>
      <c r="D406" s="60">
        <v>40</v>
      </c>
      <c r="E406" s="59">
        <f>IFERROR(VLOOKUP(Таблица1[[#This Row],[ID KPI]],'KPI для заполнения'!A:BL,Таблица1[[#This Row],[Неделя]]+10,0),"Нет")</f>
        <v>2.1974999999999998</v>
      </c>
      <c r="F406" s="61" t="s">
        <v>276</v>
      </c>
      <c r="G406" s="62" t="s">
        <v>578</v>
      </c>
    </row>
    <row r="407" spans="1:7" ht="18">
      <c r="A407" s="58">
        <f>ROW(Таблица1[[#This Row],[Номер п/п]])-1</f>
        <v>406</v>
      </c>
      <c r="B407" s="80" t="s">
        <v>61</v>
      </c>
      <c r="C407" s="59" t="s">
        <v>183</v>
      </c>
      <c r="D407" s="60">
        <v>40</v>
      </c>
      <c r="E407" s="59">
        <f>IFERROR(VLOOKUP(Таблица1[[#This Row],[ID KPI]],'KPI для заполнения'!A:BL,Таблица1[[#This Row],[Неделя]]+10,0),"Нет")</f>
        <v>0</v>
      </c>
      <c r="F407" s="61" t="s">
        <v>276</v>
      </c>
      <c r="G407" s="62" t="s">
        <v>579</v>
      </c>
    </row>
    <row r="408" spans="1:7" ht="18">
      <c r="A408" s="58">
        <f>ROW(Таблица1[[#This Row],[Номер п/п]])-1</f>
        <v>407</v>
      </c>
      <c r="B408" s="80" t="s">
        <v>84</v>
      </c>
      <c r="C408" s="59" t="s">
        <v>183</v>
      </c>
      <c r="D408" s="60">
        <v>40</v>
      </c>
      <c r="E408" s="59">
        <f>IFERROR(VLOOKUP(Таблица1[[#This Row],[ID KPI]],'KPI для заполнения'!A:BL,Таблица1[[#This Row],[Неделя]]+10,0),"Нет")</f>
        <v>0</v>
      </c>
      <c r="F408" s="61" t="s">
        <v>276</v>
      </c>
      <c r="G408" s="62" t="s">
        <v>562</v>
      </c>
    </row>
    <row r="409" spans="1:7" ht="18">
      <c r="A409" s="58">
        <f>ROW(Таблица1[[#This Row],[Номер п/п]])-1</f>
        <v>408</v>
      </c>
      <c r="B409" s="80" t="s">
        <v>18</v>
      </c>
      <c r="C409" s="59" t="s">
        <v>183</v>
      </c>
      <c r="D409" s="60">
        <v>41</v>
      </c>
      <c r="E409" s="59">
        <f>IFERROR(VLOOKUP(Таблица1[[#This Row],[ID KPI]],'KPI для заполнения'!A:BL,Таблица1[[#This Row],[Неделя]]+10,0),"Нет")</f>
        <v>0.97959183699999997</v>
      </c>
      <c r="F409" s="61" t="s">
        <v>276</v>
      </c>
      <c r="G409" s="62" t="s">
        <v>587</v>
      </c>
    </row>
    <row r="410" spans="1:7" ht="18">
      <c r="A410" s="58">
        <f>ROW(Таблица1[[#This Row],[Номер п/п]])-1</f>
        <v>409</v>
      </c>
      <c r="B410" s="80" t="s">
        <v>21</v>
      </c>
      <c r="C410" s="59" t="s">
        <v>183</v>
      </c>
      <c r="D410" s="60">
        <v>41</v>
      </c>
      <c r="E410" s="59">
        <f>IFERROR(VLOOKUP(Таблица1[[#This Row],[ID KPI]],'KPI для заполнения'!A:BL,Таблица1[[#This Row],[Неделя]]+10,0),"Нет")</f>
        <v>0.93506493499999999</v>
      </c>
      <c r="F410" s="61" t="s">
        <v>276</v>
      </c>
      <c r="G410" s="62" t="s">
        <v>588</v>
      </c>
    </row>
    <row r="411" spans="1:7" ht="18">
      <c r="A411" s="58">
        <f>ROW(Таблица1[[#This Row],[Номер п/п]])-1</f>
        <v>410</v>
      </c>
      <c r="B411" s="80" t="s">
        <v>24</v>
      </c>
      <c r="C411" s="59" t="s">
        <v>183</v>
      </c>
      <c r="D411" s="60">
        <v>41</v>
      </c>
      <c r="E411" s="59">
        <f>IFERROR(VLOOKUP(Таблица1[[#This Row],[ID KPI]],'KPI для заполнения'!A:BL,Таблица1[[#This Row],[Неделя]]+10,0),"Нет")</f>
        <v>51843</v>
      </c>
      <c r="F411" s="61" t="s">
        <v>276</v>
      </c>
      <c r="G411" s="62" t="s">
        <v>586</v>
      </c>
    </row>
    <row r="412" spans="1:7" ht="36">
      <c r="A412" s="58">
        <f>ROW(Таблица1[[#This Row],[Номер п/п]])-1</f>
        <v>411</v>
      </c>
      <c r="B412" s="80" t="s">
        <v>81</v>
      </c>
      <c r="C412" s="59" t="s">
        <v>183</v>
      </c>
      <c r="D412" s="60">
        <v>41</v>
      </c>
      <c r="E412" s="59">
        <f>IFERROR(VLOOKUP(Таблица1[[#This Row],[ID KPI]],'KPI для заполнения'!A:BL,Таблица1[[#This Row],[Неделя]]+10,0),"Нет")</f>
        <v>0.38467607599999998</v>
      </c>
      <c r="F412" s="61" t="s">
        <v>276</v>
      </c>
      <c r="G412" s="62" t="s">
        <v>589</v>
      </c>
    </row>
    <row r="413" spans="1:7" ht="18">
      <c r="A413" s="58">
        <f>ROW(Таблица1[[#This Row],[Номер п/п]])-1</f>
        <v>412</v>
      </c>
      <c r="B413" s="80" t="s">
        <v>96</v>
      </c>
      <c r="C413" s="59" t="s">
        <v>183</v>
      </c>
      <c r="D413" s="60">
        <v>41</v>
      </c>
      <c r="E413" s="59">
        <f>IFERROR(VLOOKUP(Таблица1[[#This Row],[ID KPI]],'KPI для заполнения'!A:BL,Таблица1[[#This Row],[Неделя]]+10,0),"Нет")</f>
        <v>11229</v>
      </c>
      <c r="F413" s="61" t="s">
        <v>276</v>
      </c>
      <c r="G413" s="62" t="s">
        <v>556</v>
      </c>
    </row>
    <row r="414" spans="1:7" ht="18">
      <c r="A414" s="58">
        <f>ROW(Таблица1[[#This Row],[Номер п/п]])-1</f>
        <v>413</v>
      </c>
      <c r="B414" s="59" t="s">
        <v>115</v>
      </c>
      <c r="C414" s="59" t="s">
        <v>183</v>
      </c>
      <c r="D414" s="60">
        <v>41</v>
      </c>
      <c r="E414" s="59">
        <f>IFERROR(VLOOKUP(Таблица1[[#This Row],[ID KPI]],'KPI для заполнения'!A:BL,Таблица1[[#This Row],[Неделя]]+10,0),"Нет")</f>
        <v>0.976144075</v>
      </c>
      <c r="F414" s="61" t="s">
        <v>276</v>
      </c>
      <c r="G414" s="62" t="s">
        <v>577</v>
      </c>
    </row>
    <row r="415" spans="1:7" ht="18">
      <c r="A415" s="58">
        <f>ROW(Таблица1[[#This Row],[Номер п/п]])-1</f>
        <v>414</v>
      </c>
      <c r="B415" s="59" t="s">
        <v>167</v>
      </c>
      <c r="C415" s="59" t="s">
        <v>183</v>
      </c>
      <c r="D415" s="60">
        <v>41</v>
      </c>
      <c r="E415" s="59">
        <f>IFERROR(VLOOKUP(Таблица1[[#This Row],[ID KPI]],'KPI для заполнения'!A:BL,Таблица1[[#This Row],[Неделя]]+10,0),"Нет")</f>
        <v>1.8525</v>
      </c>
      <c r="F415" s="61" t="s">
        <v>276</v>
      </c>
      <c r="G415" s="62" t="s">
        <v>590</v>
      </c>
    </row>
    <row r="416" spans="1:7" ht="18">
      <c r="A416" s="58">
        <f>ROW(Таблица1[[#This Row],[Номер п/п]])-1</f>
        <v>415</v>
      </c>
      <c r="B416" s="80" t="s">
        <v>61</v>
      </c>
      <c r="C416" s="59" t="s">
        <v>183</v>
      </c>
      <c r="D416" s="60">
        <v>41</v>
      </c>
      <c r="E416" s="59">
        <f>IFERROR(VLOOKUP(Таблица1[[#This Row],[ID KPI]],'KPI для заполнения'!A:BL,Таблица1[[#This Row],[Неделя]]+10,0),"Нет")</f>
        <v>0</v>
      </c>
      <c r="F416" s="61" t="s">
        <v>276</v>
      </c>
      <c r="G416" s="62" t="s">
        <v>579</v>
      </c>
    </row>
    <row r="417" spans="1:7" ht="18">
      <c r="A417" s="58">
        <f>ROW(Таблица1[[#This Row],[Номер п/п]])-1</f>
        <v>416</v>
      </c>
      <c r="B417" s="59" t="s">
        <v>84</v>
      </c>
      <c r="C417" s="59" t="s">
        <v>183</v>
      </c>
      <c r="D417" s="60">
        <v>41</v>
      </c>
      <c r="E417" s="59">
        <f>IFERROR(VLOOKUP(Таблица1[[#This Row],[ID KPI]],'KPI для заполнения'!A:BL,Таблица1[[#This Row],[Неделя]]+10,0),"Нет")</f>
        <v>0.13157894736842105</v>
      </c>
      <c r="F417" s="61" t="s">
        <v>276</v>
      </c>
      <c r="G417" s="62" t="s">
        <v>562</v>
      </c>
    </row>
    <row r="418" spans="1:7" ht="18">
      <c r="A418" s="58">
        <f>ROW(Таблица1[[#This Row],[Номер п/п]])-1</f>
        <v>417</v>
      </c>
      <c r="B418" s="80" t="s">
        <v>119</v>
      </c>
      <c r="C418" s="59" t="s">
        <v>36</v>
      </c>
      <c r="D418" s="60">
        <v>41</v>
      </c>
      <c r="E418" s="59">
        <f>IFERROR(VLOOKUP(Таблица1[[#This Row],[ID KPI]],'KPI для заполнения'!A:BL,Таблица1[[#This Row],[Неделя]]+10,0),"Нет")</f>
        <v>0.94055555599999996</v>
      </c>
      <c r="F418" s="61" t="s">
        <v>276</v>
      </c>
      <c r="G418" s="62" t="s">
        <v>591</v>
      </c>
    </row>
    <row r="419" spans="1:7" ht="18">
      <c r="A419" s="58">
        <f>ROW(Таблица1[[#This Row],[Номер п/п]])-1</f>
        <v>418</v>
      </c>
      <c r="B419" s="59"/>
      <c r="C419" s="59" t="s">
        <v>183</v>
      </c>
      <c r="D419" s="60">
        <v>41</v>
      </c>
      <c r="E419" s="59" t="str">
        <f>IFERROR(VLOOKUP(Таблица1[[#This Row],[ID KPI]],'KPI для заполнения'!A:BL,Таблица1[[#This Row],[Неделя]]+10,0),"Нет")</f>
        <v>Нет</v>
      </c>
      <c r="F419" s="61" t="s">
        <v>276</v>
      </c>
      <c r="G419" s="62" t="s">
        <v>592</v>
      </c>
    </row>
    <row r="420" spans="1:7" ht="18">
      <c r="A420" s="58">
        <f>ROW(Таблица1[[#This Row],[Номер п/п]])-1</f>
        <v>419</v>
      </c>
      <c r="B420" s="59" t="s">
        <v>212</v>
      </c>
      <c r="C420" s="59" t="s">
        <v>183</v>
      </c>
      <c r="D420" s="60">
        <v>41</v>
      </c>
      <c r="E420" s="59">
        <f>IFERROR(VLOOKUP(Таблица1[[#This Row],[ID KPI]],'KPI для заполнения'!A:BL,Таблица1[[#This Row],[Неделя]]+10,0),"Нет")</f>
        <v>0.88918918918918921</v>
      </c>
      <c r="F420" s="61" t="s">
        <v>276</v>
      </c>
      <c r="G420" s="62" t="s">
        <v>593</v>
      </c>
    </row>
    <row r="421" spans="1:7" ht="36">
      <c r="A421" s="58">
        <f>ROW(Таблица1[[#This Row],[Номер п/п]])-1</f>
        <v>420</v>
      </c>
      <c r="B421" s="5" t="s">
        <v>21</v>
      </c>
      <c r="C421" s="59" t="s">
        <v>183</v>
      </c>
      <c r="D421" s="60">
        <v>42</v>
      </c>
      <c r="E421" s="59">
        <f>IFERROR(VLOOKUP(Таблица1[[#This Row],[ID KPI]],'KPI для заполнения'!A:BL,Таблица1[[#This Row],[Неделя]]+10,0),"Нет")</f>
        <v>0.96825396799999996</v>
      </c>
      <c r="F421" s="61" t="s">
        <v>276</v>
      </c>
      <c r="G421" s="62" t="s">
        <v>594</v>
      </c>
    </row>
    <row r="422" spans="1:7" ht="18">
      <c r="A422" s="58">
        <f>ROW(Таблица1[[#This Row],[Номер п/п]])-1</f>
        <v>421</v>
      </c>
      <c r="B422" s="80" t="s">
        <v>24</v>
      </c>
      <c r="C422" s="59" t="s">
        <v>183</v>
      </c>
      <c r="D422" s="60">
        <v>42</v>
      </c>
      <c r="E422" s="59">
        <f>IFERROR(VLOOKUP(Таблица1[[#This Row],[ID KPI]],'KPI для заполнения'!A:BL,Таблица1[[#This Row],[Неделя]]+10,0),"Нет")</f>
        <v>54214</v>
      </c>
      <c r="F422" s="61" t="s">
        <v>276</v>
      </c>
      <c r="G422" s="62" t="s">
        <v>586</v>
      </c>
    </row>
    <row r="423" spans="1:7" ht="18">
      <c r="A423" s="58">
        <f>ROW(Таблица1[[#This Row],[Номер п/п]])-1</f>
        <v>422</v>
      </c>
      <c r="B423" s="59" t="s">
        <v>46</v>
      </c>
      <c r="C423" s="59" t="s">
        <v>183</v>
      </c>
      <c r="D423" s="60">
        <v>42</v>
      </c>
      <c r="E423" s="59">
        <f>IFERROR(VLOOKUP(Таблица1[[#This Row],[ID KPI]],'KPI для заполнения'!A:BL,Таблица1[[#This Row],[Неделя]]+10,0),"Нет")</f>
        <v>4756</v>
      </c>
      <c r="F423" s="61" t="s">
        <v>276</v>
      </c>
      <c r="G423" s="62" t="s">
        <v>595</v>
      </c>
    </row>
    <row r="424" spans="1:7" ht="36">
      <c r="A424" s="58">
        <f>ROW(Таблица1[[#This Row],[Номер п/п]])-1</f>
        <v>423</v>
      </c>
      <c r="B424" s="80" t="s">
        <v>81</v>
      </c>
      <c r="C424" s="59" t="s">
        <v>183</v>
      </c>
      <c r="D424" s="60">
        <v>42</v>
      </c>
      <c r="E424" s="59">
        <f>IFERROR(VLOOKUP(Таблица1[[#This Row],[ID KPI]],'KPI для заполнения'!A:BL,Таблица1[[#This Row],[Неделя]]+10,0),"Нет")</f>
        <v>0.84959016399999998</v>
      </c>
      <c r="F424" s="61" t="s">
        <v>276</v>
      </c>
      <c r="G424" s="62" t="s">
        <v>596</v>
      </c>
    </row>
    <row r="425" spans="1:7" ht="18">
      <c r="A425" s="58">
        <f>ROW(Таблица1[[#This Row],[Номер п/п]])-1</f>
        <v>424</v>
      </c>
      <c r="B425" s="80" t="s">
        <v>96</v>
      </c>
      <c r="C425" s="59" t="s">
        <v>183</v>
      </c>
      <c r="D425" s="60">
        <v>42</v>
      </c>
      <c r="E425" s="59">
        <f>IFERROR(VLOOKUP(Таблица1[[#This Row],[ID KPI]],'KPI для заполнения'!A:BL,Таблица1[[#This Row],[Неделя]]+10,0),"Нет")</f>
        <v>9513</v>
      </c>
      <c r="F425" s="61" t="s">
        <v>276</v>
      </c>
      <c r="G425" s="62" t="s">
        <v>556</v>
      </c>
    </row>
    <row r="426" spans="1:7" ht="18">
      <c r="A426" s="58">
        <f>ROW(Таблица1[[#This Row],[Номер п/п]])-1</f>
        <v>425</v>
      </c>
      <c r="B426" s="59" t="s">
        <v>115</v>
      </c>
      <c r="C426" s="59" t="s">
        <v>43</v>
      </c>
      <c r="D426" s="60">
        <v>42</v>
      </c>
      <c r="E426" s="59">
        <f>IFERROR(VLOOKUP(Таблица1[[#This Row],[ID KPI]],'KPI для заполнения'!A:BL,Таблица1[[#This Row],[Неделя]]+10,0),"Нет")</f>
        <v>0.68125028799999998</v>
      </c>
      <c r="F426" s="61" t="s">
        <v>276</v>
      </c>
      <c r="G426" s="62" t="s">
        <v>597</v>
      </c>
    </row>
    <row r="427" spans="1:7" ht="18">
      <c r="A427" s="58">
        <f>ROW(Таблица1[[#This Row],[Номер п/п]])-1</f>
        <v>426</v>
      </c>
      <c r="B427" s="59" t="s">
        <v>167</v>
      </c>
      <c r="C427" s="59" t="s">
        <v>183</v>
      </c>
      <c r="D427" s="60">
        <v>42</v>
      </c>
      <c r="E427" s="59">
        <f>IFERROR(VLOOKUP(Таблица1[[#This Row],[ID KPI]],'KPI для заполнения'!A:BL,Таблица1[[#This Row],[Неделя]]+10,0),"Нет")</f>
        <v>1.725625</v>
      </c>
      <c r="F427" s="61" t="s">
        <v>276</v>
      </c>
      <c r="G427" s="62" t="s">
        <v>590</v>
      </c>
    </row>
    <row r="428" spans="1:7" ht="18">
      <c r="A428" s="58">
        <f>ROW(Таблица1[[#This Row],[Номер п/п]])-1</f>
        <v>427</v>
      </c>
      <c r="B428" s="80" t="s">
        <v>61</v>
      </c>
      <c r="C428" s="59" t="s">
        <v>183</v>
      </c>
      <c r="D428" s="60">
        <v>42</v>
      </c>
      <c r="E428" s="59">
        <f>IFERROR(VLOOKUP(Таблица1[[#This Row],[ID KPI]],'KPI для заполнения'!A:BL,Таблица1[[#This Row],[Неделя]]+10,0),"Нет")</f>
        <v>9.6618357487922701E-3</v>
      </c>
      <c r="F428" s="61" t="s">
        <v>276</v>
      </c>
      <c r="G428" s="62" t="s">
        <v>579</v>
      </c>
    </row>
    <row r="429" spans="1:7" ht="54">
      <c r="A429" s="58">
        <f>ROW(Таблица1[[#This Row],[Номер п/п]])-1</f>
        <v>428</v>
      </c>
      <c r="B429" s="5" t="s">
        <v>201</v>
      </c>
      <c r="C429" s="59" t="s">
        <v>183</v>
      </c>
      <c r="D429" s="60">
        <v>42</v>
      </c>
      <c r="E429" s="59">
        <f>IFERROR(VLOOKUP(Таблица1[[#This Row],[ID KPI]],'KPI для заполнения'!A:BL,Таблица1[[#This Row],[Неделя]]+10,0),"Нет")</f>
        <v>0.99257884972170685</v>
      </c>
      <c r="F429" s="61" t="s">
        <v>276</v>
      </c>
      <c r="G429" s="62" t="s">
        <v>598</v>
      </c>
    </row>
    <row r="430" spans="1:7" ht="36">
      <c r="A430" s="58">
        <f>ROW(Таблица1[[#This Row],[Номер п/п]])-1</f>
        <v>429</v>
      </c>
      <c r="B430" s="59" t="s">
        <v>212</v>
      </c>
      <c r="C430" s="59" t="s">
        <v>183</v>
      </c>
      <c r="D430" s="60">
        <v>42</v>
      </c>
      <c r="E430" s="59">
        <f>IFERROR(VLOOKUP(Таблица1[[#This Row],[ID KPI]],'KPI для заполнения'!A:BL,Таблица1[[#This Row],[Неделя]]+10,0),"Нет")</f>
        <v>0.71243042671614099</v>
      </c>
      <c r="F430" s="61" t="s">
        <v>276</v>
      </c>
      <c r="G430" s="62" t="s">
        <v>599</v>
      </c>
    </row>
    <row r="431" spans="1:7" ht="18">
      <c r="A431" s="58">
        <f>ROW(Таблица1[[#This Row],[Номер п/п]])-1</f>
        <v>430</v>
      </c>
      <c r="B431" s="80" t="s">
        <v>24</v>
      </c>
      <c r="C431" s="59" t="s">
        <v>183</v>
      </c>
      <c r="D431" s="60">
        <v>43</v>
      </c>
      <c r="E431" s="59">
        <f>IFERROR(VLOOKUP(Таблица1[[#This Row],[ID KPI]],'KPI для заполнения'!A:BL,Таблица1[[#This Row],[Неделя]]+10,0),"Нет")</f>
        <v>10344</v>
      </c>
      <c r="F431" s="61" t="s">
        <v>276</v>
      </c>
      <c r="G431" s="62" t="s">
        <v>552</v>
      </c>
    </row>
    <row r="432" spans="1:7" ht="18">
      <c r="A432" s="58">
        <f>ROW(Таблица1[[#This Row],[Номер п/п]])-1</f>
        <v>431</v>
      </c>
      <c r="B432" s="59" t="s">
        <v>46</v>
      </c>
      <c r="C432" s="59" t="s">
        <v>183</v>
      </c>
      <c r="D432" s="60">
        <v>43</v>
      </c>
      <c r="E432" s="59">
        <f>IFERROR(VLOOKUP(Таблица1[[#This Row],[ID KPI]],'KPI для заполнения'!A:BL,Таблица1[[#This Row],[Неделя]]+10,0),"Нет")</f>
        <v>3974</v>
      </c>
      <c r="F432" s="61" t="s">
        <v>276</v>
      </c>
      <c r="G432" s="62" t="s">
        <v>600</v>
      </c>
    </row>
    <row r="433" spans="1:7" ht="18">
      <c r="A433" s="58">
        <f>ROW(Таблица1[[#This Row],[Номер п/п]])-1</f>
        <v>432</v>
      </c>
      <c r="B433" s="80" t="s">
        <v>61</v>
      </c>
      <c r="C433" s="59" t="s">
        <v>183</v>
      </c>
      <c r="D433" s="60">
        <v>43</v>
      </c>
      <c r="E433" s="59">
        <f>IFERROR(VLOOKUP(Таблица1[[#This Row],[ID KPI]],'KPI для заполнения'!A:BL,Таблица1[[#This Row],[Неделя]]+10,0),"Нет")</f>
        <v>0</v>
      </c>
      <c r="F433" s="61" t="s">
        <v>276</v>
      </c>
      <c r="G433" s="62" t="s">
        <v>579</v>
      </c>
    </row>
    <row r="434" spans="1:7" ht="36">
      <c r="A434" s="58">
        <f>ROW(Таблица1[[#This Row],[Номер п/п]])-1</f>
        <v>433</v>
      </c>
      <c r="B434" s="80" t="s">
        <v>81</v>
      </c>
      <c r="C434" s="59" t="s">
        <v>183</v>
      </c>
      <c r="D434" s="60">
        <v>43</v>
      </c>
      <c r="E434" s="59">
        <f>IFERROR(VLOOKUP(Таблица1[[#This Row],[ID KPI]],'KPI для заполнения'!A:BL,Таблица1[[#This Row],[Неделя]]+10,0),"Нет")</f>
        <v>0.92</v>
      </c>
      <c r="F434" s="61" t="s">
        <v>276</v>
      </c>
      <c r="G434" s="62" t="s">
        <v>596</v>
      </c>
    </row>
    <row r="435" spans="1:7" ht="18">
      <c r="A435" s="58">
        <f>ROW(Таблица1[[#This Row],[Номер п/п]])-1</f>
        <v>434</v>
      </c>
      <c r="B435" s="59" t="s">
        <v>84</v>
      </c>
      <c r="C435" s="59" t="s">
        <v>183</v>
      </c>
      <c r="D435" s="60">
        <v>43</v>
      </c>
      <c r="E435" s="59">
        <f>IFERROR(VLOOKUP(Таблица1[[#This Row],[ID KPI]],'KPI для заполнения'!A:BL,Таблица1[[#This Row],[Неделя]]+10,0),"Нет")</f>
        <v>0.59459459459459463</v>
      </c>
      <c r="F435" s="61" t="s">
        <v>276</v>
      </c>
      <c r="G435" s="62" t="s">
        <v>562</v>
      </c>
    </row>
    <row r="436" spans="1:7" ht="18">
      <c r="A436" s="58">
        <f>ROW(Таблица1[[#This Row],[Номер п/п]])-1</f>
        <v>435</v>
      </c>
      <c r="B436" s="80" t="s">
        <v>96</v>
      </c>
      <c r="C436" s="59" t="s">
        <v>183</v>
      </c>
      <c r="D436" s="60">
        <v>43</v>
      </c>
      <c r="E436" s="59">
        <f>IFERROR(VLOOKUP(Таблица1[[#This Row],[ID KPI]],'KPI для заполнения'!A:BL,Таблица1[[#This Row],[Неделя]]+10,0),"Нет")</f>
        <v>9058</v>
      </c>
      <c r="F436" s="61" t="s">
        <v>276</v>
      </c>
      <c r="G436" s="62" t="s">
        <v>556</v>
      </c>
    </row>
    <row r="437" spans="1:7" ht="18">
      <c r="A437" s="58">
        <f>ROW(Таблица1[[#This Row],[Номер п/п]])-1</f>
        <v>436</v>
      </c>
      <c r="B437" s="59" t="s">
        <v>167</v>
      </c>
      <c r="C437" s="59" t="s">
        <v>183</v>
      </c>
      <c r="D437" s="60">
        <v>43</v>
      </c>
      <c r="E437" s="59">
        <f>IFERROR(VLOOKUP(Таблица1[[#This Row],[ID KPI]],'KPI для заполнения'!A:BL,Таблица1[[#This Row],[Неделя]]+10,0),"Нет")</f>
        <v>0.833125</v>
      </c>
      <c r="F437" s="61" t="s">
        <v>276</v>
      </c>
      <c r="G437" s="62" t="s">
        <v>590</v>
      </c>
    </row>
    <row r="438" spans="1:7" ht="18">
      <c r="A438" s="58">
        <f>ROW(Таблица1[[#This Row],[Номер п/п]])-1</f>
        <v>437</v>
      </c>
      <c r="B438" s="80" t="s">
        <v>234</v>
      </c>
      <c r="C438" s="59" t="s">
        <v>183</v>
      </c>
      <c r="D438" s="60">
        <v>43</v>
      </c>
      <c r="E438" s="59">
        <f>IFERROR(VLOOKUP(Таблица1[[#This Row],[ID KPI]],'KPI для заполнения'!A:BL,Таблица1[[#This Row],[Неделя]]+10,0),"Нет")</f>
        <v>0.94</v>
      </c>
      <c r="F438" s="61" t="s">
        <v>276</v>
      </c>
      <c r="G438" s="62" t="s">
        <v>601</v>
      </c>
    </row>
    <row r="439" spans="1:7" ht="18">
      <c r="A439" s="58">
        <f>ROW(Таблица1[[#This Row],[Номер п/п]])-1</f>
        <v>438</v>
      </c>
      <c r="B439" s="80" t="s">
        <v>119</v>
      </c>
      <c r="C439" s="59" t="s">
        <v>183</v>
      </c>
      <c r="D439" s="60">
        <v>43</v>
      </c>
      <c r="E439" s="59">
        <f>IFERROR(VLOOKUP(Таблица1[[#This Row],[ID KPI]],'KPI для заполнения'!A:BL,Таблица1[[#This Row],[Неделя]]+10,0),"Нет")</f>
        <v>0.94</v>
      </c>
      <c r="F439" s="61" t="s">
        <v>276</v>
      </c>
      <c r="G439" s="62" t="s">
        <v>602</v>
      </c>
    </row>
    <row r="440" spans="1:7" ht="36">
      <c r="A440" s="113">
        <f>ROW(Таблица1[[#This Row],[Номер п/п]])-1</f>
        <v>439</v>
      </c>
      <c r="B440" s="114" t="s">
        <v>205</v>
      </c>
      <c r="C440" s="114" t="s">
        <v>33</v>
      </c>
      <c r="D440" s="115">
        <v>43</v>
      </c>
      <c r="E440" s="114">
        <f>IFERROR(VLOOKUP(Таблица1[[#This Row],[ID KPI]],'KPI для заполнения'!A:BL,Таблица1[[#This Row],[Неделя]]+10,0),"Нет")</f>
        <v>0.97435897435897434</v>
      </c>
      <c r="F440" s="116" t="s">
        <v>276</v>
      </c>
      <c r="G440" s="117" t="s">
        <v>603</v>
      </c>
    </row>
    <row r="441" spans="1:7" ht="18">
      <c r="A441" s="48"/>
      <c r="B441" s="49"/>
      <c r="C441" s="49"/>
      <c r="D441" s="50"/>
      <c r="E441" s="49"/>
      <c r="F441" s="49"/>
      <c r="G441" s="45"/>
    </row>
    <row r="442" spans="1:7" ht="18">
      <c r="A442" s="48"/>
      <c r="B442" s="49"/>
      <c r="C442" s="49"/>
      <c r="D442" s="50"/>
      <c r="E442" s="49"/>
      <c r="F442" s="49"/>
      <c r="G442" s="45"/>
    </row>
    <row r="443" spans="1:7" ht="18">
      <c r="A443" s="48"/>
      <c r="B443" s="49"/>
      <c r="C443" s="49"/>
      <c r="D443" s="50"/>
      <c r="E443" s="49"/>
      <c r="F443" s="49"/>
      <c r="G443" s="45"/>
    </row>
    <row r="444" spans="1:7" ht="18">
      <c r="A444" s="48"/>
      <c r="B444" s="49"/>
      <c r="C444" s="49"/>
      <c r="D444" s="50"/>
      <c r="E444" s="49"/>
      <c r="F444" s="49"/>
      <c r="G444" s="45"/>
    </row>
    <row r="445" spans="1:7" ht="18">
      <c r="A445" s="48"/>
      <c r="B445" s="49"/>
      <c r="C445" s="49"/>
      <c r="D445" s="50"/>
      <c r="E445" s="49"/>
      <c r="F445" s="49"/>
      <c r="G445" s="45"/>
    </row>
    <row r="446" spans="1:7" ht="18">
      <c r="A446" s="48"/>
      <c r="B446" s="49"/>
      <c r="C446" s="49"/>
      <c r="D446" s="50"/>
      <c r="E446" s="49"/>
      <c r="F446" s="49"/>
      <c r="G446" s="45"/>
    </row>
    <row r="447" spans="1:7" ht="18">
      <c r="A447" s="48"/>
      <c r="B447" s="49"/>
      <c r="C447" s="49"/>
      <c r="D447" s="50"/>
      <c r="E447" s="49"/>
      <c r="F447" s="49"/>
      <c r="G447" s="45"/>
    </row>
    <row r="448" spans="1:7" ht="18">
      <c r="A448" s="48"/>
      <c r="B448" s="49"/>
      <c r="C448" s="49"/>
      <c r="D448" s="50"/>
      <c r="E448" s="49"/>
      <c r="F448" s="49"/>
      <c r="G448" s="45"/>
    </row>
    <row r="449" spans="1:7" ht="18">
      <c r="A449" s="48"/>
      <c r="B449" s="49"/>
      <c r="C449" s="49"/>
      <c r="D449" s="50"/>
      <c r="E449" s="49"/>
      <c r="F449" s="49"/>
      <c r="G449" s="45"/>
    </row>
    <row r="450" spans="1:7" ht="18">
      <c r="A450" s="48"/>
      <c r="B450" s="49"/>
      <c r="C450" s="49"/>
      <c r="D450" s="50"/>
      <c r="E450" s="49"/>
      <c r="F450" s="49"/>
      <c r="G450" s="45"/>
    </row>
    <row r="451" spans="1:7" ht="18">
      <c r="A451" s="48"/>
      <c r="B451" s="49"/>
      <c r="C451" s="49"/>
      <c r="D451" s="50"/>
      <c r="E451" s="49"/>
      <c r="F451" s="49"/>
      <c r="G451" s="45"/>
    </row>
    <row r="452" spans="1:7" ht="18">
      <c r="A452" s="48"/>
      <c r="B452" s="49"/>
      <c r="C452" s="49"/>
      <c r="D452" s="50"/>
      <c r="E452" s="49"/>
      <c r="F452" s="49"/>
      <c r="G452" s="45"/>
    </row>
    <row r="453" spans="1:7" ht="18">
      <c r="A453" s="48"/>
      <c r="B453" s="49"/>
      <c r="C453" s="49"/>
      <c r="D453" s="50"/>
      <c r="E453" s="49"/>
      <c r="F453" s="49"/>
      <c r="G453" s="45"/>
    </row>
    <row r="454" spans="1:7" ht="18">
      <c r="A454" s="48"/>
      <c r="B454" s="49"/>
      <c r="C454" s="49"/>
      <c r="D454" s="50"/>
      <c r="E454" s="49"/>
      <c r="F454" s="49"/>
      <c r="G454" s="45"/>
    </row>
    <row r="455" spans="1:7" ht="18">
      <c r="A455" s="48"/>
      <c r="B455" s="49"/>
      <c r="C455" s="49"/>
      <c r="D455" s="50"/>
      <c r="E455" s="49"/>
      <c r="F455" s="49"/>
      <c r="G455" s="45"/>
    </row>
    <row r="456" spans="1:7" ht="18">
      <c r="A456" s="48"/>
      <c r="B456" s="49"/>
      <c r="C456" s="49"/>
      <c r="D456" s="50"/>
      <c r="E456" s="49"/>
      <c r="F456" s="49"/>
      <c r="G456" s="45"/>
    </row>
    <row r="457" spans="1:7" ht="18">
      <c r="A457" s="48"/>
      <c r="B457" s="49"/>
      <c r="C457" s="49"/>
      <c r="D457" s="50"/>
      <c r="E457" s="49"/>
      <c r="F457" s="49"/>
      <c r="G457" s="45"/>
    </row>
    <row r="458" spans="1:7" ht="18">
      <c r="A458" s="48"/>
      <c r="B458" s="49"/>
      <c r="C458" s="49"/>
      <c r="D458" s="50"/>
      <c r="E458" s="49"/>
      <c r="F458" s="49"/>
      <c r="G458" s="45"/>
    </row>
    <row r="459" spans="1:7" ht="18">
      <c r="A459" s="48"/>
      <c r="B459" s="49"/>
      <c r="C459" s="49"/>
      <c r="D459" s="50"/>
      <c r="E459" s="49"/>
      <c r="F459" s="49"/>
      <c r="G459" s="45"/>
    </row>
    <row r="460" spans="1:7" ht="18">
      <c r="A460" s="48"/>
      <c r="B460" s="49"/>
      <c r="C460" s="49"/>
      <c r="D460" s="50"/>
      <c r="E460" s="49"/>
      <c r="F460" s="49"/>
      <c r="G460" s="45"/>
    </row>
    <row r="461" spans="1:7" ht="18">
      <c r="A461" s="48"/>
      <c r="B461" s="49"/>
      <c r="C461" s="49"/>
      <c r="D461" s="50"/>
      <c r="E461" s="49"/>
      <c r="F461" s="49"/>
      <c r="G461" s="45"/>
    </row>
    <row r="462" spans="1:7" ht="18">
      <c r="A462" s="48"/>
      <c r="B462" s="49"/>
      <c r="C462" s="49"/>
      <c r="D462" s="50"/>
      <c r="E462" s="49"/>
      <c r="F462" s="49"/>
      <c r="G462" s="45"/>
    </row>
    <row r="463" spans="1:7" ht="18">
      <c r="A463" s="48"/>
      <c r="B463" s="49"/>
      <c r="C463" s="49"/>
      <c r="D463" s="50"/>
      <c r="E463" s="49"/>
      <c r="F463" s="49"/>
      <c r="G463" s="45"/>
    </row>
    <row r="464" spans="1:7" ht="18">
      <c r="A464" s="48"/>
      <c r="B464" s="49"/>
      <c r="C464" s="49"/>
      <c r="D464" s="50"/>
      <c r="E464" s="49"/>
      <c r="F464" s="49"/>
      <c r="G464" s="45"/>
    </row>
    <row r="465" spans="1:7" ht="18">
      <c r="A465" s="48"/>
      <c r="B465" s="49"/>
      <c r="C465" s="49"/>
      <c r="D465" s="50"/>
      <c r="E465" s="49"/>
      <c r="F465" s="49"/>
      <c r="G465" s="45"/>
    </row>
    <row r="466" spans="1:7" ht="18">
      <c r="A466" s="48"/>
      <c r="B466" s="49"/>
      <c r="C466" s="49"/>
      <c r="D466" s="50"/>
      <c r="E466" s="49"/>
      <c r="F466" s="49"/>
      <c r="G466" s="45"/>
    </row>
    <row r="467" spans="1:7" ht="18">
      <c r="A467" s="48"/>
      <c r="B467" s="49"/>
      <c r="C467" s="49"/>
      <c r="D467" s="50"/>
      <c r="E467" s="49"/>
      <c r="F467" s="49"/>
      <c r="G467" s="45"/>
    </row>
    <row r="468" spans="1:7" ht="18">
      <c r="A468" s="48"/>
      <c r="B468" s="49"/>
      <c r="C468" s="49"/>
      <c r="D468" s="50"/>
      <c r="E468" s="49"/>
      <c r="F468" s="49"/>
      <c r="G468" s="45"/>
    </row>
    <row r="469" spans="1:7" ht="18">
      <c r="A469" s="48"/>
      <c r="B469" s="49"/>
      <c r="C469" s="49"/>
      <c r="D469" s="50"/>
      <c r="E469" s="49"/>
      <c r="F469" s="49"/>
      <c r="G469" s="45"/>
    </row>
    <row r="470" spans="1:7" ht="18">
      <c r="A470" s="48"/>
      <c r="B470" s="49"/>
      <c r="C470" s="49"/>
      <c r="D470" s="50"/>
      <c r="E470" s="49"/>
      <c r="F470" s="49"/>
      <c r="G470" s="45"/>
    </row>
    <row r="471" spans="1:7" ht="18">
      <c r="A471" s="48"/>
      <c r="B471" s="49"/>
      <c r="C471" s="49"/>
      <c r="D471" s="50"/>
      <c r="E471" s="49"/>
      <c r="F471" s="49"/>
      <c r="G471" s="45"/>
    </row>
    <row r="472" spans="1:7" ht="18">
      <c r="A472" s="48"/>
      <c r="B472" s="49"/>
      <c r="C472" s="49"/>
      <c r="D472" s="50"/>
      <c r="E472" s="49"/>
      <c r="F472" s="49"/>
      <c r="G472" s="45"/>
    </row>
    <row r="473" spans="1:7" ht="18">
      <c r="A473" s="48"/>
      <c r="B473" s="49"/>
      <c r="C473" s="49"/>
      <c r="D473" s="50"/>
      <c r="E473" s="49"/>
      <c r="F473" s="49"/>
      <c r="G473" s="45"/>
    </row>
    <row r="474" spans="1:7" ht="18">
      <c r="A474" s="48"/>
      <c r="B474" s="49"/>
      <c r="C474" s="49"/>
      <c r="D474" s="50"/>
      <c r="E474" s="49"/>
      <c r="F474" s="49"/>
      <c r="G474" s="45"/>
    </row>
    <row r="475" spans="1:7" ht="18">
      <c r="A475" s="48"/>
      <c r="B475" s="49"/>
      <c r="C475" s="49"/>
      <c r="D475" s="50"/>
      <c r="E475" s="49"/>
      <c r="F475" s="49"/>
      <c r="G475" s="45"/>
    </row>
    <row r="476" spans="1:7" ht="18">
      <c r="A476" s="48"/>
      <c r="B476" s="49"/>
      <c r="C476" s="49"/>
      <c r="D476" s="50"/>
      <c r="E476" s="49"/>
      <c r="F476" s="49"/>
      <c r="G476" s="45"/>
    </row>
    <row r="477" spans="1:7" ht="18">
      <c r="A477" s="48"/>
      <c r="B477" s="49"/>
      <c r="C477" s="49"/>
      <c r="D477" s="50"/>
      <c r="E477" s="49"/>
      <c r="F477" s="49"/>
      <c r="G477" s="45"/>
    </row>
    <row r="478" spans="1:7" ht="18">
      <c r="A478" s="48"/>
      <c r="B478" s="49"/>
      <c r="C478" s="49"/>
      <c r="D478" s="50"/>
      <c r="E478" s="49"/>
      <c r="F478" s="49"/>
      <c r="G478" s="45"/>
    </row>
    <row r="479" spans="1:7" ht="18">
      <c r="A479" s="48"/>
      <c r="B479" s="49"/>
      <c r="C479" s="49"/>
      <c r="D479" s="50"/>
      <c r="E479" s="49"/>
      <c r="F479" s="49"/>
      <c r="G479" s="45"/>
    </row>
    <row r="480" spans="1:7" ht="18">
      <c r="A480" s="48"/>
      <c r="B480" s="49"/>
      <c r="C480" s="49"/>
      <c r="D480" s="50"/>
      <c r="E480" s="49"/>
      <c r="F480" s="49"/>
      <c r="G480" s="45"/>
    </row>
    <row r="481" spans="1:7" ht="18">
      <c r="A481" s="48"/>
      <c r="B481" s="49"/>
      <c r="C481" s="49"/>
      <c r="D481" s="50"/>
      <c r="E481" s="49"/>
      <c r="F481" s="49"/>
      <c r="G481" s="45"/>
    </row>
    <row r="482" spans="1:7" ht="18">
      <c r="A482" s="48"/>
      <c r="B482" s="49"/>
      <c r="C482" s="49"/>
      <c r="D482" s="50"/>
      <c r="E482" s="49"/>
      <c r="F482" s="49"/>
      <c r="G482" s="45"/>
    </row>
    <row r="483" spans="1:7" ht="18">
      <c r="A483" s="48"/>
      <c r="B483" s="49"/>
      <c r="C483" s="49"/>
      <c r="D483" s="50"/>
      <c r="E483" s="49"/>
      <c r="F483" s="49"/>
      <c r="G483" s="45"/>
    </row>
    <row r="484" spans="1:7" ht="18">
      <c r="A484" s="48"/>
      <c r="B484" s="49"/>
      <c r="C484" s="49"/>
      <c r="D484" s="50"/>
      <c r="E484" s="49"/>
      <c r="F484" s="49"/>
      <c r="G484" s="45"/>
    </row>
    <row r="485" spans="1:7" ht="18">
      <c r="A485" s="48"/>
      <c r="B485" s="49"/>
      <c r="C485" s="49"/>
      <c r="D485" s="50"/>
      <c r="E485" s="49"/>
      <c r="F485" s="49"/>
      <c r="G485" s="45"/>
    </row>
    <row r="486" spans="1:7" ht="18">
      <c r="A486" s="48"/>
      <c r="B486" s="49"/>
      <c r="C486" s="49"/>
      <c r="D486" s="50"/>
      <c r="E486" s="49"/>
      <c r="F486" s="49"/>
      <c r="G486" s="45"/>
    </row>
    <row r="487" spans="1:7" ht="18">
      <c r="A487" s="48"/>
      <c r="B487" s="49"/>
      <c r="C487" s="49"/>
      <c r="D487" s="50"/>
      <c r="E487" s="49"/>
      <c r="F487" s="49"/>
      <c r="G487" s="45"/>
    </row>
    <row r="488" spans="1:7" ht="18">
      <c r="A488" s="48"/>
      <c r="B488" s="49"/>
      <c r="C488" s="49"/>
      <c r="D488" s="50"/>
      <c r="E488" s="49"/>
      <c r="F488" s="49"/>
      <c r="G488" s="45"/>
    </row>
    <row r="489" spans="1:7" ht="18">
      <c r="A489" s="48"/>
      <c r="B489" s="49"/>
      <c r="C489" s="49"/>
      <c r="D489" s="50"/>
      <c r="E489" s="49"/>
      <c r="F489" s="49"/>
      <c r="G489" s="45"/>
    </row>
    <row r="490" spans="1:7" ht="18">
      <c r="A490" s="48"/>
      <c r="B490" s="49"/>
      <c r="C490" s="49"/>
      <c r="D490" s="50"/>
      <c r="E490" s="49"/>
      <c r="F490" s="49"/>
      <c r="G490" s="45"/>
    </row>
    <row r="491" spans="1:7" ht="18">
      <c r="A491" s="48"/>
      <c r="B491" s="49"/>
      <c r="C491" s="49"/>
      <c r="D491" s="50"/>
      <c r="E491" s="49"/>
      <c r="F491" s="49"/>
      <c r="G491" s="45"/>
    </row>
    <row r="492" spans="1:7" ht="18">
      <c r="A492" s="48"/>
      <c r="B492" s="49"/>
      <c r="C492" s="49"/>
      <c r="D492" s="50"/>
      <c r="E492" s="49"/>
      <c r="F492" s="49"/>
      <c r="G492" s="45"/>
    </row>
    <row r="493" spans="1:7" ht="18">
      <c r="A493" s="48"/>
      <c r="B493" s="49"/>
      <c r="C493" s="49"/>
      <c r="D493" s="50"/>
      <c r="E493" s="49"/>
      <c r="F493" s="49"/>
      <c r="G493" s="45"/>
    </row>
    <row r="494" spans="1:7" ht="18">
      <c r="A494" s="48"/>
      <c r="B494" s="49"/>
      <c r="C494" s="49"/>
      <c r="D494" s="50"/>
      <c r="E494" s="49"/>
      <c r="F494" s="49"/>
      <c r="G494" s="45"/>
    </row>
    <row r="495" spans="1:7" ht="18">
      <c r="A495" s="48"/>
      <c r="B495" s="49"/>
      <c r="C495" s="49"/>
      <c r="D495" s="50"/>
      <c r="E495" s="49"/>
      <c r="F495" s="49"/>
      <c r="G495" s="45"/>
    </row>
    <row r="496" spans="1:7" ht="18">
      <c r="A496" s="48"/>
      <c r="B496" s="49"/>
      <c r="C496" s="49"/>
      <c r="D496" s="50"/>
      <c r="E496" s="49"/>
      <c r="F496" s="49"/>
      <c r="G496" s="45"/>
    </row>
    <row r="497" spans="1:7" ht="18">
      <c r="A497" s="48"/>
      <c r="B497" s="49"/>
      <c r="C497" s="49"/>
      <c r="D497" s="50"/>
      <c r="E497" s="49"/>
      <c r="F497" s="49"/>
      <c r="G497" s="45"/>
    </row>
    <row r="498" spans="1:7" ht="18">
      <c r="A498" s="48"/>
      <c r="B498" s="49"/>
      <c r="C498" s="49"/>
      <c r="D498" s="50"/>
      <c r="E498" s="49"/>
      <c r="F498" s="49"/>
      <c r="G498" s="45"/>
    </row>
    <row r="499" spans="1:7" ht="18">
      <c r="A499" s="48"/>
      <c r="B499" s="49"/>
      <c r="C499" s="49"/>
      <c r="D499" s="50"/>
      <c r="E499" s="49"/>
      <c r="F499" s="49"/>
      <c r="G499" s="45"/>
    </row>
    <row r="500" spans="1:7" ht="18">
      <c r="A500" s="48"/>
      <c r="B500" s="49"/>
      <c r="C500" s="49"/>
      <c r="D500" s="50"/>
      <c r="E500" s="49"/>
      <c r="F500" s="49"/>
      <c r="G500" s="45"/>
    </row>
    <row r="501" spans="1:7" ht="18">
      <c r="A501" s="48"/>
      <c r="B501" s="49"/>
      <c r="C501" s="49"/>
      <c r="D501" s="50"/>
      <c r="E501" s="49"/>
      <c r="F501" s="49"/>
      <c r="G501" s="45"/>
    </row>
    <row r="502" spans="1:7" ht="18">
      <c r="A502" s="48"/>
      <c r="B502" s="49"/>
      <c r="C502" s="49"/>
      <c r="D502" s="50"/>
      <c r="E502" s="49"/>
      <c r="F502" s="49"/>
      <c r="G502" s="45"/>
    </row>
    <row r="503" spans="1:7" ht="18">
      <c r="A503" s="48"/>
      <c r="B503" s="49"/>
      <c r="C503" s="49"/>
      <c r="D503" s="50"/>
      <c r="E503" s="49"/>
      <c r="F503" s="49"/>
      <c r="G503" s="45"/>
    </row>
    <row r="504" spans="1:7" ht="18">
      <c r="A504" s="48"/>
      <c r="B504" s="49"/>
      <c r="C504" s="49"/>
      <c r="D504" s="50"/>
      <c r="E504" s="49"/>
      <c r="F504" s="49"/>
      <c r="G504" s="45"/>
    </row>
    <row r="505" spans="1:7" ht="18">
      <c r="A505" s="48"/>
      <c r="B505" s="49"/>
      <c r="C505" s="49"/>
      <c r="D505" s="50"/>
      <c r="E505" s="49"/>
      <c r="F505" s="49"/>
      <c r="G505" s="45"/>
    </row>
    <row r="506" spans="1:7" ht="18">
      <c r="A506" s="48"/>
      <c r="B506" s="49"/>
      <c r="C506" s="49"/>
      <c r="D506" s="50"/>
      <c r="E506" s="49"/>
      <c r="F506" s="49"/>
      <c r="G506" s="45"/>
    </row>
    <row r="507" spans="1:7" ht="18">
      <c r="A507" s="48"/>
      <c r="B507" s="49"/>
      <c r="C507" s="49"/>
      <c r="D507" s="50"/>
      <c r="E507" s="49"/>
      <c r="F507" s="49"/>
      <c r="G507" s="45"/>
    </row>
    <row r="508" spans="1:7" ht="18">
      <c r="A508" s="48"/>
      <c r="B508" s="49"/>
      <c r="C508" s="49"/>
      <c r="D508" s="50"/>
      <c r="E508" s="49"/>
      <c r="F508" s="49"/>
      <c r="G508" s="45"/>
    </row>
    <row r="509" spans="1:7" ht="18">
      <c r="A509" s="48"/>
      <c r="B509" s="49"/>
      <c r="C509" s="49"/>
      <c r="D509" s="50"/>
      <c r="E509" s="49"/>
      <c r="F509" s="49"/>
      <c r="G509" s="45"/>
    </row>
    <row r="510" spans="1:7" ht="18">
      <c r="A510" s="48"/>
      <c r="B510" s="49"/>
      <c r="C510" s="49"/>
      <c r="D510" s="50"/>
      <c r="E510" s="49"/>
      <c r="F510" s="49"/>
      <c r="G510" s="45"/>
    </row>
    <row r="511" spans="1:7" ht="18">
      <c r="A511" s="48"/>
      <c r="B511" s="49"/>
      <c r="C511" s="49"/>
      <c r="D511" s="50"/>
      <c r="E511" s="49"/>
      <c r="F511" s="49"/>
      <c r="G511" s="45"/>
    </row>
    <row r="512" spans="1:7" ht="18">
      <c r="A512" s="48"/>
      <c r="B512" s="49"/>
      <c r="C512" s="49"/>
      <c r="D512" s="50"/>
      <c r="E512" s="49"/>
      <c r="F512" s="49"/>
      <c r="G512" s="45"/>
    </row>
    <row r="513" spans="1:7" ht="18">
      <c r="A513" s="48"/>
      <c r="B513" s="49"/>
      <c r="C513" s="49"/>
      <c r="D513" s="50"/>
      <c r="E513" s="49"/>
      <c r="F513" s="49"/>
      <c r="G513" s="45"/>
    </row>
    <row r="514" spans="1:7" ht="18">
      <c r="A514" s="48"/>
      <c r="B514" s="49"/>
      <c r="C514" s="49"/>
      <c r="D514" s="50"/>
      <c r="E514" s="49"/>
      <c r="F514" s="49"/>
      <c r="G514" s="45"/>
    </row>
    <row r="515" spans="1:7" ht="18">
      <c r="A515" s="48"/>
      <c r="B515" s="49"/>
      <c r="C515" s="49"/>
      <c r="D515" s="50"/>
      <c r="E515" s="49"/>
      <c r="F515" s="49"/>
      <c r="G515" s="45"/>
    </row>
    <row r="516" spans="1:7" ht="18">
      <c r="A516" s="48"/>
      <c r="B516" s="49"/>
      <c r="C516" s="49"/>
      <c r="D516" s="50"/>
      <c r="E516" s="49"/>
      <c r="F516" s="49"/>
      <c r="G516" s="45"/>
    </row>
    <row r="517" spans="1:7" ht="18">
      <c r="A517" s="48"/>
      <c r="B517" s="49"/>
      <c r="C517" s="49"/>
      <c r="D517" s="50"/>
      <c r="E517" s="49"/>
      <c r="F517" s="49"/>
      <c r="G517" s="45"/>
    </row>
    <row r="518" spans="1:7" ht="18">
      <c r="A518" s="48"/>
      <c r="B518" s="49"/>
      <c r="C518" s="49"/>
      <c r="D518" s="50"/>
      <c r="E518" s="49"/>
      <c r="F518" s="49"/>
      <c r="G518" s="45"/>
    </row>
    <row r="519" spans="1:7" ht="18">
      <c r="A519" s="48"/>
      <c r="B519" s="49"/>
      <c r="C519" s="49"/>
      <c r="D519" s="50"/>
      <c r="E519" s="49"/>
      <c r="F519" s="49"/>
      <c r="G519" s="45"/>
    </row>
    <row r="520" spans="1:7" ht="18">
      <c r="A520" s="48"/>
      <c r="B520" s="49"/>
      <c r="C520" s="49"/>
      <c r="D520" s="50"/>
      <c r="E520" s="49"/>
      <c r="F520" s="49"/>
      <c r="G520" s="45"/>
    </row>
    <row r="521" spans="1:7" ht="18">
      <c r="A521" s="48"/>
      <c r="B521" s="49"/>
      <c r="C521" s="49"/>
      <c r="D521" s="50"/>
      <c r="E521" s="49"/>
      <c r="F521" s="49"/>
      <c r="G521" s="45"/>
    </row>
    <row r="522" spans="1:7" ht="18">
      <c r="A522" s="48"/>
      <c r="B522" s="49"/>
      <c r="C522" s="49"/>
      <c r="D522" s="50"/>
      <c r="E522" s="49"/>
      <c r="F522" s="49"/>
      <c r="G522" s="45"/>
    </row>
    <row r="523" spans="1:7" ht="18">
      <c r="A523" s="48"/>
      <c r="B523" s="49"/>
      <c r="C523" s="49"/>
      <c r="D523" s="50"/>
      <c r="E523" s="49"/>
      <c r="F523" s="49"/>
      <c r="G523" s="45"/>
    </row>
    <row r="524" spans="1:7" ht="18">
      <c r="A524" s="48"/>
      <c r="B524" s="49"/>
      <c r="C524" s="49"/>
      <c r="D524" s="50"/>
      <c r="E524" s="49"/>
      <c r="F524" s="49"/>
      <c r="G524" s="45"/>
    </row>
    <row r="525" spans="1:7" ht="18">
      <c r="A525" s="48"/>
      <c r="B525" s="49"/>
      <c r="C525" s="49"/>
      <c r="D525" s="50"/>
      <c r="E525" s="49"/>
      <c r="F525" s="49"/>
      <c r="G525" s="45"/>
    </row>
    <row r="526" spans="1:7" ht="18">
      <c r="A526" s="48"/>
      <c r="B526" s="49"/>
      <c r="C526" s="49"/>
      <c r="D526" s="50"/>
      <c r="E526" s="49"/>
      <c r="F526" s="49"/>
      <c r="G526" s="45"/>
    </row>
    <row r="527" spans="1:7" ht="18">
      <c r="A527" s="48"/>
      <c r="B527" s="49"/>
      <c r="C527" s="49"/>
      <c r="D527" s="50"/>
      <c r="E527" s="49"/>
      <c r="F527" s="49"/>
      <c r="G527" s="45"/>
    </row>
    <row r="528" spans="1:7" ht="18">
      <c r="A528" s="48"/>
      <c r="B528" s="49"/>
      <c r="C528" s="49"/>
      <c r="D528" s="50"/>
      <c r="E528" s="49"/>
      <c r="F528" s="49"/>
      <c r="G528" s="45"/>
    </row>
    <row r="529" spans="1:7" ht="18">
      <c r="A529" s="48"/>
      <c r="B529" s="49"/>
      <c r="C529" s="49"/>
      <c r="D529" s="50"/>
      <c r="E529" s="49"/>
      <c r="F529" s="49"/>
      <c r="G529" s="45"/>
    </row>
    <row r="530" spans="1:7" ht="18">
      <c r="A530" s="48"/>
      <c r="B530" s="49"/>
      <c r="C530" s="49"/>
      <c r="D530" s="50"/>
      <c r="E530" s="49"/>
      <c r="F530" s="49"/>
      <c r="G530" s="45"/>
    </row>
    <row r="531" spans="1:7" ht="18">
      <c r="A531" s="48"/>
      <c r="B531" s="49"/>
      <c r="C531" s="49"/>
      <c r="D531" s="50"/>
      <c r="E531" s="49"/>
      <c r="F531" s="49"/>
      <c r="G531" s="45"/>
    </row>
    <row r="532" spans="1:7" ht="18">
      <c r="A532" s="48"/>
      <c r="B532" s="49"/>
      <c r="C532" s="49"/>
      <c r="D532" s="50"/>
      <c r="E532" s="49"/>
      <c r="F532" s="49"/>
      <c r="G532" s="45"/>
    </row>
    <row r="533" spans="1:7" ht="18">
      <c r="A533" s="48"/>
      <c r="B533" s="49"/>
      <c r="C533" s="49"/>
      <c r="D533" s="50"/>
      <c r="E533" s="49"/>
      <c r="F533" s="49"/>
      <c r="G533" s="45"/>
    </row>
    <row r="534" spans="1:7" ht="18">
      <c r="A534" s="48"/>
      <c r="B534" s="49"/>
      <c r="C534" s="49"/>
      <c r="D534" s="50"/>
      <c r="E534" s="49"/>
      <c r="F534" s="49"/>
      <c r="G534" s="45"/>
    </row>
    <row r="535" spans="1:7" ht="18">
      <c r="A535" s="48"/>
      <c r="B535" s="49"/>
      <c r="C535" s="49"/>
      <c r="D535" s="50"/>
      <c r="E535" s="49"/>
      <c r="F535" s="49"/>
      <c r="G535" s="45"/>
    </row>
    <row r="536" spans="1:7" ht="18">
      <c r="A536" s="48"/>
      <c r="B536" s="49"/>
      <c r="C536" s="49"/>
      <c r="D536" s="50"/>
      <c r="E536" s="49"/>
      <c r="F536" s="49"/>
      <c r="G536" s="45"/>
    </row>
    <row r="537" spans="1:7" ht="18">
      <c r="A537" s="48"/>
      <c r="B537" s="49"/>
      <c r="C537" s="49"/>
      <c r="D537" s="50"/>
      <c r="E537" s="49"/>
      <c r="F537" s="49"/>
      <c r="G537" s="45"/>
    </row>
    <row r="538" spans="1:7" ht="18">
      <c r="A538" s="48"/>
      <c r="B538" s="49"/>
      <c r="C538" s="49"/>
      <c r="D538" s="50"/>
      <c r="E538" s="49"/>
      <c r="F538" s="49"/>
      <c r="G538" s="45"/>
    </row>
    <row r="539" spans="1:7" ht="18">
      <c r="A539" s="48"/>
      <c r="B539" s="49"/>
      <c r="C539" s="49"/>
      <c r="D539" s="50"/>
      <c r="E539" s="49"/>
      <c r="F539" s="49"/>
      <c r="G539" s="45"/>
    </row>
    <row r="540" spans="1:7" ht="18">
      <c r="A540" s="48"/>
      <c r="B540" s="49"/>
      <c r="C540" s="49"/>
      <c r="D540" s="50"/>
      <c r="E540" s="49"/>
      <c r="F540" s="49"/>
      <c r="G540" s="45"/>
    </row>
    <row r="541" spans="1:7" ht="18">
      <c r="A541" s="48"/>
      <c r="B541" s="49"/>
      <c r="C541" s="49"/>
      <c r="D541" s="50"/>
      <c r="E541" s="49"/>
      <c r="F541" s="49"/>
      <c r="G541" s="45"/>
    </row>
    <row r="542" spans="1:7" ht="18">
      <c r="A542" s="48"/>
      <c r="B542" s="49"/>
      <c r="C542" s="49"/>
      <c r="D542" s="50"/>
      <c r="E542" s="49"/>
      <c r="F542" s="49"/>
      <c r="G542" s="45"/>
    </row>
    <row r="543" spans="1:7" ht="18">
      <c r="A543" s="48"/>
      <c r="B543" s="49"/>
      <c r="C543" s="49"/>
      <c r="D543" s="50"/>
      <c r="E543" s="49"/>
      <c r="F543" s="49"/>
      <c r="G543" s="45"/>
    </row>
    <row r="544" spans="1:7" ht="18">
      <c r="A544" s="48"/>
      <c r="B544" s="49"/>
      <c r="C544" s="49"/>
      <c r="D544" s="50"/>
      <c r="E544" s="49"/>
      <c r="F544" s="49"/>
      <c r="G544" s="45"/>
    </row>
    <row r="545" spans="1:7" ht="18">
      <c r="A545" s="48"/>
      <c r="B545" s="49"/>
      <c r="C545" s="49"/>
      <c r="D545" s="50"/>
      <c r="E545" s="49"/>
      <c r="F545" s="49"/>
      <c r="G545" s="45"/>
    </row>
    <row r="546" spans="1:7" ht="18">
      <c r="A546" s="48"/>
      <c r="B546" s="49"/>
      <c r="C546" s="49"/>
      <c r="D546" s="50"/>
      <c r="E546" s="49"/>
      <c r="F546" s="49"/>
      <c r="G546" s="45"/>
    </row>
    <row r="547" spans="1:7" ht="18">
      <c r="A547" s="48"/>
      <c r="B547" s="49"/>
      <c r="C547" s="49"/>
      <c r="D547" s="50"/>
      <c r="E547" s="49"/>
      <c r="F547" s="49"/>
      <c r="G547" s="45"/>
    </row>
    <row r="548" spans="1:7" ht="18">
      <c r="A548" s="48"/>
      <c r="B548" s="49"/>
      <c r="C548" s="49"/>
      <c r="D548" s="50"/>
      <c r="E548" s="49"/>
      <c r="F548" s="49"/>
      <c r="G548" s="45"/>
    </row>
    <row r="549" spans="1:7" ht="18">
      <c r="A549" s="48"/>
      <c r="B549" s="49"/>
      <c r="C549" s="49"/>
      <c r="D549" s="50"/>
      <c r="E549" s="49"/>
      <c r="F549" s="49"/>
      <c r="G549" s="45"/>
    </row>
    <row r="550" spans="1:7" ht="18">
      <c r="A550" s="48"/>
      <c r="B550" s="49"/>
      <c r="C550" s="49"/>
      <c r="D550" s="50"/>
      <c r="E550" s="49"/>
      <c r="F550" s="49"/>
      <c r="G550" s="45"/>
    </row>
    <row r="551" spans="1:7" ht="18">
      <c r="A551" s="48"/>
      <c r="B551" s="49"/>
      <c r="C551" s="49"/>
      <c r="D551" s="50"/>
      <c r="E551" s="49"/>
      <c r="F551" s="49"/>
      <c r="G551" s="45"/>
    </row>
    <row r="552" spans="1:7" ht="18">
      <c r="A552" s="48"/>
      <c r="B552" s="49"/>
      <c r="C552" s="49"/>
      <c r="D552" s="50"/>
      <c r="E552" s="49"/>
      <c r="F552" s="49"/>
      <c r="G552" s="45"/>
    </row>
    <row r="553" spans="1:7" ht="18">
      <c r="A553" s="48"/>
      <c r="B553" s="49"/>
      <c r="C553" s="49"/>
      <c r="D553" s="50"/>
      <c r="E553" s="49"/>
      <c r="F553" s="49"/>
      <c r="G553" s="45"/>
    </row>
    <row r="554" spans="1:7" ht="18">
      <c r="A554" s="48"/>
      <c r="B554" s="49"/>
      <c r="C554" s="49"/>
      <c r="D554" s="50"/>
      <c r="E554" s="49"/>
      <c r="F554" s="49"/>
      <c r="G554" s="45"/>
    </row>
    <row r="555" spans="1:7" ht="18">
      <c r="A555" s="48"/>
      <c r="B555" s="49"/>
      <c r="C555" s="49"/>
      <c r="D555" s="50"/>
      <c r="E555" s="49"/>
      <c r="F555" s="49"/>
      <c r="G555" s="45"/>
    </row>
    <row r="556" spans="1:7" ht="18">
      <c r="A556" s="48"/>
      <c r="B556" s="49"/>
      <c r="C556" s="49"/>
      <c r="D556" s="50"/>
      <c r="E556" s="49"/>
      <c r="F556" s="49"/>
      <c r="G556" s="45"/>
    </row>
    <row r="557" spans="1:7" ht="18">
      <c r="A557" s="48"/>
      <c r="B557" s="49"/>
      <c r="C557" s="49"/>
      <c r="D557" s="50"/>
      <c r="E557" s="49"/>
      <c r="F557" s="49"/>
      <c r="G557" s="45"/>
    </row>
    <row r="558" spans="1:7" ht="18">
      <c r="A558" s="48"/>
      <c r="B558" s="49"/>
      <c r="C558" s="49"/>
      <c r="D558" s="50"/>
      <c r="E558" s="49"/>
      <c r="F558" s="49"/>
      <c r="G558" s="45"/>
    </row>
    <row r="559" spans="1:7" ht="18">
      <c r="A559" s="48"/>
      <c r="B559" s="49"/>
      <c r="C559" s="49"/>
      <c r="D559" s="50"/>
      <c r="E559" s="49"/>
      <c r="F559" s="49"/>
      <c r="G559" s="45"/>
    </row>
    <row r="560" spans="1:7" ht="18">
      <c r="A560" s="48"/>
      <c r="B560" s="49"/>
      <c r="C560" s="49"/>
      <c r="D560" s="50"/>
      <c r="E560" s="49"/>
      <c r="F560" s="49"/>
      <c r="G560" s="45"/>
    </row>
    <row r="561" spans="1:7" ht="18">
      <c r="A561" s="48"/>
      <c r="B561" s="49"/>
      <c r="C561" s="49"/>
      <c r="D561" s="50"/>
      <c r="E561" s="49"/>
      <c r="F561" s="49"/>
      <c r="G561" s="45"/>
    </row>
    <row r="562" spans="1:7" ht="18">
      <c r="A562" s="48"/>
      <c r="B562" s="49"/>
      <c r="C562" s="49"/>
      <c r="D562" s="50"/>
      <c r="E562" s="49"/>
      <c r="F562" s="49"/>
      <c r="G562" s="45"/>
    </row>
    <row r="563" spans="1:7" ht="18">
      <c r="A563" s="48"/>
      <c r="B563" s="49"/>
      <c r="C563" s="49"/>
      <c r="D563" s="50"/>
      <c r="E563" s="49"/>
      <c r="F563" s="49"/>
      <c r="G563" s="45"/>
    </row>
    <row r="564" spans="1:7" ht="18">
      <c r="A564" s="48"/>
      <c r="B564" s="49"/>
      <c r="C564" s="49"/>
      <c r="D564" s="50"/>
      <c r="E564" s="49"/>
      <c r="F564" s="49"/>
      <c r="G564" s="45"/>
    </row>
    <row r="565" spans="1:7" ht="18">
      <c r="A565" s="48"/>
      <c r="B565" s="49"/>
      <c r="C565" s="49"/>
      <c r="D565" s="50"/>
      <c r="E565" s="49"/>
      <c r="F565" s="49"/>
      <c r="G565" s="45"/>
    </row>
    <row r="566" spans="1:7" ht="18">
      <c r="A566" s="48"/>
      <c r="B566" s="49"/>
      <c r="C566" s="49"/>
      <c r="D566" s="50"/>
      <c r="E566" s="49"/>
      <c r="F566" s="49"/>
      <c r="G566" s="45"/>
    </row>
    <row r="567" spans="1:7" ht="18">
      <c r="A567" s="48"/>
      <c r="B567" s="49"/>
      <c r="C567" s="49"/>
      <c r="D567" s="50"/>
      <c r="E567" s="49"/>
      <c r="F567" s="49"/>
      <c r="G567" s="45"/>
    </row>
    <row r="568" spans="1:7" ht="18">
      <c r="A568" s="48"/>
      <c r="B568" s="49"/>
      <c r="C568" s="49"/>
      <c r="D568" s="50"/>
      <c r="E568" s="49"/>
      <c r="F568" s="49"/>
      <c r="G568" s="45"/>
    </row>
    <row r="569" spans="1:7" ht="18">
      <c r="A569" s="48"/>
      <c r="B569" s="49"/>
      <c r="C569" s="49"/>
      <c r="D569" s="50"/>
      <c r="E569" s="49"/>
      <c r="F569" s="49"/>
      <c r="G569" s="45"/>
    </row>
    <row r="570" spans="1:7" ht="18">
      <c r="A570" s="48"/>
      <c r="B570" s="49"/>
      <c r="C570" s="49"/>
      <c r="D570" s="50"/>
      <c r="E570" s="49"/>
      <c r="F570" s="49"/>
      <c r="G570" s="45"/>
    </row>
    <row r="571" spans="1:7" ht="18">
      <c r="A571" s="48"/>
      <c r="B571" s="49"/>
      <c r="C571" s="49"/>
      <c r="D571" s="50"/>
      <c r="E571" s="49"/>
      <c r="F571" s="49"/>
      <c r="G571" s="45"/>
    </row>
    <row r="572" spans="1:7" ht="18">
      <c r="A572" s="48"/>
      <c r="B572" s="49"/>
      <c r="C572" s="49"/>
      <c r="D572" s="50"/>
      <c r="E572" s="49"/>
      <c r="F572" s="49"/>
      <c r="G572" s="45"/>
    </row>
    <row r="573" spans="1:7" ht="18">
      <c r="A573" s="48"/>
      <c r="B573" s="49"/>
      <c r="C573" s="49"/>
      <c r="D573" s="50"/>
      <c r="E573" s="49"/>
      <c r="F573" s="49"/>
      <c r="G573" s="45"/>
    </row>
    <row r="574" spans="1:7" ht="18">
      <c r="A574" s="48"/>
      <c r="B574" s="49"/>
      <c r="C574" s="49"/>
      <c r="D574" s="50"/>
      <c r="E574" s="49"/>
      <c r="F574" s="49"/>
      <c r="G574" s="45"/>
    </row>
    <row r="575" spans="1:7" ht="18">
      <c r="A575" s="48"/>
      <c r="B575" s="49"/>
      <c r="C575" s="49"/>
      <c r="D575" s="50"/>
      <c r="E575" s="49"/>
      <c r="F575" s="49"/>
      <c r="G575" s="45"/>
    </row>
    <row r="576" spans="1:7" ht="18">
      <c r="A576" s="48"/>
      <c r="B576" s="49"/>
      <c r="C576" s="49"/>
      <c r="D576" s="50"/>
      <c r="E576" s="49"/>
      <c r="F576" s="49"/>
      <c r="G576" s="45"/>
    </row>
    <row r="577" spans="1:7" ht="18">
      <c r="A577" s="48"/>
      <c r="B577" s="49"/>
      <c r="C577" s="49"/>
      <c r="D577" s="50"/>
      <c r="E577" s="49"/>
      <c r="F577" s="49"/>
      <c r="G577" s="45"/>
    </row>
    <row r="578" spans="1:7" ht="18">
      <c r="A578" s="48"/>
      <c r="B578" s="49"/>
      <c r="C578" s="49"/>
      <c r="D578" s="50"/>
      <c r="E578" s="49"/>
      <c r="F578" s="49"/>
      <c r="G578" s="45"/>
    </row>
    <row r="579" spans="1:7" ht="18">
      <c r="A579" s="48"/>
      <c r="B579" s="49"/>
      <c r="C579" s="49"/>
      <c r="D579" s="50"/>
      <c r="E579" s="49"/>
      <c r="F579" s="49"/>
      <c r="G579" s="45"/>
    </row>
    <row r="580" spans="1:7" ht="18">
      <c r="A580" s="48"/>
      <c r="B580" s="49"/>
      <c r="C580" s="49"/>
      <c r="D580" s="50"/>
      <c r="E580" s="49"/>
      <c r="F580" s="49"/>
      <c r="G580" s="45"/>
    </row>
    <row r="581" spans="1:7" ht="18">
      <c r="A581" s="48"/>
      <c r="B581" s="49"/>
      <c r="C581" s="49"/>
      <c r="D581" s="50"/>
      <c r="E581" s="49"/>
      <c r="F581" s="49"/>
      <c r="G581" s="45"/>
    </row>
    <row r="582" spans="1:7" ht="18">
      <c r="A582" s="48"/>
      <c r="B582" s="49"/>
      <c r="C582" s="49"/>
      <c r="D582" s="50"/>
      <c r="E582" s="49"/>
      <c r="F582" s="49"/>
      <c r="G582" s="45"/>
    </row>
    <row r="583" spans="1:7" ht="18">
      <c r="A583" s="48"/>
      <c r="B583" s="49"/>
      <c r="C583" s="49"/>
      <c r="D583" s="50"/>
      <c r="E583" s="49"/>
      <c r="F583" s="49"/>
      <c r="G583" s="45"/>
    </row>
    <row r="584" spans="1:7" ht="18">
      <c r="A584" s="48"/>
      <c r="B584" s="49"/>
      <c r="C584" s="49"/>
      <c r="D584" s="50"/>
      <c r="E584" s="49"/>
      <c r="F584" s="49"/>
      <c r="G584" s="45"/>
    </row>
    <row r="585" spans="1:7" ht="18">
      <c r="A585" s="48"/>
      <c r="B585" s="49"/>
      <c r="C585" s="49"/>
      <c r="D585" s="50"/>
      <c r="E585" s="49"/>
      <c r="F585" s="49"/>
      <c r="G585" s="45"/>
    </row>
    <row r="586" spans="1:7" ht="18">
      <c r="A586" s="48"/>
      <c r="B586" s="49"/>
      <c r="C586" s="49"/>
      <c r="D586" s="50"/>
      <c r="E586" s="49"/>
      <c r="F586" s="49"/>
      <c r="G586" s="45"/>
    </row>
    <row r="587" spans="1:7" ht="18">
      <c r="A587" s="48"/>
      <c r="B587" s="49"/>
      <c r="C587" s="49"/>
      <c r="D587" s="50"/>
      <c r="E587" s="49"/>
      <c r="F587" s="49"/>
      <c r="G587" s="45"/>
    </row>
    <row r="588" spans="1:7" ht="18">
      <c r="A588" s="48"/>
      <c r="B588" s="49"/>
      <c r="C588" s="49"/>
      <c r="D588" s="50"/>
      <c r="E588" s="49"/>
      <c r="F588" s="49"/>
      <c r="G588" s="45"/>
    </row>
    <row r="589" spans="1:7" ht="18">
      <c r="A589" s="48"/>
      <c r="B589" s="49"/>
      <c r="C589" s="49"/>
      <c r="D589" s="50"/>
      <c r="E589" s="49"/>
      <c r="F589" s="49"/>
      <c r="G589" s="45"/>
    </row>
    <row r="590" spans="1:7" ht="18">
      <c r="A590" s="48"/>
      <c r="B590" s="49"/>
      <c r="C590" s="49"/>
      <c r="D590" s="50"/>
      <c r="E590" s="49"/>
      <c r="F590" s="49"/>
      <c r="G590" s="45"/>
    </row>
    <row r="591" spans="1:7" ht="18">
      <c r="A591" s="48"/>
      <c r="B591" s="49"/>
      <c r="C591" s="49"/>
      <c r="D591" s="50"/>
      <c r="E591" s="49"/>
      <c r="F591" s="49"/>
      <c r="G591" s="45"/>
    </row>
    <row r="592" spans="1:7" ht="18">
      <c r="A592" s="48"/>
      <c r="B592" s="49"/>
      <c r="C592" s="49"/>
      <c r="D592" s="50"/>
      <c r="E592" s="49"/>
      <c r="F592" s="49"/>
      <c r="G592" s="45"/>
    </row>
    <row r="593" spans="1:7" ht="18">
      <c r="A593" s="48"/>
      <c r="B593" s="49"/>
      <c r="C593" s="49"/>
      <c r="D593" s="50"/>
      <c r="E593" s="49"/>
      <c r="F593" s="49"/>
      <c r="G593" s="45"/>
    </row>
    <row r="594" spans="1:7" ht="18">
      <c r="A594" s="48"/>
      <c r="B594" s="49"/>
      <c r="C594" s="49"/>
      <c r="D594" s="50"/>
      <c r="E594" s="49"/>
      <c r="F594" s="49"/>
      <c r="G594" s="45"/>
    </row>
    <row r="595" spans="1:7" ht="18">
      <c r="A595" s="48"/>
      <c r="B595" s="49"/>
      <c r="C595" s="49"/>
      <c r="D595" s="50"/>
      <c r="E595" s="49"/>
      <c r="F595" s="49"/>
      <c r="G595" s="45"/>
    </row>
    <row r="596" spans="1:7" ht="18">
      <c r="A596" s="48"/>
      <c r="B596" s="49"/>
      <c r="C596" s="49"/>
      <c r="D596" s="50"/>
      <c r="E596" s="49"/>
      <c r="F596" s="49"/>
      <c r="G596" s="45"/>
    </row>
    <row r="597" spans="1:7" ht="18">
      <c r="A597" s="48"/>
      <c r="B597" s="49"/>
      <c r="C597" s="49"/>
      <c r="D597" s="50"/>
      <c r="E597" s="49"/>
      <c r="F597" s="49"/>
      <c r="G597" s="45"/>
    </row>
    <row r="598" spans="1:7" ht="18">
      <c r="A598" s="48"/>
      <c r="B598" s="49"/>
      <c r="C598" s="49"/>
      <c r="D598" s="50"/>
      <c r="E598" s="49"/>
      <c r="F598" s="49"/>
      <c r="G598" s="45"/>
    </row>
    <row r="599" spans="1:7" ht="18">
      <c r="A599" s="48"/>
      <c r="B599" s="49"/>
      <c r="C599" s="49"/>
      <c r="D599" s="50"/>
      <c r="E599" s="49"/>
      <c r="F599" s="49"/>
      <c r="G599" s="45"/>
    </row>
    <row r="600" spans="1:7" ht="18">
      <c r="A600" s="48"/>
      <c r="B600" s="49"/>
      <c r="C600" s="49"/>
      <c r="D600" s="50"/>
      <c r="E600" s="49"/>
      <c r="F600" s="49"/>
      <c r="G600" s="45"/>
    </row>
    <row r="601" spans="1:7" ht="18">
      <c r="A601" s="48"/>
      <c r="B601" s="49"/>
      <c r="C601" s="49"/>
      <c r="D601" s="50"/>
      <c r="E601" s="49"/>
      <c r="F601" s="49"/>
      <c r="G601" s="45"/>
    </row>
    <row r="602" spans="1:7" ht="18">
      <c r="A602" s="48"/>
      <c r="B602" s="49"/>
      <c r="C602" s="49"/>
      <c r="D602" s="50"/>
      <c r="E602" s="49"/>
      <c r="F602" s="49"/>
      <c r="G602" s="45"/>
    </row>
    <row r="603" spans="1:7" ht="18">
      <c r="A603" s="48"/>
      <c r="B603" s="49"/>
      <c r="C603" s="49"/>
      <c r="D603" s="50"/>
      <c r="E603" s="49"/>
      <c r="F603" s="49"/>
      <c r="G603" s="45"/>
    </row>
    <row r="604" spans="1:7" ht="18">
      <c r="A604" s="48"/>
      <c r="B604" s="49"/>
      <c r="C604" s="49"/>
      <c r="D604" s="50"/>
      <c r="E604" s="49"/>
      <c r="F604" s="49"/>
      <c r="G604" s="45"/>
    </row>
    <row r="605" spans="1:7" ht="18">
      <c r="A605" s="48"/>
      <c r="B605" s="49"/>
      <c r="C605" s="49"/>
      <c r="D605" s="50"/>
      <c r="E605" s="49"/>
      <c r="F605" s="49"/>
      <c r="G605" s="45"/>
    </row>
    <row r="606" spans="1:7" ht="18">
      <c r="A606" s="48"/>
      <c r="B606" s="49"/>
      <c r="C606" s="49"/>
      <c r="D606" s="50"/>
      <c r="E606" s="49"/>
      <c r="F606" s="49"/>
      <c r="G606" s="45"/>
    </row>
    <row r="607" spans="1:7" ht="18">
      <c r="A607" s="48"/>
      <c r="B607" s="49"/>
      <c r="C607" s="49"/>
      <c r="D607" s="50"/>
      <c r="E607" s="49"/>
      <c r="F607" s="49"/>
      <c r="G607" s="45"/>
    </row>
    <row r="608" spans="1:7" ht="18">
      <c r="A608" s="48"/>
      <c r="B608" s="49"/>
      <c r="C608" s="49"/>
      <c r="D608" s="50"/>
      <c r="E608" s="49"/>
      <c r="F608" s="49"/>
      <c r="G608" s="45"/>
    </row>
    <row r="609" spans="1:7" ht="18">
      <c r="A609" s="48"/>
      <c r="B609" s="49"/>
      <c r="C609" s="49"/>
      <c r="D609" s="50"/>
      <c r="E609" s="49"/>
      <c r="F609" s="49"/>
      <c r="G609" s="45"/>
    </row>
    <row r="610" spans="1:7" ht="18">
      <c r="A610" s="48"/>
      <c r="B610" s="49"/>
      <c r="C610" s="49"/>
      <c r="D610" s="50"/>
      <c r="E610" s="49"/>
      <c r="F610" s="49"/>
      <c r="G610" s="45"/>
    </row>
    <row r="611" spans="1:7" ht="18">
      <c r="A611" s="48"/>
      <c r="B611" s="49"/>
      <c r="C611" s="49"/>
      <c r="D611" s="50"/>
      <c r="E611" s="49"/>
      <c r="F611" s="49"/>
      <c r="G611" s="45"/>
    </row>
    <row r="612" spans="1:7" ht="18">
      <c r="A612" s="48"/>
      <c r="B612" s="49"/>
      <c r="C612" s="49"/>
      <c r="D612" s="50"/>
      <c r="E612" s="49"/>
      <c r="F612" s="49"/>
      <c r="G612" s="45"/>
    </row>
    <row r="613" spans="1:7" ht="18">
      <c r="A613" s="48"/>
      <c r="B613" s="49"/>
      <c r="C613" s="49"/>
      <c r="D613" s="50"/>
      <c r="E613" s="49"/>
      <c r="F613" s="49"/>
      <c r="G613" s="45"/>
    </row>
    <row r="614" spans="1:7" ht="18">
      <c r="A614" s="48"/>
      <c r="B614" s="49"/>
      <c r="C614" s="49"/>
      <c r="D614" s="50"/>
      <c r="E614" s="49"/>
      <c r="F614" s="49"/>
      <c r="G614" s="45"/>
    </row>
    <row r="615" spans="1:7" ht="18">
      <c r="A615" s="48"/>
      <c r="B615" s="49"/>
      <c r="C615" s="49"/>
      <c r="D615" s="50"/>
      <c r="E615" s="49"/>
      <c r="F615" s="49"/>
      <c r="G615" s="45"/>
    </row>
    <row r="616" spans="1:7" ht="18">
      <c r="A616" s="48"/>
      <c r="B616" s="49"/>
      <c r="C616" s="49"/>
      <c r="D616" s="50"/>
      <c r="E616" s="49"/>
      <c r="F616" s="49"/>
      <c r="G616" s="45"/>
    </row>
    <row r="617" spans="1:7" ht="18">
      <c r="A617" s="48"/>
      <c r="B617" s="49"/>
      <c r="C617" s="49"/>
      <c r="D617" s="50"/>
      <c r="E617" s="49"/>
      <c r="F617" s="49"/>
      <c r="G617" s="45"/>
    </row>
    <row r="618" spans="1:7" ht="18">
      <c r="A618" s="48"/>
      <c r="B618" s="49"/>
      <c r="C618" s="49"/>
      <c r="D618" s="50"/>
      <c r="E618" s="49"/>
      <c r="F618" s="49"/>
      <c r="G618" s="45"/>
    </row>
    <row r="619" spans="1:7" ht="18">
      <c r="A619" s="48"/>
      <c r="B619" s="49"/>
      <c r="C619" s="49"/>
      <c r="D619" s="50"/>
      <c r="E619" s="49"/>
      <c r="F619" s="49"/>
      <c r="G619" s="45"/>
    </row>
    <row r="620" spans="1:7" ht="18">
      <c r="A620" s="48"/>
      <c r="B620" s="49"/>
      <c r="C620" s="49"/>
      <c r="D620" s="50"/>
      <c r="E620" s="49"/>
      <c r="F620" s="49"/>
      <c r="G620" s="45"/>
    </row>
    <row r="621" spans="1:7" ht="18">
      <c r="A621" s="48"/>
      <c r="B621" s="49"/>
      <c r="C621" s="49"/>
      <c r="D621" s="50"/>
      <c r="E621" s="49"/>
      <c r="F621" s="49"/>
      <c r="G621" s="45"/>
    </row>
    <row r="622" spans="1:7" ht="18">
      <c r="A622" s="48"/>
      <c r="B622" s="49"/>
      <c r="C622" s="49"/>
      <c r="D622" s="50"/>
      <c r="E622" s="49"/>
      <c r="F622" s="49"/>
      <c r="G622" s="45"/>
    </row>
    <row r="623" spans="1:7" ht="18">
      <c r="A623" s="48"/>
      <c r="B623" s="49"/>
      <c r="C623" s="49"/>
      <c r="D623" s="50"/>
      <c r="E623" s="49"/>
      <c r="F623" s="49"/>
      <c r="G623" s="45"/>
    </row>
    <row r="624" spans="1:7" ht="18">
      <c r="A624" s="48"/>
      <c r="B624" s="49"/>
      <c r="C624" s="49"/>
      <c r="D624" s="50"/>
      <c r="E624" s="49"/>
      <c r="F624" s="49"/>
      <c r="G624" s="45"/>
    </row>
    <row r="625" spans="1:7" ht="18">
      <c r="A625" s="48"/>
      <c r="B625" s="49"/>
      <c r="C625" s="49"/>
      <c r="D625" s="50"/>
      <c r="E625" s="49"/>
      <c r="F625" s="49"/>
      <c r="G625" s="45"/>
    </row>
    <row r="626" spans="1:7" ht="18">
      <c r="A626" s="48"/>
      <c r="B626" s="49"/>
      <c r="C626" s="49"/>
      <c r="D626" s="50"/>
      <c r="E626" s="49"/>
      <c r="F626" s="49"/>
      <c r="G626" s="45"/>
    </row>
    <row r="627" spans="1:7" ht="18">
      <c r="A627" s="48"/>
      <c r="B627" s="49"/>
      <c r="C627" s="49"/>
      <c r="D627" s="50"/>
      <c r="E627" s="49"/>
      <c r="F627" s="49"/>
      <c r="G627" s="45"/>
    </row>
    <row r="628" spans="1:7" ht="18">
      <c r="A628" s="48"/>
      <c r="B628" s="49"/>
      <c r="C628" s="49"/>
      <c r="D628" s="50"/>
      <c r="E628" s="49"/>
      <c r="F628" s="49"/>
      <c r="G628" s="45"/>
    </row>
    <row r="629" spans="1:7" ht="18">
      <c r="A629" s="48"/>
      <c r="B629" s="49"/>
      <c r="C629" s="49"/>
      <c r="D629" s="50"/>
      <c r="E629" s="49"/>
      <c r="F629" s="49"/>
      <c r="G629" s="45"/>
    </row>
    <row r="630" spans="1:7" ht="18">
      <c r="A630" s="48"/>
      <c r="B630" s="49"/>
      <c r="C630" s="49"/>
      <c r="D630" s="50"/>
      <c r="E630" s="49"/>
      <c r="F630" s="49"/>
      <c r="G630" s="45"/>
    </row>
    <row r="631" spans="1:7" ht="18">
      <c r="A631" s="48"/>
      <c r="B631" s="49"/>
      <c r="C631" s="49"/>
      <c r="D631" s="50"/>
      <c r="E631" s="49"/>
      <c r="F631" s="49"/>
      <c r="G631" s="45"/>
    </row>
    <row r="632" spans="1:7" ht="18">
      <c r="A632" s="48"/>
      <c r="B632" s="49"/>
      <c r="C632" s="49"/>
      <c r="D632" s="50"/>
      <c r="E632" s="49"/>
      <c r="F632" s="49"/>
      <c r="G632" s="45"/>
    </row>
    <row r="633" spans="1:7" ht="18">
      <c r="A633" s="48"/>
      <c r="B633" s="49"/>
      <c r="C633" s="49"/>
      <c r="D633" s="50"/>
      <c r="E633" s="49"/>
      <c r="F633" s="49"/>
      <c r="G633" s="45"/>
    </row>
    <row r="634" spans="1:7" ht="18">
      <c r="A634" s="48"/>
      <c r="B634" s="49"/>
      <c r="C634" s="49"/>
      <c r="D634" s="50"/>
      <c r="E634" s="49"/>
      <c r="F634" s="49"/>
      <c r="G634" s="45"/>
    </row>
    <row r="635" spans="1:7" ht="18">
      <c r="A635" s="48"/>
      <c r="B635" s="49"/>
      <c r="C635" s="49"/>
      <c r="D635" s="50"/>
      <c r="E635" s="49"/>
      <c r="F635" s="49"/>
      <c r="G635" s="45"/>
    </row>
    <row r="636" spans="1:7" ht="18">
      <c r="A636" s="48"/>
      <c r="B636" s="49"/>
      <c r="C636" s="49"/>
      <c r="D636" s="50"/>
      <c r="E636" s="49"/>
      <c r="F636" s="49"/>
      <c r="G636" s="45"/>
    </row>
    <row r="637" spans="1:7" ht="18">
      <c r="A637" s="48"/>
      <c r="B637" s="49"/>
      <c r="C637" s="49"/>
      <c r="D637" s="50"/>
      <c r="E637" s="49"/>
      <c r="F637" s="49"/>
      <c r="G637" s="45"/>
    </row>
    <row r="638" spans="1:7" ht="18">
      <c r="A638" s="48"/>
      <c r="B638" s="49"/>
      <c r="C638" s="49"/>
      <c r="D638" s="50"/>
      <c r="E638" s="49"/>
      <c r="F638" s="49"/>
      <c r="G638" s="45"/>
    </row>
    <row r="639" spans="1:7" ht="18">
      <c r="A639" s="48"/>
      <c r="B639" s="49"/>
      <c r="C639" s="49"/>
      <c r="D639" s="50"/>
      <c r="E639" s="49"/>
      <c r="F639" s="49"/>
      <c r="G639" s="45"/>
    </row>
    <row r="640" spans="1:7" ht="18">
      <c r="A640" s="48"/>
      <c r="B640" s="49"/>
      <c r="C640" s="49"/>
      <c r="D640" s="50"/>
      <c r="E640" s="49"/>
      <c r="F640" s="49"/>
      <c r="G640" s="45"/>
    </row>
    <row r="641" spans="1:7" ht="18">
      <c r="A641" s="48"/>
      <c r="B641" s="49"/>
      <c r="C641" s="49"/>
      <c r="D641" s="50"/>
      <c r="E641" s="49"/>
      <c r="F641" s="49"/>
      <c r="G641" s="45"/>
    </row>
    <row r="642" spans="1:7" ht="18">
      <c r="A642" s="48"/>
      <c r="B642" s="49"/>
      <c r="C642" s="49"/>
      <c r="D642" s="50"/>
      <c r="E642" s="49"/>
      <c r="F642" s="49"/>
      <c r="G642" s="45"/>
    </row>
    <row r="643" spans="1:7" ht="18">
      <c r="A643" s="48"/>
      <c r="B643" s="49"/>
      <c r="C643" s="49"/>
      <c r="D643" s="50"/>
      <c r="E643" s="49"/>
      <c r="F643" s="49"/>
      <c r="G643" s="45"/>
    </row>
    <row r="644" spans="1:7" ht="18">
      <c r="A644" s="48"/>
      <c r="B644" s="49"/>
      <c r="C644" s="49"/>
      <c r="D644" s="50"/>
      <c r="E644" s="49"/>
      <c r="F644" s="49"/>
      <c r="G644" s="45"/>
    </row>
    <row r="645" spans="1:7" ht="18">
      <c r="A645" s="48"/>
      <c r="B645" s="49"/>
      <c r="C645" s="49"/>
      <c r="D645" s="50"/>
      <c r="E645" s="49"/>
      <c r="F645" s="49"/>
      <c r="G645" s="45"/>
    </row>
    <row r="646" spans="1:7" ht="18">
      <c r="A646" s="48"/>
      <c r="B646" s="49"/>
      <c r="C646" s="49"/>
      <c r="D646" s="50"/>
      <c r="E646" s="49"/>
      <c r="F646" s="49"/>
      <c r="G646" s="45"/>
    </row>
    <row r="647" spans="1:7" ht="18">
      <c r="A647" s="48"/>
      <c r="B647" s="49"/>
      <c r="C647" s="49"/>
      <c r="D647" s="50"/>
      <c r="E647" s="49"/>
      <c r="F647" s="49"/>
      <c r="G647" s="45"/>
    </row>
    <row r="648" spans="1:7" ht="18">
      <c r="A648" s="48"/>
      <c r="B648" s="49"/>
      <c r="C648" s="49"/>
      <c r="D648" s="50"/>
      <c r="E648" s="49"/>
      <c r="F648" s="49"/>
      <c r="G648" s="45"/>
    </row>
    <row r="649" spans="1:7" ht="18">
      <c r="A649" s="48"/>
      <c r="B649" s="49"/>
      <c r="C649" s="49"/>
      <c r="D649" s="50"/>
      <c r="E649" s="49"/>
      <c r="F649" s="49"/>
      <c r="G649" s="45"/>
    </row>
    <row r="650" spans="1:7" ht="18">
      <c r="A650" s="48"/>
      <c r="B650" s="49"/>
      <c r="C650" s="49"/>
      <c r="D650" s="50"/>
      <c r="E650" s="49"/>
      <c r="F650" s="49"/>
      <c r="G650" s="45"/>
    </row>
    <row r="651" spans="1:7" ht="18">
      <c r="A651" s="48"/>
      <c r="B651" s="49"/>
      <c r="C651" s="49"/>
      <c r="D651" s="50"/>
      <c r="E651" s="49"/>
      <c r="F651" s="49"/>
      <c r="G651" s="45"/>
    </row>
    <row r="652" spans="1:7" ht="18">
      <c r="A652" s="48"/>
      <c r="B652" s="49"/>
      <c r="C652" s="49"/>
      <c r="D652" s="50"/>
      <c r="E652" s="49"/>
      <c r="F652" s="49"/>
      <c r="G652" s="45"/>
    </row>
    <row r="653" spans="1:7" ht="18">
      <c r="A653" s="48"/>
      <c r="B653" s="49"/>
      <c r="C653" s="49"/>
      <c r="D653" s="50"/>
      <c r="E653" s="49"/>
      <c r="F653" s="49"/>
      <c r="G653" s="45"/>
    </row>
    <row r="654" spans="1:7" ht="18">
      <c r="A654" s="48"/>
      <c r="B654" s="49"/>
      <c r="C654" s="49"/>
      <c r="D654" s="50"/>
      <c r="E654" s="49"/>
      <c r="F654" s="49"/>
      <c r="G654" s="45"/>
    </row>
    <row r="655" spans="1:7" ht="18">
      <c r="A655" s="48"/>
      <c r="B655" s="49"/>
      <c r="C655" s="49"/>
      <c r="D655" s="50"/>
      <c r="E655" s="49"/>
      <c r="F655" s="49"/>
      <c r="G655" s="45"/>
    </row>
    <row r="656" spans="1:7" ht="18">
      <c r="A656" s="48"/>
      <c r="B656" s="49"/>
      <c r="C656" s="49"/>
      <c r="D656" s="50"/>
      <c r="E656" s="49"/>
      <c r="F656" s="49"/>
      <c r="G656" s="45"/>
    </row>
    <row r="657" spans="1:7" ht="18">
      <c r="A657" s="48"/>
      <c r="B657" s="49"/>
      <c r="C657" s="49"/>
      <c r="D657" s="50"/>
      <c r="E657" s="49"/>
      <c r="F657" s="49"/>
      <c r="G657" s="45"/>
    </row>
    <row r="658" spans="1:7" ht="18">
      <c r="A658" s="48"/>
      <c r="B658" s="49"/>
      <c r="C658" s="49"/>
      <c r="D658" s="50"/>
      <c r="E658" s="49"/>
      <c r="F658" s="49"/>
      <c r="G658" s="45"/>
    </row>
    <row r="659" spans="1:7" ht="18">
      <c r="A659" s="48"/>
      <c r="B659" s="49"/>
      <c r="C659" s="49"/>
      <c r="D659" s="50"/>
      <c r="E659" s="49"/>
      <c r="F659" s="49"/>
      <c r="G659" s="45"/>
    </row>
    <row r="660" spans="1:7" ht="18">
      <c r="A660" s="48"/>
      <c r="B660" s="49"/>
      <c r="C660" s="49"/>
      <c r="D660" s="50"/>
      <c r="E660" s="49"/>
      <c r="F660" s="49"/>
      <c r="G660" s="45"/>
    </row>
    <row r="661" spans="1:7" ht="18">
      <c r="A661" s="48"/>
      <c r="B661" s="49"/>
      <c r="C661" s="49"/>
      <c r="D661" s="50"/>
      <c r="E661" s="49"/>
      <c r="F661" s="49"/>
      <c r="G661" s="45"/>
    </row>
    <row r="662" spans="1:7" ht="18">
      <c r="A662" s="48"/>
      <c r="B662" s="49"/>
      <c r="C662" s="49"/>
      <c r="D662" s="50"/>
      <c r="E662" s="49"/>
      <c r="F662" s="49"/>
      <c r="G662" s="45"/>
    </row>
    <row r="663" spans="1:7" ht="18">
      <c r="A663" s="48"/>
      <c r="B663" s="49"/>
      <c r="C663" s="49"/>
      <c r="D663" s="50"/>
      <c r="E663" s="49"/>
      <c r="F663" s="49"/>
      <c r="G663" s="45"/>
    </row>
    <row r="664" spans="1:7" ht="18">
      <c r="A664" s="48"/>
      <c r="B664" s="49"/>
      <c r="C664" s="49"/>
      <c r="D664" s="50"/>
      <c r="E664" s="49"/>
      <c r="F664" s="49"/>
      <c r="G664" s="45"/>
    </row>
    <row r="665" spans="1:7" ht="18">
      <c r="A665" s="48"/>
      <c r="B665" s="49"/>
      <c r="C665" s="49"/>
      <c r="D665" s="50"/>
      <c r="E665" s="49"/>
      <c r="F665" s="49"/>
      <c r="G665" s="45"/>
    </row>
    <row r="666" spans="1:7" ht="18">
      <c r="A666" s="48"/>
      <c r="B666" s="49"/>
      <c r="C666" s="49"/>
      <c r="D666" s="50"/>
      <c r="E666" s="49"/>
      <c r="F666" s="49"/>
      <c r="G666" s="45"/>
    </row>
    <row r="667" spans="1:7" ht="18">
      <c r="A667" s="48"/>
      <c r="B667" s="49"/>
      <c r="C667" s="49"/>
      <c r="D667" s="50"/>
      <c r="E667" s="49"/>
      <c r="F667" s="49"/>
      <c r="G667" s="45"/>
    </row>
    <row r="668" spans="1:7" ht="18">
      <c r="A668" s="48"/>
      <c r="B668" s="49"/>
      <c r="C668" s="49"/>
      <c r="D668" s="50"/>
      <c r="E668" s="49"/>
      <c r="F668" s="49"/>
      <c r="G668" s="45"/>
    </row>
    <row r="669" spans="1:7" ht="18">
      <c r="A669" s="48"/>
      <c r="B669" s="49"/>
      <c r="C669" s="49"/>
      <c r="D669" s="50"/>
      <c r="E669" s="49"/>
      <c r="F669" s="49"/>
      <c r="G669" s="45"/>
    </row>
    <row r="670" spans="1:7" ht="18">
      <c r="A670" s="48"/>
      <c r="B670" s="49"/>
      <c r="C670" s="49"/>
      <c r="D670" s="50"/>
      <c r="E670" s="49"/>
      <c r="F670" s="49"/>
      <c r="G670" s="45"/>
    </row>
    <row r="671" spans="1:7" ht="18">
      <c r="A671" s="48"/>
      <c r="B671" s="49"/>
      <c r="C671" s="49"/>
      <c r="D671" s="50"/>
      <c r="E671" s="49"/>
      <c r="F671" s="49"/>
      <c r="G671" s="45"/>
    </row>
    <row r="672" spans="1:7" ht="18">
      <c r="A672" s="48"/>
      <c r="B672" s="49"/>
      <c r="C672" s="49"/>
      <c r="D672" s="50"/>
      <c r="E672" s="49"/>
      <c r="F672" s="49"/>
      <c r="G672" s="45"/>
    </row>
    <row r="673" spans="1:7" ht="18">
      <c r="A673" s="48"/>
      <c r="B673" s="49"/>
      <c r="C673" s="49"/>
      <c r="D673" s="50"/>
      <c r="E673" s="49"/>
      <c r="F673" s="49"/>
      <c r="G673" s="45"/>
    </row>
    <row r="674" spans="1:7" ht="18">
      <c r="A674" s="48"/>
      <c r="B674" s="49"/>
      <c r="C674" s="49"/>
      <c r="D674" s="50"/>
      <c r="E674" s="49"/>
      <c r="F674" s="49"/>
      <c r="G674" s="45"/>
    </row>
    <row r="675" spans="1:7" ht="18">
      <c r="A675" s="48"/>
      <c r="B675" s="49"/>
      <c r="C675" s="49"/>
      <c r="D675" s="50"/>
      <c r="E675" s="49"/>
      <c r="F675" s="49"/>
      <c r="G675" s="45"/>
    </row>
    <row r="676" spans="1:7" ht="18">
      <c r="A676" s="48"/>
      <c r="B676" s="49"/>
      <c r="C676" s="49"/>
      <c r="D676" s="50"/>
      <c r="E676" s="49"/>
      <c r="F676" s="49"/>
      <c r="G676" s="45"/>
    </row>
    <row r="677" spans="1:7" ht="18">
      <c r="A677" s="48"/>
      <c r="B677" s="49"/>
      <c r="C677" s="49"/>
      <c r="D677" s="50"/>
      <c r="E677" s="49"/>
      <c r="F677" s="49"/>
      <c r="G677" s="45"/>
    </row>
    <row r="678" spans="1:7" ht="18">
      <c r="A678" s="48"/>
      <c r="B678" s="49"/>
      <c r="C678" s="49"/>
      <c r="D678" s="50"/>
      <c r="E678" s="49"/>
      <c r="F678" s="49"/>
      <c r="G678" s="45"/>
    </row>
    <row r="679" spans="1:7" ht="18">
      <c r="A679" s="48"/>
      <c r="B679" s="49"/>
      <c r="C679" s="49"/>
      <c r="D679" s="50"/>
      <c r="E679" s="49"/>
      <c r="F679" s="49"/>
      <c r="G679" s="45"/>
    </row>
    <row r="680" spans="1:7" ht="18">
      <c r="A680" s="48"/>
      <c r="B680" s="49"/>
      <c r="C680" s="49"/>
      <c r="D680" s="50"/>
      <c r="E680" s="49"/>
      <c r="F680" s="49"/>
      <c r="G680" s="45"/>
    </row>
    <row r="681" spans="1:7" ht="18">
      <c r="A681" s="48"/>
      <c r="B681" s="49"/>
      <c r="C681" s="49"/>
      <c r="D681" s="50"/>
      <c r="E681" s="49"/>
      <c r="F681" s="49"/>
      <c r="G681" s="45"/>
    </row>
    <row r="682" spans="1:7" ht="18">
      <c r="A682" s="48"/>
      <c r="B682" s="49"/>
      <c r="C682" s="49"/>
      <c r="D682" s="50"/>
      <c r="E682" s="49"/>
      <c r="F682" s="49"/>
      <c r="G682" s="45"/>
    </row>
    <row r="683" spans="1:7" ht="18">
      <c r="A683" s="48"/>
      <c r="B683" s="49"/>
      <c r="C683" s="49"/>
      <c r="D683" s="50"/>
      <c r="E683" s="49"/>
      <c r="F683" s="49"/>
      <c r="G683" s="45"/>
    </row>
    <row r="684" spans="1:7" ht="18">
      <c r="A684" s="48"/>
      <c r="B684" s="49"/>
      <c r="C684" s="49"/>
      <c r="D684" s="50"/>
      <c r="E684" s="49"/>
      <c r="F684" s="49"/>
      <c r="G684" s="45"/>
    </row>
    <row r="685" spans="1:7" ht="18">
      <c r="A685" s="48"/>
      <c r="B685" s="49"/>
      <c r="C685" s="49"/>
      <c r="D685" s="50"/>
      <c r="E685" s="49"/>
      <c r="F685" s="49"/>
      <c r="G685" s="45"/>
    </row>
    <row r="686" spans="1:7" ht="18">
      <c r="A686" s="48"/>
      <c r="B686" s="49"/>
      <c r="C686" s="49"/>
      <c r="D686" s="50"/>
      <c r="E686" s="49"/>
      <c r="F686" s="49"/>
      <c r="G686" s="45"/>
    </row>
    <row r="687" spans="1:7" ht="18">
      <c r="A687" s="48"/>
      <c r="B687" s="49"/>
      <c r="C687" s="49"/>
      <c r="D687" s="50"/>
      <c r="E687" s="49"/>
      <c r="F687" s="49"/>
      <c r="G687" s="45"/>
    </row>
    <row r="688" spans="1:7" ht="18">
      <c r="A688" s="48"/>
      <c r="B688" s="49"/>
      <c r="C688" s="49"/>
      <c r="D688" s="50"/>
      <c r="E688" s="49"/>
      <c r="F688" s="49"/>
      <c r="G688" s="45"/>
    </row>
    <row r="689" spans="1:7" ht="18">
      <c r="A689" s="48"/>
      <c r="B689" s="49"/>
      <c r="C689" s="49"/>
      <c r="D689" s="50"/>
      <c r="E689" s="49"/>
      <c r="F689" s="49"/>
      <c r="G689" s="45"/>
    </row>
    <row r="690" spans="1:7" ht="18">
      <c r="A690" s="48"/>
      <c r="B690" s="49"/>
      <c r="C690" s="49"/>
      <c r="D690" s="50"/>
      <c r="E690" s="49"/>
      <c r="F690" s="49"/>
      <c r="G690" s="45"/>
    </row>
    <row r="691" spans="1:7" ht="18">
      <c r="A691" s="48"/>
      <c r="B691" s="49"/>
      <c r="C691" s="49"/>
      <c r="D691" s="50"/>
      <c r="E691" s="49"/>
      <c r="F691" s="49"/>
      <c r="G691" s="45"/>
    </row>
    <row r="692" spans="1:7" ht="18">
      <c r="A692" s="48"/>
      <c r="B692" s="49"/>
      <c r="C692" s="49"/>
      <c r="D692" s="50"/>
      <c r="E692" s="49"/>
      <c r="F692" s="49"/>
      <c r="G692" s="45"/>
    </row>
    <row r="693" spans="1:7" ht="18">
      <c r="A693" s="48"/>
      <c r="B693" s="49"/>
      <c r="C693" s="49"/>
      <c r="D693" s="50"/>
      <c r="E693" s="49"/>
      <c r="F693" s="49"/>
      <c r="G693" s="45"/>
    </row>
    <row r="694" spans="1:7" ht="18">
      <c r="A694" s="48"/>
      <c r="B694" s="49"/>
      <c r="C694" s="49"/>
      <c r="D694" s="50"/>
      <c r="E694" s="49"/>
      <c r="F694" s="49"/>
      <c r="G694" s="45"/>
    </row>
    <row r="695" spans="1:7" ht="18">
      <c r="A695" s="48"/>
      <c r="B695" s="49"/>
      <c r="C695" s="49"/>
      <c r="D695" s="50"/>
      <c r="E695" s="49"/>
      <c r="F695" s="49"/>
      <c r="G695" s="45"/>
    </row>
    <row r="696" spans="1:7" ht="18">
      <c r="A696" s="48"/>
      <c r="B696" s="49"/>
      <c r="C696" s="49"/>
      <c r="D696" s="50"/>
      <c r="E696" s="49"/>
      <c r="F696" s="49"/>
      <c r="G696" s="45"/>
    </row>
    <row r="697" spans="1:7" ht="18">
      <c r="A697" s="48"/>
      <c r="B697" s="49"/>
      <c r="C697" s="49"/>
      <c r="D697" s="50"/>
      <c r="E697" s="49"/>
      <c r="F697" s="49"/>
      <c r="G697" s="45"/>
    </row>
    <row r="698" spans="1:7" ht="18">
      <c r="A698" s="48"/>
      <c r="B698" s="49"/>
      <c r="C698" s="49"/>
      <c r="D698" s="50"/>
      <c r="E698" s="49"/>
      <c r="F698" s="49"/>
      <c r="G698" s="45"/>
    </row>
    <row r="699" spans="1:7" ht="18">
      <c r="A699" s="48"/>
      <c r="B699" s="49"/>
      <c r="C699" s="49"/>
      <c r="D699" s="50"/>
      <c r="E699" s="49"/>
      <c r="F699" s="49"/>
      <c r="G699" s="45"/>
    </row>
    <row r="700" spans="1:7" ht="18">
      <c r="A700" s="48"/>
      <c r="B700" s="49"/>
      <c r="C700" s="49"/>
      <c r="D700" s="50"/>
      <c r="E700" s="49"/>
      <c r="F700" s="49"/>
      <c r="G700" s="45"/>
    </row>
    <row r="701" spans="1:7" ht="18">
      <c r="A701" s="48"/>
      <c r="B701" s="49"/>
      <c r="C701" s="49"/>
      <c r="D701" s="50"/>
      <c r="E701" s="49"/>
      <c r="F701" s="49"/>
      <c r="G701" s="45"/>
    </row>
    <row r="702" spans="1:7" ht="18">
      <c r="A702" s="48"/>
      <c r="B702" s="49"/>
      <c r="C702" s="49"/>
      <c r="D702" s="50"/>
      <c r="E702" s="49"/>
      <c r="F702" s="49"/>
      <c r="G702" s="45"/>
    </row>
    <row r="703" spans="1:7" ht="18">
      <c r="A703" s="48"/>
      <c r="B703" s="49"/>
      <c r="C703" s="49"/>
      <c r="D703" s="50"/>
      <c r="E703" s="49"/>
      <c r="F703" s="49"/>
      <c r="G703" s="45"/>
    </row>
    <row r="704" spans="1:7" ht="18">
      <c r="A704" s="48"/>
      <c r="B704" s="49"/>
      <c r="C704" s="49"/>
      <c r="D704" s="50"/>
      <c r="E704" s="49"/>
      <c r="F704" s="49"/>
      <c r="G704" s="45"/>
    </row>
    <row r="705" spans="1:7" ht="18">
      <c r="A705" s="48"/>
      <c r="B705" s="49"/>
      <c r="C705" s="49"/>
      <c r="D705" s="50"/>
      <c r="E705" s="49"/>
      <c r="F705" s="49"/>
      <c r="G705" s="45"/>
    </row>
    <row r="706" spans="1:7" ht="18">
      <c r="A706" s="48"/>
      <c r="B706" s="49"/>
      <c r="C706" s="49"/>
      <c r="D706" s="50"/>
      <c r="E706" s="49"/>
      <c r="F706" s="49"/>
      <c r="G706" s="45"/>
    </row>
    <row r="707" spans="1:7" ht="18">
      <c r="A707" s="48"/>
      <c r="B707" s="49"/>
      <c r="C707" s="49"/>
      <c r="D707" s="50"/>
      <c r="E707" s="49"/>
      <c r="F707" s="49"/>
      <c r="G707" s="45"/>
    </row>
    <row r="708" spans="1:7" ht="18">
      <c r="A708" s="48"/>
      <c r="B708" s="49"/>
      <c r="C708" s="49"/>
      <c r="D708" s="50"/>
      <c r="E708" s="49"/>
      <c r="F708" s="49"/>
      <c r="G708" s="45"/>
    </row>
    <row r="709" spans="1:7" ht="18">
      <c r="A709" s="48"/>
      <c r="B709" s="49"/>
      <c r="C709" s="49"/>
      <c r="D709" s="50"/>
      <c r="E709" s="49"/>
      <c r="F709" s="49"/>
      <c r="G709" s="45"/>
    </row>
    <row r="710" spans="1:7" ht="18">
      <c r="A710" s="48"/>
      <c r="B710" s="49"/>
      <c r="C710" s="49"/>
      <c r="D710" s="50"/>
      <c r="E710" s="49"/>
      <c r="F710" s="49"/>
      <c r="G710" s="45"/>
    </row>
    <row r="711" spans="1:7" ht="18">
      <c r="A711" s="48"/>
      <c r="B711" s="49"/>
      <c r="C711" s="49"/>
      <c r="D711" s="50"/>
      <c r="E711" s="49"/>
      <c r="F711" s="49"/>
      <c r="G711" s="45"/>
    </row>
    <row r="712" spans="1:7" ht="18">
      <c r="A712" s="48"/>
      <c r="B712" s="49"/>
      <c r="C712" s="49"/>
      <c r="D712" s="50"/>
      <c r="E712" s="49"/>
      <c r="F712" s="49"/>
      <c r="G712" s="45"/>
    </row>
    <row r="713" spans="1:7" ht="18">
      <c r="A713" s="48"/>
      <c r="B713" s="49"/>
      <c r="C713" s="49"/>
      <c r="D713" s="50"/>
      <c r="E713" s="49"/>
      <c r="F713" s="49"/>
      <c r="G713" s="45"/>
    </row>
    <row r="714" spans="1:7" ht="18">
      <c r="A714" s="48"/>
      <c r="B714" s="49"/>
      <c r="C714" s="49"/>
      <c r="D714" s="50"/>
      <c r="E714" s="49"/>
      <c r="F714" s="49"/>
      <c r="G714" s="45"/>
    </row>
    <row r="715" spans="1:7" ht="18">
      <c r="A715" s="48"/>
      <c r="B715" s="49"/>
      <c r="C715" s="49"/>
      <c r="D715" s="50"/>
      <c r="E715" s="49"/>
      <c r="F715" s="49"/>
      <c r="G715" s="45"/>
    </row>
    <row r="716" spans="1:7" ht="18">
      <c r="A716" s="48"/>
      <c r="B716" s="49"/>
      <c r="C716" s="49"/>
      <c r="D716" s="50"/>
      <c r="E716" s="49"/>
      <c r="F716" s="49"/>
      <c r="G716" s="45"/>
    </row>
    <row r="717" spans="1:7" ht="18">
      <c r="A717" s="48"/>
      <c r="B717" s="49"/>
      <c r="C717" s="49"/>
      <c r="D717" s="50"/>
      <c r="E717" s="49"/>
      <c r="F717" s="49"/>
      <c r="G717" s="45"/>
    </row>
    <row r="718" spans="1:7" ht="18">
      <c r="A718" s="48"/>
      <c r="B718" s="49"/>
      <c r="C718" s="49"/>
      <c r="D718" s="50"/>
      <c r="E718" s="49"/>
      <c r="F718" s="49"/>
      <c r="G718" s="45"/>
    </row>
    <row r="719" spans="1:7" ht="18">
      <c r="A719" s="48"/>
      <c r="B719" s="49"/>
      <c r="C719" s="49"/>
      <c r="D719" s="50"/>
      <c r="E719" s="49"/>
      <c r="F719" s="49"/>
      <c r="G719" s="45"/>
    </row>
    <row r="720" spans="1:7" ht="18">
      <c r="A720" s="48"/>
      <c r="B720" s="49"/>
      <c r="C720" s="49"/>
      <c r="D720" s="50"/>
      <c r="E720" s="49"/>
      <c r="F720" s="49"/>
      <c r="G720" s="45"/>
    </row>
    <row r="721" spans="1:7" ht="18">
      <c r="A721" s="48"/>
      <c r="B721" s="49"/>
      <c r="C721" s="49"/>
      <c r="D721" s="50"/>
      <c r="E721" s="49"/>
      <c r="F721" s="49"/>
      <c r="G721" s="45"/>
    </row>
    <row r="722" spans="1:7" ht="18">
      <c r="A722" s="48"/>
      <c r="B722" s="49"/>
      <c r="C722" s="49"/>
      <c r="D722" s="50"/>
      <c r="E722" s="49"/>
      <c r="F722" s="49"/>
      <c r="G722" s="45"/>
    </row>
    <row r="723" spans="1:7" ht="18">
      <c r="A723" s="48"/>
      <c r="B723" s="49"/>
      <c r="C723" s="49"/>
      <c r="D723" s="50"/>
      <c r="E723" s="49"/>
      <c r="F723" s="49"/>
      <c r="G723" s="45"/>
    </row>
    <row r="724" spans="1:7" ht="18">
      <c r="A724" s="48"/>
      <c r="B724" s="49"/>
      <c r="C724" s="49"/>
      <c r="D724" s="50"/>
      <c r="E724" s="49"/>
      <c r="F724" s="49"/>
      <c r="G724" s="45"/>
    </row>
    <row r="725" spans="1:7" ht="18">
      <c r="A725" s="48"/>
      <c r="B725" s="49"/>
      <c r="C725" s="49"/>
      <c r="D725" s="50"/>
      <c r="E725" s="49"/>
      <c r="F725" s="49"/>
      <c r="G725" s="45"/>
    </row>
    <row r="726" spans="1:7" ht="18">
      <c r="A726" s="48"/>
      <c r="B726" s="49"/>
      <c r="C726" s="49"/>
      <c r="D726" s="50"/>
      <c r="E726" s="49"/>
      <c r="F726" s="49"/>
      <c r="G726" s="45"/>
    </row>
    <row r="727" spans="1:7" ht="18">
      <c r="A727" s="48"/>
      <c r="B727" s="49"/>
      <c r="C727" s="49"/>
      <c r="D727" s="50"/>
      <c r="E727" s="49"/>
      <c r="F727" s="49"/>
      <c r="G727" s="45"/>
    </row>
    <row r="728" spans="1:7" ht="18">
      <c r="A728" s="48"/>
      <c r="B728" s="49"/>
      <c r="C728" s="49"/>
      <c r="D728" s="50"/>
      <c r="E728" s="49"/>
      <c r="F728" s="49"/>
      <c r="G728" s="45"/>
    </row>
    <row r="729" spans="1:7" ht="18">
      <c r="A729" s="48"/>
      <c r="B729" s="49"/>
      <c r="C729" s="49"/>
      <c r="D729" s="50"/>
      <c r="E729" s="49"/>
      <c r="F729" s="49"/>
      <c r="G729" s="45"/>
    </row>
    <row r="730" spans="1:7" ht="18">
      <c r="A730" s="48"/>
      <c r="B730" s="49"/>
      <c r="C730" s="49"/>
      <c r="D730" s="50"/>
      <c r="E730" s="49"/>
      <c r="F730" s="49"/>
      <c r="G730" s="45"/>
    </row>
    <row r="731" spans="1:7" ht="18">
      <c r="A731" s="48"/>
      <c r="B731" s="49"/>
      <c r="C731" s="49"/>
      <c r="D731" s="50"/>
      <c r="E731" s="49"/>
      <c r="F731" s="49"/>
      <c r="G731" s="45"/>
    </row>
    <row r="732" spans="1:7" ht="18">
      <c r="A732" s="48"/>
      <c r="B732" s="49"/>
      <c r="C732" s="49"/>
      <c r="D732" s="50"/>
      <c r="E732" s="49"/>
      <c r="F732" s="49"/>
      <c r="G732" s="45"/>
    </row>
    <row r="733" spans="1:7" ht="18">
      <c r="A733" s="48"/>
      <c r="B733" s="49"/>
      <c r="C733" s="49"/>
      <c r="D733" s="50"/>
      <c r="E733" s="49"/>
      <c r="F733" s="49"/>
      <c r="G733" s="45"/>
    </row>
    <row r="734" spans="1:7" ht="18">
      <c r="A734" s="48"/>
      <c r="B734" s="49"/>
      <c r="C734" s="49"/>
      <c r="D734" s="50"/>
      <c r="E734" s="49"/>
      <c r="F734" s="49"/>
      <c r="G734" s="45"/>
    </row>
    <row r="735" spans="1:7" ht="18">
      <c r="A735" s="48"/>
      <c r="B735" s="49"/>
      <c r="C735" s="49"/>
      <c r="D735" s="50"/>
      <c r="E735" s="49"/>
      <c r="F735" s="49"/>
      <c r="G735" s="45"/>
    </row>
    <row r="736" spans="1:7" ht="18">
      <c r="A736" s="48"/>
      <c r="B736" s="49"/>
      <c r="C736" s="49"/>
      <c r="D736" s="50"/>
      <c r="E736" s="49"/>
      <c r="F736" s="49"/>
      <c r="G736" s="45"/>
    </row>
    <row r="737" spans="1:7" ht="18">
      <c r="A737" s="48"/>
      <c r="B737" s="49"/>
      <c r="C737" s="49"/>
      <c r="D737" s="50"/>
      <c r="E737" s="49"/>
      <c r="F737" s="49"/>
      <c r="G737" s="45"/>
    </row>
    <row r="738" spans="1:7" ht="18">
      <c r="A738" s="48"/>
      <c r="B738" s="49"/>
      <c r="C738" s="49"/>
      <c r="D738" s="50"/>
      <c r="E738" s="49"/>
      <c r="F738" s="49"/>
      <c r="G738" s="45"/>
    </row>
    <row r="739" spans="1:7" ht="18">
      <c r="A739" s="48"/>
      <c r="B739" s="49"/>
      <c r="C739" s="49"/>
      <c r="D739" s="50"/>
      <c r="E739" s="49"/>
      <c r="F739" s="49"/>
      <c r="G739" s="45"/>
    </row>
    <row r="740" spans="1:7" ht="18">
      <c r="A740" s="48"/>
      <c r="B740" s="49"/>
      <c r="C740" s="49"/>
      <c r="D740" s="50"/>
      <c r="E740" s="49"/>
      <c r="F740" s="49"/>
      <c r="G740" s="45"/>
    </row>
    <row r="741" spans="1:7" ht="18">
      <c r="A741" s="48"/>
      <c r="B741" s="49"/>
      <c r="C741" s="49"/>
      <c r="D741" s="50"/>
      <c r="E741" s="49"/>
      <c r="F741" s="49"/>
      <c r="G741" s="45"/>
    </row>
    <row r="742" spans="1:7" ht="18">
      <c r="A742" s="48"/>
      <c r="B742" s="49"/>
      <c r="C742" s="49"/>
      <c r="D742" s="50"/>
      <c r="E742" s="49"/>
      <c r="F742" s="49"/>
      <c r="G742" s="45"/>
    </row>
    <row r="743" spans="1:7" ht="18">
      <c r="A743" s="48"/>
      <c r="B743" s="49"/>
      <c r="C743" s="49"/>
      <c r="D743" s="50"/>
      <c r="E743" s="49"/>
      <c r="F743" s="49"/>
      <c r="G743" s="45"/>
    </row>
    <row r="744" spans="1:7" ht="18">
      <c r="A744" s="48"/>
      <c r="B744" s="49"/>
      <c r="C744" s="49"/>
      <c r="D744" s="50"/>
      <c r="E744" s="49"/>
      <c r="F744" s="49"/>
      <c r="G744" s="45"/>
    </row>
    <row r="745" spans="1:7" ht="18">
      <c r="A745" s="48"/>
      <c r="B745" s="49"/>
      <c r="C745" s="49"/>
      <c r="D745" s="50"/>
      <c r="E745" s="49"/>
      <c r="F745" s="49"/>
      <c r="G745" s="45"/>
    </row>
    <row r="746" spans="1:7" ht="18">
      <c r="A746" s="48"/>
      <c r="B746" s="49"/>
      <c r="C746" s="49"/>
      <c r="D746" s="50"/>
      <c r="E746" s="49"/>
      <c r="F746" s="49"/>
      <c r="G746" s="45"/>
    </row>
    <row r="747" spans="1:7" ht="18">
      <c r="A747" s="48"/>
      <c r="B747" s="49"/>
      <c r="C747" s="49"/>
      <c r="D747" s="50"/>
      <c r="E747" s="49"/>
      <c r="F747" s="49"/>
      <c r="G747" s="45"/>
    </row>
    <row r="748" spans="1:7" ht="18">
      <c r="A748" s="48"/>
      <c r="B748" s="49"/>
      <c r="C748" s="49"/>
      <c r="D748" s="50"/>
      <c r="E748" s="49"/>
      <c r="F748" s="49"/>
      <c r="G748" s="45"/>
    </row>
    <row r="749" spans="1:7" ht="18">
      <c r="A749" s="48"/>
      <c r="B749" s="49"/>
      <c r="C749" s="49"/>
      <c r="D749" s="50"/>
      <c r="E749" s="49"/>
      <c r="F749" s="49"/>
      <c r="G749" s="45"/>
    </row>
    <row r="750" spans="1:7" ht="18">
      <c r="A750" s="48"/>
      <c r="B750" s="49"/>
      <c r="C750" s="49"/>
      <c r="D750" s="50"/>
      <c r="E750" s="49"/>
      <c r="F750" s="49"/>
      <c r="G750" s="45"/>
    </row>
    <row r="751" spans="1:7" ht="18">
      <c r="A751" s="48"/>
      <c r="B751" s="49"/>
      <c r="C751" s="49"/>
      <c r="D751" s="50"/>
      <c r="E751" s="49"/>
      <c r="F751" s="49"/>
      <c r="G751" s="45"/>
    </row>
    <row r="752" spans="1:7" ht="18">
      <c r="A752" s="48"/>
      <c r="B752" s="49"/>
      <c r="C752" s="49"/>
      <c r="D752" s="50"/>
      <c r="E752" s="49"/>
      <c r="F752" s="49"/>
      <c r="G752" s="45"/>
    </row>
    <row r="753" spans="1:7" ht="18">
      <c r="A753" s="48"/>
      <c r="B753" s="49"/>
      <c r="C753" s="49"/>
      <c r="D753" s="50"/>
      <c r="E753" s="49"/>
      <c r="F753" s="49"/>
      <c r="G753" s="45"/>
    </row>
    <row r="754" spans="1:7" ht="18">
      <c r="A754" s="48"/>
      <c r="B754" s="49"/>
      <c r="C754" s="49"/>
      <c r="D754" s="50"/>
      <c r="E754" s="49"/>
      <c r="F754" s="49"/>
      <c r="G754" s="45"/>
    </row>
    <row r="755" spans="1:7" ht="18">
      <c r="A755" s="48"/>
      <c r="B755" s="49"/>
      <c r="C755" s="49"/>
      <c r="D755" s="50"/>
      <c r="E755" s="49"/>
      <c r="F755" s="49"/>
      <c r="G755" s="45"/>
    </row>
    <row r="756" spans="1:7" ht="18">
      <c r="A756" s="48"/>
      <c r="B756" s="49"/>
      <c r="C756" s="49"/>
      <c r="D756" s="50"/>
      <c r="E756" s="49"/>
      <c r="F756" s="49"/>
      <c r="G756" s="45"/>
    </row>
    <row r="757" spans="1:7" ht="18">
      <c r="A757" s="48"/>
      <c r="B757" s="49"/>
      <c r="C757" s="49"/>
      <c r="D757" s="50"/>
      <c r="E757" s="49"/>
      <c r="F757" s="49"/>
      <c r="G757" s="45"/>
    </row>
    <row r="758" spans="1:7" ht="18">
      <c r="A758" s="48"/>
      <c r="B758" s="49"/>
      <c r="C758" s="49"/>
      <c r="D758" s="50"/>
      <c r="E758" s="49"/>
      <c r="F758" s="49"/>
      <c r="G758" s="45"/>
    </row>
    <row r="759" spans="1:7" ht="18">
      <c r="A759" s="48"/>
      <c r="B759" s="49"/>
      <c r="C759" s="49"/>
      <c r="D759" s="50"/>
      <c r="E759" s="49"/>
      <c r="F759" s="49"/>
      <c r="G759" s="45"/>
    </row>
    <row r="760" spans="1:7" ht="18">
      <c r="A760" s="48"/>
      <c r="B760" s="49"/>
      <c r="C760" s="49"/>
      <c r="D760" s="50"/>
      <c r="E760" s="49"/>
      <c r="F760" s="49"/>
      <c r="G760" s="45"/>
    </row>
    <row r="761" spans="1:7" ht="18">
      <c r="A761" s="48"/>
      <c r="B761" s="49"/>
      <c r="C761" s="49"/>
      <c r="D761" s="50"/>
      <c r="E761" s="49"/>
      <c r="F761" s="49"/>
      <c r="G761" s="45"/>
    </row>
    <row r="762" spans="1:7" ht="18">
      <c r="A762" s="48"/>
      <c r="B762" s="49"/>
      <c r="C762" s="49"/>
      <c r="D762" s="50"/>
      <c r="E762" s="49"/>
      <c r="F762" s="49"/>
      <c r="G762" s="45"/>
    </row>
    <row r="763" spans="1:7" ht="18">
      <c r="A763" s="48"/>
      <c r="B763" s="49"/>
      <c r="C763" s="49"/>
      <c r="D763" s="50"/>
      <c r="E763" s="49"/>
      <c r="F763" s="49"/>
      <c r="G763" s="45"/>
    </row>
    <row r="764" spans="1:7" ht="18">
      <c r="A764" s="48"/>
      <c r="B764" s="49"/>
      <c r="C764" s="49"/>
      <c r="D764" s="50"/>
      <c r="E764" s="49"/>
      <c r="F764" s="49"/>
      <c r="G764" s="45"/>
    </row>
    <row r="765" spans="1:7" ht="18">
      <c r="A765" s="48"/>
      <c r="B765" s="49"/>
      <c r="C765" s="49"/>
      <c r="D765" s="50"/>
      <c r="E765" s="49"/>
      <c r="F765" s="49"/>
      <c r="G765" s="45"/>
    </row>
    <row r="766" spans="1:7" ht="18">
      <c r="A766" s="48"/>
      <c r="B766" s="49"/>
      <c r="C766" s="49"/>
      <c r="D766" s="50"/>
      <c r="E766" s="49"/>
      <c r="F766" s="49"/>
      <c r="G766" s="45"/>
    </row>
    <row r="767" spans="1:7" ht="18">
      <c r="A767" s="48"/>
      <c r="B767" s="49"/>
      <c r="C767" s="49"/>
      <c r="D767" s="50"/>
      <c r="E767" s="49"/>
      <c r="F767" s="49"/>
      <c r="G767" s="45"/>
    </row>
    <row r="768" spans="1:7" ht="18">
      <c r="A768" s="48"/>
      <c r="B768" s="49"/>
      <c r="C768" s="49"/>
      <c r="D768" s="50"/>
      <c r="E768" s="49"/>
      <c r="F768" s="49"/>
      <c r="G768" s="45"/>
    </row>
    <row r="769" spans="1:7" ht="18">
      <c r="A769" s="48"/>
      <c r="B769" s="49"/>
      <c r="C769" s="49"/>
      <c r="D769" s="50"/>
      <c r="E769" s="49"/>
      <c r="F769" s="49"/>
      <c r="G769" s="45"/>
    </row>
    <row r="770" spans="1:7" ht="18">
      <c r="A770" s="48"/>
      <c r="B770" s="49"/>
      <c r="C770" s="49"/>
      <c r="D770" s="50"/>
      <c r="E770" s="49"/>
      <c r="F770" s="49"/>
      <c r="G770" s="45"/>
    </row>
    <row r="771" spans="1:7" ht="18">
      <c r="A771" s="48"/>
      <c r="B771" s="49"/>
      <c r="C771" s="49"/>
      <c r="D771" s="50"/>
      <c r="E771" s="49"/>
      <c r="F771" s="49"/>
      <c r="G771" s="45"/>
    </row>
    <row r="772" spans="1:7" ht="18">
      <c r="A772" s="48"/>
      <c r="B772" s="49"/>
      <c r="C772" s="49"/>
      <c r="D772" s="50"/>
      <c r="E772" s="49"/>
      <c r="F772" s="49"/>
      <c r="G772" s="45"/>
    </row>
    <row r="773" spans="1:7" ht="18">
      <c r="A773" s="48"/>
      <c r="B773" s="49"/>
      <c r="C773" s="49"/>
      <c r="D773" s="50"/>
      <c r="E773" s="49"/>
      <c r="F773" s="49"/>
      <c r="G773" s="45"/>
    </row>
    <row r="774" spans="1:7" ht="18">
      <c r="A774" s="48"/>
      <c r="B774" s="49"/>
      <c r="C774" s="49"/>
      <c r="D774" s="50"/>
      <c r="E774" s="49"/>
      <c r="F774" s="49"/>
      <c r="G774" s="45"/>
    </row>
    <row r="775" spans="1:7" ht="18">
      <c r="A775" s="48"/>
      <c r="B775" s="49"/>
      <c r="C775" s="49"/>
      <c r="D775" s="50"/>
      <c r="E775" s="49"/>
      <c r="F775" s="49"/>
      <c r="G775" s="45"/>
    </row>
    <row r="776" spans="1:7" ht="18">
      <c r="A776" s="48"/>
      <c r="B776" s="49"/>
      <c r="C776" s="49"/>
      <c r="D776" s="50"/>
      <c r="E776" s="49"/>
      <c r="F776" s="49"/>
      <c r="G776" s="45"/>
    </row>
    <row r="777" spans="1:7" ht="18">
      <c r="A777" s="48"/>
      <c r="B777" s="49"/>
      <c r="C777" s="49"/>
      <c r="D777" s="50"/>
      <c r="E777" s="49"/>
      <c r="F777" s="49"/>
      <c r="G777" s="45"/>
    </row>
    <row r="778" spans="1:7" ht="18">
      <c r="A778" s="48"/>
      <c r="B778" s="49"/>
      <c r="C778" s="49"/>
      <c r="D778" s="50"/>
      <c r="E778" s="49"/>
      <c r="F778" s="49"/>
      <c r="G778" s="45"/>
    </row>
    <row r="779" spans="1:7" ht="18">
      <c r="A779" s="48"/>
      <c r="B779" s="49"/>
      <c r="C779" s="49"/>
      <c r="D779" s="50"/>
      <c r="E779" s="49"/>
      <c r="F779" s="49"/>
      <c r="G779" s="45"/>
    </row>
    <row r="780" spans="1:7" ht="18">
      <c r="A780" s="48"/>
      <c r="B780" s="49"/>
      <c r="C780" s="49"/>
      <c r="D780" s="50"/>
      <c r="E780" s="49"/>
      <c r="F780" s="49"/>
      <c r="G780" s="45"/>
    </row>
    <row r="781" spans="1:7" ht="18">
      <c r="A781" s="48"/>
      <c r="B781" s="49"/>
      <c r="C781" s="49"/>
      <c r="D781" s="50"/>
      <c r="E781" s="49"/>
      <c r="F781" s="49"/>
      <c r="G781" s="45"/>
    </row>
    <row r="782" spans="1:7" ht="18">
      <c r="A782" s="48"/>
      <c r="B782" s="49"/>
      <c r="C782" s="49"/>
      <c r="D782" s="50"/>
      <c r="E782" s="49"/>
      <c r="F782" s="49"/>
      <c r="G782" s="45"/>
    </row>
    <row r="783" spans="1:7" ht="18">
      <c r="A783" s="48"/>
      <c r="B783" s="49"/>
      <c r="C783" s="49"/>
      <c r="D783" s="50"/>
      <c r="E783" s="49"/>
      <c r="F783" s="49"/>
      <c r="G783" s="45"/>
    </row>
    <row r="784" spans="1:7" ht="18">
      <c r="A784" s="48"/>
      <c r="B784" s="49"/>
      <c r="C784" s="49"/>
      <c r="D784" s="50"/>
      <c r="E784" s="49"/>
      <c r="F784" s="49"/>
      <c r="G784" s="45"/>
    </row>
    <row r="785" spans="1:7" ht="18">
      <c r="A785" s="48"/>
      <c r="B785" s="49"/>
      <c r="C785" s="49"/>
      <c r="D785" s="50"/>
      <c r="E785" s="49"/>
      <c r="F785" s="49"/>
      <c r="G785" s="45"/>
    </row>
    <row r="786" spans="1:7" ht="18">
      <c r="A786" s="48"/>
      <c r="B786" s="49"/>
      <c r="C786" s="49"/>
      <c r="D786" s="50"/>
      <c r="E786" s="49"/>
      <c r="F786" s="49"/>
      <c r="G786" s="45"/>
    </row>
    <row r="787" spans="1:7" ht="18">
      <c r="A787" s="48"/>
      <c r="B787" s="49"/>
      <c r="C787" s="49"/>
      <c r="D787" s="50"/>
      <c r="E787" s="49"/>
      <c r="F787" s="49"/>
      <c r="G787" s="45"/>
    </row>
    <row r="788" spans="1:7" ht="18">
      <c r="A788" s="48"/>
      <c r="B788" s="49"/>
      <c r="C788" s="49"/>
      <c r="D788" s="50"/>
      <c r="E788" s="49"/>
      <c r="F788" s="49"/>
      <c r="G788" s="45"/>
    </row>
    <row r="789" spans="1:7" ht="18">
      <c r="A789" s="48"/>
      <c r="B789" s="49"/>
      <c r="C789" s="49"/>
      <c r="D789" s="50"/>
      <c r="E789" s="49"/>
      <c r="F789" s="49"/>
      <c r="G789" s="45"/>
    </row>
    <row r="790" spans="1:7" ht="18">
      <c r="A790" s="48"/>
      <c r="B790" s="49"/>
      <c r="C790" s="49"/>
      <c r="D790" s="50"/>
      <c r="E790" s="49"/>
      <c r="F790" s="49"/>
      <c r="G790" s="45"/>
    </row>
    <row r="791" spans="1:7" ht="18">
      <c r="A791" s="48"/>
      <c r="B791" s="49"/>
      <c r="C791" s="49"/>
      <c r="D791" s="50"/>
      <c r="E791" s="49"/>
      <c r="F791" s="49"/>
      <c r="G791" s="45"/>
    </row>
    <row r="792" spans="1:7" ht="18">
      <c r="A792" s="48"/>
      <c r="B792" s="49"/>
      <c r="C792" s="49"/>
      <c r="D792" s="50"/>
      <c r="E792" s="49"/>
      <c r="F792" s="49"/>
      <c r="G792" s="45"/>
    </row>
    <row r="793" spans="1:7" ht="18">
      <c r="A793" s="48"/>
      <c r="B793" s="49"/>
      <c r="C793" s="49"/>
      <c r="D793" s="50"/>
      <c r="E793" s="49"/>
      <c r="F793" s="49"/>
      <c r="G793" s="45"/>
    </row>
    <row r="794" spans="1:7" ht="18">
      <c r="A794" s="48"/>
      <c r="B794" s="49"/>
      <c r="C794" s="49"/>
      <c r="D794" s="50"/>
      <c r="E794" s="49"/>
      <c r="F794" s="49"/>
      <c r="G794" s="45"/>
    </row>
    <row r="795" spans="1:7" ht="18">
      <c r="A795" s="48"/>
      <c r="B795" s="49"/>
      <c r="C795" s="49"/>
      <c r="D795" s="50"/>
      <c r="E795" s="49"/>
      <c r="F795" s="49"/>
      <c r="G795" s="45"/>
    </row>
    <row r="796" spans="1:7" ht="18">
      <c r="A796" s="48"/>
      <c r="B796" s="49"/>
      <c r="C796" s="49"/>
      <c r="D796" s="50"/>
      <c r="E796" s="49"/>
      <c r="F796" s="49"/>
      <c r="G796" s="45"/>
    </row>
    <row r="797" spans="1:7" ht="18">
      <c r="A797" s="48"/>
      <c r="B797" s="49"/>
      <c r="C797" s="49"/>
      <c r="D797" s="50"/>
      <c r="E797" s="49"/>
      <c r="F797" s="49"/>
      <c r="G797" s="45"/>
    </row>
    <row r="798" spans="1:7" ht="18">
      <c r="A798" s="48"/>
      <c r="B798" s="49"/>
      <c r="C798" s="49"/>
      <c r="D798" s="50"/>
      <c r="E798" s="49"/>
      <c r="F798" s="49"/>
      <c r="G798" s="45"/>
    </row>
    <row r="799" spans="1:7" ht="18">
      <c r="A799" s="48"/>
      <c r="B799" s="49"/>
      <c r="C799" s="49"/>
      <c r="D799" s="50"/>
      <c r="E799" s="49"/>
      <c r="F799" s="49"/>
      <c r="G799" s="45"/>
    </row>
    <row r="800" spans="1:7" ht="18">
      <c r="A800" s="48"/>
      <c r="B800" s="49"/>
      <c r="C800" s="49"/>
      <c r="D800" s="50"/>
      <c r="E800" s="49"/>
      <c r="F800" s="49"/>
      <c r="G800" s="45"/>
    </row>
    <row r="801" spans="1:7" ht="18">
      <c r="A801" s="48"/>
      <c r="B801" s="49"/>
      <c r="C801" s="49"/>
      <c r="D801" s="50"/>
      <c r="E801" s="49"/>
      <c r="F801" s="49"/>
      <c r="G801" s="45"/>
    </row>
    <row r="802" spans="1:7" ht="18">
      <c r="A802" s="48"/>
      <c r="B802" s="49"/>
      <c r="C802" s="49"/>
      <c r="D802" s="50"/>
      <c r="E802" s="49"/>
      <c r="F802" s="49"/>
      <c r="G802" s="45"/>
    </row>
    <row r="803" spans="1:7" ht="18">
      <c r="A803" s="48"/>
      <c r="B803" s="49"/>
      <c r="C803" s="49"/>
      <c r="D803" s="50"/>
      <c r="E803" s="49"/>
      <c r="F803" s="49"/>
      <c r="G803" s="45"/>
    </row>
    <row r="804" spans="1:7" ht="18">
      <c r="A804" s="48"/>
      <c r="B804" s="49"/>
      <c r="C804" s="49"/>
      <c r="D804" s="50"/>
      <c r="E804" s="49"/>
      <c r="F804" s="49"/>
      <c r="G804" s="45"/>
    </row>
    <row r="805" spans="1:7" ht="18">
      <c r="A805" s="48"/>
      <c r="B805" s="49"/>
      <c r="C805" s="49"/>
      <c r="D805" s="50"/>
      <c r="E805" s="49"/>
      <c r="F805" s="49"/>
      <c r="G805" s="45"/>
    </row>
    <row r="806" spans="1:7" ht="18">
      <c r="A806" s="48"/>
      <c r="B806" s="49"/>
      <c r="C806" s="49"/>
      <c r="D806" s="50"/>
      <c r="E806" s="49"/>
      <c r="F806" s="49"/>
      <c r="G806" s="45"/>
    </row>
    <row r="807" spans="1:7" ht="18">
      <c r="A807" s="48"/>
      <c r="B807" s="49"/>
      <c r="C807" s="49"/>
      <c r="D807" s="50"/>
      <c r="E807" s="49"/>
      <c r="F807" s="49"/>
      <c r="G807" s="45"/>
    </row>
    <row r="808" spans="1:7" ht="18">
      <c r="A808" s="48"/>
      <c r="B808" s="49"/>
      <c r="C808" s="49"/>
      <c r="D808" s="50"/>
      <c r="E808" s="49"/>
      <c r="F808" s="49"/>
      <c r="G808" s="45"/>
    </row>
    <row r="809" spans="1:7" ht="18">
      <c r="A809" s="48"/>
      <c r="B809" s="49"/>
      <c r="C809" s="49"/>
      <c r="D809" s="50"/>
      <c r="E809" s="49"/>
      <c r="F809" s="49"/>
      <c r="G809" s="45"/>
    </row>
    <row r="810" spans="1:7" ht="18">
      <c r="A810" s="48"/>
      <c r="B810" s="49"/>
      <c r="C810" s="49"/>
      <c r="D810" s="50"/>
      <c r="E810" s="49"/>
      <c r="F810" s="49"/>
      <c r="G810" s="45"/>
    </row>
    <row r="811" spans="1:7" ht="18">
      <c r="A811" s="48"/>
      <c r="B811" s="49"/>
      <c r="C811" s="49"/>
      <c r="D811" s="50"/>
      <c r="E811" s="49"/>
      <c r="F811" s="49"/>
      <c r="G811" s="45"/>
    </row>
    <row r="812" spans="1:7" ht="18">
      <c r="A812" s="48"/>
      <c r="B812" s="49"/>
      <c r="C812" s="49"/>
      <c r="D812" s="50"/>
      <c r="E812" s="49"/>
      <c r="F812" s="49"/>
      <c r="G812" s="45"/>
    </row>
    <row r="813" spans="1:7" ht="18">
      <c r="A813" s="48"/>
      <c r="B813" s="49"/>
      <c r="C813" s="49"/>
      <c r="D813" s="50"/>
      <c r="E813" s="49"/>
      <c r="F813" s="49"/>
      <c r="G813" s="45"/>
    </row>
    <row r="814" spans="1:7" ht="18">
      <c r="A814" s="48"/>
      <c r="B814" s="49"/>
      <c r="C814" s="49"/>
      <c r="D814" s="50"/>
      <c r="E814" s="49"/>
      <c r="F814" s="49"/>
      <c r="G814" s="45"/>
    </row>
    <row r="815" spans="1:7" ht="18">
      <c r="A815" s="48"/>
      <c r="B815" s="49"/>
      <c r="C815" s="49"/>
      <c r="D815" s="50"/>
      <c r="E815" s="49"/>
      <c r="F815" s="49"/>
      <c r="G815" s="45"/>
    </row>
    <row r="816" spans="1:7" ht="18">
      <c r="A816" s="48"/>
      <c r="B816" s="49"/>
      <c r="C816" s="49"/>
      <c r="D816" s="50"/>
      <c r="E816" s="49"/>
      <c r="F816" s="49"/>
      <c r="G816" s="45"/>
    </row>
    <row r="817" spans="1:7" ht="18">
      <c r="A817" s="48"/>
      <c r="B817" s="49"/>
      <c r="C817" s="49"/>
      <c r="D817" s="50"/>
      <c r="E817" s="49"/>
      <c r="F817" s="49"/>
      <c r="G817" s="45"/>
    </row>
    <row r="818" spans="1:7" ht="18">
      <c r="A818" s="48"/>
      <c r="B818" s="49"/>
      <c r="C818" s="49"/>
      <c r="D818" s="50"/>
      <c r="E818" s="49"/>
      <c r="F818" s="49"/>
      <c r="G818" s="45"/>
    </row>
    <row r="819" spans="1:7" ht="18">
      <c r="A819" s="48"/>
      <c r="B819" s="49"/>
      <c r="C819" s="49"/>
      <c r="D819" s="50"/>
      <c r="E819" s="49"/>
      <c r="F819" s="49"/>
      <c r="G819" s="45"/>
    </row>
    <row r="820" spans="1:7" ht="18">
      <c r="A820" s="48"/>
      <c r="B820" s="49"/>
      <c r="C820" s="49"/>
      <c r="D820" s="50"/>
      <c r="E820" s="49"/>
      <c r="F820" s="49"/>
      <c r="G820" s="45"/>
    </row>
    <row r="821" spans="1:7" ht="18">
      <c r="A821" s="48"/>
      <c r="B821" s="49"/>
      <c r="C821" s="49"/>
      <c r="D821" s="50"/>
      <c r="E821" s="49"/>
      <c r="F821" s="49"/>
      <c r="G821" s="45"/>
    </row>
    <row r="822" spans="1:7" ht="18">
      <c r="A822" s="48"/>
      <c r="B822" s="49"/>
      <c r="C822" s="49"/>
      <c r="D822" s="50"/>
      <c r="E822" s="49"/>
      <c r="F822" s="49"/>
      <c r="G822" s="45"/>
    </row>
    <row r="823" spans="1:7" ht="18">
      <c r="A823" s="48"/>
      <c r="B823" s="49"/>
      <c r="C823" s="49"/>
      <c r="D823" s="50"/>
      <c r="E823" s="49"/>
      <c r="F823" s="49"/>
      <c r="G823" s="45"/>
    </row>
    <row r="824" spans="1:7" ht="18">
      <c r="A824" s="48"/>
      <c r="B824" s="49"/>
      <c r="C824" s="49"/>
      <c r="D824" s="50"/>
      <c r="E824" s="49"/>
      <c r="F824" s="49"/>
      <c r="G824" s="45"/>
    </row>
    <row r="825" spans="1:7" ht="18">
      <c r="A825" s="48"/>
      <c r="B825" s="49"/>
      <c r="C825" s="49"/>
      <c r="D825" s="50"/>
      <c r="E825" s="49"/>
      <c r="F825" s="49"/>
      <c r="G825" s="45"/>
    </row>
    <row r="826" spans="1:7" ht="18">
      <c r="A826" s="48"/>
      <c r="B826" s="49"/>
      <c r="C826" s="49"/>
      <c r="D826" s="50"/>
      <c r="E826" s="49"/>
      <c r="F826" s="49"/>
      <c r="G826" s="45"/>
    </row>
    <row r="827" spans="1:7" ht="18">
      <c r="A827" s="48"/>
      <c r="B827" s="49"/>
      <c r="C827" s="49"/>
      <c r="D827" s="50"/>
      <c r="E827" s="49"/>
      <c r="F827" s="49"/>
      <c r="G827" s="45"/>
    </row>
    <row r="828" spans="1:7" ht="18">
      <c r="A828" s="48"/>
      <c r="B828" s="49"/>
      <c r="C828" s="49"/>
      <c r="D828" s="50"/>
      <c r="E828" s="49"/>
      <c r="F828" s="49"/>
      <c r="G828" s="45"/>
    </row>
    <row r="829" spans="1:7" ht="18">
      <c r="A829" s="48"/>
      <c r="B829" s="49"/>
      <c r="C829" s="49"/>
      <c r="D829" s="50"/>
      <c r="E829" s="49"/>
      <c r="F829" s="49"/>
      <c r="G829" s="45"/>
    </row>
    <row r="830" spans="1:7" ht="18">
      <c r="A830" s="48"/>
      <c r="B830" s="49"/>
      <c r="C830" s="49"/>
      <c r="D830" s="50"/>
      <c r="E830" s="49"/>
      <c r="F830" s="49"/>
      <c r="G830" s="45"/>
    </row>
    <row r="831" spans="1:7" ht="18">
      <c r="A831" s="48"/>
      <c r="B831" s="49"/>
      <c r="C831" s="49"/>
      <c r="D831" s="50"/>
      <c r="E831" s="49"/>
      <c r="F831" s="49"/>
      <c r="G831" s="45"/>
    </row>
    <row r="832" spans="1:7" ht="18">
      <c r="A832" s="48"/>
      <c r="B832" s="49"/>
      <c r="C832" s="49"/>
      <c r="D832" s="50"/>
      <c r="E832" s="49"/>
      <c r="F832" s="49"/>
      <c r="G832" s="45"/>
    </row>
    <row r="833" spans="1:7" ht="18">
      <c r="A833" s="48"/>
      <c r="B833" s="49"/>
      <c r="C833" s="49"/>
      <c r="D833" s="50"/>
      <c r="E833" s="49"/>
      <c r="F833" s="49"/>
      <c r="G833" s="45"/>
    </row>
    <row r="834" spans="1:7" ht="18">
      <c r="A834" s="48"/>
      <c r="B834" s="49"/>
      <c r="C834" s="49"/>
      <c r="D834" s="50"/>
      <c r="E834" s="49"/>
      <c r="F834" s="49"/>
      <c r="G834" s="45"/>
    </row>
    <row r="835" spans="1:7" ht="18">
      <c r="A835" s="48"/>
      <c r="B835" s="49"/>
      <c r="C835" s="49"/>
      <c r="D835" s="50"/>
      <c r="E835" s="49"/>
      <c r="F835" s="49"/>
      <c r="G835" s="45"/>
    </row>
    <row r="836" spans="1:7" ht="18">
      <c r="A836" s="48"/>
      <c r="B836" s="49"/>
      <c r="C836" s="49"/>
      <c r="D836" s="50"/>
      <c r="E836" s="49"/>
      <c r="F836" s="49"/>
      <c r="G836" s="45"/>
    </row>
    <row r="837" spans="1:7" ht="18">
      <c r="A837" s="48"/>
      <c r="B837" s="49"/>
      <c r="C837" s="49"/>
      <c r="D837" s="50"/>
      <c r="E837" s="49"/>
      <c r="F837" s="49"/>
      <c r="G837" s="45"/>
    </row>
    <row r="838" spans="1:7" ht="18">
      <c r="A838" s="48"/>
      <c r="B838" s="49"/>
      <c r="C838" s="49"/>
      <c r="D838" s="50"/>
      <c r="E838" s="49"/>
      <c r="F838" s="49"/>
      <c r="G838" s="45"/>
    </row>
    <row r="839" spans="1:7" ht="18">
      <c r="A839" s="48"/>
      <c r="B839" s="49"/>
      <c r="C839" s="49"/>
      <c r="D839" s="50"/>
      <c r="E839" s="49"/>
      <c r="F839" s="49"/>
      <c r="G839" s="45"/>
    </row>
    <row r="840" spans="1:7" ht="18">
      <c r="A840" s="48"/>
      <c r="B840" s="49"/>
      <c r="C840" s="49"/>
      <c r="D840" s="50"/>
      <c r="E840" s="49"/>
      <c r="F840" s="49"/>
      <c r="G840" s="45"/>
    </row>
    <row r="841" spans="1:7" ht="18">
      <c r="A841" s="48"/>
      <c r="B841" s="49"/>
      <c r="C841" s="49"/>
      <c r="D841" s="50"/>
      <c r="E841" s="49"/>
      <c r="F841" s="49"/>
      <c r="G841" s="45"/>
    </row>
    <row r="842" spans="1:7" ht="18">
      <c r="A842" s="48"/>
      <c r="B842" s="49"/>
      <c r="C842" s="49"/>
      <c r="D842" s="50"/>
      <c r="E842" s="49"/>
      <c r="F842" s="49"/>
      <c r="G842" s="45"/>
    </row>
    <row r="843" spans="1:7" ht="18">
      <c r="A843" s="48"/>
      <c r="B843" s="49"/>
      <c r="C843" s="49"/>
      <c r="D843" s="50"/>
      <c r="E843" s="49"/>
      <c r="F843" s="49"/>
      <c r="G843" s="45"/>
    </row>
    <row r="844" spans="1:7" ht="18">
      <c r="A844" s="48"/>
      <c r="B844" s="49"/>
      <c r="C844" s="49"/>
      <c r="D844" s="50"/>
      <c r="E844" s="49"/>
      <c r="F844" s="49"/>
      <c r="G844" s="45"/>
    </row>
    <row r="845" spans="1:7" ht="18">
      <c r="A845" s="48"/>
      <c r="B845" s="49"/>
      <c r="C845" s="49"/>
      <c r="D845" s="50"/>
      <c r="E845" s="49"/>
      <c r="F845" s="49"/>
      <c r="G845" s="45"/>
    </row>
    <row r="846" spans="1:7" ht="18">
      <c r="A846" s="48"/>
      <c r="B846" s="49"/>
      <c r="C846" s="49"/>
      <c r="D846" s="50"/>
      <c r="E846" s="49"/>
      <c r="F846" s="49"/>
      <c r="G846" s="45"/>
    </row>
    <row r="847" spans="1:7" ht="18">
      <c r="A847" s="48"/>
      <c r="B847" s="49"/>
      <c r="C847" s="49"/>
      <c r="D847" s="50"/>
      <c r="E847" s="49"/>
      <c r="F847" s="49"/>
      <c r="G847" s="45"/>
    </row>
    <row r="848" spans="1:7" ht="18">
      <c r="A848" s="48"/>
      <c r="B848" s="49"/>
      <c r="C848" s="49"/>
      <c r="D848" s="50"/>
      <c r="E848" s="49"/>
      <c r="F848" s="49"/>
      <c r="G848" s="45"/>
    </row>
    <row r="849" spans="1:7" ht="18">
      <c r="A849" s="48"/>
      <c r="B849" s="49"/>
      <c r="C849" s="49"/>
      <c r="D849" s="50"/>
      <c r="E849" s="49"/>
      <c r="F849" s="49"/>
      <c r="G849" s="45"/>
    </row>
    <row r="850" spans="1:7" ht="18">
      <c r="A850" s="48"/>
      <c r="B850" s="49"/>
      <c r="C850" s="49"/>
      <c r="D850" s="50"/>
      <c r="E850" s="49"/>
      <c r="F850" s="49"/>
      <c r="G850" s="45"/>
    </row>
    <row r="851" spans="1:7" ht="18">
      <c r="A851" s="48"/>
      <c r="B851" s="49"/>
      <c r="C851" s="49"/>
      <c r="D851" s="50"/>
      <c r="E851" s="49"/>
      <c r="F851" s="49"/>
      <c r="G851" s="45"/>
    </row>
    <row r="852" spans="1:7" ht="18">
      <c r="A852" s="48"/>
      <c r="B852" s="49"/>
      <c r="C852" s="49"/>
      <c r="D852" s="50"/>
      <c r="E852" s="49"/>
      <c r="F852" s="49"/>
      <c r="G852" s="45"/>
    </row>
    <row r="853" spans="1:7" ht="18">
      <c r="A853" s="48"/>
      <c r="B853" s="49"/>
      <c r="C853" s="49"/>
      <c r="D853" s="50"/>
      <c r="E853" s="49"/>
      <c r="F853" s="49"/>
      <c r="G853" s="45"/>
    </row>
    <row r="854" spans="1:7" ht="18">
      <c r="A854" s="48"/>
      <c r="B854" s="49"/>
      <c r="C854" s="49"/>
      <c r="D854" s="50"/>
      <c r="E854" s="49"/>
      <c r="F854" s="49"/>
      <c r="G854" s="45"/>
    </row>
    <row r="855" spans="1:7" ht="18">
      <c r="A855" s="48"/>
      <c r="B855" s="49"/>
      <c r="C855" s="49"/>
      <c r="D855" s="50"/>
      <c r="E855" s="49"/>
      <c r="F855" s="49"/>
      <c r="G855" s="45"/>
    </row>
    <row r="856" spans="1:7" ht="18">
      <c r="A856" s="48"/>
      <c r="B856" s="49"/>
      <c r="C856" s="49"/>
      <c r="D856" s="50"/>
      <c r="E856" s="49"/>
      <c r="F856" s="49"/>
      <c r="G856" s="45"/>
    </row>
    <row r="857" spans="1:7" ht="18">
      <c r="A857" s="48"/>
      <c r="B857" s="49"/>
      <c r="C857" s="49"/>
      <c r="D857" s="50"/>
      <c r="E857" s="49"/>
      <c r="F857" s="49"/>
      <c r="G857" s="45"/>
    </row>
    <row r="858" spans="1:7" ht="18">
      <c r="A858" s="48"/>
      <c r="B858" s="49"/>
      <c r="C858" s="49"/>
      <c r="D858" s="50"/>
      <c r="E858" s="49"/>
      <c r="F858" s="49"/>
      <c r="G858" s="45"/>
    </row>
    <row r="859" spans="1:7" ht="18">
      <c r="A859" s="48"/>
      <c r="B859" s="49"/>
      <c r="C859" s="49"/>
      <c r="D859" s="50"/>
      <c r="E859" s="49"/>
      <c r="F859" s="49"/>
      <c r="G859" s="45"/>
    </row>
    <row r="860" spans="1:7" ht="18">
      <c r="A860" s="48"/>
      <c r="B860" s="49"/>
      <c r="C860" s="49"/>
      <c r="D860" s="50"/>
      <c r="E860" s="49"/>
      <c r="F860" s="49"/>
      <c r="G860" s="45"/>
    </row>
    <row r="861" spans="1:7" ht="18">
      <c r="A861" s="48"/>
      <c r="B861" s="49"/>
      <c r="C861" s="49"/>
      <c r="D861" s="50"/>
      <c r="E861" s="49"/>
      <c r="F861" s="49"/>
      <c r="G861" s="45"/>
    </row>
    <row r="862" spans="1:7" ht="18">
      <c r="A862" s="48"/>
      <c r="B862" s="49"/>
      <c r="C862" s="49"/>
      <c r="D862" s="50"/>
      <c r="E862" s="49"/>
      <c r="F862" s="49"/>
      <c r="G862" s="45"/>
    </row>
    <row r="863" spans="1:7" ht="18">
      <c r="A863" s="48"/>
      <c r="B863" s="49"/>
      <c r="C863" s="49"/>
      <c r="D863" s="50"/>
      <c r="E863" s="49"/>
      <c r="F863" s="49"/>
      <c r="G863" s="45"/>
    </row>
    <row r="864" spans="1:7" ht="18">
      <c r="A864" s="48"/>
      <c r="B864" s="49"/>
      <c r="C864" s="49"/>
      <c r="D864" s="50"/>
      <c r="E864" s="49"/>
      <c r="F864" s="49"/>
      <c r="G864" s="45"/>
    </row>
    <row r="865" spans="1:7" ht="18">
      <c r="A865" s="48"/>
      <c r="B865" s="49"/>
      <c r="C865" s="49"/>
      <c r="D865" s="50"/>
      <c r="E865" s="49"/>
      <c r="F865" s="49"/>
      <c r="G865" s="45"/>
    </row>
    <row r="866" spans="1:7" ht="18">
      <c r="A866" s="48"/>
      <c r="B866" s="49"/>
      <c r="C866" s="49"/>
      <c r="D866" s="50"/>
      <c r="E866" s="49"/>
      <c r="F866" s="49"/>
      <c r="G866" s="45"/>
    </row>
    <row r="867" spans="1:7" ht="18">
      <c r="A867" s="48"/>
      <c r="B867" s="49"/>
      <c r="C867" s="49"/>
      <c r="D867" s="50"/>
      <c r="E867" s="49"/>
      <c r="F867" s="49"/>
      <c r="G867" s="45"/>
    </row>
    <row r="868" spans="1:7" ht="18">
      <c r="A868" s="48"/>
      <c r="B868" s="49"/>
      <c r="C868" s="49"/>
      <c r="D868" s="50"/>
      <c r="E868" s="49"/>
      <c r="F868" s="49"/>
      <c r="G868" s="45"/>
    </row>
    <row r="869" spans="1:7" ht="18">
      <c r="A869" s="48"/>
      <c r="B869" s="49"/>
      <c r="C869" s="49"/>
      <c r="D869" s="50"/>
      <c r="E869" s="49"/>
      <c r="F869" s="49"/>
      <c r="G869" s="45"/>
    </row>
    <row r="870" spans="1:7" ht="18">
      <c r="A870" s="48"/>
      <c r="B870" s="49"/>
      <c r="C870" s="49"/>
      <c r="D870" s="50"/>
      <c r="E870" s="49"/>
      <c r="F870" s="49"/>
      <c r="G870" s="45"/>
    </row>
    <row r="871" spans="1:7" ht="18">
      <c r="A871" s="48"/>
      <c r="B871" s="49"/>
      <c r="C871" s="49"/>
      <c r="D871" s="50"/>
      <c r="E871" s="49"/>
      <c r="F871" s="49"/>
      <c r="G871" s="45"/>
    </row>
    <row r="872" spans="1:7" ht="18">
      <c r="A872" s="48"/>
      <c r="B872" s="49"/>
      <c r="C872" s="49"/>
      <c r="D872" s="50"/>
      <c r="E872" s="49"/>
      <c r="F872" s="49"/>
      <c r="G872" s="45"/>
    </row>
    <row r="873" spans="1:7" ht="18">
      <c r="A873" s="48"/>
      <c r="B873" s="49"/>
      <c r="C873" s="49"/>
      <c r="D873" s="50"/>
      <c r="E873" s="49"/>
      <c r="F873" s="49"/>
      <c r="G873" s="45"/>
    </row>
    <row r="874" spans="1:7" ht="18">
      <c r="A874" s="48"/>
      <c r="B874" s="49"/>
      <c r="C874" s="49"/>
      <c r="D874" s="50"/>
      <c r="E874" s="49"/>
      <c r="F874" s="49"/>
      <c r="G874" s="45"/>
    </row>
    <row r="875" spans="1:7" ht="18">
      <c r="A875" s="48"/>
      <c r="B875" s="49"/>
      <c r="C875" s="49"/>
      <c r="D875" s="50"/>
      <c r="E875" s="49"/>
      <c r="F875" s="49"/>
      <c r="G875" s="45"/>
    </row>
    <row r="876" spans="1:7" ht="18">
      <c r="A876" s="48"/>
      <c r="B876" s="49"/>
      <c r="C876" s="49"/>
      <c r="D876" s="50"/>
      <c r="E876" s="49"/>
      <c r="F876" s="49"/>
      <c r="G876" s="45"/>
    </row>
    <row r="877" spans="1:7" ht="18">
      <c r="A877" s="48"/>
      <c r="B877" s="49"/>
      <c r="C877" s="49"/>
      <c r="D877" s="50"/>
      <c r="E877" s="49"/>
      <c r="F877" s="49"/>
      <c r="G877" s="45"/>
    </row>
    <row r="878" spans="1:7" ht="18">
      <c r="A878" s="48"/>
      <c r="B878" s="49"/>
      <c r="C878" s="49"/>
      <c r="D878" s="50"/>
      <c r="E878" s="49"/>
      <c r="F878" s="49"/>
      <c r="G878" s="45"/>
    </row>
    <row r="879" spans="1:7" ht="18">
      <c r="A879" s="48"/>
      <c r="B879" s="49"/>
      <c r="C879" s="49"/>
      <c r="D879" s="50"/>
      <c r="E879" s="49"/>
      <c r="F879" s="49"/>
      <c r="G879" s="45"/>
    </row>
    <row r="880" spans="1:7" ht="18">
      <c r="A880" s="48"/>
      <c r="B880" s="49"/>
      <c r="C880" s="49"/>
      <c r="D880" s="50"/>
      <c r="E880" s="49"/>
      <c r="F880" s="49"/>
      <c r="G880" s="45"/>
    </row>
    <row r="881" spans="1:7" ht="18">
      <c r="A881" s="48"/>
      <c r="B881" s="49"/>
      <c r="C881" s="49"/>
      <c r="D881" s="50"/>
      <c r="E881" s="49"/>
      <c r="F881" s="49"/>
      <c r="G881" s="45"/>
    </row>
    <row r="882" spans="1:7" ht="18">
      <c r="A882" s="48"/>
      <c r="B882" s="49"/>
      <c r="C882" s="49"/>
      <c r="D882" s="50"/>
      <c r="E882" s="49"/>
      <c r="F882" s="49"/>
      <c r="G882" s="45"/>
    </row>
    <row r="883" spans="1:7" ht="18">
      <c r="A883" s="48"/>
      <c r="B883" s="49"/>
      <c r="C883" s="49"/>
      <c r="D883" s="50"/>
      <c r="E883" s="49"/>
      <c r="F883" s="49"/>
      <c r="G883" s="45"/>
    </row>
    <row r="884" spans="1:7" ht="18">
      <c r="A884" s="48"/>
      <c r="B884" s="49"/>
      <c r="C884" s="49"/>
      <c r="D884" s="50"/>
      <c r="E884" s="49"/>
      <c r="F884" s="49"/>
      <c r="G884" s="45"/>
    </row>
    <row r="885" spans="1:7" ht="18">
      <c r="A885" s="48"/>
      <c r="B885" s="49"/>
      <c r="C885" s="49"/>
      <c r="D885" s="50"/>
      <c r="E885" s="49"/>
      <c r="F885" s="49"/>
      <c r="G885" s="45"/>
    </row>
    <row r="886" spans="1:7" ht="18">
      <c r="A886" s="48"/>
      <c r="B886" s="49"/>
      <c r="C886" s="49"/>
      <c r="D886" s="50"/>
      <c r="E886" s="49"/>
      <c r="F886" s="49"/>
      <c r="G886" s="45"/>
    </row>
    <row r="887" spans="1:7" ht="18">
      <c r="A887" s="48"/>
      <c r="B887" s="49"/>
      <c r="C887" s="49"/>
      <c r="D887" s="50"/>
      <c r="E887" s="49"/>
      <c r="F887" s="49"/>
      <c r="G887" s="45"/>
    </row>
    <row r="888" spans="1:7" ht="18">
      <c r="A888" s="48"/>
      <c r="B888" s="49"/>
      <c r="C888" s="49"/>
      <c r="D888" s="50"/>
      <c r="E888" s="49"/>
      <c r="F888" s="49"/>
      <c r="G888" s="45"/>
    </row>
    <row r="889" spans="1:7" ht="18">
      <c r="A889" s="48"/>
      <c r="B889" s="49"/>
      <c r="C889" s="49"/>
      <c r="D889" s="50"/>
      <c r="E889" s="49"/>
      <c r="F889" s="49"/>
      <c r="G889" s="45"/>
    </row>
    <row r="890" spans="1:7" ht="18">
      <c r="A890" s="48"/>
      <c r="B890" s="49"/>
      <c r="C890" s="49"/>
      <c r="D890" s="50"/>
      <c r="E890" s="49"/>
      <c r="F890" s="49"/>
      <c r="G890" s="45"/>
    </row>
    <row r="891" spans="1:7" ht="18">
      <c r="A891" s="48"/>
      <c r="B891" s="49"/>
      <c r="C891" s="49"/>
      <c r="D891" s="50"/>
      <c r="E891" s="49"/>
      <c r="F891" s="49"/>
      <c r="G891" s="45"/>
    </row>
    <row r="892" spans="1:7" ht="18">
      <c r="A892" s="48"/>
      <c r="B892" s="49"/>
      <c r="C892" s="49"/>
      <c r="D892" s="50"/>
      <c r="E892" s="49"/>
      <c r="F892" s="49"/>
      <c r="G892" s="45"/>
    </row>
    <row r="893" spans="1:7" ht="18">
      <c r="A893" s="48"/>
      <c r="B893" s="49"/>
      <c r="C893" s="49"/>
      <c r="D893" s="50"/>
      <c r="E893" s="49"/>
      <c r="F893" s="49"/>
      <c r="G893" s="45"/>
    </row>
    <row r="894" spans="1:7" ht="18">
      <c r="A894" s="48"/>
      <c r="B894" s="49"/>
      <c r="C894" s="49"/>
      <c r="D894" s="50"/>
      <c r="E894" s="49"/>
      <c r="F894" s="49"/>
      <c r="G894" s="45"/>
    </row>
    <row r="895" spans="1:7" ht="18">
      <c r="A895" s="48"/>
      <c r="B895" s="49"/>
      <c r="C895" s="49"/>
      <c r="D895" s="50"/>
      <c r="E895" s="49"/>
      <c r="F895" s="49"/>
      <c r="G895" s="45"/>
    </row>
    <row r="896" spans="1:7" ht="18">
      <c r="A896" s="48"/>
      <c r="B896" s="49"/>
      <c r="C896" s="49"/>
      <c r="D896" s="50"/>
      <c r="E896" s="49"/>
      <c r="F896" s="49"/>
      <c r="G896" s="45"/>
    </row>
    <row r="897" spans="1:7" ht="18">
      <c r="A897" s="48"/>
      <c r="B897" s="49"/>
      <c r="C897" s="49"/>
      <c r="D897" s="50"/>
      <c r="E897" s="49"/>
      <c r="F897" s="49"/>
      <c r="G897" s="45"/>
    </row>
    <row r="898" spans="1:7" ht="18">
      <c r="A898" s="48"/>
      <c r="B898" s="49"/>
      <c r="C898" s="49"/>
      <c r="D898" s="50"/>
      <c r="E898" s="49"/>
      <c r="F898" s="49"/>
      <c r="G898" s="45"/>
    </row>
    <row r="899" spans="1:7" ht="18">
      <c r="A899" s="48"/>
      <c r="B899" s="49"/>
      <c r="C899" s="49"/>
      <c r="D899" s="50"/>
      <c r="E899" s="49"/>
      <c r="F899" s="49"/>
      <c r="G899" s="45"/>
    </row>
    <row r="900" spans="1:7" ht="18">
      <c r="A900" s="48"/>
      <c r="B900" s="49"/>
      <c r="C900" s="49"/>
      <c r="D900" s="50"/>
      <c r="E900" s="49"/>
      <c r="F900" s="49"/>
      <c r="G900" s="45"/>
    </row>
    <row r="901" spans="1:7" ht="18">
      <c r="A901" s="48"/>
      <c r="B901" s="49"/>
      <c r="C901" s="49"/>
      <c r="D901" s="50"/>
      <c r="E901" s="49"/>
      <c r="F901" s="49"/>
      <c r="G901" s="45"/>
    </row>
    <row r="902" spans="1:7" ht="18">
      <c r="A902" s="48"/>
      <c r="B902" s="49"/>
      <c r="C902" s="49"/>
      <c r="D902" s="50"/>
      <c r="E902" s="49"/>
      <c r="F902" s="49"/>
      <c r="G902" s="45"/>
    </row>
    <row r="903" spans="1:7" ht="18">
      <c r="A903" s="48"/>
      <c r="B903" s="49"/>
      <c r="C903" s="49"/>
      <c r="D903" s="50"/>
      <c r="E903" s="49"/>
      <c r="F903" s="49"/>
      <c r="G903" s="45"/>
    </row>
    <row r="904" spans="1:7" ht="18">
      <c r="A904" s="48"/>
      <c r="B904" s="49"/>
      <c r="C904" s="49"/>
      <c r="D904" s="50"/>
      <c r="E904" s="49"/>
      <c r="F904" s="49"/>
      <c r="G904" s="45"/>
    </row>
    <row r="905" spans="1:7" ht="18">
      <c r="A905" s="48"/>
      <c r="B905" s="49"/>
      <c r="C905" s="49"/>
      <c r="D905" s="50"/>
      <c r="E905" s="49"/>
      <c r="F905" s="49"/>
      <c r="G905" s="45"/>
    </row>
    <row r="906" spans="1:7" ht="18">
      <c r="A906" s="48"/>
      <c r="B906" s="49"/>
      <c r="C906" s="49"/>
      <c r="D906" s="50"/>
      <c r="E906" s="49"/>
      <c r="F906" s="49"/>
      <c r="G906" s="45"/>
    </row>
    <row r="907" spans="1:7" ht="18">
      <c r="A907" s="48"/>
      <c r="B907" s="49"/>
      <c r="C907" s="49"/>
      <c r="D907" s="50"/>
      <c r="E907" s="49"/>
      <c r="F907" s="49"/>
      <c r="G907" s="45"/>
    </row>
    <row r="908" spans="1:7" ht="18">
      <c r="A908" s="48"/>
      <c r="B908" s="49"/>
      <c r="C908" s="49"/>
      <c r="D908" s="50"/>
      <c r="E908" s="49"/>
      <c r="F908" s="49"/>
      <c r="G908" s="45"/>
    </row>
    <row r="909" spans="1:7" ht="18">
      <c r="A909" s="48"/>
      <c r="B909" s="49"/>
      <c r="C909" s="49"/>
      <c r="D909" s="50"/>
      <c r="E909" s="49"/>
      <c r="F909" s="49"/>
      <c r="G909" s="45"/>
    </row>
    <row r="910" spans="1:7" ht="18">
      <c r="A910" s="48"/>
      <c r="B910" s="49"/>
      <c r="C910" s="49"/>
      <c r="D910" s="50"/>
      <c r="E910" s="49"/>
      <c r="F910" s="49"/>
      <c r="G910" s="45"/>
    </row>
    <row r="911" spans="1:7" ht="18">
      <c r="A911" s="48"/>
      <c r="B911" s="49"/>
      <c r="C911" s="49"/>
      <c r="D911" s="50"/>
      <c r="E911" s="49"/>
      <c r="F911" s="49"/>
      <c r="G911" s="45"/>
    </row>
    <row r="912" spans="1:7" ht="18">
      <c r="A912" s="48"/>
      <c r="B912" s="49"/>
      <c r="C912" s="49"/>
      <c r="D912" s="50"/>
      <c r="E912" s="49"/>
      <c r="F912" s="49"/>
      <c r="G912" s="45"/>
    </row>
    <row r="913" spans="1:7" ht="18">
      <c r="A913" s="48"/>
      <c r="B913" s="49"/>
      <c r="C913" s="49"/>
      <c r="D913" s="50"/>
      <c r="E913" s="49"/>
      <c r="F913" s="49"/>
      <c r="G913" s="45"/>
    </row>
    <row r="914" spans="1:7" ht="18">
      <c r="A914" s="48"/>
      <c r="B914" s="49"/>
      <c r="C914" s="49"/>
      <c r="D914" s="50"/>
      <c r="E914" s="49"/>
      <c r="F914" s="49"/>
      <c r="G914" s="45"/>
    </row>
    <row r="915" spans="1:7" ht="18">
      <c r="A915" s="48"/>
      <c r="B915" s="49"/>
      <c r="C915" s="49"/>
      <c r="D915" s="50"/>
      <c r="E915" s="49"/>
      <c r="F915" s="49"/>
      <c r="G915" s="45"/>
    </row>
    <row r="916" spans="1:7" ht="18">
      <c r="A916" s="48"/>
      <c r="B916" s="49"/>
      <c r="C916" s="49"/>
      <c r="D916" s="50"/>
      <c r="E916" s="49"/>
      <c r="F916" s="49"/>
      <c r="G916" s="45"/>
    </row>
    <row r="917" spans="1:7" ht="18">
      <c r="A917" s="48"/>
      <c r="B917" s="49"/>
      <c r="C917" s="49"/>
      <c r="D917" s="50"/>
      <c r="E917" s="49"/>
      <c r="F917" s="49"/>
      <c r="G917" s="45"/>
    </row>
    <row r="918" spans="1:7" ht="18">
      <c r="A918" s="48"/>
      <c r="B918" s="49"/>
      <c r="C918" s="49"/>
      <c r="D918" s="50"/>
      <c r="E918" s="49"/>
      <c r="F918" s="49"/>
      <c r="G918" s="45"/>
    </row>
    <row r="919" spans="1:7" ht="18">
      <c r="A919" s="48"/>
      <c r="B919" s="49"/>
      <c r="C919" s="49"/>
      <c r="D919" s="50"/>
      <c r="E919" s="49"/>
      <c r="F919" s="49"/>
      <c r="G919" s="45"/>
    </row>
    <row r="920" spans="1:7" ht="18">
      <c r="A920" s="48"/>
      <c r="B920" s="49"/>
      <c r="C920" s="49"/>
      <c r="D920" s="50"/>
      <c r="E920" s="49"/>
      <c r="F920" s="49"/>
      <c r="G920" s="45"/>
    </row>
    <row r="921" spans="1:7" ht="18">
      <c r="A921" s="48"/>
      <c r="B921" s="49"/>
      <c r="C921" s="49"/>
      <c r="D921" s="50"/>
      <c r="E921" s="49"/>
      <c r="F921" s="49"/>
      <c r="G921" s="45"/>
    </row>
    <row r="922" spans="1:7" ht="18">
      <c r="A922" s="48"/>
      <c r="B922" s="49"/>
      <c r="C922" s="49"/>
      <c r="D922" s="50"/>
      <c r="E922" s="49"/>
      <c r="F922" s="49"/>
      <c r="G922" s="45"/>
    </row>
    <row r="923" spans="1:7" ht="18">
      <c r="A923" s="48"/>
      <c r="B923" s="49"/>
      <c r="C923" s="49"/>
      <c r="D923" s="50"/>
      <c r="E923" s="49"/>
      <c r="F923" s="49"/>
      <c r="G923" s="45"/>
    </row>
    <row r="924" spans="1:7" ht="18">
      <c r="A924" s="48"/>
      <c r="B924" s="49"/>
      <c r="C924" s="49"/>
      <c r="D924" s="50"/>
      <c r="E924" s="49"/>
      <c r="F924" s="49"/>
      <c r="G924" s="45"/>
    </row>
    <row r="925" spans="1:7" ht="18">
      <c r="A925" s="48"/>
      <c r="B925" s="49"/>
      <c r="C925" s="49"/>
      <c r="D925" s="50"/>
      <c r="E925" s="49"/>
      <c r="F925" s="49"/>
      <c r="G925" s="45"/>
    </row>
    <row r="926" spans="1:7" ht="18">
      <c r="A926" s="48"/>
      <c r="B926" s="49"/>
      <c r="C926" s="49"/>
      <c r="D926" s="50"/>
      <c r="E926" s="49"/>
      <c r="F926" s="49"/>
      <c r="G926" s="45"/>
    </row>
    <row r="927" spans="1:7" ht="18">
      <c r="A927" s="48"/>
      <c r="B927" s="49"/>
      <c r="C927" s="49"/>
      <c r="D927" s="50"/>
      <c r="E927" s="49"/>
      <c r="F927" s="49"/>
      <c r="G927" s="45"/>
    </row>
    <row r="928" spans="1:7" ht="18">
      <c r="A928" s="48"/>
      <c r="B928" s="49"/>
      <c r="C928" s="49"/>
      <c r="D928" s="50"/>
      <c r="E928" s="49"/>
      <c r="F928" s="49"/>
      <c r="G928" s="45"/>
    </row>
    <row r="929" spans="1:7" ht="18">
      <c r="A929" s="48"/>
      <c r="B929" s="49"/>
      <c r="C929" s="49"/>
      <c r="D929" s="50"/>
      <c r="E929" s="49"/>
      <c r="F929" s="49"/>
      <c r="G929" s="45"/>
    </row>
    <row r="930" spans="1:7" ht="18">
      <c r="A930" s="48"/>
      <c r="B930" s="49"/>
      <c r="C930" s="49"/>
      <c r="D930" s="50"/>
      <c r="E930" s="49"/>
      <c r="F930" s="49"/>
      <c r="G930" s="45"/>
    </row>
    <row r="931" spans="1:7" ht="18">
      <c r="A931" s="48"/>
      <c r="B931" s="49"/>
      <c r="C931" s="49"/>
      <c r="D931" s="50"/>
      <c r="E931" s="49"/>
      <c r="F931" s="49"/>
      <c r="G931" s="45"/>
    </row>
    <row r="932" spans="1:7" ht="18">
      <c r="A932" s="48"/>
      <c r="B932" s="49"/>
      <c r="C932" s="49"/>
      <c r="D932" s="50"/>
      <c r="E932" s="49"/>
      <c r="F932" s="49"/>
      <c r="G932" s="45"/>
    </row>
    <row r="933" spans="1:7" ht="18">
      <c r="A933" s="48"/>
      <c r="B933" s="49"/>
      <c r="C933" s="49"/>
      <c r="D933" s="50"/>
      <c r="E933" s="49"/>
      <c r="F933" s="49"/>
      <c r="G933" s="45"/>
    </row>
    <row r="934" spans="1:7" ht="18">
      <c r="A934" s="48"/>
      <c r="B934" s="49"/>
      <c r="C934" s="49"/>
      <c r="D934" s="50"/>
      <c r="E934" s="49"/>
      <c r="F934" s="49"/>
      <c r="G934" s="45"/>
    </row>
    <row r="935" spans="1:7" ht="18">
      <c r="A935" s="48"/>
      <c r="B935" s="49"/>
      <c r="C935" s="49"/>
      <c r="D935" s="50"/>
      <c r="E935" s="49"/>
      <c r="F935" s="49"/>
      <c r="G935" s="45"/>
    </row>
    <row r="936" spans="1:7" ht="18">
      <c r="A936" s="48"/>
      <c r="B936" s="49"/>
      <c r="C936" s="49"/>
      <c r="D936" s="50"/>
      <c r="E936" s="49"/>
      <c r="F936" s="49"/>
      <c r="G936" s="45"/>
    </row>
    <row r="937" spans="1:7" ht="18">
      <c r="A937" s="48"/>
      <c r="B937" s="49"/>
      <c r="C937" s="49"/>
      <c r="D937" s="50"/>
      <c r="E937" s="49"/>
      <c r="F937" s="49"/>
      <c r="G937" s="45"/>
    </row>
    <row r="938" spans="1:7" ht="18">
      <c r="A938" s="48"/>
      <c r="B938" s="49"/>
      <c r="C938" s="49"/>
      <c r="D938" s="50"/>
      <c r="E938" s="49"/>
      <c r="F938" s="49"/>
      <c r="G938" s="45"/>
    </row>
    <row r="939" spans="1:7" ht="18">
      <c r="A939" s="48"/>
      <c r="B939" s="49"/>
      <c r="C939" s="49"/>
      <c r="D939" s="50"/>
      <c r="E939" s="49"/>
      <c r="F939" s="49"/>
      <c r="G939" s="45"/>
    </row>
    <row r="940" spans="1:7" ht="18">
      <c r="A940" s="48"/>
      <c r="B940" s="49"/>
      <c r="C940" s="49"/>
      <c r="D940" s="50"/>
      <c r="E940" s="49"/>
      <c r="F940" s="49"/>
      <c r="G940" s="45"/>
    </row>
    <row r="941" spans="1:7" ht="18">
      <c r="A941" s="48"/>
      <c r="B941" s="49"/>
      <c r="C941" s="49"/>
      <c r="D941" s="50"/>
      <c r="E941" s="49"/>
      <c r="F941" s="49"/>
      <c r="G941" s="45"/>
    </row>
    <row r="942" spans="1:7" ht="18">
      <c r="A942" s="48"/>
      <c r="B942" s="49"/>
      <c r="C942" s="49"/>
      <c r="D942" s="50"/>
      <c r="E942" s="49"/>
      <c r="F942" s="49"/>
      <c r="G942" s="45"/>
    </row>
    <row r="943" spans="1:7" ht="18">
      <c r="A943" s="48"/>
      <c r="B943" s="49"/>
      <c r="C943" s="49"/>
      <c r="D943" s="50"/>
      <c r="E943" s="49"/>
      <c r="F943" s="49"/>
      <c r="G943" s="45"/>
    </row>
    <row r="944" spans="1:7" ht="18">
      <c r="A944" s="48"/>
      <c r="B944" s="49"/>
      <c r="C944" s="49"/>
      <c r="D944" s="50"/>
      <c r="E944" s="49"/>
      <c r="F944" s="49"/>
      <c r="G944" s="45"/>
    </row>
    <row r="945" spans="1:7" ht="18">
      <c r="A945" s="48"/>
      <c r="B945" s="49"/>
      <c r="C945" s="49"/>
      <c r="D945" s="50"/>
      <c r="E945" s="49"/>
      <c r="F945" s="49"/>
      <c r="G945" s="45"/>
    </row>
    <row r="946" spans="1:7" ht="18">
      <c r="A946" s="48"/>
      <c r="B946" s="49"/>
      <c r="C946" s="49"/>
      <c r="D946" s="50"/>
      <c r="E946" s="49"/>
      <c r="F946" s="49"/>
      <c r="G946" s="45"/>
    </row>
    <row r="947" spans="1:7" ht="18">
      <c r="A947" s="48"/>
      <c r="B947" s="49"/>
      <c r="C947" s="49"/>
      <c r="D947" s="50"/>
      <c r="E947" s="49"/>
      <c r="F947" s="49"/>
      <c r="G947" s="45"/>
    </row>
    <row r="948" spans="1:7" ht="18">
      <c r="A948" s="48"/>
      <c r="B948" s="49"/>
      <c r="C948" s="49"/>
      <c r="D948" s="50"/>
      <c r="E948" s="49"/>
      <c r="F948" s="49"/>
      <c r="G948" s="45"/>
    </row>
    <row r="949" spans="1:7" ht="18">
      <c r="A949" s="48"/>
      <c r="B949" s="49"/>
      <c r="C949" s="49"/>
      <c r="D949" s="50"/>
      <c r="E949" s="49"/>
      <c r="F949" s="49"/>
      <c r="G949" s="45"/>
    </row>
    <row r="950" spans="1:7" ht="18">
      <c r="A950" s="48"/>
      <c r="B950" s="49"/>
      <c r="C950" s="49"/>
      <c r="D950" s="50"/>
      <c r="E950" s="49"/>
      <c r="F950" s="49"/>
      <c r="G950" s="45"/>
    </row>
    <row r="951" spans="1:7" ht="18">
      <c r="A951" s="48"/>
      <c r="B951" s="49"/>
      <c r="C951" s="49"/>
      <c r="D951" s="50"/>
      <c r="E951" s="49"/>
      <c r="F951" s="49"/>
      <c r="G951" s="45"/>
    </row>
    <row r="952" spans="1:7" ht="18">
      <c r="A952" s="48"/>
      <c r="B952" s="49"/>
      <c r="C952" s="49"/>
      <c r="D952" s="50"/>
      <c r="E952" s="49"/>
      <c r="F952" s="49"/>
      <c r="G952" s="45"/>
    </row>
    <row r="953" spans="1:7" ht="18">
      <c r="A953" s="48"/>
      <c r="B953" s="49"/>
      <c r="C953" s="49"/>
      <c r="D953" s="50"/>
      <c r="E953" s="49"/>
      <c r="F953" s="49"/>
      <c r="G953" s="45"/>
    </row>
    <row r="954" spans="1:7" ht="18">
      <c r="A954" s="48"/>
      <c r="B954" s="49"/>
      <c r="C954" s="49"/>
      <c r="D954" s="50"/>
      <c r="E954" s="49"/>
      <c r="F954" s="49"/>
      <c r="G954" s="45"/>
    </row>
    <row r="955" spans="1:7" ht="18">
      <c r="A955" s="48"/>
      <c r="B955" s="49"/>
      <c r="C955" s="49"/>
      <c r="D955" s="50"/>
      <c r="E955" s="49"/>
      <c r="F955" s="49"/>
      <c r="G955" s="45"/>
    </row>
    <row r="956" spans="1:7" ht="18">
      <c r="A956" s="48"/>
      <c r="B956" s="49"/>
      <c r="C956" s="49"/>
      <c r="D956" s="50"/>
      <c r="E956" s="49"/>
      <c r="F956" s="49"/>
      <c r="G956" s="45"/>
    </row>
    <row r="957" spans="1:7" ht="18">
      <c r="A957" s="48"/>
      <c r="B957" s="49"/>
      <c r="C957" s="49"/>
      <c r="D957" s="50"/>
      <c r="E957" s="49"/>
      <c r="F957" s="49"/>
      <c r="G957" s="45"/>
    </row>
    <row r="958" spans="1:7" ht="18">
      <c r="A958" s="48"/>
      <c r="B958" s="49"/>
      <c r="C958" s="49"/>
      <c r="D958" s="50"/>
      <c r="E958" s="49"/>
      <c r="F958" s="49"/>
      <c r="G958" s="45"/>
    </row>
    <row r="959" spans="1:7" ht="18">
      <c r="A959" s="48"/>
      <c r="B959" s="49"/>
      <c r="C959" s="49"/>
      <c r="D959" s="50"/>
      <c r="E959" s="49"/>
      <c r="F959" s="49"/>
      <c r="G959" s="45"/>
    </row>
    <row r="960" spans="1:7" ht="18">
      <c r="A960" s="48"/>
      <c r="B960" s="49"/>
      <c r="C960" s="49"/>
      <c r="D960" s="50"/>
      <c r="E960" s="49"/>
      <c r="F960" s="49"/>
      <c r="G960" s="45"/>
    </row>
    <row r="961" spans="1:7" ht="18">
      <c r="A961" s="48"/>
      <c r="B961" s="49"/>
      <c r="C961" s="49"/>
      <c r="D961" s="50"/>
      <c r="E961" s="49"/>
      <c r="F961" s="49"/>
      <c r="G961" s="45"/>
    </row>
    <row r="962" spans="1:7" ht="18">
      <c r="A962" s="48"/>
      <c r="B962" s="49"/>
      <c r="C962" s="49"/>
      <c r="D962" s="50"/>
      <c r="E962" s="49"/>
      <c r="F962" s="49"/>
      <c r="G962" s="45"/>
    </row>
    <row r="963" spans="1:7" ht="18">
      <c r="A963" s="48"/>
      <c r="B963" s="49"/>
      <c r="C963" s="49"/>
      <c r="D963" s="50"/>
      <c r="E963" s="49"/>
      <c r="F963" s="49"/>
      <c r="G963" s="45"/>
    </row>
    <row r="964" spans="1:7" ht="18">
      <c r="A964" s="48"/>
      <c r="B964" s="49"/>
      <c r="C964" s="49"/>
      <c r="D964" s="50"/>
      <c r="E964" s="49"/>
      <c r="F964" s="49"/>
      <c r="G964" s="45"/>
    </row>
    <row r="965" spans="1:7" ht="18">
      <c r="A965" s="48"/>
      <c r="B965" s="49"/>
      <c r="C965" s="49"/>
      <c r="D965" s="50"/>
      <c r="E965" s="49"/>
      <c r="F965" s="49"/>
      <c r="G965" s="45"/>
    </row>
    <row r="966" spans="1:7" ht="18">
      <c r="A966" s="48"/>
      <c r="B966" s="49"/>
      <c r="C966" s="49"/>
      <c r="D966" s="50"/>
      <c r="E966" s="49"/>
      <c r="F966" s="49"/>
      <c r="G966" s="45"/>
    </row>
    <row r="967" spans="1:7" ht="18">
      <c r="A967" s="48"/>
      <c r="B967" s="49"/>
      <c r="C967" s="49"/>
      <c r="D967" s="50"/>
      <c r="E967" s="49"/>
      <c r="F967" s="49"/>
      <c r="G967" s="45"/>
    </row>
    <row r="968" spans="1:7" ht="18">
      <c r="A968" s="48"/>
      <c r="B968" s="49"/>
      <c r="C968" s="49"/>
      <c r="D968" s="50"/>
      <c r="E968" s="49"/>
      <c r="F968" s="49"/>
      <c r="G968" s="45"/>
    </row>
    <row r="969" spans="1:7" ht="18">
      <c r="A969" s="48"/>
      <c r="B969" s="49"/>
      <c r="C969" s="49"/>
      <c r="D969" s="50"/>
      <c r="E969" s="49"/>
      <c r="F969" s="49"/>
      <c r="G969" s="45"/>
    </row>
    <row r="970" spans="1:7" ht="18">
      <c r="A970" s="48"/>
      <c r="B970" s="49"/>
      <c r="C970" s="49"/>
      <c r="D970" s="50"/>
      <c r="E970" s="49"/>
      <c r="F970" s="49"/>
      <c r="G970" s="45"/>
    </row>
    <row r="971" spans="1:7" ht="18">
      <c r="A971" s="48"/>
      <c r="B971" s="49"/>
      <c r="C971" s="49"/>
      <c r="D971" s="50"/>
      <c r="E971" s="49"/>
      <c r="F971" s="49"/>
      <c r="G971" s="45"/>
    </row>
    <row r="972" spans="1:7" ht="18">
      <c r="A972" s="48"/>
      <c r="B972" s="49"/>
      <c r="C972" s="49"/>
      <c r="D972" s="50"/>
      <c r="E972" s="49"/>
      <c r="F972" s="49"/>
      <c r="G972" s="45"/>
    </row>
    <row r="973" spans="1:7" ht="18">
      <c r="A973" s="48"/>
      <c r="B973" s="49"/>
      <c r="C973" s="49"/>
      <c r="D973" s="50"/>
      <c r="E973" s="49"/>
      <c r="F973" s="49"/>
      <c r="G973" s="45"/>
    </row>
    <row r="974" spans="1:7" ht="18">
      <c r="A974" s="48"/>
      <c r="B974" s="49"/>
      <c r="C974" s="49"/>
      <c r="D974" s="50"/>
      <c r="E974" s="49"/>
      <c r="F974" s="49"/>
      <c r="G974" s="45"/>
    </row>
    <row r="975" spans="1:7" ht="18">
      <c r="A975" s="48"/>
      <c r="B975" s="49"/>
      <c r="C975" s="49"/>
      <c r="D975" s="50"/>
      <c r="E975" s="49"/>
      <c r="F975" s="49"/>
      <c r="G975" s="45"/>
    </row>
    <row r="976" spans="1:7" ht="18">
      <c r="A976" s="48"/>
      <c r="B976" s="49"/>
      <c r="C976" s="49"/>
      <c r="D976" s="50"/>
      <c r="E976" s="49"/>
      <c r="F976" s="49"/>
      <c r="G976" s="45"/>
    </row>
    <row r="977" spans="1:7" ht="18">
      <c r="A977" s="48"/>
      <c r="B977" s="49"/>
      <c r="C977" s="49"/>
      <c r="D977" s="50"/>
      <c r="E977" s="49"/>
      <c r="F977" s="49"/>
      <c r="G977" s="45"/>
    </row>
    <row r="978" spans="1:7" ht="18">
      <c r="A978" s="48"/>
      <c r="B978" s="49"/>
      <c r="C978" s="49"/>
      <c r="D978" s="50"/>
      <c r="E978" s="49"/>
      <c r="F978" s="49"/>
      <c r="G978" s="45"/>
    </row>
    <row r="979" spans="1:7" ht="18">
      <c r="A979" s="48"/>
      <c r="B979" s="49"/>
      <c r="C979" s="49"/>
      <c r="D979" s="50"/>
      <c r="E979" s="49"/>
      <c r="F979" s="49"/>
      <c r="G979" s="45"/>
    </row>
    <row r="980" spans="1:7" ht="18">
      <c r="A980" s="48"/>
      <c r="B980" s="49"/>
      <c r="C980" s="49"/>
      <c r="D980" s="50"/>
      <c r="E980" s="49"/>
      <c r="F980" s="49"/>
      <c r="G980" s="45"/>
    </row>
    <row r="981" spans="1:7" ht="18">
      <c r="A981" s="48"/>
      <c r="B981" s="49"/>
      <c r="C981" s="49"/>
      <c r="D981" s="50"/>
      <c r="E981" s="49"/>
      <c r="F981" s="49"/>
      <c r="G981" s="45"/>
    </row>
    <row r="982" spans="1:7" ht="18">
      <c r="A982" s="48"/>
      <c r="B982" s="49"/>
      <c r="C982" s="49"/>
      <c r="D982" s="50"/>
      <c r="E982" s="49"/>
      <c r="F982" s="49"/>
      <c r="G982" s="45"/>
    </row>
    <row r="983" spans="1:7" ht="18">
      <c r="A983" s="48"/>
      <c r="B983" s="49"/>
      <c r="C983" s="49"/>
      <c r="D983" s="50"/>
      <c r="E983" s="49"/>
      <c r="F983" s="49"/>
      <c r="G983" s="45"/>
    </row>
    <row r="984" spans="1:7" ht="18">
      <c r="A984" s="48"/>
      <c r="B984" s="49"/>
      <c r="C984" s="49"/>
      <c r="D984" s="50"/>
      <c r="E984" s="49"/>
      <c r="F984" s="49"/>
      <c r="G984" s="45"/>
    </row>
    <row r="985" spans="1:7" ht="18">
      <c r="A985" s="48"/>
      <c r="B985" s="49"/>
      <c r="C985" s="49"/>
      <c r="D985" s="50"/>
      <c r="E985" s="49"/>
      <c r="F985" s="49"/>
      <c r="G985" s="45"/>
    </row>
    <row r="986" spans="1:7" ht="18">
      <c r="A986" s="48"/>
      <c r="B986" s="49"/>
      <c r="C986" s="49"/>
      <c r="D986" s="50"/>
      <c r="E986" s="49"/>
      <c r="F986" s="49"/>
      <c r="G986" s="45"/>
    </row>
    <row r="987" spans="1:7" ht="18">
      <c r="A987" s="48"/>
      <c r="B987" s="49"/>
      <c r="C987" s="49"/>
      <c r="D987" s="50"/>
      <c r="E987" s="49"/>
      <c r="F987" s="49"/>
      <c r="G987" s="45"/>
    </row>
    <row r="988" spans="1:7" ht="18">
      <c r="A988" s="48"/>
      <c r="B988" s="49"/>
      <c r="C988" s="49"/>
      <c r="D988" s="50"/>
      <c r="E988" s="49"/>
      <c r="F988" s="49"/>
      <c r="G988" s="45"/>
    </row>
    <row r="989" spans="1:7" ht="18">
      <c r="A989" s="48"/>
      <c r="B989" s="49"/>
      <c r="C989" s="49"/>
      <c r="D989" s="50"/>
      <c r="E989" s="49"/>
      <c r="F989" s="49"/>
      <c r="G989" s="45"/>
    </row>
    <row r="990" spans="1:7" ht="18">
      <c r="A990" s="48"/>
      <c r="B990" s="49"/>
      <c r="C990" s="49"/>
      <c r="D990" s="50"/>
      <c r="E990" s="49"/>
      <c r="F990" s="49"/>
      <c r="G990" s="45"/>
    </row>
    <row r="991" spans="1:7" ht="18">
      <c r="A991" s="48"/>
      <c r="B991" s="49"/>
      <c r="C991" s="49"/>
      <c r="D991" s="50"/>
      <c r="E991" s="49"/>
      <c r="F991" s="49"/>
      <c r="G991" s="45"/>
    </row>
    <row r="992" spans="1:7" ht="18">
      <c r="A992" s="48"/>
      <c r="B992" s="49"/>
      <c r="C992" s="49"/>
      <c r="D992" s="50"/>
      <c r="E992" s="49"/>
      <c r="F992" s="49"/>
      <c r="G992" s="45"/>
    </row>
    <row r="993" spans="1:7" ht="18">
      <c r="A993" s="48"/>
      <c r="B993" s="49"/>
      <c r="C993" s="49"/>
      <c r="D993" s="50"/>
      <c r="E993" s="49"/>
      <c r="F993" s="49"/>
      <c r="G993" s="45"/>
    </row>
    <row r="994" spans="1:7" ht="18">
      <c r="A994" s="48"/>
      <c r="B994" s="49"/>
      <c r="C994" s="49"/>
      <c r="D994" s="50"/>
      <c r="E994" s="49"/>
      <c r="F994" s="49"/>
      <c r="G994" s="45"/>
    </row>
    <row r="995" spans="1:7" ht="18">
      <c r="A995" s="48"/>
      <c r="B995" s="49"/>
      <c r="C995" s="49"/>
      <c r="D995" s="50"/>
      <c r="E995" s="49"/>
      <c r="F995" s="49"/>
      <c r="G995" s="45"/>
    </row>
    <row r="996" spans="1:7" ht="18">
      <c r="A996" s="48"/>
      <c r="B996" s="49"/>
      <c r="C996" s="49"/>
      <c r="D996" s="50"/>
      <c r="E996" s="49"/>
      <c r="F996" s="49"/>
      <c r="G996" s="45"/>
    </row>
    <row r="997" spans="1:7" ht="18">
      <c r="A997" s="48"/>
      <c r="B997" s="49"/>
      <c r="C997" s="49"/>
      <c r="D997" s="50"/>
      <c r="E997" s="49"/>
      <c r="F997" s="49"/>
      <c r="G997" s="45"/>
    </row>
    <row r="998" spans="1:7" ht="18">
      <c r="A998" s="48"/>
      <c r="B998" s="49"/>
      <c r="C998" s="49"/>
      <c r="D998" s="50"/>
      <c r="E998" s="49"/>
      <c r="F998" s="49"/>
      <c r="G998" s="45"/>
    </row>
    <row r="999" spans="1:7" ht="18">
      <c r="A999" s="48"/>
      <c r="B999" s="49"/>
      <c r="C999" s="49"/>
      <c r="D999" s="50"/>
      <c r="E999" s="49"/>
      <c r="F999" s="49"/>
      <c r="G999" s="45"/>
    </row>
    <row r="1000" spans="1:7" ht="18">
      <c r="A1000" s="48"/>
      <c r="B1000" s="49"/>
      <c r="C1000" s="49"/>
      <c r="D1000" s="50"/>
      <c r="E1000" s="49"/>
      <c r="F1000" s="49"/>
      <c r="G1000" s="45"/>
    </row>
    <row r="1001" spans="1:7" ht="18">
      <c r="A1001" s="48"/>
      <c r="B1001" s="49"/>
      <c r="C1001" s="49"/>
      <c r="D1001" s="50"/>
      <c r="E1001" s="49"/>
      <c r="F1001" s="49"/>
      <c r="G1001" s="45"/>
    </row>
    <row r="1002" spans="1:7" ht="18">
      <c r="A1002" s="48"/>
      <c r="B1002" s="49"/>
      <c r="C1002" s="49"/>
      <c r="D1002" s="50"/>
      <c r="E1002" s="49"/>
      <c r="F1002" s="49"/>
      <c r="G1002" s="45"/>
    </row>
    <row r="1003" spans="1:7" ht="18">
      <c r="A1003" s="48"/>
      <c r="B1003" s="49"/>
      <c r="C1003" s="49"/>
      <c r="D1003" s="50"/>
      <c r="E1003" s="49"/>
      <c r="F1003" s="49"/>
      <c r="G1003" s="45"/>
    </row>
    <row r="1004" spans="1:7" ht="18">
      <c r="A1004" s="48"/>
      <c r="B1004" s="49"/>
      <c r="C1004" s="49"/>
      <c r="D1004" s="50"/>
      <c r="E1004" s="49"/>
      <c r="F1004" s="49"/>
      <c r="G1004" s="45"/>
    </row>
    <row r="1005" spans="1:7" ht="18">
      <c r="A1005" s="48"/>
      <c r="B1005" s="49"/>
      <c r="C1005" s="49"/>
      <c r="D1005" s="50"/>
      <c r="E1005" s="49"/>
      <c r="F1005" s="49"/>
      <c r="G1005" s="45"/>
    </row>
    <row r="1006" spans="1:7" ht="18">
      <c r="A1006" s="48"/>
      <c r="B1006" s="49"/>
      <c r="C1006" s="49"/>
      <c r="D1006" s="50"/>
      <c r="E1006" s="49"/>
      <c r="F1006" s="49"/>
      <c r="G1006" s="45"/>
    </row>
    <row r="1007" spans="1:7" ht="18">
      <c r="A1007" s="48"/>
      <c r="B1007" s="49"/>
      <c r="C1007" s="49"/>
      <c r="D1007" s="50"/>
      <c r="E1007" s="49"/>
      <c r="F1007" s="49"/>
      <c r="G1007" s="45"/>
    </row>
    <row r="1008" spans="1:7" ht="18">
      <c r="A1008" s="48"/>
      <c r="B1008" s="49"/>
      <c r="C1008" s="49"/>
      <c r="D1008" s="50"/>
      <c r="E1008" s="49"/>
      <c r="F1008" s="49"/>
      <c r="G1008" s="45"/>
    </row>
    <row r="1009" spans="1:7" ht="18">
      <c r="A1009" s="48"/>
      <c r="B1009" s="49"/>
      <c r="C1009" s="49"/>
      <c r="D1009" s="50"/>
      <c r="E1009" s="49"/>
      <c r="F1009" s="49"/>
      <c r="G1009" s="45"/>
    </row>
    <row r="1010" spans="1:7" ht="18">
      <c r="A1010" s="48"/>
      <c r="B1010" s="49"/>
      <c r="C1010" s="49"/>
      <c r="D1010" s="50"/>
      <c r="E1010" s="49"/>
      <c r="F1010" s="49"/>
      <c r="G1010" s="45"/>
    </row>
    <row r="1011" spans="1:7" ht="18">
      <c r="A1011" s="48"/>
      <c r="B1011" s="49"/>
      <c r="C1011" s="49"/>
      <c r="D1011" s="50"/>
      <c r="E1011" s="49"/>
      <c r="F1011" s="49"/>
      <c r="G1011" s="45"/>
    </row>
    <row r="1012" spans="1:7" ht="18">
      <c r="A1012" s="48"/>
      <c r="B1012" s="49"/>
      <c r="C1012" s="49"/>
      <c r="D1012" s="50"/>
      <c r="E1012" s="49"/>
      <c r="F1012" s="49"/>
      <c r="G1012" s="45"/>
    </row>
    <row r="1013" spans="1:7" ht="18">
      <c r="A1013" s="48"/>
      <c r="B1013" s="49"/>
      <c r="C1013" s="49"/>
      <c r="D1013" s="50"/>
      <c r="E1013" s="49"/>
      <c r="F1013" s="49"/>
      <c r="G1013" s="45"/>
    </row>
    <row r="1014" spans="1:7" ht="18">
      <c r="A1014" s="48"/>
      <c r="B1014" s="49"/>
      <c r="C1014" s="49"/>
      <c r="D1014" s="50"/>
      <c r="E1014" s="49"/>
      <c r="F1014" s="49"/>
      <c r="G1014" s="45"/>
    </row>
    <row r="1015" spans="1:7" ht="18">
      <c r="A1015" s="48"/>
      <c r="B1015" s="49"/>
      <c r="C1015" s="49"/>
      <c r="D1015" s="50"/>
      <c r="E1015" s="49"/>
      <c r="F1015" s="49"/>
      <c r="G1015" s="45"/>
    </row>
    <row r="1016" spans="1:7" ht="18">
      <c r="A1016" s="48"/>
      <c r="B1016" s="49"/>
      <c r="C1016" s="49"/>
      <c r="D1016" s="50"/>
      <c r="E1016" s="49"/>
      <c r="F1016" s="49"/>
      <c r="G1016" s="45"/>
    </row>
    <row r="1017" spans="1:7" ht="18">
      <c r="A1017" s="48"/>
      <c r="B1017" s="49"/>
      <c r="C1017" s="49"/>
      <c r="D1017" s="50"/>
      <c r="E1017" s="49"/>
      <c r="F1017" s="49"/>
      <c r="G1017" s="45"/>
    </row>
    <row r="1018" spans="1:7" ht="18">
      <c r="A1018" s="48"/>
      <c r="B1018" s="49"/>
      <c r="C1018" s="49"/>
      <c r="D1018" s="50"/>
      <c r="E1018" s="49"/>
      <c r="F1018" s="49"/>
      <c r="G1018" s="45"/>
    </row>
    <row r="1019" spans="1:7" ht="18">
      <c r="A1019" s="48"/>
      <c r="B1019" s="49"/>
      <c r="C1019" s="49"/>
      <c r="D1019" s="50"/>
      <c r="E1019" s="49"/>
      <c r="F1019" s="49"/>
      <c r="G1019" s="45"/>
    </row>
    <row r="1020" spans="1:7" ht="18">
      <c r="A1020" s="48"/>
      <c r="B1020" s="49"/>
      <c r="C1020" s="49"/>
      <c r="D1020" s="50"/>
      <c r="E1020" s="49"/>
      <c r="F1020" s="49"/>
      <c r="G1020" s="45"/>
    </row>
    <row r="1021" spans="1:7" ht="18">
      <c r="A1021" s="48"/>
      <c r="B1021" s="49"/>
      <c r="C1021" s="49"/>
      <c r="D1021" s="50"/>
      <c r="E1021" s="49"/>
      <c r="F1021" s="49"/>
      <c r="G1021" s="45"/>
    </row>
    <row r="1022" spans="1:7" ht="18">
      <c r="A1022" s="48"/>
      <c r="B1022" s="49"/>
      <c r="C1022" s="49"/>
      <c r="D1022" s="50"/>
      <c r="E1022" s="49"/>
      <c r="F1022" s="49"/>
      <c r="G1022" s="45"/>
    </row>
    <row r="1023" spans="1:7" ht="18">
      <c r="A1023" s="48"/>
      <c r="B1023" s="49"/>
      <c r="C1023" s="49"/>
      <c r="D1023" s="50"/>
      <c r="E1023" s="49"/>
      <c r="F1023" s="49"/>
      <c r="G1023" s="45"/>
    </row>
    <row r="1024" spans="1:7" ht="18">
      <c r="A1024" s="48"/>
      <c r="B1024" s="49"/>
      <c r="C1024" s="49"/>
      <c r="D1024" s="50"/>
      <c r="E1024" s="49"/>
      <c r="F1024" s="49"/>
      <c r="G1024" s="45"/>
    </row>
    <row r="1025" spans="1:7" ht="18">
      <c r="A1025" s="48"/>
      <c r="B1025" s="49"/>
      <c r="C1025" s="49"/>
      <c r="D1025" s="50"/>
      <c r="E1025" s="49"/>
      <c r="F1025" s="49"/>
      <c r="G1025" s="45"/>
    </row>
    <row r="1026" spans="1:7" ht="18">
      <c r="A1026" s="48"/>
      <c r="B1026" s="49"/>
      <c r="C1026" s="49"/>
      <c r="D1026" s="50"/>
      <c r="E1026" s="49"/>
      <c r="F1026" s="49"/>
      <c r="G1026" s="45"/>
    </row>
    <row r="1027" spans="1:7" ht="18">
      <c r="A1027" s="48"/>
      <c r="B1027" s="49"/>
      <c r="C1027" s="49"/>
      <c r="D1027" s="50"/>
      <c r="E1027" s="49"/>
      <c r="F1027" s="49"/>
      <c r="G1027" s="45"/>
    </row>
    <row r="1028" spans="1:7" ht="18">
      <c r="A1028" s="48"/>
      <c r="B1028" s="49"/>
      <c r="C1028" s="49"/>
      <c r="D1028" s="50"/>
      <c r="E1028" s="49"/>
      <c r="F1028" s="49"/>
      <c r="G1028" s="45"/>
    </row>
    <row r="1029" spans="1:7" ht="18">
      <c r="A1029" s="48"/>
      <c r="B1029" s="49"/>
      <c r="C1029" s="49"/>
      <c r="D1029" s="50"/>
      <c r="E1029" s="49"/>
      <c r="F1029" s="49"/>
      <c r="G1029" s="45"/>
    </row>
    <row r="1030" spans="1:7" ht="18">
      <c r="A1030" s="48"/>
      <c r="B1030" s="49"/>
      <c r="C1030" s="49"/>
      <c r="D1030" s="50"/>
      <c r="E1030" s="49"/>
      <c r="F1030" s="49"/>
      <c r="G1030" s="45"/>
    </row>
    <row r="1031" spans="1:7" ht="18">
      <c r="A1031" s="48"/>
      <c r="B1031" s="49"/>
      <c r="C1031" s="49"/>
      <c r="D1031" s="50"/>
      <c r="E1031" s="49"/>
      <c r="F1031" s="49"/>
      <c r="G1031" s="45"/>
    </row>
    <row r="1032" spans="1:7" ht="18">
      <c r="A1032" s="48"/>
      <c r="B1032" s="49"/>
      <c r="C1032" s="49"/>
      <c r="D1032" s="50"/>
      <c r="E1032" s="49"/>
      <c r="F1032" s="49"/>
      <c r="G1032" s="45"/>
    </row>
    <row r="1033" spans="1:7" ht="18">
      <c r="A1033" s="48"/>
      <c r="B1033" s="49"/>
      <c r="C1033" s="49"/>
      <c r="D1033" s="50"/>
      <c r="E1033" s="49"/>
      <c r="F1033" s="49"/>
      <c r="G1033" s="45"/>
    </row>
    <row r="1034" spans="1:7" ht="18">
      <c r="A1034" s="48"/>
      <c r="B1034" s="49"/>
      <c r="C1034" s="49"/>
      <c r="D1034" s="50"/>
      <c r="E1034" s="49"/>
      <c r="F1034" s="49"/>
      <c r="G1034" s="45"/>
    </row>
    <row r="1035" spans="1:7" ht="18">
      <c r="A1035" s="48"/>
      <c r="B1035" s="49"/>
      <c r="C1035" s="49"/>
      <c r="D1035" s="50"/>
      <c r="E1035" s="49"/>
      <c r="F1035" s="49"/>
      <c r="G1035" s="45"/>
    </row>
    <row r="1036" spans="1:7" ht="18">
      <c r="A1036" s="48"/>
      <c r="B1036" s="49"/>
      <c r="C1036" s="49"/>
      <c r="D1036" s="50"/>
      <c r="E1036" s="49"/>
      <c r="F1036" s="49"/>
      <c r="G1036" s="45"/>
    </row>
    <row r="1037" spans="1:7" ht="18">
      <c r="A1037" s="48"/>
      <c r="B1037" s="49"/>
      <c r="C1037" s="49"/>
      <c r="D1037" s="50"/>
      <c r="E1037" s="49"/>
      <c r="F1037" s="49"/>
      <c r="G1037" s="45"/>
    </row>
    <row r="1038" spans="1:7" ht="18">
      <c r="A1038" s="48"/>
      <c r="B1038" s="49"/>
      <c r="C1038" s="49"/>
      <c r="D1038" s="50"/>
      <c r="E1038" s="49"/>
      <c r="F1038" s="49"/>
      <c r="G1038" s="45"/>
    </row>
    <row r="1039" spans="1:7" ht="18">
      <c r="A1039" s="48"/>
      <c r="B1039" s="49"/>
      <c r="C1039" s="49"/>
      <c r="D1039" s="50"/>
      <c r="E1039" s="49"/>
      <c r="F1039" s="49"/>
      <c r="G1039" s="45"/>
    </row>
    <row r="1040" spans="1:7" ht="18">
      <c r="A1040" s="48"/>
      <c r="B1040" s="49"/>
      <c r="C1040" s="49"/>
      <c r="D1040" s="50"/>
      <c r="E1040" s="49"/>
      <c r="F1040" s="49"/>
      <c r="G1040" s="45"/>
    </row>
    <row r="1041" spans="1:7" ht="18">
      <c r="A1041" s="48"/>
      <c r="B1041" s="49"/>
      <c r="C1041" s="49"/>
      <c r="D1041" s="50"/>
      <c r="E1041" s="49"/>
      <c r="F1041" s="49"/>
      <c r="G1041" s="45"/>
    </row>
    <row r="1042" spans="1:7" ht="18">
      <c r="A1042" s="48"/>
      <c r="B1042" s="49"/>
      <c r="C1042" s="49"/>
      <c r="D1042" s="50"/>
      <c r="E1042" s="49"/>
      <c r="F1042" s="49"/>
      <c r="G1042" s="45"/>
    </row>
    <row r="1043" spans="1:7" ht="18">
      <c r="A1043" s="48"/>
      <c r="B1043" s="49"/>
      <c r="C1043" s="49"/>
      <c r="D1043" s="50"/>
      <c r="E1043" s="49"/>
      <c r="F1043" s="49"/>
      <c r="G1043" s="45"/>
    </row>
    <row r="1044" spans="1:7" ht="18">
      <c r="A1044" s="48"/>
      <c r="B1044" s="49"/>
      <c r="C1044" s="49"/>
      <c r="D1044" s="50"/>
      <c r="E1044" s="49"/>
      <c r="F1044" s="49"/>
      <c r="G1044" s="45"/>
    </row>
    <row r="1045" spans="1:7" ht="18">
      <c r="A1045" s="48"/>
      <c r="B1045" s="49"/>
      <c r="C1045" s="49"/>
      <c r="D1045" s="50"/>
      <c r="E1045" s="49"/>
      <c r="F1045" s="49"/>
      <c r="G1045" s="45"/>
    </row>
    <row r="1046" spans="1:7" ht="18">
      <c r="A1046" s="48"/>
      <c r="B1046" s="49"/>
      <c r="C1046" s="49"/>
      <c r="D1046" s="50"/>
      <c r="E1046" s="49"/>
      <c r="F1046" s="49"/>
      <c r="G1046" s="45"/>
    </row>
    <row r="1047" spans="1:7" ht="18">
      <c r="A1047" s="48"/>
      <c r="B1047" s="49"/>
      <c r="C1047" s="49"/>
      <c r="D1047" s="50"/>
      <c r="E1047" s="49"/>
      <c r="F1047" s="49"/>
      <c r="G1047" s="45"/>
    </row>
    <row r="1048" spans="1:7" ht="18">
      <c r="A1048" s="48"/>
      <c r="B1048" s="49"/>
      <c r="C1048" s="49"/>
      <c r="D1048" s="50"/>
      <c r="E1048" s="49"/>
      <c r="F1048" s="49"/>
      <c r="G1048" s="45"/>
    </row>
    <row r="1049" spans="1:7" ht="18">
      <c r="A1049" s="48"/>
      <c r="B1049" s="49"/>
      <c r="C1049" s="49"/>
      <c r="D1049" s="50"/>
      <c r="E1049" s="49"/>
      <c r="F1049" s="49"/>
      <c r="G1049" s="45"/>
    </row>
    <row r="1050" spans="1:7" ht="18">
      <c r="A1050" s="48"/>
      <c r="B1050" s="49"/>
      <c r="C1050" s="49"/>
      <c r="D1050" s="50"/>
      <c r="E1050" s="49"/>
      <c r="F1050" s="49"/>
      <c r="G1050" s="45"/>
    </row>
    <row r="1051" spans="1:7" ht="18">
      <c r="A1051" s="48"/>
      <c r="B1051" s="49"/>
      <c r="C1051" s="49"/>
      <c r="D1051" s="50"/>
      <c r="E1051" s="49"/>
      <c r="F1051" s="49"/>
      <c r="G1051" s="45"/>
    </row>
    <row r="1052" spans="1:7" ht="18">
      <c r="A1052" s="48"/>
      <c r="B1052" s="49"/>
      <c r="C1052" s="49"/>
      <c r="D1052" s="50"/>
      <c r="E1052" s="49"/>
      <c r="F1052" s="49"/>
      <c r="G1052" s="45"/>
    </row>
    <row r="1053" spans="1:7" ht="18">
      <c r="A1053" s="48"/>
      <c r="B1053" s="49"/>
      <c r="C1053" s="49"/>
      <c r="D1053" s="50"/>
      <c r="E1053" s="49"/>
      <c r="F1053" s="49"/>
      <c r="G1053" s="45"/>
    </row>
    <row r="1054" spans="1:7" ht="18">
      <c r="A1054" s="48"/>
      <c r="B1054" s="49"/>
      <c r="C1054" s="49"/>
      <c r="D1054" s="50"/>
      <c r="E1054" s="49"/>
      <c r="F1054" s="49"/>
      <c r="G1054" s="45"/>
    </row>
    <row r="1055" spans="1:7" ht="18">
      <c r="A1055" s="48"/>
      <c r="B1055" s="49"/>
      <c r="C1055" s="49"/>
      <c r="D1055" s="50"/>
      <c r="E1055" s="49"/>
      <c r="F1055" s="49"/>
      <c r="G1055" s="45"/>
    </row>
    <row r="1056" spans="1:7" ht="18">
      <c r="A1056" s="48"/>
      <c r="B1056" s="49"/>
      <c r="C1056" s="49"/>
      <c r="D1056" s="50"/>
      <c r="E1056" s="49"/>
      <c r="F1056" s="49"/>
      <c r="G1056" s="45"/>
    </row>
    <row r="1057" spans="1:7" ht="18">
      <c r="A1057" s="48"/>
      <c r="B1057" s="49"/>
      <c r="C1057" s="49"/>
      <c r="D1057" s="50"/>
      <c r="E1057" s="49"/>
      <c r="F1057" s="49"/>
      <c r="G1057" s="45"/>
    </row>
    <row r="1058" spans="1:7" ht="18">
      <c r="A1058" s="48"/>
      <c r="B1058" s="49"/>
      <c r="C1058" s="49"/>
      <c r="D1058" s="50"/>
      <c r="E1058" s="49"/>
      <c r="F1058" s="49"/>
      <c r="G1058" s="45"/>
    </row>
    <row r="1059" spans="1:7" ht="18">
      <c r="A1059" s="48"/>
      <c r="B1059" s="49"/>
      <c r="C1059" s="49"/>
      <c r="D1059" s="50"/>
      <c r="E1059" s="49"/>
      <c r="F1059" s="49"/>
      <c r="G1059" s="45"/>
    </row>
    <row r="1060" spans="1:7" ht="18">
      <c r="A1060" s="48"/>
      <c r="B1060" s="49"/>
      <c r="C1060" s="49"/>
      <c r="D1060" s="50"/>
      <c r="E1060" s="49"/>
      <c r="F1060" s="49"/>
      <c r="G1060" s="45"/>
    </row>
    <row r="1061" spans="1:7" ht="18">
      <c r="A1061" s="48"/>
      <c r="B1061" s="49"/>
      <c r="C1061" s="49"/>
      <c r="D1061" s="50"/>
      <c r="E1061" s="49"/>
      <c r="F1061" s="49"/>
      <c r="G1061" s="45"/>
    </row>
    <row r="1062" spans="1:7" ht="18">
      <c r="A1062" s="48"/>
      <c r="B1062" s="49"/>
      <c r="C1062" s="49"/>
      <c r="D1062" s="50"/>
      <c r="E1062" s="49"/>
      <c r="F1062" s="49"/>
      <c r="G1062" s="45"/>
    </row>
    <row r="1063" spans="1:7" ht="18">
      <c r="A1063" s="48"/>
      <c r="B1063" s="49"/>
      <c r="C1063" s="49"/>
      <c r="D1063" s="50"/>
      <c r="E1063" s="49"/>
      <c r="F1063" s="49"/>
      <c r="G1063" s="45"/>
    </row>
    <row r="1064" spans="1:7" ht="18">
      <c r="A1064" s="48"/>
      <c r="B1064" s="49"/>
      <c r="C1064" s="49"/>
      <c r="D1064" s="50"/>
      <c r="E1064" s="49"/>
      <c r="F1064" s="49"/>
      <c r="G1064" s="45"/>
    </row>
    <row r="1065" spans="1:7" ht="18">
      <c r="A1065" s="48"/>
      <c r="B1065" s="49"/>
      <c r="C1065" s="49"/>
      <c r="D1065" s="50"/>
      <c r="E1065" s="49"/>
      <c r="F1065" s="49"/>
      <c r="G1065" s="45"/>
    </row>
    <row r="1066" spans="1:7" ht="18">
      <c r="A1066" s="48"/>
      <c r="B1066" s="49"/>
      <c r="C1066" s="49"/>
      <c r="D1066" s="50"/>
      <c r="E1066" s="49"/>
      <c r="F1066" s="49"/>
      <c r="G1066" s="45"/>
    </row>
    <row r="1067" spans="1:7" ht="18">
      <c r="A1067" s="48"/>
      <c r="B1067" s="49"/>
      <c r="C1067" s="49"/>
      <c r="D1067" s="50"/>
      <c r="E1067" s="49"/>
      <c r="F1067" s="49"/>
      <c r="G1067" s="45"/>
    </row>
    <row r="1068" spans="1:7" ht="18">
      <c r="A1068" s="48"/>
      <c r="B1068" s="49"/>
      <c r="C1068" s="49"/>
      <c r="D1068" s="50"/>
      <c r="E1068" s="49"/>
      <c r="F1068" s="49"/>
      <c r="G1068" s="45"/>
    </row>
    <row r="1069" spans="1:7" ht="18">
      <c r="A1069" s="48"/>
      <c r="B1069" s="49"/>
      <c r="C1069" s="49"/>
      <c r="D1069" s="50"/>
      <c r="E1069" s="49"/>
      <c r="F1069" s="49"/>
      <c r="G1069" s="45"/>
    </row>
    <row r="1070" spans="1:7" ht="18">
      <c r="A1070" s="48"/>
      <c r="B1070" s="49"/>
      <c r="C1070" s="49"/>
      <c r="D1070" s="50"/>
      <c r="E1070" s="49"/>
      <c r="F1070" s="49"/>
      <c r="G1070" s="45"/>
    </row>
    <row r="1071" spans="1:7" ht="18">
      <c r="A1071" s="48"/>
      <c r="B1071" s="49"/>
      <c r="C1071" s="49"/>
      <c r="D1071" s="50"/>
      <c r="E1071" s="49"/>
      <c r="F1071" s="49"/>
      <c r="G1071" s="45"/>
    </row>
    <row r="1072" spans="1:7" ht="18">
      <c r="A1072" s="48"/>
      <c r="B1072" s="49"/>
      <c r="C1072" s="49"/>
      <c r="D1072" s="50"/>
      <c r="E1072" s="49"/>
      <c r="F1072" s="49"/>
      <c r="G1072" s="45"/>
    </row>
    <row r="1073" spans="1:7" ht="18">
      <c r="A1073" s="48"/>
      <c r="B1073" s="49"/>
      <c r="C1073" s="49"/>
      <c r="D1073" s="50"/>
      <c r="E1073" s="49"/>
      <c r="F1073" s="49"/>
      <c r="G1073" s="45"/>
    </row>
    <row r="1074" spans="1:7" ht="18">
      <c r="A1074" s="48"/>
      <c r="B1074" s="49"/>
      <c r="C1074" s="49"/>
      <c r="D1074" s="50"/>
      <c r="E1074" s="49"/>
      <c r="F1074" s="49"/>
      <c r="G1074" s="45"/>
    </row>
    <row r="1075" spans="1:7" ht="18">
      <c r="A1075" s="48"/>
      <c r="B1075" s="49"/>
      <c r="C1075" s="49"/>
      <c r="D1075" s="50"/>
      <c r="E1075" s="49"/>
      <c r="F1075" s="49"/>
      <c r="G1075" s="45"/>
    </row>
    <row r="1076" spans="1:7" ht="18">
      <c r="A1076" s="48"/>
      <c r="B1076" s="49"/>
      <c r="C1076" s="49"/>
      <c r="D1076" s="50"/>
      <c r="E1076" s="49"/>
      <c r="F1076" s="49"/>
      <c r="G1076" s="45"/>
    </row>
    <row r="1077" spans="1:7" ht="18">
      <c r="A1077" s="48"/>
      <c r="B1077" s="49"/>
      <c r="C1077" s="49"/>
      <c r="D1077" s="50"/>
      <c r="E1077" s="49"/>
      <c r="F1077" s="49"/>
      <c r="G1077" s="45"/>
    </row>
    <row r="1078" spans="1:7" ht="18">
      <c r="A1078" s="48"/>
      <c r="B1078" s="49"/>
      <c r="C1078" s="49"/>
      <c r="D1078" s="50"/>
      <c r="E1078" s="49"/>
      <c r="F1078" s="49"/>
      <c r="G1078" s="45"/>
    </row>
    <row r="1079" spans="1:7" ht="18">
      <c r="A1079" s="48"/>
      <c r="B1079" s="49"/>
      <c r="C1079" s="49"/>
      <c r="D1079" s="50"/>
      <c r="E1079" s="49"/>
      <c r="F1079" s="49"/>
      <c r="G1079" s="45"/>
    </row>
    <row r="1080" spans="1:7" ht="18">
      <c r="A1080" s="48"/>
      <c r="B1080" s="49"/>
      <c r="C1080" s="49"/>
      <c r="D1080" s="50"/>
      <c r="E1080" s="49"/>
      <c r="F1080" s="49"/>
      <c r="G1080" s="45"/>
    </row>
    <row r="1081" spans="1:7" ht="18">
      <c r="A1081" s="48"/>
      <c r="B1081" s="49"/>
      <c r="C1081" s="49"/>
      <c r="D1081" s="50"/>
      <c r="E1081" s="49"/>
      <c r="F1081" s="49"/>
      <c r="G1081" s="45"/>
    </row>
    <row r="1082" spans="1:7" ht="18">
      <c r="A1082" s="48"/>
      <c r="B1082" s="49"/>
      <c r="C1082" s="49"/>
      <c r="D1082" s="50"/>
      <c r="E1082" s="49"/>
      <c r="F1082" s="49"/>
      <c r="G1082" s="45"/>
    </row>
    <row r="1083" spans="1:7" ht="18">
      <c r="A1083" s="48"/>
      <c r="B1083" s="49"/>
      <c r="C1083" s="49"/>
      <c r="D1083" s="50"/>
      <c r="E1083" s="49"/>
      <c r="F1083" s="49"/>
      <c r="G1083" s="45"/>
    </row>
    <row r="1084" spans="1:7" ht="18">
      <c r="A1084" s="48"/>
      <c r="B1084" s="49"/>
      <c r="C1084" s="49"/>
      <c r="D1084" s="50"/>
      <c r="E1084" s="49"/>
      <c r="F1084" s="49"/>
      <c r="G1084" s="45"/>
    </row>
    <row r="1085" spans="1:7" ht="18">
      <c r="A1085" s="48"/>
      <c r="B1085" s="49"/>
      <c r="C1085" s="49"/>
      <c r="D1085" s="50"/>
      <c r="E1085" s="49"/>
      <c r="F1085" s="49"/>
      <c r="G1085" s="45"/>
    </row>
    <row r="1086" spans="1:7" ht="18">
      <c r="A1086" s="48"/>
      <c r="B1086" s="49"/>
      <c r="C1086" s="49"/>
      <c r="D1086" s="50"/>
      <c r="E1086" s="49"/>
      <c r="F1086" s="49"/>
      <c r="G1086" s="45"/>
    </row>
    <row r="1087" spans="1:7" ht="18">
      <c r="A1087" s="48"/>
      <c r="B1087" s="49"/>
      <c r="C1087" s="49"/>
      <c r="D1087" s="50"/>
      <c r="E1087" s="49"/>
      <c r="F1087" s="49"/>
      <c r="G1087" s="45"/>
    </row>
    <row r="1088" spans="1:7" ht="18">
      <c r="A1088" s="48"/>
      <c r="B1088" s="49"/>
      <c r="C1088" s="49"/>
      <c r="D1088" s="50"/>
      <c r="E1088" s="49"/>
      <c r="F1088" s="49"/>
      <c r="G1088" s="45"/>
    </row>
    <row r="1089" spans="1:7" ht="18">
      <c r="A1089" s="48"/>
      <c r="B1089" s="49"/>
      <c r="C1089" s="49"/>
      <c r="D1089" s="50"/>
      <c r="E1089" s="49"/>
      <c r="F1089" s="49"/>
      <c r="G1089" s="45"/>
    </row>
    <row r="1090" spans="1:7" ht="18">
      <c r="A1090" s="48"/>
      <c r="B1090" s="49"/>
      <c r="C1090" s="49"/>
      <c r="D1090" s="50"/>
      <c r="E1090" s="49"/>
      <c r="F1090" s="49"/>
      <c r="G1090" s="45"/>
    </row>
    <row r="1091" spans="1:7" ht="18">
      <c r="A1091" s="48"/>
      <c r="B1091" s="49"/>
      <c r="C1091" s="49"/>
      <c r="D1091" s="50"/>
      <c r="E1091" s="49"/>
      <c r="F1091" s="49"/>
      <c r="G1091" s="45"/>
    </row>
    <row r="1092" spans="1:7" ht="18">
      <c r="A1092" s="48"/>
      <c r="B1092" s="49"/>
      <c r="C1092" s="49"/>
      <c r="D1092" s="50"/>
      <c r="E1092" s="49"/>
      <c r="F1092" s="49"/>
      <c r="G1092" s="45"/>
    </row>
    <row r="1093" spans="1:7" ht="18">
      <c r="A1093" s="48"/>
      <c r="B1093" s="49"/>
      <c r="C1093" s="49"/>
      <c r="D1093" s="50"/>
      <c r="E1093" s="49"/>
      <c r="F1093" s="49"/>
      <c r="G1093" s="45"/>
    </row>
    <row r="1094" spans="1:7" ht="18">
      <c r="A1094" s="48"/>
      <c r="B1094" s="49"/>
      <c r="C1094" s="49"/>
      <c r="D1094" s="50"/>
      <c r="E1094" s="49"/>
      <c r="F1094" s="49"/>
      <c r="G1094" s="45"/>
    </row>
    <row r="1095" spans="1:7" ht="18">
      <c r="A1095" s="48"/>
      <c r="B1095" s="49"/>
      <c r="C1095" s="49"/>
      <c r="D1095" s="50"/>
      <c r="E1095" s="49"/>
      <c r="F1095" s="49"/>
      <c r="G1095" s="45"/>
    </row>
    <row r="1096" spans="1:7" ht="18">
      <c r="A1096" s="48"/>
      <c r="B1096" s="49"/>
      <c r="C1096" s="49"/>
      <c r="D1096" s="50"/>
      <c r="E1096" s="49"/>
      <c r="F1096" s="49"/>
      <c r="G1096" s="45"/>
    </row>
    <row r="1097" spans="1:7" ht="18">
      <c r="A1097" s="48"/>
      <c r="B1097" s="49"/>
      <c r="C1097" s="49"/>
      <c r="D1097" s="50"/>
      <c r="E1097" s="49"/>
      <c r="F1097" s="49"/>
      <c r="G1097" s="45"/>
    </row>
    <row r="1098" spans="1:7" ht="18">
      <c r="A1098" s="48"/>
      <c r="B1098" s="49"/>
      <c r="C1098" s="49"/>
      <c r="D1098" s="50"/>
      <c r="E1098" s="49"/>
      <c r="F1098" s="49"/>
      <c r="G1098" s="45"/>
    </row>
    <row r="1099" spans="1:7" ht="18">
      <c r="A1099" s="48"/>
      <c r="B1099" s="49"/>
      <c r="C1099" s="49"/>
      <c r="D1099" s="50"/>
      <c r="E1099" s="49"/>
      <c r="F1099" s="49"/>
      <c r="G1099" s="45"/>
    </row>
    <row r="1100" spans="1:7" ht="18">
      <c r="A1100" s="48"/>
      <c r="B1100" s="49"/>
      <c r="C1100" s="49"/>
      <c r="D1100" s="50"/>
      <c r="E1100" s="49"/>
      <c r="F1100" s="49"/>
      <c r="G1100" s="45"/>
    </row>
    <row r="1101" spans="1:7" ht="18">
      <c r="A1101" s="48"/>
      <c r="B1101" s="49"/>
      <c r="C1101" s="49"/>
      <c r="D1101" s="50"/>
      <c r="E1101" s="49"/>
      <c r="F1101" s="49"/>
      <c r="G1101" s="45"/>
    </row>
    <row r="1102" spans="1:7" ht="18">
      <c r="A1102" s="48"/>
      <c r="B1102" s="49"/>
      <c r="C1102" s="49"/>
      <c r="D1102" s="50"/>
      <c r="E1102" s="49"/>
      <c r="F1102" s="49"/>
      <c r="G1102" s="45"/>
    </row>
    <row r="1103" spans="1:7" ht="18">
      <c r="A1103" s="48"/>
      <c r="B1103" s="49"/>
      <c r="C1103" s="49"/>
      <c r="D1103" s="50"/>
      <c r="E1103" s="49"/>
      <c r="F1103" s="49"/>
      <c r="G1103" s="45"/>
    </row>
    <row r="1104" spans="1:7" ht="18">
      <c r="A1104" s="48"/>
      <c r="B1104" s="49"/>
      <c r="C1104" s="49"/>
      <c r="D1104" s="50"/>
      <c r="E1104" s="49"/>
      <c r="F1104" s="49"/>
      <c r="G1104" s="45"/>
    </row>
    <row r="1105" spans="1:7" ht="18">
      <c r="A1105" s="48"/>
      <c r="B1105" s="49"/>
      <c r="C1105" s="49"/>
      <c r="D1105" s="50"/>
      <c r="E1105" s="49"/>
      <c r="F1105" s="49"/>
      <c r="G1105" s="45"/>
    </row>
    <row r="1106" spans="1:7" ht="18">
      <c r="A1106" s="48"/>
      <c r="B1106" s="49"/>
      <c r="C1106" s="49"/>
      <c r="D1106" s="50"/>
      <c r="E1106" s="49"/>
      <c r="F1106" s="49"/>
      <c r="G1106" s="45"/>
    </row>
    <row r="1107" spans="1:7" ht="18">
      <c r="A1107" s="48"/>
      <c r="B1107" s="49"/>
      <c r="C1107" s="49"/>
      <c r="D1107" s="50"/>
      <c r="E1107" s="49"/>
      <c r="F1107" s="49"/>
      <c r="G1107" s="45"/>
    </row>
    <row r="1108" spans="1:7" ht="18">
      <c r="A1108" s="48"/>
      <c r="B1108" s="49"/>
      <c r="C1108" s="49"/>
      <c r="D1108" s="50"/>
      <c r="E1108" s="49"/>
      <c r="F1108" s="49"/>
      <c r="G1108" s="45"/>
    </row>
    <row r="1109" spans="1:7" ht="18">
      <c r="A1109" s="48"/>
      <c r="B1109" s="49"/>
      <c r="C1109" s="49"/>
      <c r="D1109" s="50"/>
      <c r="E1109" s="49"/>
      <c r="F1109" s="49"/>
      <c r="G1109" s="45"/>
    </row>
    <row r="1110" spans="1:7" ht="18">
      <c r="A1110" s="48"/>
      <c r="B1110" s="49"/>
      <c r="C1110" s="49"/>
      <c r="D1110" s="50"/>
      <c r="E1110" s="49"/>
      <c r="F1110" s="49"/>
      <c r="G1110" s="45"/>
    </row>
    <row r="1111" spans="1:7" ht="18">
      <c r="A1111" s="48"/>
      <c r="B1111" s="49"/>
      <c r="C1111" s="49"/>
      <c r="D1111" s="50"/>
      <c r="E1111" s="49"/>
      <c r="F1111" s="49"/>
      <c r="G1111" s="45"/>
    </row>
    <row r="1112" spans="1:7" ht="18">
      <c r="A1112" s="48"/>
      <c r="B1112" s="49"/>
      <c r="C1112" s="49"/>
      <c r="D1112" s="50"/>
      <c r="E1112" s="49"/>
      <c r="F1112" s="49"/>
      <c r="G1112" s="45"/>
    </row>
    <row r="1113" spans="1:7" ht="18">
      <c r="A1113" s="48"/>
      <c r="B1113" s="49"/>
      <c r="C1113" s="49"/>
      <c r="D1113" s="50"/>
      <c r="E1113" s="49"/>
      <c r="F1113" s="49"/>
      <c r="G1113" s="45"/>
    </row>
    <row r="1114" spans="1:7" ht="18">
      <c r="A1114" s="48"/>
      <c r="B1114" s="49"/>
      <c r="C1114" s="49"/>
      <c r="D1114" s="50"/>
      <c r="E1114" s="49"/>
      <c r="F1114" s="49"/>
      <c r="G1114" s="45"/>
    </row>
    <row r="1115" spans="1:7" ht="18">
      <c r="A1115" s="48"/>
      <c r="B1115" s="49"/>
      <c r="C1115" s="49"/>
      <c r="D1115" s="50"/>
      <c r="E1115" s="49"/>
      <c r="F1115" s="49"/>
      <c r="G1115" s="45"/>
    </row>
    <row r="1116" spans="1:7" ht="18"/>
    <row r="1117" spans="1:7" ht="18"/>
    <row r="1118" spans="1:7" ht="18"/>
    <row r="1119" spans="1:7" ht="18"/>
    <row r="1120" spans="1:7" ht="18"/>
    <row r="1121" ht="18"/>
    <row r="1122" ht="18"/>
    <row r="1123" ht="18"/>
  </sheetData>
  <conditionalFormatting sqref="B2:B188 B213:B350">
    <cfRule type="cellIs" dxfId="55" priority="108" operator="equal">
      <formula>"-"</formula>
    </cfRule>
  </conditionalFormatting>
  <conditionalFormatting sqref="B124">
    <cfRule type="cellIs" dxfId="54" priority="46" operator="equal">
      <formula>"-"</formula>
    </cfRule>
  </conditionalFormatting>
  <conditionalFormatting sqref="B125">
    <cfRule type="cellIs" dxfId="53" priority="44" operator="equal">
      <formula>"-"</formula>
    </cfRule>
  </conditionalFormatting>
  <conditionalFormatting sqref="B126">
    <cfRule type="cellIs" dxfId="52" priority="42" operator="equal">
      <formula>"-"</formula>
    </cfRule>
  </conditionalFormatting>
  <conditionalFormatting sqref="B127">
    <cfRule type="cellIs" dxfId="51" priority="41" operator="equal">
      <formula>"-"</formula>
    </cfRule>
  </conditionalFormatting>
  <conditionalFormatting sqref="B132">
    <cfRule type="cellIs" dxfId="50" priority="36" operator="equal">
      <formula>"-"</formula>
    </cfRule>
  </conditionalFormatting>
  <conditionalFormatting sqref="B134">
    <cfRule type="cellIs" dxfId="49" priority="34" operator="equal">
      <formula>"-"</formula>
    </cfRule>
  </conditionalFormatting>
  <conditionalFormatting sqref="B135">
    <cfRule type="cellIs" dxfId="48" priority="33" operator="equal">
      <formula>"-"</formula>
    </cfRule>
  </conditionalFormatting>
  <conditionalFormatting sqref="B121:B122">
    <cfRule type="cellIs" dxfId="47" priority="32" operator="equal">
      <formula>"-"</formula>
    </cfRule>
  </conditionalFormatting>
  <conditionalFormatting sqref="B156">
    <cfRule type="cellIs" dxfId="46" priority="26" operator="equal">
      <formula>"-"</formula>
    </cfRule>
  </conditionalFormatting>
  <conditionalFormatting sqref="B170">
    <cfRule type="cellIs" dxfId="45" priority="25" operator="equal">
      <formula>"-"</formula>
    </cfRule>
  </conditionalFormatting>
  <conditionalFormatting sqref="B171">
    <cfRule type="cellIs" dxfId="44" priority="24" operator="equal">
      <formula>"-"</formula>
    </cfRule>
  </conditionalFormatting>
  <conditionalFormatting sqref="B172">
    <cfRule type="cellIs" dxfId="43" priority="23" operator="equal">
      <formula>"-"</formula>
    </cfRule>
  </conditionalFormatting>
  <conditionalFormatting sqref="B173">
    <cfRule type="cellIs" dxfId="42" priority="21" operator="equal">
      <formula>"-"</formula>
    </cfRule>
  </conditionalFormatting>
  <conditionalFormatting sqref="B174:B175">
    <cfRule type="cellIs" dxfId="41" priority="20" operator="equal">
      <formula>"-"</formula>
    </cfRule>
  </conditionalFormatting>
  <conditionalFormatting sqref="B176">
    <cfRule type="cellIs" dxfId="40" priority="19" operator="equal">
      <formula>"-"</formula>
    </cfRule>
  </conditionalFormatting>
  <conditionalFormatting sqref="B200">
    <cfRule type="cellIs" dxfId="39" priority="18" operator="equal">
      <formula>"-"</formula>
    </cfRule>
  </conditionalFormatting>
  <conditionalFormatting sqref="B200">
    <cfRule type="cellIs" dxfId="38" priority="17" operator="equal">
      <formula>"-"</formula>
    </cfRule>
  </conditionalFormatting>
  <conditionalFormatting sqref="B212">
    <cfRule type="cellIs" dxfId="37" priority="6" operator="equal">
      <formula>"-"</formula>
    </cfRule>
  </conditionalFormatting>
  <conditionalFormatting sqref="B354">
    <cfRule type="cellIs" dxfId="36" priority="5" operator="equal">
      <formula>"-"</formula>
    </cfRule>
  </conditionalFormatting>
  <conditionalFormatting sqref="B363">
    <cfRule type="cellIs" dxfId="35" priority="4" operator="equal">
      <formula>"-"</formula>
    </cfRule>
  </conditionalFormatting>
  <conditionalFormatting sqref="B364">
    <cfRule type="cellIs" dxfId="34" priority="3" operator="equal">
      <formula>"-"</formula>
    </cfRule>
  </conditionalFormatting>
  <conditionalFormatting sqref="B369">
    <cfRule type="cellIs" dxfId="33" priority="2" operator="equal">
      <formula>"-"</formula>
    </cfRule>
  </conditionalFormatting>
  <conditionalFormatting sqref="B370:B371">
    <cfRule type="cellIs" dxfId="32" priority="1" operator="equal">
      <formula>"-"</formula>
    </cfRule>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3CA965D1-A958-4C95-A98E-88C030B09E3F}">
          <x14:formula1>
            <xm:f>'KPI Описание'!$A$2:$A$49</xm:f>
          </x14:formula1>
          <xm:sqref>B136:B139</xm:sqref>
        </x14:dataValidation>
        <x14:dataValidation type="list" allowBlank="1" showInputMessage="1" showErrorMessage="1" xr:uid="{C8079431-5003-49FE-9E1E-4F11CD29C140}">
          <x14:formula1>
            <xm:f>'KPI Описание'!$A$1:$A$49</xm:f>
          </x14:formula1>
          <xm:sqref>B2:B135</xm:sqref>
        </x14:dataValidation>
        <x14:dataValidation type="list" allowBlank="1" showInputMessage="1" showErrorMessage="1" xr:uid="{5235E6FC-B097-48B0-AEBD-25E9A0D89176}">
          <x14:formula1>
            <xm:f>Тех_Лист!$A$47:$A$54</xm:f>
          </x14:formula1>
          <xm:sqref>C2:C440</xm:sqref>
        </x14:dataValidation>
        <x14:dataValidation type="list" allowBlank="1" showInputMessage="1" showErrorMessage="1" xr:uid="{F64E93CD-4949-4BD1-9AA4-E3DE8241F538}">
          <x14:formula1>
            <xm:f>Тех_Лист!$A$2:$A$6</xm:f>
          </x14:formula1>
          <xm:sqref>F1:F1048576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B742-A250-4604-A005-DEF11EE6EE68}">
  <sheetPr>
    <tabColor theme="0"/>
    <outlinePr summaryBelow="0" summaryRight="0"/>
  </sheetPr>
  <dimension ref="A1:T60"/>
  <sheetViews>
    <sheetView topLeftCell="G4" zoomScale="85" zoomScaleNormal="85" workbookViewId="0" xr3:uid="{6187A49A-4FFA-581C-AE30-CD6531D0EFB6}">
      <selection activeCell="O24" sqref="O24"/>
    </sheetView>
  </sheetViews>
  <sheetFormatPr defaultColWidth="9.140625" defaultRowHeight="43.5" customHeight="1"/>
  <cols>
    <col min="1" max="1" width="19.5703125" style="67" customWidth="1"/>
    <col min="2" max="2" width="30" style="63" customWidth="1"/>
    <col min="3" max="3" width="31.85546875" style="63" customWidth="1"/>
    <col min="4" max="4" width="22" style="63" customWidth="1"/>
    <col min="5" max="5" width="48" style="63" customWidth="1"/>
    <col min="6" max="6" width="53.85546875" style="63" customWidth="1"/>
    <col min="7" max="7" width="51.5703125" style="63" customWidth="1"/>
    <col min="8" max="8" width="97.42578125" style="63" customWidth="1"/>
    <col min="9" max="9" width="57.140625" style="63" customWidth="1"/>
    <col min="10" max="10" width="24.7109375" style="63" customWidth="1"/>
    <col min="11" max="11" width="12.140625" style="63" customWidth="1"/>
    <col min="12" max="13" width="16" style="63" customWidth="1"/>
    <col min="14" max="14" width="21.42578125" style="63" customWidth="1"/>
    <col min="15" max="16" width="11" style="63" customWidth="1"/>
    <col min="17" max="17" width="15.42578125" style="67" customWidth="1"/>
    <col min="18" max="18" width="13" style="67" customWidth="1"/>
    <col min="19" max="19" width="8.42578125" style="63" customWidth="1"/>
    <col min="20" max="20" width="30.42578125" style="67" customWidth="1"/>
    <col min="21" max="16384" width="9.140625" style="67"/>
  </cols>
  <sheetData>
    <row r="1" spans="1:20" ht="43.5" customHeight="1">
      <c r="A1" s="65" t="s">
        <v>0</v>
      </c>
      <c r="B1" s="65" t="s">
        <v>604</v>
      </c>
      <c r="C1" s="65" t="s">
        <v>605</v>
      </c>
      <c r="D1" s="65" t="s">
        <v>606</v>
      </c>
      <c r="E1" s="65" t="s">
        <v>607</v>
      </c>
      <c r="F1" s="65" t="s">
        <v>608</v>
      </c>
      <c r="G1" s="65" t="s">
        <v>609</v>
      </c>
      <c r="H1" s="65" t="s">
        <v>610</v>
      </c>
      <c r="I1" s="65" t="s">
        <v>611</v>
      </c>
      <c r="J1" s="65" t="s">
        <v>612</v>
      </c>
      <c r="K1" s="65" t="s">
        <v>613</v>
      </c>
      <c r="L1" s="65" t="s">
        <v>614</v>
      </c>
      <c r="M1" s="65" t="s">
        <v>615</v>
      </c>
      <c r="N1" s="66" t="s">
        <v>616</v>
      </c>
      <c r="O1" s="66" t="s">
        <v>617</v>
      </c>
      <c r="P1" s="65" t="s">
        <v>618</v>
      </c>
      <c r="Q1" s="65" t="s">
        <v>619</v>
      </c>
      <c r="R1" s="65" t="s">
        <v>620</v>
      </c>
      <c r="S1" s="65" t="s">
        <v>621</v>
      </c>
      <c r="T1" s="66" t="s">
        <v>622</v>
      </c>
    </row>
    <row r="2" spans="1:20" ht="43.5" customHeight="1">
      <c r="A2" s="28" t="s">
        <v>10</v>
      </c>
      <c r="B2" s="28" t="s">
        <v>623</v>
      </c>
      <c r="C2" s="28" t="s">
        <v>12</v>
      </c>
      <c r="D2" s="28" t="s">
        <v>13</v>
      </c>
      <c r="E2" s="28" t="s">
        <v>624</v>
      </c>
      <c r="F2" s="28" t="s">
        <v>625</v>
      </c>
      <c r="G2" s="28" t="s">
        <v>14</v>
      </c>
      <c r="H2" s="28" t="s">
        <v>15</v>
      </c>
      <c r="I2" s="28" t="s">
        <v>626</v>
      </c>
      <c r="J2" s="28" t="s">
        <v>627</v>
      </c>
      <c r="K2" s="28" t="s">
        <v>628</v>
      </c>
      <c r="L2" s="28" t="s">
        <v>629</v>
      </c>
      <c r="M2" s="28" t="s">
        <v>630</v>
      </c>
      <c r="N2" s="63" t="s">
        <v>631</v>
      </c>
      <c r="O2" s="63" t="s">
        <v>16</v>
      </c>
      <c r="P2" s="68">
        <v>0.98</v>
      </c>
      <c r="Q2" s="67" t="s">
        <v>632</v>
      </c>
      <c r="R2" s="67">
        <v>1</v>
      </c>
      <c r="S2" s="28" t="s">
        <v>633</v>
      </c>
      <c r="T2" s="67">
        <v>3</v>
      </c>
    </row>
    <row r="3" spans="1:20" ht="43.5" customHeight="1">
      <c r="A3" s="28" t="s">
        <v>18</v>
      </c>
      <c r="B3" s="28" t="s">
        <v>623</v>
      </c>
      <c r="C3" s="28" t="s">
        <v>12</v>
      </c>
      <c r="D3" s="28" t="s">
        <v>19</v>
      </c>
      <c r="E3" s="28" t="s">
        <v>624</v>
      </c>
      <c r="F3" s="28" t="s">
        <v>625</v>
      </c>
      <c r="G3" s="28" t="s">
        <v>14</v>
      </c>
      <c r="H3" s="28" t="s">
        <v>20</v>
      </c>
      <c r="I3" s="28" t="s">
        <v>634</v>
      </c>
      <c r="J3" s="28" t="s">
        <v>627</v>
      </c>
      <c r="K3" s="28" t="s">
        <v>628</v>
      </c>
      <c r="L3" s="28" t="s">
        <v>635</v>
      </c>
      <c r="M3" s="64" t="s">
        <v>636</v>
      </c>
      <c r="N3" s="63" t="s">
        <v>631</v>
      </c>
      <c r="O3" s="63" t="s">
        <v>16</v>
      </c>
      <c r="P3" s="68">
        <v>0.98</v>
      </c>
      <c r="Q3" s="67" t="s">
        <v>632</v>
      </c>
      <c r="R3" s="67">
        <v>1</v>
      </c>
      <c r="S3" s="28" t="s">
        <v>633</v>
      </c>
      <c r="T3" s="67">
        <v>3</v>
      </c>
    </row>
    <row r="4" spans="1:20" ht="43.5" customHeight="1">
      <c r="A4" s="28" t="s">
        <v>21</v>
      </c>
      <c r="B4" s="28" t="s">
        <v>637</v>
      </c>
      <c r="C4" s="28" t="s">
        <v>12</v>
      </c>
      <c r="D4" s="28" t="s">
        <v>13</v>
      </c>
      <c r="E4" s="28" t="s">
        <v>638</v>
      </c>
      <c r="F4" s="28" t="s">
        <v>639</v>
      </c>
      <c r="G4" s="28" t="s">
        <v>14</v>
      </c>
      <c r="H4" s="28" t="s">
        <v>23</v>
      </c>
      <c r="I4" s="28" t="s">
        <v>640</v>
      </c>
      <c r="J4" s="28" t="s">
        <v>627</v>
      </c>
      <c r="K4" s="28" t="s">
        <v>628</v>
      </c>
      <c r="L4" s="28" t="s">
        <v>629</v>
      </c>
      <c r="M4" s="28" t="s">
        <v>630</v>
      </c>
      <c r="N4" s="63" t="s">
        <v>631</v>
      </c>
      <c r="O4" s="63" t="s">
        <v>16</v>
      </c>
      <c r="P4" s="68">
        <v>0.98</v>
      </c>
      <c r="Q4" s="67" t="s">
        <v>632</v>
      </c>
      <c r="R4" s="67">
        <v>1</v>
      </c>
      <c r="S4" s="28" t="s">
        <v>633</v>
      </c>
      <c r="T4" s="67">
        <v>4</v>
      </c>
    </row>
    <row r="5" spans="1:20" ht="43.5" customHeight="1">
      <c r="A5" s="28" t="s">
        <v>24</v>
      </c>
      <c r="B5" s="28" t="s">
        <v>641</v>
      </c>
      <c r="C5" s="28" t="s">
        <v>26</v>
      </c>
      <c r="D5" s="28" t="s">
        <v>13</v>
      </c>
      <c r="E5" s="28" t="s">
        <v>642</v>
      </c>
      <c r="F5" s="28" t="s">
        <v>643</v>
      </c>
      <c r="G5" s="28" t="s">
        <v>27</v>
      </c>
      <c r="H5" s="28" t="s">
        <v>28</v>
      </c>
      <c r="I5" s="28" t="s">
        <v>644</v>
      </c>
      <c r="J5" s="28">
        <v>1000</v>
      </c>
      <c r="K5" s="28" t="s">
        <v>628</v>
      </c>
      <c r="L5" s="28" t="s">
        <v>645</v>
      </c>
      <c r="M5" s="64" t="s">
        <v>646</v>
      </c>
      <c r="N5" s="63" t="s">
        <v>647</v>
      </c>
      <c r="O5" s="63" t="s">
        <v>16</v>
      </c>
      <c r="P5" s="69">
        <v>5000</v>
      </c>
      <c r="Q5" s="67" t="s">
        <v>648</v>
      </c>
      <c r="R5" s="67">
        <v>1</v>
      </c>
      <c r="S5" s="28" t="s">
        <v>649</v>
      </c>
      <c r="T5" s="67">
        <v>2</v>
      </c>
    </row>
    <row r="6" spans="1:20" ht="43.5" customHeight="1">
      <c r="A6" s="28" t="s">
        <v>46</v>
      </c>
      <c r="B6" s="28" t="s">
        <v>650</v>
      </c>
      <c r="C6" s="28" t="s">
        <v>26</v>
      </c>
      <c r="D6" s="28" t="s">
        <v>13</v>
      </c>
      <c r="E6" s="28" t="s">
        <v>651</v>
      </c>
      <c r="F6" s="28" t="s">
        <v>652</v>
      </c>
      <c r="G6" s="28" t="s">
        <v>48</v>
      </c>
      <c r="H6" s="28" t="s">
        <v>49</v>
      </c>
      <c r="I6" s="28" t="s">
        <v>653</v>
      </c>
      <c r="J6" s="28">
        <v>1000</v>
      </c>
      <c r="K6" s="28" t="s">
        <v>628</v>
      </c>
      <c r="L6" s="28" t="s">
        <v>645</v>
      </c>
      <c r="M6" s="64" t="s">
        <v>646</v>
      </c>
      <c r="N6" s="63" t="s">
        <v>647</v>
      </c>
      <c r="O6" s="63" t="s">
        <v>16</v>
      </c>
      <c r="P6" s="69">
        <v>5000</v>
      </c>
      <c r="Q6" s="67" t="s">
        <v>632</v>
      </c>
      <c r="R6" s="67">
        <v>1</v>
      </c>
      <c r="S6" s="28" t="s">
        <v>649</v>
      </c>
      <c r="T6" s="67">
        <v>3</v>
      </c>
    </row>
    <row r="7" spans="1:20" ht="43.5" customHeight="1">
      <c r="A7" s="28" t="s">
        <v>654</v>
      </c>
      <c r="B7" s="28" t="s">
        <v>655</v>
      </c>
      <c r="C7" s="28" t="s">
        <v>58</v>
      </c>
      <c r="D7" s="28" t="s">
        <v>13</v>
      </c>
      <c r="E7" s="28" t="s">
        <v>656</v>
      </c>
      <c r="F7" s="28" t="s">
        <v>657</v>
      </c>
      <c r="G7" s="28" t="s">
        <v>658</v>
      </c>
      <c r="H7" s="28" t="s">
        <v>659</v>
      </c>
      <c r="I7" s="28" t="s">
        <v>660</v>
      </c>
      <c r="J7" s="28" t="s">
        <v>661</v>
      </c>
      <c r="K7" s="28" t="s">
        <v>628</v>
      </c>
      <c r="L7" s="28" t="s">
        <v>645</v>
      </c>
      <c r="M7" s="64" t="s">
        <v>646</v>
      </c>
      <c r="N7" s="63" t="s">
        <v>647</v>
      </c>
      <c r="O7" s="63" t="s">
        <v>16</v>
      </c>
      <c r="P7" s="68">
        <v>0.95</v>
      </c>
      <c r="R7" s="67">
        <v>0</v>
      </c>
      <c r="S7" s="28" t="s">
        <v>633</v>
      </c>
    </row>
    <row r="8" spans="1:20" ht="43.5" customHeight="1">
      <c r="A8" s="28" t="s">
        <v>61</v>
      </c>
      <c r="B8" s="28" t="s">
        <v>662</v>
      </c>
      <c r="C8" s="28" t="s">
        <v>63</v>
      </c>
      <c r="D8" s="28" t="s">
        <v>13</v>
      </c>
      <c r="E8" s="28" t="s">
        <v>663</v>
      </c>
      <c r="F8" s="28" t="s">
        <v>664</v>
      </c>
      <c r="G8" s="28"/>
      <c r="H8" s="28" t="s">
        <v>65</v>
      </c>
      <c r="I8" s="28" t="s">
        <v>665</v>
      </c>
      <c r="J8" s="28" t="s">
        <v>661</v>
      </c>
      <c r="K8" s="28" t="s">
        <v>628</v>
      </c>
      <c r="L8" s="28" t="s">
        <v>645</v>
      </c>
      <c r="M8" s="64" t="s">
        <v>646</v>
      </c>
      <c r="N8" s="63" t="s">
        <v>647</v>
      </c>
      <c r="O8" s="63" t="s">
        <v>16</v>
      </c>
      <c r="P8" s="68">
        <v>0.95</v>
      </c>
      <c r="Q8" s="67" t="s">
        <v>632</v>
      </c>
      <c r="R8" s="67">
        <v>1</v>
      </c>
      <c r="S8" s="28" t="s">
        <v>633</v>
      </c>
      <c r="T8" s="67" t="s">
        <v>666</v>
      </c>
    </row>
    <row r="9" spans="1:20" ht="43.5" customHeight="1">
      <c r="A9" s="28" t="s">
        <v>56</v>
      </c>
      <c r="B9" s="28" t="s">
        <v>57</v>
      </c>
      <c r="C9" s="28" t="s">
        <v>58</v>
      </c>
      <c r="D9" s="28" t="s">
        <v>13</v>
      </c>
      <c r="E9" s="28" t="s">
        <v>667</v>
      </c>
      <c r="F9" s="28" t="s">
        <v>668</v>
      </c>
      <c r="G9" s="28" t="s">
        <v>59</v>
      </c>
      <c r="H9" s="28" t="s">
        <v>60</v>
      </c>
      <c r="I9" s="28" t="s">
        <v>669</v>
      </c>
      <c r="J9" s="28" t="s">
        <v>670</v>
      </c>
      <c r="K9" s="28" t="s">
        <v>671</v>
      </c>
      <c r="L9" s="28" t="s">
        <v>645</v>
      </c>
      <c r="M9" s="64" t="s">
        <v>646</v>
      </c>
      <c r="N9" s="63" t="s">
        <v>647</v>
      </c>
      <c r="O9" s="63" t="s">
        <v>16</v>
      </c>
      <c r="P9" s="68">
        <v>0.9</v>
      </c>
      <c r="R9" s="67">
        <v>1</v>
      </c>
      <c r="S9" s="28" t="s">
        <v>633</v>
      </c>
      <c r="T9" s="67">
        <v>4</v>
      </c>
    </row>
    <row r="10" spans="1:20" ht="43.5" customHeight="1">
      <c r="A10" s="28" t="s">
        <v>66</v>
      </c>
      <c r="B10" s="28" t="s">
        <v>67</v>
      </c>
      <c r="C10" s="28" t="s">
        <v>68</v>
      </c>
      <c r="D10" s="28" t="s">
        <v>13</v>
      </c>
      <c r="E10" s="28" t="s">
        <v>672</v>
      </c>
      <c r="F10" s="28" t="s">
        <v>673</v>
      </c>
      <c r="G10" s="28" t="s">
        <v>48</v>
      </c>
      <c r="H10" s="28" t="s">
        <v>69</v>
      </c>
      <c r="I10" s="28" t="s">
        <v>674</v>
      </c>
      <c r="J10" s="28">
        <v>1500</v>
      </c>
      <c r="K10" s="28" t="s">
        <v>628</v>
      </c>
      <c r="L10" s="28" t="s">
        <v>675</v>
      </c>
      <c r="M10" s="64" t="s">
        <v>676</v>
      </c>
      <c r="N10" s="63" t="s">
        <v>677</v>
      </c>
      <c r="O10" s="63" t="s">
        <v>16</v>
      </c>
      <c r="P10" s="68"/>
      <c r="R10" s="67">
        <v>1</v>
      </c>
      <c r="S10" s="28" t="s">
        <v>649</v>
      </c>
      <c r="T10" s="67">
        <v>2</v>
      </c>
    </row>
    <row r="11" spans="1:20" ht="43.5" customHeight="1">
      <c r="A11" s="28" t="s">
        <v>73</v>
      </c>
      <c r="B11" s="28" t="s">
        <v>74</v>
      </c>
      <c r="C11" s="28" t="s">
        <v>68</v>
      </c>
      <c r="D11" s="28" t="s">
        <v>13</v>
      </c>
      <c r="E11" s="28" t="s">
        <v>678</v>
      </c>
      <c r="F11" s="28" t="s">
        <v>679</v>
      </c>
      <c r="G11" s="28" t="s">
        <v>75</v>
      </c>
      <c r="H11" s="28" t="s">
        <v>76</v>
      </c>
      <c r="I11" s="28" t="s">
        <v>680</v>
      </c>
      <c r="J11" s="28">
        <v>50</v>
      </c>
      <c r="K11" s="28" t="s">
        <v>628</v>
      </c>
      <c r="L11" s="28" t="s">
        <v>675</v>
      </c>
      <c r="M11" s="64" t="s">
        <v>676</v>
      </c>
      <c r="N11" s="63" t="s">
        <v>677</v>
      </c>
      <c r="O11" s="63" t="s">
        <v>16</v>
      </c>
      <c r="P11" s="69">
        <v>10</v>
      </c>
      <c r="Q11" s="67" t="s">
        <v>648</v>
      </c>
      <c r="R11" s="67">
        <v>1</v>
      </c>
      <c r="S11" s="28" t="s">
        <v>649</v>
      </c>
      <c r="T11" s="67">
        <v>3</v>
      </c>
    </row>
    <row r="12" spans="1:20" ht="43.5" customHeight="1">
      <c r="A12" s="28" t="s">
        <v>77</v>
      </c>
      <c r="B12" s="28" t="s">
        <v>681</v>
      </c>
      <c r="C12" s="28" t="s">
        <v>63</v>
      </c>
      <c r="D12" s="28" t="s">
        <v>13</v>
      </c>
      <c r="E12" s="28" t="s">
        <v>682</v>
      </c>
      <c r="F12" s="28" t="s">
        <v>683</v>
      </c>
      <c r="G12" s="28" t="s">
        <v>79</v>
      </c>
      <c r="H12" s="28" t="s">
        <v>80</v>
      </c>
      <c r="I12" s="28" t="s">
        <v>684</v>
      </c>
      <c r="J12" s="28" t="s">
        <v>661</v>
      </c>
      <c r="K12" s="28" t="s">
        <v>628</v>
      </c>
      <c r="L12" s="28" t="s">
        <v>675</v>
      </c>
      <c r="M12" s="64" t="s">
        <v>676</v>
      </c>
      <c r="N12" s="63" t="s">
        <v>677</v>
      </c>
      <c r="O12" s="63" t="s">
        <v>16</v>
      </c>
      <c r="P12" s="68">
        <v>0.95</v>
      </c>
      <c r="Q12" s="67" t="s">
        <v>632</v>
      </c>
      <c r="R12" s="67">
        <v>1</v>
      </c>
      <c r="S12" s="28" t="s">
        <v>633</v>
      </c>
      <c r="T12" s="67">
        <v>1</v>
      </c>
    </row>
    <row r="13" spans="1:20" ht="43.5" customHeight="1">
      <c r="A13" s="28" t="s">
        <v>70</v>
      </c>
      <c r="B13" s="28" t="s">
        <v>71</v>
      </c>
      <c r="C13" s="28" t="s">
        <v>63</v>
      </c>
      <c r="D13" s="28" t="s">
        <v>13</v>
      </c>
      <c r="E13" s="28" t="s">
        <v>685</v>
      </c>
      <c r="F13" s="28" t="s">
        <v>668</v>
      </c>
      <c r="G13" s="28" t="s">
        <v>59</v>
      </c>
      <c r="H13" s="28" t="s">
        <v>72</v>
      </c>
      <c r="I13" s="28" t="s">
        <v>686</v>
      </c>
      <c r="J13" s="28" t="s">
        <v>687</v>
      </c>
      <c r="K13" s="28" t="s">
        <v>671</v>
      </c>
      <c r="L13" s="28" t="s">
        <v>675</v>
      </c>
      <c r="M13" s="64" t="s">
        <v>676</v>
      </c>
      <c r="N13" s="63" t="s">
        <v>677</v>
      </c>
      <c r="O13" s="63" t="s">
        <v>16</v>
      </c>
      <c r="P13" s="68">
        <v>0.95</v>
      </c>
      <c r="R13" s="67">
        <v>1</v>
      </c>
      <c r="S13" s="28" t="s">
        <v>633</v>
      </c>
      <c r="T13" s="67">
        <v>4</v>
      </c>
    </row>
    <row r="14" spans="1:20" ht="43.5" customHeight="1">
      <c r="A14" s="28" t="s">
        <v>81</v>
      </c>
      <c r="B14" s="28" t="s">
        <v>82</v>
      </c>
      <c r="C14" s="28" t="s">
        <v>63</v>
      </c>
      <c r="D14" s="28" t="s">
        <v>13</v>
      </c>
      <c r="E14" s="28" t="s">
        <v>688</v>
      </c>
      <c r="F14" s="28" t="s">
        <v>689</v>
      </c>
      <c r="G14" s="28" t="s">
        <v>79</v>
      </c>
      <c r="H14" s="28" t="s">
        <v>83</v>
      </c>
      <c r="I14" s="28" t="s">
        <v>690</v>
      </c>
      <c r="J14" s="28" t="s">
        <v>661</v>
      </c>
      <c r="K14" s="28" t="s">
        <v>628</v>
      </c>
      <c r="L14" s="28" t="s">
        <v>675</v>
      </c>
      <c r="M14" s="64" t="s">
        <v>676</v>
      </c>
      <c r="N14" s="63" t="s">
        <v>677</v>
      </c>
      <c r="O14" s="63" t="s">
        <v>16</v>
      </c>
      <c r="P14" s="68">
        <v>0.95</v>
      </c>
      <c r="Q14" s="67" t="s">
        <v>632</v>
      </c>
      <c r="R14" s="67">
        <v>1</v>
      </c>
      <c r="S14" s="28" t="s">
        <v>633</v>
      </c>
      <c r="T14" s="67" t="s">
        <v>666</v>
      </c>
    </row>
    <row r="15" spans="1:20" ht="43.5" customHeight="1">
      <c r="A15" s="28" t="s">
        <v>691</v>
      </c>
      <c r="B15" s="28" t="s">
        <v>692</v>
      </c>
      <c r="C15" s="28" t="s">
        <v>693</v>
      </c>
      <c r="D15" s="28" t="s">
        <v>13</v>
      </c>
      <c r="E15" s="28" t="s">
        <v>694</v>
      </c>
      <c r="F15" s="28" t="s">
        <v>695</v>
      </c>
      <c r="G15" s="28" t="s">
        <v>658</v>
      </c>
      <c r="H15" s="28" t="s">
        <v>696</v>
      </c>
      <c r="I15" s="28" t="s">
        <v>697</v>
      </c>
      <c r="J15" s="28" t="s">
        <v>698</v>
      </c>
      <c r="K15" s="28" t="s">
        <v>628</v>
      </c>
      <c r="L15" s="28" t="s">
        <v>675</v>
      </c>
      <c r="M15" s="64" t="s">
        <v>676</v>
      </c>
      <c r="N15" s="63" t="s">
        <v>677</v>
      </c>
      <c r="O15" s="63" t="s">
        <v>16</v>
      </c>
      <c r="P15" s="69">
        <v>24</v>
      </c>
      <c r="R15" s="67">
        <v>0</v>
      </c>
      <c r="S15" s="28" t="s">
        <v>649</v>
      </c>
    </row>
    <row r="16" spans="1:20" ht="43.5" customHeight="1">
      <c r="A16" s="28" t="s">
        <v>84</v>
      </c>
      <c r="B16" s="28" t="s">
        <v>699</v>
      </c>
      <c r="C16" s="28" t="s">
        <v>86</v>
      </c>
      <c r="D16" s="28" t="s">
        <v>13</v>
      </c>
      <c r="E16" s="28" t="s">
        <v>700</v>
      </c>
      <c r="F16" s="28" t="s">
        <v>701</v>
      </c>
      <c r="G16" s="28" t="s">
        <v>87</v>
      </c>
      <c r="H16" s="28" t="s">
        <v>88</v>
      </c>
      <c r="I16" s="28" t="s">
        <v>702</v>
      </c>
      <c r="J16" s="28" t="s">
        <v>703</v>
      </c>
      <c r="K16" s="28" t="s">
        <v>628</v>
      </c>
      <c r="L16" s="28" t="s">
        <v>704</v>
      </c>
      <c r="M16" s="64" t="s">
        <v>705</v>
      </c>
      <c r="N16" s="63" t="s">
        <v>706</v>
      </c>
      <c r="O16" s="63" t="s">
        <v>16</v>
      </c>
      <c r="P16" s="68">
        <v>0.9</v>
      </c>
      <c r="Q16" s="67" t="s">
        <v>632</v>
      </c>
      <c r="R16" s="67">
        <v>1</v>
      </c>
      <c r="S16" s="28" t="s">
        <v>633</v>
      </c>
      <c r="T16" s="67" t="s">
        <v>666</v>
      </c>
    </row>
    <row r="17" spans="1:20" ht="43.5" customHeight="1">
      <c r="A17" s="28" t="s">
        <v>92</v>
      </c>
      <c r="B17" s="28" t="s">
        <v>707</v>
      </c>
      <c r="C17" s="28" t="s">
        <v>26</v>
      </c>
      <c r="D17" s="28" t="s">
        <v>13</v>
      </c>
      <c r="E17" s="28" t="s">
        <v>708</v>
      </c>
      <c r="F17" s="28" t="s">
        <v>709</v>
      </c>
      <c r="G17" s="28" t="s">
        <v>87</v>
      </c>
      <c r="H17" s="28" t="s">
        <v>94</v>
      </c>
      <c r="I17" s="28" t="s">
        <v>710</v>
      </c>
      <c r="J17" s="28">
        <v>1000</v>
      </c>
      <c r="K17" s="28" t="s">
        <v>628</v>
      </c>
      <c r="L17" s="28" t="s">
        <v>704</v>
      </c>
      <c r="M17" s="64" t="s">
        <v>705</v>
      </c>
      <c r="N17" s="63" t="s">
        <v>706</v>
      </c>
      <c r="O17" s="63" t="s">
        <v>16</v>
      </c>
      <c r="P17" s="69"/>
      <c r="R17" s="67">
        <v>1</v>
      </c>
      <c r="S17" s="28" t="s">
        <v>649</v>
      </c>
      <c r="T17" s="67">
        <v>1</v>
      </c>
    </row>
    <row r="18" spans="1:20" ht="43.5" customHeight="1">
      <c r="A18" s="28" t="s">
        <v>96</v>
      </c>
      <c r="B18" s="28" t="s">
        <v>97</v>
      </c>
      <c r="C18" s="28" t="s">
        <v>26</v>
      </c>
      <c r="D18" s="28" t="s">
        <v>13</v>
      </c>
      <c r="E18" s="28" t="s">
        <v>711</v>
      </c>
      <c r="F18" s="28" t="s">
        <v>712</v>
      </c>
      <c r="G18" s="28" t="s">
        <v>98</v>
      </c>
      <c r="H18" s="28" t="s">
        <v>99</v>
      </c>
      <c r="I18" s="28" t="s">
        <v>713</v>
      </c>
      <c r="J18" s="28">
        <v>1000</v>
      </c>
      <c r="K18" s="28" t="s">
        <v>628</v>
      </c>
      <c r="L18" s="28" t="s">
        <v>714</v>
      </c>
      <c r="M18" s="64" t="s">
        <v>715</v>
      </c>
      <c r="N18" s="63" t="s">
        <v>716</v>
      </c>
      <c r="O18" s="63" t="s">
        <v>16</v>
      </c>
      <c r="P18" s="69">
        <v>1000</v>
      </c>
      <c r="Q18" s="67" t="s">
        <v>648</v>
      </c>
      <c r="R18" s="67">
        <v>1</v>
      </c>
      <c r="S18" s="28" t="s">
        <v>649</v>
      </c>
      <c r="T18" s="67">
        <v>3</v>
      </c>
    </row>
    <row r="19" spans="1:20" ht="43.5" customHeight="1">
      <c r="A19" s="28" t="s">
        <v>89</v>
      </c>
      <c r="B19" s="28" t="s">
        <v>717</v>
      </c>
      <c r="C19" s="28" t="s">
        <v>58</v>
      </c>
      <c r="D19" s="28" t="s">
        <v>13</v>
      </c>
      <c r="E19" s="28" t="s">
        <v>718</v>
      </c>
      <c r="F19" s="28" t="s">
        <v>668</v>
      </c>
      <c r="G19" s="28" t="s">
        <v>59</v>
      </c>
      <c r="H19" s="28" t="s">
        <v>91</v>
      </c>
      <c r="I19" s="28" t="s">
        <v>719</v>
      </c>
      <c r="J19" s="28" t="s">
        <v>670</v>
      </c>
      <c r="K19" s="28" t="s">
        <v>671</v>
      </c>
      <c r="L19" s="28" t="s">
        <v>704</v>
      </c>
      <c r="M19" s="64" t="s">
        <v>705</v>
      </c>
      <c r="N19" s="63" t="s">
        <v>706</v>
      </c>
      <c r="O19" s="63" t="s">
        <v>16</v>
      </c>
      <c r="P19" s="68">
        <v>0.9</v>
      </c>
      <c r="R19" s="67">
        <v>1</v>
      </c>
      <c r="S19" s="28" t="s">
        <v>633</v>
      </c>
      <c r="T19" s="67">
        <v>4</v>
      </c>
    </row>
    <row r="20" spans="1:20" ht="43.5" customHeight="1">
      <c r="A20" s="28" t="s">
        <v>115</v>
      </c>
      <c r="B20" s="28" t="s">
        <v>116</v>
      </c>
      <c r="C20" s="28" t="s">
        <v>58</v>
      </c>
      <c r="D20" s="28" t="s">
        <v>13</v>
      </c>
      <c r="E20" s="28" t="s">
        <v>720</v>
      </c>
      <c r="F20" s="28" t="s">
        <v>721</v>
      </c>
      <c r="G20" s="28" t="s">
        <v>117</v>
      </c>
      <c r="H20" s="28" t="s">
        <v>118</v>
      </c>
      <c r="I20" s="28" t="s">
        <v>722</v>
      </c>
      <c r="J20" s="28" t="s">
        <v>661</v>
      </c>
      <c r="K20" s="28" t="s">
        <v>628</v>
      </c>
      <c r="L20" s="28" t="s">
        <v>723</v>
      </c>
      <c r="M20" s="28" t="s">
        <v>724</v>
      </c>
      <c r="N20" s="63" t="s">
        <v>725</v>
      </c>
      <c r="O20" s="63" t="s">
        <v>16</v>
      </c>
      <c r="P20" s="79">
        <v>0.95</v>
      </c>
      <c r="Q20" s="67" t="s">
        <v>632</v>
      </c>
      <c r="R20" s="67">
        <v>1</v>
      </c>
      <c r="S20" s="28" t="s">
        <v>633</v>
      </c>
      <c r="T20" s="67">
        <v>1</v>
      </c>
    </row>
    <row r="21" spans="1:20" ht="43.5" customHeight="1">
      <c r="A21" s="28" t="s">
        <v>119</v>
      </c>
      <c r="B21" s="28" t="s">
        <v>120</v>
      </c>
      <c r="C21" s="28" t="s">
        <v>86</v>
      </c>
      <c r="D21" s="28" t="s">
        <v>13</v>
      </c>
      <c r="E21" s="28" t="s">
        <v>726</v>
      </c>
      <c r="F21" s="28" t="s">
        <v>727</v>
      </c>
      <c r="G21" s="28" t="s">
        <v>121</v>
      </c>
      <c r="H21" s="28" t="s">
        <v>122</v>
      </c>
      <c r="I21" s="28" t="s">
        <v>728</v>
      </c>
      <c r="J21" s="28" t="s">
        <v>703</v>
      </c>
      <c r="K21" s="28" t="s">
        <v>628</v>
      </c>
      <c r="L21" s="28" t="s">
        <v>723</v>
      </c>
      <c r="M21" s="28" t="s">
        <v>724</v>
      </c>
      <c r="N21" s="63" t="s">
        <v>725</v>
      </c>
      <c r="O21" s="63" t="s">
        <v>16</v>
      </c>
      <c r="P21" s="68">
        <v>0.95</v>
      </c>
      <c r="Q21" s="67" t="s">
        <v>632</v>
      </c>
      <c r="R21" s="67">
        <v>1</v>
      </c>
      <c r="S21" s="28" t="s">
        <v>633</v>
      </c>
      <c r="T21" s="67" t="s">
        <v>666</v>
      </c>
    </row>
    <row r="22" spans="1:20" ht="43.5" customHeight="1">
      <c r="A22" s="28" t="s">
        <v>109</v>
      </c>
      <c r="B22" s="28" t="s">
        <v>729</v>
      </c>
      <c r="C22" s="28" t="s">
        <v>58</v>
      </c>
      <c r="D22" s="28" t="s">
        <v>13</v>
      </c>
      <c r="E22" s="28" t="s">
        <v>730</v>
      </c>
      <c r="F22" s="28" t="s">
        <v>668</v>
      </c>
      <c r="G22" s="28" t="s">
        <v>59</v>
      </c>
      <c r="H22" s="28" t="s">
        <v>111</v>
      </c>
      <c r="I22" s="28" t="s">
        <v>731</v>
      </c>
      <c r="J22" s="28" t="s">
        <v>732</v>
      </c>
      <c r="K22" s="28" t="s">
        <v>671</v>
      </c>
      <c r="L22" s="28" t="s">
        <v>733</v>
      </c>
      <c r="M22" s="64" t="s">
        <v>734</v>
      </c>
      <c r="N22" s="63" t="s">
        <v>725</v>
      </c>
      <c r="O22" s="63" t="s">
        <v>16</v>
      </c>
      <c r="P22" s="68">
        <v>0.9</v>
      </c>
      <c r="R22" s="67">
        <v>1</v>
      </c>
      <c r="S22" s="28" t="s">
        <v>633</v>
      </c>
      <c r="T22" s="67">
        <v>3</v>
      </c>
    </row>
    <row r="23" spans="1:20" ht="43.5" customHeight="1">
      <c r="A23" s="28" t="s">
        <v>112</v>
      </c>
      <c r="B23" s="28" t="s">
        <v>113</v>
      </c>
      <c r="C23" s="28" t="s">
        <v>58</v>
      </c>
      <c r="D23" s="28" t="s">
        <v>13</v>
      </c>
      <c r="E23" s="28" t="s">
        <v>735</v>
      </c>
      <c r="F23" s="28" t="s">
        <v>668</v>
      </c>
      <c r="G23" s="28" t="s">
        <v>59</v>
      </c>
      <c r="H23" s="28" t="s">
        <v>114</v>
      </c>
      <c r="I23" s="28" t="s">
        <v>736</v>
      </c>
      <c r="J23" s="28" t="s">
        <v>737</v>
      </c>
      <c r="K23" s="28" t="s">
        <v>671</v>
      </c>
      <c r="L23" s="28" t="s">
        <v>738</v>
      </c>
      <c r="M23" s="64" t="s">
        <v>739</v>
      </c>
      <c r="N23" s="63" t="s">
        <v>725</v>
      </c>
      <c r="O23" s="63" t="s">
        <v>16</v>
      </c>
      <c r="P23" s="68">
        <v>0.9</v>
      </c>
      <c r="R23" s="67">
        <v>1</v>
      </c>
      <c r="S23" s="28" t="s">
        <v>633</v>
      </c>
      <c r="T23" s="67">
        <v>4</v>
      </c>
    </row>
    <row r="24" spans="1:20" ht="43.5" customHeight="1">
      <c r="A24" s="28" t="s">
        <v>740</v>
      </c>
      <c r="B24" s="28" t="s">
        <v>741</v>
      </c>
      <c r="C24" s="28" t="s">
        <v>693</v>
      </c>
      <c r="D24" s="28" t="s">
        <v>13</v>
      </c>
      <c r="E24" s="28" t="s">
        <v>742</v>
      </c>
      <c r="F24" s="28" t="s">
        <v>743</v>
      </c>
      <c r="G24" s="28" t="s">
        <v>744</v>
      </c>
      <c r="H24" s="28" t="s">
        <v>745</v>
      </c>
      <c r="I24" s="28" t="s">
        <v>746</v>
      </c>
      <c r="J24" s="28" t="s">
        <v>747</v>
      </c>
      <c r="K24" s="28" t="s">
        <v>628</v>
      </c>
      <c r="L24" s="28" t="s">
        <v>723</v>
      </c>
      <c r="M24" s="28" t="s">
        <v>724</v>
      </c>
      <c r="N24" s="63" t="s">
        <v>631</v>
      </c>
      <c r="O24" s="63" t="s">
        <v>16</v>
      </c>
      <c r="P24" s="69"/>
      <c r="R24" s="67">
        <v>0</v>
      </c>
      <c r="S24" s="28" t="s">
        <v>649</v>
      </c>
    </row>
    <row r="25" spans="1:20" ht="43.5" customHeight="1">
      <c r="A25" s="28" t="s">
        <v>748</v>
      </c>
      <c r="B25" s="28" t="s">
        <v>749</v>
      </c>
      <c r="C25" s="28" t="s">
        <v>693</v>
      </c>
      <c r="D25" s="28" t="s">
        <v>13</v>
      </c>
      <c r="E25" s="28" t="s">
        <v>750</v>
      </c>
      <c r="F25" s="28" t="s">
        <v>751</v>
      </c>
      <c r="G25" s="28" t="s">
        <v>121</v>
      </c>
      <c r="H25" s="28" t="s">
        <v>752</v>
      </c>
      <c r="I25" s="28" t="s">
        <v>753</v>
      </c>
      <c r="J25" s="28" t="s">
        <v>747</v>
      </c>
      <c r="K25" s="28" t="s">
        <v>628</v>
      </c>
      <c r="L25" s="28" t="s">
        <v>723</v>
      </c>
      <c r="M25" s="28" t="s">
        <v>724</v>
      </c>
      <c r="N25" s="63" t="s">
        <v>631</v>
      </c>
      <c r="O25" s="63" t="s">
        <v>16</v>
      </c>
      <c r="P25" s="69"/>
      <c r="R25" s="67">
        <v>0</v>
      </c>
      <c r="S25" s="28" t="s">
        <v>649</v>
      </c>
    </row>
    <row r="26" spans="1:20" ht="43.5" customHeight="1">
      <c r="A26" s="28" t="s">
        <v>123</v>
      </c>
      <c r="B26" s="28" t="s">
        <v>124</v>
      </c>
      <c r="C26" s="28" t="s">
        <v>68</v>
      </c>
      <c r="D26" s="28" t="s">
        <v>13</v>
      </c>
      <c r="E26" s="28" t="s">
        <v>754</v>
      </c>
      <c r="F26" s="28" t="s">
        <v>755</v>
      </c>
      <c r="G26" s="28" t="s">
        <v>125</v>
      </c>
      <c r="H26" s="28" t="s">
        <v>126</v>
      </c>
      <c r="I26" s="28" t="s">
        <v>756</v>
      </c>
      <c r="J26" s="28">
        <v>1000</v>
      </c>
      <c r="K26" s="28" t="s">
        <v>628</v>
      </c>
      <c r="L26" s="28" t="s">
        <v>757</v>
      </c>
      <c r="M26" s="64" t="s">
        <v>758</v>
      </c>
      <c r="N26" s="63" t="s">
        <v>631</v>
      </c>
      <c r="O26" s="63" t="s">
        <v>16</v>
      </c>
      <c r="P26" s="69"/>
      <c r="R26" s="67">
        <v>1</v>
      </c>
      <c r="S26" s="28" t="s">
        <v>649</v>
      </c>
      <c r="T26" s="67">
        <v>2</v>
      </c>
    </row>
    <row r="27" spans="1:20" ht="43.5" customHeight="1">
      <c r="A27" s="28" t="s">
        <v>133</v>
      </c>
      <c r="B27" s="28" t="s">
        <v>134</v>
      </c>
      <c r="C27" s="28" t="s">
        <v>68</v>
      </c>
      <c r="D27" s="28" t="s">
        <v>13</v>
      </c>
      <c r="E27" s="28" t="s">
        <v>759</v>
      </c>
      <c r="F27" s="28" t="s">
        <v>760</v>
      </c>
      <c r="G27" s="28" t="s">
        <v>125</v>
      </c>
      <c r="H27" s="28" t="s">
        <v>135</v>
      </c>
      <c r="I27" s="28" t="s">
        <v>761</v>
      </c>
      <c r="J27" s="28">
        <v>1000</v>
      </c>
      <c r="K27" s="28" t="s">
        <v>628</v>
      </c>
      <c r="L27" s="28" t="s">
        <v>757</v>
      </c>
      <c r="M27" s="64" t="s">
        <v>758</v>
      </c>
      <c r="N27" s="63" t="s">
        <v>631</v>
      </c>
      <c r="O27" s="63" t="s">
        <v>16</v>
      </c>
      <c r="P27" s="69"/>
      <c r="R27" s="67">
        <v>1</v>
      </c>
      <c r="S27" s="28" t="s">
        <v>649</v>
      </c>
      <c r="T27" s="67">
        <v>1</v>
      </c>
    </row>
    <row r="28" spans="1:20" ht="43.5" customHeight="1">
      <c r="A28" s="28" t="s">
        <v>139</v>
      </c>
      <c r="B28" s="28" t="s">
        <v>140</v>
      </c>
      <c r="C28" s="28" t="s">
        <v>63</v>
      </c>
      <c r="D28" s="28" t="s">
        <v>13</v>
      </c>
      <c r="E28" s="28" t="s">
        <v>762</v>
      </c>
      <c r="F28" s="28" t="s">
        <v>763</v>
      </c>
      <c r="G28" s="28" t="s">
        <v>141</v>
      </c>
      <c r="H28" s="28" t="s">
        <v>142</v>
      </c>
      <c r="I28" s="28" t="s">
        <v>764</v>
      </c>
      <c r="J28" s="28" t="s">
        <v>765</v>
      </c>
      <c r="K28" s="28" t="s">
        <v>628</v>
      </c>
      <c r="L28" s="28" t="s">
        <v>757</v>
      </c>
      <c r="M28" s="64" t="s">
        <v>758</v>
      </c>
      <c r="N28" s="63" t="s">
        <v>631</v>
      </c>
      <c r="O28" s="63" t="s">
        <v>16</v>
      </c>
      <c r="P28" s="68">
        <v>1</v>
      </c>
      <c r="Q28" s="67" t="s">
        <v>632</v>
      </c>
      <c r="R28" s="67">
        <v>1</v>
      </c>
      <c r="S28" s="28" t="s">
        <v>633</v>
      </c>
      <c r="T28" s="67" t="s">
        <v>666</v>
      </c>
    </row>
    <row r="29" spans="1:20" ht="43.5" customHeight="1">
      <c r="A29" s="28" t="s">
        <v>153</v>
      </c>
      <c r="B29" s="28" t="s">
        <v>154</v>
      </c>
      <c r="C29" s="28" t="s">
        <v>26</v>
      </c>
      <c r="D29" s="28" t="s">
        <v>13</v>
      </c>
      <c r="E29" s="28" t="s">
        <v>766</v>
      </c>
      <c r="F29" s="28" t="s">
        <v>767</v>
      </c>
      <c r="G29" s="28" t="s">
        <v>155</v>
      </c>
      <c r="H29" s="28" t="s">
        <v>156</v>
      </c>
      <c r="I29" s="28" t="s">
        <v>768</v>
      </c>
      <c r="J29" s="28">
        <v>100</v>
      </c>
      <c r="K29" s="28" t="s">
        <v>769</v>
      </c>
      <c r="L29" s="28" t="s">
        <v>770</v>
      </c>
      <c r="M29" s="28" t="s">
        <v>724</v>
      </c>
      <c r="N29" s="63" t="s">
        <v>716</v>
      </c>
      <c r="O29" s="63" t="s">
        <v>16</v>
      </c>
      <c r="P29" s="69"/>
      <c r="R29" s="67">
        <v>1</v>
      </c>
      <c r="S29" s="28" t="s">
        <v>649</v>
      </c>
      <c r="T29" s="67">
        <v>2</v>
      </c>
    </row>
    <row r="30" spans="1:20" ht="43.5" customHeight="1">
      <c r="A30" s="28" t="s">
        <v>157</v>
      </c>
      <c r="B30" s="28" t="s">
        <v>158</v>
      </c>
      <c r="C30" s="28" t="s">
        <v>26</v>
      </c>
      <c r="D30" s="28" t="s">
        <v>13</v>
      </c>
      <c r="E30" s="28" t="s">
        <v>771</v>
      </c>
      <c r="F30" s="28" t="s">
        <v>772</v>
      </c>
      <c r="G30" s="28" t="s">
        <v>159</v>
      </c>
      <c r="H30" s="28" t="s">
        <v>160</v>
      </c>
      <c r="I30" s="28" t="s">
        <v>773</v>
      </c>
      <c r="J30" s="28">
        <v>100</v>
      </c>
      <c r="K30" s="28" t="s">
        <v>628</v>
      </c>
      <c r="L30" s="28" t="s">
        <v>770</v>
      </c>
      <c r="M30" s="28" t="s">
        <v>724</v>
      </c>
      <c r="N30" s="63" t="s">
        <v>716</v>
      </c>
      <c r="O30" s="63" t="s">
        <v>16</v>
      </c>
      <c r="P30" s="69"/>
      <c r="R30" s="67">
        <v>1</v>
      </c>
      <c r="S30" s="28" t="s">
        <v>649</v>
      </c>
      <c r="T30" s="67">
        <v>1</v>
      </c>
    </row>
    <row r="31" spans="1:20" ht="43.5" customHeight="1">
      <c r="A31" s="28" t="s">
        <v>144</v>
      </c>
      <c r="B31" s="28" t="s">
        <v>145</v>
      </c>
      <c r="C31" s="28" t="s">
        <v>58</v>
      </c>
      <c r="D31" s="28" t="s">
        <v>13</v>
      </c>
      <c r="E31" s="28" t="s">
        <v>774</v>
      </c>
      <c r="F31" s="28" t="s">
        <v>775</v>
      </c>
      <c r="G31" s="28" t="s">
        <v>146</v>
      </c>
      <c r="H31" s="28" t="s">
        <v>147</v>
      </c>
      <c r="I31" s="28" t="s">
        <v>776</v>
      </c>
      <c r="J31" s="28" t="s">
        <v>777</v>
      </c>
      <c r="K31" s="28" t="s">
        <v>769</v>
      </c>
      <c r="L31" s="28" t="s">
        <v>770</v>
      </c>
      <c r="M31" s="28" t="s">
        <v>724</v>
      </c>
      <c r="N31" s="63" t="s">
        <v>716</v>
      </c>
      <c r="O31" s="63" t="s">
        <v>16</v>
      </c>
      <c r="P31" s="68">
        <v>0.98</v>
      </c>
      <c r="Q31" s="67" t="s">
        <v>632</v>
      </c>
      <c r="R31" s="67">
        <v>1</v>
      </c>
      <c r="S31" s="28" t="s">
        <v>633</v>
      </c>
      <c r="T31" s="67" t="s">
        <v>666</v>
      </c>
    </row>
    <row r="32" spans="1:20" ht="43.5" customHeight="1">
      <c r="A32" s="28" t="s">
        <v>149</v>
      </c>
      <c r="B32" s="28" t="s">
        <v>150</v>
      </c>
      <c r="C32" s="28" t="s">
        <v>68</v>
      </c>
      <c r="D32" s="28" t="s">
        <v>13</v>
      </c>
      <c r="E32" s="28" t="s">
        <v>778</v>
      </c>
      <c r="F32" s="28" t="s">
        <v>779</v>
      </c>
      <c r="G32" s="28" t="s">
        <v>151</v>
      </c>
      <c r="H32" s="28" t="s">
        <v>152</v>
      </c>
      <c r="I32" s="28" t="s">
        <v>780</v>
      </c>
      <c r="J32" s="28">
        <v>100</v>
      </c>
      <c r="K32" s="28" t="s">
        <v>769</v>
      </c>
      <c r="L32" s="28" t="s">
        <v>770</v>
      </c>
      <c r="M32" s="28" t="s">
        <v>724</v>
      </c>
      <c r="N32" s="63" t="s">
        <v>781</v>
      </c>
      <c r="O32" s="63" t="s">
        <v>16</v>
      </c>
      <c r="P32" s="69">
        <v>40</v>
      </c>
      <c r="Q32" s="67" t="s">
        <v>648</v>
      </c>
      <c r="R32" s="67">
        <v>1</v>
      </c>
      <c r="S32" s="28" t="s">
        <v>649</v>
      </c>
      <c r="T32" s="67">
        <v>1</v>
      </c>
    </row>
    <row r="33" spans="1:20" ht="43.5" customHeight="1">
      <c r="A33" s="28" t="s">
        <v>167</v>
      </c>
      <c r="B33" s="28" t="s">
        <v>168</v>
      </c>
      <c r="C33" s="28" t="s">
        <v>63</v>
      </c>
      <c r="D33" s="28" t="s">
        <v>13</v>
      </c>
      <c r="E33" s="28" t="s">
        <v>782</v>
      </c>
      <c r="F33" s="28" t="s">
        <v>783</v>
      </c>
      <c r="G33" s="28" t="s">
        <v>169</v>
      </c>
      <c r="H33" s="28" t="s">
        <v>170</v>
      </c>
      <c r="I33" s="28" t="s">
        <v>784</v>
      </c>
      <c r="J33" s="28" t="s">
        <v>785</v>
      </c>
      <c r="K33" s="28" t="s">
        <v>628</v>
      </c>
      <c r="L33" s="28" t="s">
        <v>770</v>
      </c>
      <c r="M33" s="28" t="s">
        <v>724</v>
      </c>
      <c r="N33" s="63" t="s">
        <v>781</v>
      </c>
      <c r="O33" s="63" t="s">
        <v>16</v>
      </c>
      <c r="P33" s="68">
        <v>0.8</v>
      </c>
      <c r="Q33" s="67" t="s">
        <v>648</v>
      </c>
      <c r="R33" s="67">
        <v>1</v>
      </c>
      <c r="S33" s="28" t="s">
        <v>633</v>
      </c>
      <c r="T33" s="67" t="s">
        <v>666</v>
      </c>
    </row>
    <row r="34" spans="1:20" ht="43.5" customHeight="1">
      <c r="A34" s="28" t="s">
        <v>201</v>
      </c>
      <c r="B34" s="28" t="s">
        <v>202</v>
      </c>
      <c r="C34" s="28" t="s">
        <v>86</v>
      </c>
      <c r="D34" s="28" t="s">
        <v>19</v>
      </c>
      <c r="E34" s="28" t="s">
        <v>786</v>
      </c>
      <c r="F34" s="28"/>
      <c r="G34" s="28" t="s">
        <v>203</v>
      </c>
      <c r="H34" s="28" t="s">
        <v>204</v>
      </c>
      <c r="I34" s="28" t="s">
        <v>787</v>
      </c>
      <c r="J34" s="28" t="s">
        <v>627</v>
      </c>
      <c r="K34" s="28" t="s">
        <v>628</v>
      </c>
      <c r="L34" s="28" t="s">
        <v>788</v>
      </c>
      <c r="M34" s="28"/>
      <c r="N34" s="63" t="s">
        <v>725</v>
      </c>
      <c r="O34" s="63" t="s">
        <v>16</v>
      </c>
      <c r="P34" s="79">
        <v>0.995</v>
      </c>
      <c r="Q34" s="67" t="s">
        <v>632</v>
      </c>
      <c r="R34" s="67">
        <v>1</v>
      </c>
      <c r="S34" s="28" t="s">
        <v>633</v>
      </c>
      <c r="T34" s="67">
        <v>3</v>
      </c>
    </row>
    <row r="35" spans="1:20" ht="43.5" customHeight="1">
      <c r="A35" s="28" t="s">
        <v>164</v>
      </c>
      <c r="B35" s="28" t="s">
        <v>165</v>
      </c>
      <c r="C35" s="28" t="s">
        <v>58</v>
      </c>
      <c r="D35" s="28" t="s">
        <v>13</v>
      </c>
      <c r="E35" s="28" t="s">
        <v>789</v>
      </c>
      <c r="F35" s="28" t="s">
        <v>790</v>
      </c>
      <c r="G35" s="28" t="s">
        <v>159</v>
      </c>
      <c r="H35" s="28" t="s">
        <v>166</v>
      </c>
      <c r="I35" s="28" t="s">
        <v>791</v>
      </c>
      <c r="J35" s="28" t="s">
        <v>792</v>
      </c>
      <c r="K35" s="28" t="s">
        <v>769</v>
      </c>
      <c r="L35" s="28" t="s">
        <v>770</v>
      </c>
      <c r="M35" s="28" t="s">
        <v>724</v>
      </c>
      <c r="N35" s="63" t="s">
        <v>716</v>
      </c>
      <c r="O35" s="63" t="s">
        <v>16</v>
      </c>
      <c r="P35" s="68">
        <v>0.95</v>
      </c>
      <c r="Q35" s="67" t="s">
        <v>632</v>
      </c>
      <c r="R35" s="67">
        <v>1</v>
      </c>
      <c r="S35" s="28" t="s">
        <v>633</v>
      </c>
      <c r="T35" s="67">
        <v>4</v>
      </c>
    </row>
    <row r="36" spans="1:20" ht="43.5" customHeight="1">
      <c r="A36" s="28" t="s">
        <v>205</v>
      </c>
      <c r="B36" s="28" t="s">
        <v>793</v>
      </c>
      <c r="C36" s="28" t="s">
        <v>86</v>
      </c>
      <c r="D36" s="28" t="s">
        <v>19</v>
      </c>
      <c r="E36" s="28" t="s">
        <v>794</v>
      </c>
      <c r="F36" s="28"/>
      <c r="G36" s="28" t="s">
        <v>203</v>
      </c>
      <c r="H36" s="28" t="s">
        <v>207</v>
      </c>
      <c r="I36" s="28" t="s">
        <v>795</v>
      </c>
      <c r="J36" s="28" t="s">
        <v>627</v>
      </c>
      <c r="K36" s="28" t="s">
        <v>628</v>
      </c>
      <c r="L36" s="28" t="s">
        <v>788</v>
      </c>
      <c r="M36" s="28"/>
      <c r="N36" s="63" t="s">
        <v>725</v>
      </c>
      <c r="O36" s="63" t="s">
        <v>16</v>
      </c>
      <c r="P36" s="79">
        <v>0.995</v>
      </c>
      <c r="Q36" s="67" t="s">
        <v>632</v>
      </c>
      <c r="R36" s="67">
        <v>1</v>
      </c>
      <c r="S36" s="28" t="s">
        <v>633</v>
      </c>
      <c r="T36" s="67">
        <v>2</v>
      </c>
    </row>
    <row r="37" spans="1:20" ht="43.5" customHeight="1">
      <c r="A37" s="28" t="s">
        <v>179</v>
      </c>
      <c r="B37" s="28" t="s">
        <v>180</v>
      </c>
      <c r="C37" s="28" t="s">
        <v>86</v>
      </c>
      <c r="D37" s="28" t="s">
        <v>19</v>
      </c>
      <c r="E37" s="28" t="s">
        <v>796</v>
      </c>
      <c r="F37" s="28"/>
      <c r="G37" s="28" t="s">
        <v>181</v>
      </c>
      <c r="H37" s="28" t="s">
        <v>182</v>
      </c>
      <c r="I37" s="28" t="s">
        <v>797</v>
      </c>
      <c r="J37" s="28" t="s">
        <v>627</v>
      </c>
      <c r="K37" s="28" t="s">
        <v>798</v>
      </c>
      <c r="L37" s="28" t="s">
        <v>799</v>
      </c>
      <c r="M37" s="64" t="s">
        <v>800</v>
      </c>
      <c r="N37" s="63" t="s">
        <v>647</v>
      </c>
      <c r="O37" s="63" t="s">
        <v>16</v>
      </c>
      <c r="P37" s="68">
        <v>0.95</v>
      </c>
      <c r="Q37" s="67" t="s">
        <v>632</v>
      </c>
      <c r="R37" s="67">
        <v>1</v>
      </c>
      <c r="S37" s="28" t="s">
        <v>633</v>
      </c>
      <c r="T37" s="67">
        <v>1</v>
      </c>
    </row>
    <row r="38" spans="1:20" s="71" customFormat="1" ht="43.5" customHeight="1">
      <c r="A38" s="28" t="s">
        <v>184</v>
      </c>
      <c r="B38" s="28" t="s">
        <v>801</v>
      </c>
      <c r="C38" s="28" t="s">
        <v>186</v>
      </c>
      <c r="D38" s="28" t="s">
        <v>19</v>
      </c>
      <c r="E38" s="28" t="s">
        <v>802</v>
      </c>
      <c r="F38" s="28"/>
      <c r="G38" s="28" t="s">
        <v>187</v>
      </c>
      <c r="H38" s="28" t="s">
        <v>188</v>
      </c>
      <c r="I38" s="28" t="s">
        <v>803</v>
      </c>
      <c r="J38" s="28">
        <v>150</v>
      </c>
      <c r="K38" s="28" t="s">
        <v>798</v>
      </c>
      <c r="L38" s="28" t="s">
        <v>799</v>
      </c>
      <c r="M38" s="64" t="s">
        <v>800</v>
      </c>
      <c r="N38" s="63" t="s">
        <v>647</v>
      </c>
      <c r="O38" s="63" t="s">
        <v>16</v>
      </c>
      <c r="P38" s="69">
        <v>1</v>
      </c>
      <c r="Q38" s="67" t="s">
        <v>648</v>
      </c>
      <c r="R38" s="71">
        <v>1</v>
      </c>
      <c r="S38" s="28" t="s">
        <v>649</v>
      </c>
      <c r="T38" s="71">
        <v>2</v>
      </c>
    </row>
    <row r="39" spans="1:20" ht="43.5" customHeight="1">
      <c r="A39" s="28" t="s">
        <v>189</v>
      </c>
      <c r="B39" s="28" t="s">
        <v>190</v>
      </c>
      <c r="C39" s="28" t="s">
        <v>191</v>
      </c>
      <c r="D39" s="28" t="s">
        <v>19</v>
      </c>
      <c r="E39" s="28" t="s">
        <v>804</v>
      </c>
      <c r="F39" s="28"/>
      <c r="G39" s="28" t="s">
        <v>75</v>
      </c>
      <c r="H39" s="28" t="s">
        <v>192</v>
      </c>
      <c r="I39" s="28" t="s">
        <v>805</v>
      </c>
      <c r="J39" s="28">
        <v>150</v>
      </c>
      <c r="K39" s="28" t="s">
        <v>798</v>
      </c>
      <c r="L39" s="28" t="s">
        <v>799</v>
      </c>
      <c r="M39" s="64" t="s">
        <v>800</v>
      </c>
      <c r="N39" s="63" t="s">
        <v>647</v>
      </c>
      <c r="O39" s="63" t="s">
        <v>16</v>
      </c>
      <c r="P39" s="69">
        <v>1</v>
      </c>
      <c r="Q39" s="67" t="s">
        <v>648</v>
      </c>
      <c r="R39" s="67">
        <v>1</v>
      </c>
      <c r="S39" s="28" t="s">
        <v>649</v>
      </c>
      <c r="T39" s="67">
        <v>3</v>
      </c>
    </row>
    <row r="40" spans="1:20" ht="43.5" customHeight="1">
      <c r="A40" s="28" t="s">
        <v>193</v>
      </c>
      <c r="B40" s="28" t="s">
        <v>194</v>
      </c>
      <c r="C40" s="28" t="s">
        <v>86</v>
      </c>
      <c r="D40" s="28" t="s">
        <v>19</v>
      </c>
      <c r="E40" s="28" t="s">
        <v>806</v>
      </c>
      <c r="F40" s="28"/>
      <c r="G40" s="28" t="s">
        <v>181</v>
      </c>
      <c r="H40" s="28" t="s">
        <v>195</v>
      </c>
      <c r="I40" s="28" t="s">
        <v>807</v>
      </c>
      <c r="J40" s="28" t="s">
        <v>627</v>
      </c>
      <c r="K40" s="28" t="s">
        <v>798</v>
      </c>
      <c r="L40" s="28" t="s">
        <v>808</v>
      </c>
      <c r="M40" s="64" t="s">
        <v>809</v>
      </c>
      <c r="N40" s="63" t="s">
        <v>647</v>
      </c>
      <c r="O40" s="63" t="s">
        <v>16</v>
      </c>
      <c r="P40" s="68">
        <v>0.95</v>
      </c>
      <c r="Q40" s="67" t="s">
        <v>632</v>
      </c>
      <c r="R40" s="67">
        <v>1</v>
      </c>
      <c r="S40" s="28" t="s">
        <v>633</v>
      </c>
      <c r="T40" s="67" t="s">
        <v>666</v>
      </c>
    </row>
    <row r="41" spans="1:20" ht="43.5" customHeight="1">
      <c r="A41" s="28" t="s">
        <v>196</v>
      </c>
      <c r="B41" s="28" t="s">
        <v>197</v>
      </c>
      <c r="C41" s="28" t="s">
        <v>86</v>
      </c>
      <c r="D41" s="28" t="s">
        <v>19</v>
      </c>
      <c r="E41" s="28" t="s">
        <v>810</v>
      </c>
      <c r="F41" s="28"/>
      <c r="G41" s="28" t="s">
        <v>198</v>
      </c>
      <c r="H41" s="28" t="s">
        <v>199</v>
      </c>
      <c r="I41" s="28" t="s">
        <v>811</v>
      </c>
      <c r="J41" s="28" t="s">
        <v>627</v>
      </c>
      <c r="K41" s="28" t="s">
        <v>812</v>
      </c>
      <c r="L41" s="28" t="s">
        <v>788</v>
      </c>
      <c r="M41" s="28"/>
      <c r="N41" s="63" t="s">
        <v>725</v>
      </c>
      <c r="O41" s="63" t="s">
        <v>16</v>
      </c>
      <c r="P41" s="68">
        <v>0.05</v>
      </c>
      <c r="Q41" s="67" t="s">
        <v>648</v>
      </c>
      <c r="R41" s="67">
        <v>1</v>
      </c>
      <c r="S41" s="28" t="s">
        <v>633</v>
      </c>
      <c r="T41" s="67">
        <v>4</v>
      </c>
    </row>
    <row r="42" spans="1:20" ht="43.5" customHeight="1">
      <c r="A42" s="28" t="s">
        <v>208</v>
      </c>
      <c r="B42" s="28" t="s">
        <v>813</v>
      </c>
      <c r="C42" s="28" t="s">
        <v>86</v>
      </c>
      <c r="D42" s="28" t="s">
        <v>19</v>
      </c>
      <c r="E42" s="28" t="s">
        <v>814</v>
      </c>
      <c r="F42" s="28"/>
      <c r="G42" s="28" t="s">
        <v>210</v>
      </c>
      <c r="H42" s="28" t="s">
        <v>211</v>
      </c>
      <c r="I42" s="28" t="s">
        <v>815</v>
      </c>
      <c r="J42" s="28" t="s">
        <v>816</v>
      </c>
      <c r="K42" s="28" t="s">
        <v>628</v>
      </c>
      <c r="L42" s="28" t="s">
        <v>788</v>
      </c>
      <c r="M42" s="28"/>
      <c r="N42" s="63" t="s">
        <v>725</v>
      </c>
      <c r="O42" s="63" t="s">
        <v>16</v>
      </c>
      <c r="P42" s="68">
        <v>0.95</v>
      </c>
      <c r="Q42" s="67" t="s">
        <v>632</v>
      </c>
      <c r="R42" s="67">
        <v>1</v>
      </c>
      <c r="S42" s="28" t="s">
        <v>633</v>
      </c>
      <c r="T42" s="67" t="s">
        <v>666</v>
      </c>
    </row>
    <row r="43" spans="1:20" ht="43.5" customHeight="1">
      <c r="A43" s="28" t="s">
        <v>212</v>
      </c>
      <c r="B43" s="28" t="s">
        <v>817</v>
      </c>
      <c r="C43" s="28" t="s">
        <v>86</v>
      </c>
      <c r="D43" s="28" t="s">
        <v>19</v>
      </c>
      <c r="E43" s="28" t="s">
        <v>818</v>
      </c>
      <c r="F43" s="28"/>
      <c r="G43" s="28" t="s">
        <v>210</v>
      </c>
      <c r="H43" s="28" t="s">
        <v>819</v>
      </c>
      <c r="I43" s="28" t="s">
        <v>820</v>
      </c>
      <c r="J43" s="28" t="s">
        <v>816</v>
      </c>
      <c r="K43" s="28" t="s">
        <v>628</v>
      </c>
      <c r="L43" s="28" t="s">
        <v>788</v>
      </c>
      <c r="M43" s="28"/>
      <c r="N43" s="63" t="s">
        <v>725</v>
      </c>
      <c r="O43" s="63" t="s">
        <v>16</v>
      </c>
      <c r="P43" s="68">
        <v>0.95</v>
      </c>
      <c r="Q43" s="67" t="s">
        <v>632</v>
      </c>
      <c r="R43" s="67">
        <v>1</v>
      </c>
      <c r="S43" s="28" t="s">
        <v>633</v>
      </c>
      <c r="T43" s="67">
        <v>1</v>
      </c>
    </row>
    <row r="44" spans="1:20" ht="43.5" customHeight="1">
      <c r="A44" s="28" t="s">
        <v>234</v>
      </c>
      <c r="B44" s="28" t="s">
        <v>637</v>
      </c>
      <c r="C44" s="28" t="s">
        <v>12</v>
      </c>
      <c r="D44" s="28" t="s">
        <v>19</v>
      </c>
      <c r="E44" s="28" t="s">
        <v>638</v>
      </c>
      <c r="F44" s="28" t="s">
        <v>639</v>
      </c>
      <c r="G44" s="28" t="s">
        <v>14</v>
      </c>
      <c r="H44" s="28" t="s">
        <v>235</v>
      </c>
      <c r="I44" s="28" t="s">
        <v>821</v>
      </c>
      <c r="J44" s="28" t="s">
        <v>627</v>
      </c>
      <c r="K44" s="28" t="s">
        <v>628</v>
      </c>
      <c r="L44" s="28" t="s">
        <v>629</v>
      </c>
      <c r="M44" s="28" t="s">
        <v>630</v>
      </c>
      <c r="N44" s="63" t="s">
        <v>631</v>
      </c>
      <c r="O44" s="63" t="s">
        <v>16</v>
      </c>
      <c r="P44" s="68">
        <v>0.98</v>
      </c>
      <c r="Q44" s="67" t="s">
        <v>632</v>
      </c>
      <c r="R44" s="67">
        <v>1</v>
      </c>
      <c r="S44" s="28" t="s">
        <v>633</v>
      </c>
      <c r="T44" s="67">
        <v>4</v>
      </c>
    </row>
    <row r="45" spans="1:20" ht="43.5" customHeight="1">
      <c r="A45" s="28" t="s">
        <v>236</v>
      </c>
      <c r="B45" s="28" t="s">
        <v>237</v>
      </c>
      <c r="C45" s="28" t="s">
        <v>26</v>
      </c>
      <c r="D45" s="28" t="s">
        <v>13</v>
      </c>
      <c r="E45" s="28" t="s">
        <v>822</v>
      </c>
      <c r="F45" s="28" t="s">
        <v>823</v>
      </c>
      <c r="G45" s="28" t="s">
        <v>48</v>
      </c>
      <c r="H45" s="28" t="s">
        <v>238</v>
      </c>
      <c r="I45" s="28" t="s">
        <v>824</v>
      </c>
      <c r="J45" s="28">
        <v>1000</v>
      </c>
      <c r="K45" s="28" t="s">
        <v>628</v>
      </c>
      <c r="L45" s="28" t="s">
        <v>645</v>
      </c>
      <c r="M45" s="64" t="s">
        <v>646</v>
      </c>
      <c r="N45" s="63" t="s">
        <v>647</v>
      </c>
      <c r="O45" s="63" t="s">
        <v>16</v>
      </c>
      <c r="P45" s="69"/>
      <c r="R45" s="67">
        <v>1</v>
      </c>
      <c r="S45" s="28" t="s">
        <v>649</v>
      </c>
      <c r="T45" s="67">
        <v>1</v>
      </c>
    </row>
    <row r="46" spans="1:20" ht="43.5" customHeight="1">
      <c r="A46" s="28" t="s">
        <v>217</v>
      </c>
      <c r="B46" s="28" t="s">
        <v>140</v>
      </c>
      <c r="C46" s="28" t="s">
        <v>218</v>
      </c>
      <c r="D46" s="28" t="s">
        <v>19</v>
      </c>
      <c r="E46" s="28" t="s">
        <v>825</v>
      </c>
      <c r="F46" s="28"/>
      <c r="G46" s="28" t="s">
        <v>219</v>
      </c>
      <c r="H46" s="28" t="s">
        <v>220</v>
      </c>
      <c r="I46" s="28" t="s">
        <v>826</v>
      </c>
      <c r="J46" s="28" t="s">
        <v>816</v>
      </c>
      <c r="K46" s="28" t="s">
        <v>769</v>
      </c>
      <c r="L46" s="28" t="s">
        <v>827</v>
      </c>
      <c r="M46" s="64" t="s">
        <v>828</v>
      </c>
      <c r="N46" s="63" t="s">
        <v>631</v>
      </c>
      <c r="O46" s="63" t="s">
        <v>16</v>
      </c>
      <c r="P46" s="79">
        <v>0.995</v>
      </c>
      <c r="Q46" s="67" t="s">
        <v>632</v>
      </c>
      <c r="R46" s="67">
        <v>1</v>
      </c>
      <c r="S46" s="28" t="s">
        <v>633</v>
      </c>
      <c r="T46" s="67" t="s">
        <v>666</v>
      </c>
    </row>
    <row r="47" spans="1:20" ht="43.5" customHeight="1">
      <c r="A47" s="28" t="s">
        <v>223</v>
      </c>
      <c r="B47" s="28" t="s">
        <v>158</v>
      </c>
      <c r="C47" s="28" t="s">
        <v>224</v>
      </c>
      <c r="D47" s="28" t="s">
        <v>19</v>
      </c>
      <c r="E47" s="28" t="s">
        <v>829</v>
      </c>
      <c r="F47" s="28"/>
      <c r="G47" s="28" t="s">
        <v>225</v>
      </c>
      <c r="H47" s="28" t="s">
        <v>226</v>
      </c>
      <c r="I47" s="28" t="s">
        <v>830</v>
      </c>
      <c r="J47" s="28">
        <v>100</v>
      </c>
      <c r="K47" s="28" t="s">
        <v>769</v>
      </c>
      <c r="L47" s="28" t="s">
        <v>770</v>
      </c>
      <c r="M47" s="28"/>
      <c r="N47" s="63" t="s">
        <v>716</v>
      </c>
      <c r="O47" s="63" t="s">
        <v>16</v>
      </c>
      <c r="P47" s="68"/>
      <c r="R47" s="67">
        <v>1</v>
      </c>
      <c r="S47" s="28" t="s">
        <v>649</v>
      </c>
      <c r="T47" s="67">
        <v>1</v>
      </c>
    </row>
    <row r="48" spans="1:20" ht="60.75" customHeight="1">
      <c r="A48" s="28" t="s">
        <v>227</v>
      </c>
      <c r="B48" s="28" t="s">
        <v>145</v>
      </c>
      <c r="C48" s="28" t="s">
        <v>58</v>
      </c>
      <c r="D48" s="28" t="s">
        <v>19</v>
      </c>
      <c r="E48" s="28" t="s">
        <v>774</v>
      </c>
      <c r="F48" s="28"/>
      <c r="G48" s="28" t="s">
        <v>228</v>
      </c>
      <c r="H48" s="28" t="s">
        <v>831</v>
      </c>
      <c r="I48" s="28" t="s">
        <v>832</v>
      </c>
      <c r="J48" s="28" t="s">
        <v>777</v>
      </c>
      <c r="K48" s="28" t="s">
        <v>769</v>
      </c>
      <c r="L48" s="28" t="s">
        <v>770</v>
      </c>
      <c r="M48" s="28"/>
      <c r="N48" s="63" t="s">
        <v>716</v>
      </c>
      <c r="O48" s="63" t="s">
        <v>16</v>
      </c>
      <c r="P48" s="68">
        <v>0.98</v>
      </c>
      <c r="Q48" s="67" t="s">
        <v>632</v>
      </c>
      <c r="R48" s="67">
        <v>1</v>
      </c>
      <c r="S48" s="28" t="s">
        <v>633</v>
      </c>
      <c r="T48" s="67" t="s">
        <v>666</v>
      </c>
    </row>
    <row r="49" spans="1:20" ht="43.5" customHeight="1">
      <c r="A49" s="28" t="s">
        <v>231</v>
      </c>
      <c r="B49" s="28" t="s">
        <v>232</v>
      </c>
      <c r="C49" s="28" t="s">
        <v>224</v>
      </c>
      <c r="D49" s="28" t="s">
        <v>19</v>
      </c>
      <c r="E49" s="28" t="s">
        <v>833</v>
      </c>
      <c r="F49" s="28"/>
      <c r="G49" s="28" t="s">
        <v>225</v>
      </c>
      <c r="H49" s="28" t="s">
        <v>233</v>
      </c>
      <c r="I49" s="28" t="s">
        <v>834</v>
      </c>
      <c r="J49" s="28">
        <v>100</v>
      </c>
      <c r="K49" s="28" t="s">
        <v>769</v>
      </c>
      <c r="L49" s="28" t="s">
        <v>770</v>
      </c>
      <c r="M49" s="28"/>
      <c r="N49" s="63" t="s">
        <v>647</v>
      </c>
      <c r="O49" s="63" t="s">
        <v>16</v>
      </c>
      <c r="P49" s="69">
        <v>50</v>
      </c>
      <c r="Q49" s="67" t="s">
        <v>648</v>
      </c>
      <c r="R49" s="67">
        <v>1</v>
      </c>
      <c r="S49" s="28" t="s">
        <v>649</v>
      </c>
      <c r="T49" s="67">
        <v>4</v>
      </c>
    </row>
    <row r="50" spans="1:20" ht="43.5" customHeight="1">
      <c r="A50" s="28" t="s">
        <v>241</v>
      </c>
      <c r="B50" s="28" t="s">
        <v>242</v>
      </c>
      <c r="C50" s="28" t="s">
        <v>222</v>
      </c>
      <c r="D50" s="28" t="s">
        <v>19</v>
      </c>
      <c r="E50" s="28" t="s">
        <v>835</v>
      </c>
      <c r="F50" s="28" t="s">
        <v>836</v>
      </c>
      <c r="G50" s="28" t="s">
        <v>243</v>
      </c>
      <c r="H50" s="28" t="s">
        <v>244</v>
      </c>
      <c r="I50" s="28" t="s">
        <v>244</v>
      </c>
      <c r="J50" s="28">
        <v>100</v>
      </c>
      <c r="K50" s="28" t="s">
        <v>628</v>
      </c>
      <c r="L50" s="28" t="s">
        <v>827</v>
      </c>
      <c r="M50" s="64" t="s">
        <v>828</v>
      </c>
      <c r="N50" s="63" t="s">
        <v>631</v>
      </c>
      <c r="O50" s="63" t="s">
        <v>16</v>
      </c>
      <c r="R50" s="67">
        <v>1</v>
      </c>
      <c r="S50" s="28" t="s">
        <v>649</v>
      </c>
      <c r="T50" s="67">
        <v>1</v>
      </c>
    </row>
    <row r="51" spans="1:20" ht="43.5" customHeight="1">
      <c r="A51" s="70"/>
      <c r="B51" s="28"/>
      <c r="C51" s="28"/>
      <c r="D51" s="28"/>
      <c r="E51" s="28"/>
      <c r="F51" s="28"/>
      <c r="G51" s="28"/>
      <c r="H51" s="28"/>
      <c r="I51" s="28"/>
      <c r="J51" s="28"/>
      <c r="K51" s="28"/>
      <c r="L51" s="28"/>
      <c r="M51" s="28"/>
      <c r="S51" s="28"/>
    </row>
    <row r="52" spans="1:20" ht="43.5" customHeight="1">
      <c r="A52" s="70"/>
      <c r="B52" s="28"/>
      <c r="C52" s="28"/>
      <c r="D52" s="28"/>
      <c r="E52" s="28"/>
      <c r="F52" s="28"/>
      <c r="G52" s="28"/>
      <c r="H52" s="28"/>
      <c r="I52" s="28"/>
      <c r="J52" s="28"/>
      <c r="K52" s="28"/>
      <c r="L52" s="28"/>
      <c r="M52" s="28"/>
      <c r="S52" s="28"/>
    </row>
    <row r="53" spans="1:20" ht="43.5" customHeight="1">
      <c r="A53" s="70"/>
      <c r="B53" s="28"/>
      <c r="C53" s="28"/>
      <c r="D53" s="28"/>
      <c r="E53" s="28"/>
      <c r="F53" s="28"/>
      <c r="G53" s="28"/>
      <c r="H53" s="28"/>
      <c r="I53" s="28"/>
      <c r="J53" s="28"/>
      <c r="K53" s="28"/>
      <c r="L53" s="28"/>
      <c r="M53" s="28"/>
      <c r="S53" s="28"/>
    </row>
    <row r="54" spans="1:20" ht="43.5" customHeight="1">
      <c r="A54" s="70"/>
      <c r="B54" s="28"/>
      <c r="C54" s="28"/>
      <c r="D54" s="28"/>
      <c r="E54" s="28"/>
      <c r="F54" s="28"/>
      <c r="G54" s="28"/>
      <c r="H54" s="28"/>
      <c r="I54" s="28"/>
      <c r="J54" s="28"/>
      <c r="K54" s="28"/>
      <c r="L54" s="28"/>
      <c r="M54" s="28"/>
      <c r="S54" s="28"/>
    </row>
    <row r="55" spans="1:20" ht="43.5" customHeight="1">
      <c r="A55" s="70"/>
      <c r="B55" s="28"/>
      <c r="C55" s="28"/>
      <c r="D55" s="28"/>
      <c r="E55" s="28"/>
      <c r="F55" s="28"/>
      <c r="G55" s="28"/>
      <c r="H55" s="28"/>
      <c r="I55" s="28"/>
      <c r="J55" s="28"/>
      <c r="K55" s="28"/>
      <c r="L55" s="28"/>
      <c r="M55" s="28"/>
      <c r="S55" s="28"/>
    </row>
    <row r="56" spans="1:20" ht="43.5" customHeight="1">
      <c r="A56" s="70"/>
      <c r="B56" s="28"/>
      <c r="C56" s="28"/>
      <c r="D56" s="28"/>
      <c r="E56" s="28"/>
      <c r="F56" s="28"/>
      <c r="G56" s="28"/>
      <c r="H56" s="28"/>
      <c r="I56" s="28"/>
      <c r="J56" s="28"/>
      <c r="K56" s="28"/>
      <c r="L56" s="28"/>
      <c r="M56" s="28"/>
      <c r="S56" s="28"/>
    </row>
    <row r="57" spans="1:20" ht="43.5" customHeight="1">
      <c r="A57" s="70"/>
      <c r="B57" s="28"/>
      <c r="C57" s="28"/>
      <c r="D57" s="28"/>
      <c r="E57" s="28"/>
      <c r="F57" s="28"/>
      <c r="G57" s="28"/>
      <c r="H57" s="28"/>
      <c r="I57" s="28"/>
      <c r="J57" s="28"/>
      <c r="K57" s="28"/>
      <c r="L57" s="28"/>
      <c r="M57" s="28"/>
      <c r="S57" s="28"/>
    </row>
    <row r="58" spans="1:20" ht="43.5" customHeight="1">
      <c r="A58" s="70"/>
      <c r="B58" s="28"/>
      <c r="C58" s="28"/>
      <c r="D58" s="28"/>
      <c r="E58" s="28"/>
      <c r="F58" s="28"/>
      <c r="G58" s="28"/>
      <c r="H58" s="28"/>
      <c r="I58" s="28"/>
      <c r="J58" s="28"/>
      <c r="K58" s="28"/>
      <c r="L58" s="28"/>
      <c r="M58" s="28"/>
      <c r="S58" s="28"/>
    </row>
    <row r="59" spans="1:20" ht="43.5" customHeight="1">
      <c r="A59" s="70"/>
      <c r="B59" s="28"/>
      <c r="C59" s="28"/>
      <c r="D59" s="28"/>
      <c r="E59" s="28"/>
      <c r="F59" s="28"/>
      <c r="G59" s="28"/>
      <c r="H59" s="28"/>
      <c r="I59" s="28"/>
      <c r="J59" s="28"/>
      <c r="K59" s="28"/>
      <c r="L59" s="28"/>
      <c r="M59" s="28"/>
      <c r="S59" s="28"/>
    </row>
    <row r="60" spans="1:20" ht="43.5" customHeight="1">
      <c r="A60" s="70"/>
      <c r="B60" s="28"/>
      <c r="C60" s="28"/>
      <c r="D60" s="28"/>
      <c r="E60" s="28"/>
      <c r="F60" s="28"/>
      <c r="G60" s="28"/>
      <c r="H60" s="28"/>
      <c r="I60" s="28"/>
      <c r="J60" s="28"/>
      <c r="K60" s="28"/>
      <c r="L60" s="28"/>
      <c r="M60" s="28"/>
      <c r="S60" s="28"/>
    </row>
  </sheetData>
  <autoFilter ref="A1:T49" xr:uid="{95A3656D-28E2-4433-BA6A-079B3AAA1596}"/>
  <conditionalFormatting sqref="A6 K6 Q2:S9 O7:P9 O2:P5 O10:S49 L30:M30 E30:J30 A2:M5 E7:M29 A7:D49 E31:M49 S2:XFD49 A50 H50 O50">
    <cfRule type="cellIs" dxfId="22" priority="139" operator="equal">
      <formula>"-"</formula>
    </cfRule>
  </conditionalFormatting>
  <conditionalFormatting sqref="M6">
    <cfRule type="cellIs" dxfId="21" priority="126" operator="equal">
      <formula>"-"</formula>
    </cfRule>
  </conditionalFormatting>
  <conditionalFormatting sqref="B6 E6 P6">
    <cfRule type="cellIs" dxfId="20" priority="135" operator="equal">
      <formula>"-"</formula>
    </cfRule>
  </conditionalFormatting>
  <conditionalFormatting sqref="C6">
    <cfRule type="cellIs" dxfId="19" priority="134" operator="equal">
      <formula>"-"</formula>
    </cfRule>
  </conditionalFormatting>
  <conditionalFormatting sqref="D6">
    <cfRule type="cellIs" dxfId="18" priority="132" operator="equal">
      <formula>"-"</formula>
    </cfRule>
  </conditionalFormatting>
  <conditionalFormatting sqref="F6">
    <cfRule type="cellIs" dxfId="17" priority="131" operator="equal">
      <formula>"-"</formula>
    </cfRule>
  </conditionalFormatting>
  <conditionalFormatting sqref="G6">
    <cfRule type="cellIs" dxfId="16" priority="130" operator="equal">
      <formula>"-"</formula>
    </cfRule>
  </conditionalFormatting>
  <conditionalFormatting sqref="H6:I6">
    <cfRule type="cellIs" dxfId="15" priority="129" operator="equal">
      <formula>"-"</formula>
    </cfRule>
  </conditionalFormatting>
  <conditionalFormatting sqref="J6">
    <cfRule type="cellIs" dxfId="14" priority="128" operator="equal">
      <formula>"-"</formula>
    </cfRule>
  </conditionalFormatting>
  <conditionalFormatting sqref="L6">
    <cfRule type="cellIs" dxfId="13" priority="127" operator="equal">
      <formula>"-"</formula>
    </cfRule>
  </conditionalFormatting>
  <conditionalFormatting sqref="O6">
    <cfRule type="cellIs" dxfId="12" priority="125" operator="equal">
      <formula>"-"</formula>
    </cfRule>
  </conditionalFormatting>
  <conditionalFormatting sqref="K30">
    <cfRule type="cellIs" dxfId="11" priority="15" operator="equal">
      <formula>"-"</formula>
    </cfRule>
  </conditionalFormatting>
  <conditionalFormatting sqref="N2:N49">
    <cfRule type="cellIs" dxfId="10" priority="14" operator="equal">
      <formula>"-"</formula>
    </cfRule>
  </conditionalFormatting>
  <conditionalFormatting sqref="C50">
    <cfRule type="cellIs" dxfId="9" priority="12" operator="equal">
      <formula>"-"</formula>
    </cfRule>
  </conditionalFormatting>
  <conditionalFormatting sqref="D50">
    <cfRule type="cellIs" dxfId="8" priority="11" operator="equal">
      <formula>"-"</formula>
    </cfRule>
  </conditionalFormatting>
  <conditionalFormatting sqref="F50">
    <cfRule type="cellIs" dxfId="7" priority="10" operator="equal">
      <formula>"-"</formula>
    </cfRule>
  </conditionalFormatting>
  <conditionalFormatting sqref="G50">
    <cfRule type="cellIs" dxfId="6" priority="9" operator="equal">
      <formula>"-"</formula>
    </cfRule>
  </conditionalFormatting>
  <conditionalFormatting sqref="K50">
    <cfRule type="cellIs" dxfId="5" priority="7" operator="equal">
      <formula>"-"</formula>
    </cfRule>
  </conditionalFormatting>
  <conditionalFormatting sqref="N50">
    <cfRule type="cellIs" dxfId="4" priority="5" operator="equal">
      <formula>"-"</formula>
    </cfRule>
  </conditionalFormatting>
  <conditionalFormatting sqref="L50">
    <cfRule type="cellIs" dxfId="3" priority="4" operator="equal">
      <formula>"-"</formula>
    </cfRule>
  </conditionalFormatting>
  <conditionalFormatting sqref="M50">
    <cfRule type="cellIs" dxfId="2" priority="3" operator="equal">
      <formula>"-"</formula>
    </cfRule>
  </conditionalFormatting>
  <conditionalFormatting sqref="S50">
    <cfRule type="cellIs" dxfId="1" priority="2" operator="equal">
      <formula>"-"</formula>
    </cfRule>
  </conditionalFormatting>
  <conditionalFormatting sqref="I50">
    <cfRule type="cellIs" dxfId="0" priority="1" operator="equal">
      <formula>"-"</formula>
    </cfRule>
  </conditionalFormatting>
  <hyperlinks>
    <hyperlink ref="M3" r:id="rId1" xr:uid="{73E372BE-D6DF-4C7E-AFA8-91DCB9587260}"/>
    <hyperlink ref="M5" r:id="rId2" xr:uid="{148927C4-F324-47CB-B6A4-0E5933CF9934}"/>
    <hyperlink ref="M6" r:id="rId3" xr:uid="{A8C6D6C1-F9FA-461C-9BF6-D5826E2A09E9}"/>
    <hyperlink ref="M9" r:id="rId4" xr:uid="{C74A0680-86AB-48AC-8C3B-00F3CAE41DA7}"/>
    <hyperlink ref="M7" r:id="rId5" xr:uid="{41B17246-8035-4008-8F85-6BE8E1B3D193}"/>
    <hyperlink ref="M8" r:id="rId6" xr:uid="{331686E8-568F-4C3A-A334-EC298EB4088C}"/>
    <hyperlink ref="M10" r:id="rId7" xr:uid="{E088D6EE-38D5-40EC-8681-452B724CA25D}"/>
    <hyperlink ref="M13" r:id="rId8" xr:uid="{1DAAC2C2-56AA-495F-BB6A-5B6588EAC906}"/>
    <hyperlink ref="M11" r:id="rId9" xr:uid="{78BF83AD-828D-42AA-B771-F7DF00F418BF}"/>
    <hyperlink ref="M12" r:id="rId10" xr:uid="{5F8F49FD-2560-43D5-B1CB-3A73F9D99DF7}"/>
    <hyperlink ref="M14" r:id="rId11" xr:uid="{436993E9-7592-4973-8716-810A1903002F}"/>
    <hyperlink ref="M15" r:id="rId12" xr:uid="{6D9D20E8-79A1-41AA-B6C1-4972320BC80C}"/>
    <hyperlink ref="M16" r:id="rId13" xr:uid="{1EB28672-82A5-4345-A1E5-5EE354F310CE}"/>
    <hyperlink ref="M19" r:id="rId14" xr:uid="{D27FD8ED-4995-4907-AB83-EEF7BEB8BF19}"/>
    <hyperlink ref="M17" r:id="rId15" xr:uid="{B84744A5-3AB6-4EAF-B9BF-01A686477826}"/>
    <hyperlink ref="M18" r:id="rId16" xr:uid="{C6DF93A5-1C2D-44BA-A9C0-9402654EFD1B}"/>
    <hyperlink ref="M22" r:id="rId17" xr:uid="{A0B62796-F73A-4045-B4EB-D2FFC21A807F}"/>
    <hyperlink ref="M23" r:id="rId18" xr:uid="{700316D7-3A41-432F-8973-36E15C6DEF12}"/>
    <hyperlink ref="M26" r:id="rId19" xr:uid="{856AC066-523A-4E75-BDF8-CD235DA5B13D}"/>
    <hyperlink ref="M27" r:id="rId20" xr:uid="{0D2B4A99-66EA-4808-9E09-031C2F301D84}"/>
    <hyperlink ref="M28" r:id="rId21" xr:uid="{2B385C02-D804-4D2E-8178-16BB2E90E1B2}"/>
    <hyperlink ref="M37" r:id="rId22" xr:uid="{223B0A7F-A0D8-4EEB-9E2C-CC8A555542C4}"/>
    <hyperlink ref="M38" r:id="rId23" xr:uid="{885C1690-852A-4DA2-9610-23E3D7DFAA42}"/>
    <hyperlink ref="M39" r:id="rId24" xr:uid="{0AC2E534-E6EA-4BB3-BE41-D63C96A03E26}"/>
    <hyperlink ref="M40" r:id="rId25" xr:uid="{26739A6A-D718-4D48-815F-03DEC984B1E5}"/>
    <hyperlink ref="M46" r:id="rId26" xr:uid="{2098BB4F-CA91-4101-AA73-966889E7B452}"/>
    <hyperlink ref="M45" r:id="rId27" xr:uid="{50B857B9-B11C-41FA-ABF2-1F46F44E5255}"/>
    <hyperlink ref="M50" r:id="rId28" xr:uid="{54A9D927-BFBA-4024-A0FC-CCF59C12D06B}"/>
  </hyperlinks>
  <pageMargins left="0.7" right="0.7" top="0.75" bottom="0.75" header="0.3" footer="0.3"/>
  <pageSetup paperSize="9"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8D431-9F78-4F19-A6E4-D0B0986CF0A0}">
  <dimension ref="A1"/>
  <sheetViews>
    <sheetView topLeftCell="A14" workbookViewId="0" xr3:uid="{7DB20FE9-183C-517D-BA32-C3CF45940C72}">
      <selection activeCell="G33" sqref="G33"/>
    </sheetView>
  </sheetViews>
  <sheetFormatPr defaultRowHeight="13.9"/>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71DFE-EA0A-4A09-ABFE-9A3DC01589C0}">
  <dimension ref="A1:R53"/>
  <sheetViews>
    <sheetView topLeftCell="A2" workbookViewId="0" xr3:uid="{51968832-DA79-5DA7-B47D-82E7D0D4CE39}">
      <selection activeCell="F39" sqref="F39"/>
    </sheetView>
  </sheetViews>
  <sheetFormatPr defaultColWidth="9.140625" defaultRowHeight="10.15"/>
  <cols>
    <col min="1" max="1" width="24.28515625" style="36" customWidth="1"/>
    <col min="2" max="8" width="9.140625" style="36"/>
    <col min="9" max="9" width="10" style="36" bestFit="1" customWidth="1"/>
    <col min="10" max="16" width="9.140625" style="36"/>
    <col min="17" max="17" width="81.85546875" style="36" bestFit="1" customWidth="1"/>
    <col min="18" max="16384" width="9.140625" style="36"/>
  </cols>
  <sheetData>
    <row r="1" spans="1:18" ht="10.9" thickBot="1">
      <c r="A1" s="36" t="s">
        <v>837</v>
      </c>
    </row>
    <row r="2" spans="1:18" ht="10.9" thickBot="1">
      <c r="A2" s="37" t="s">
        <v>276</v>
      </c>
      <c r="Q2" s="36" t="s">
        <v>838</v>
      </c>
      <c r="R2" s="36" t="s">
        <v>839</v>
      </c>
    </row>
    <row r="3" spans="1:18" ht="10.9" thickBot="1">
      <c r="A3" s="37" t="s">
        <v>251</v>
      </c>
      <c r="Q3" s="36" t="s">
        <v>840</v>
      </c>
      <c r="R3" s="36" t="s">
        <v>841</v>
      </c>
    </row>
    <row r="4" spans="1:18" ht="10.9" thickBot="1">
      <c r="A4" s="37" t="s">
        <v>842</v>
      </c>
      <c r="Q4" s="36" t="s">
        <v>843</v>
      </c>
      <c r="R4" s="36" t="s">
        <v>844</v>
      </c>
    </row>
    <row r="5" spans="1:18" ht="10.9" thickBot="1">
      <c r="A5" s="37" t="s">
        <v>845</v>
      </c>
      <c r="Q5" s="36" t="s">
        <v>846</v>
      </c>
      <c r="R5" s="36" t="s">
        <v>847</v>
      </c>
    </row>
    <row r="6" spans="1:18" ht="10.9" thickBot="1">
      <c r="A6" s="37" t="s">
        <v>254</v>
      </c>
      <c r="I6" s="38"/>
      <c r="Q6" s="36" t="s">
        <v>848</v>
      </c>
      <c r="R6" s="36" t="s">
        <v>849</v>
      </c>
    </row>
    <row r="7" spans="1:18">
      <c r="Q7" s="36" t="s">
        <v>850</v>
      </c>
      <c r="R7" s="36" t="s">
        <v>851</v>
      </c>
    </row>
    <row r="8" spans="1:18">
      <c r="A8" s="36" t="s">
        <v>852</v>
      </c>
      <c r="Q8" s="36" t="s">
        <v>853</v>
      </c>
      <c r="R8" s="36" t="s">
        <v>854</v>
      </c>
    </row>
    <row r="9" spans="1:18">
      <c r="A9" s="36" t="s">
        <v>855</v>
      </c>
      <c r="Q9" s="36" t="s">
        <v>856</v>
      </c>
      <c r="R9" s="36" t="s">
        <v>857</v>
      </c>
    </row>
    <row r="10" spans="1:18">
      <c r="A10" s="36" t="s">
        <v>858</v>
      </c>
    </row>
    <row r="11" spans="1:18">
      <c r="A11" s="36" t="s">
        <v>859</v>
      </c>
    </row>
    <row r="13" spans="1:18">
      <c r="A13" s="36" t="s">
        <v>860</v>
      </c>
    </row>
    <row r="14" spans="1:18">
      <c r="A14" s="36" t="s">
        <v>861</v>
      </c>
    </row>
    <row r="15" spans="1:18">
      <c r="A15" s="36" t="s">
        <v>862</v>
      </c>
    </row>
    <row r="16" spans="1:18">
      <c r="A16" s="36" t="s">
        <v>863</v>
      </c>
    </row>
    <row r="17" spans="1:1">
      <c r="A17" s="36" t="s">
        <v>864</v>
      </c>
    </row>
    <row r="18" spans="1:1">
      <c r="A18" s="36" t="s">
        <v>865</v>
      </c>
    </row>
    <row r="21" spans="1:1">
      <c r="A21" s="36" t="s">
        <v>866</v>
      </c>
    </row>
    <row r="22" spans="1:1">
      <c r="A22" s="36" t="s">
        <v>867</v>
      </c>
    </row>
    <row r="23" spans="1:1">
      <c r="A23" s="36" t="s">
        <v>868</v>
      </c>
    </row>
    <row r="24" spans="1:1">
      <c r="A24" s="36" t="s">
        <v>869</v>
      </c>
    </row>
    <row r="25" spans="1:1">
      <c r="A25" s="36" t="s">
        <v>628</v>
      </c>
    </row>
    <row r="26" spans="1:1">
      <c r="A26" s="36" t="s">
        <v>870</v>
      </c>
    </row>
    <row r="27" spans="1:1">
      <c r="A27" s="36" t="s">
        <v>769</v>
      </c>
    </row>
    <row r="28" spans="1:1">
      <c r="A28" s="36" t="s">
        <v>871</v>
      </c>
    </row>
    <row r="29" spans="1:1">
      <c r="A29" s="36" t="s">
        <v>872</v>
      </c>
    </row>
    <row r="35" spans="1:1">
      <c r="A35" s="36" t="s">
        <v>873</v>
      </c>
    </row>
    <row r="36" spans="1:1">
      <c r="A36" s="36" t="s">
        <v>874</v>
      </c>
    </row>
    <row r="37" spans="1:1">
      <c r="A37" s="36" t="s">
        <v>875</v>
      </c>
    </row>
    <row r="38" spans="1:1">
      <c r="A38" s="36" t="s">
        <v>867</v>
      </c>
    </row>
    <row r="39" spans="1:1">
      <c r="A39" s="36" t="s">
        <v>628</v>
      </c>
    </row>
    <row r="40" spans="1:1">
      <c r="A40" s="36" t="s">
        <v>876</v>
      </c>
    </row>
    <row r="41" spans="1:1">
      <c r="A41" s="36" t="s">
        <v>877</v>
      </c>
    </row>
    <row r="42" spans="1:1">
      <c r="A42" s="36" t="s">
        <v>878</v>
      </c>
    </row>
    <row r="46" spans="1:1">
      <c r="A46" s="36" t="s">
        <v>879</v>
      </c>
    </row>
    <row r="47" spans="1:1">
      <c r="A47" s="36" t="s">
        <v>33</v>
      </c>
    </row>
    <row r="48" spans="1:1">
      <c r="A48" s="36" t="s">
        <v>36</v>
      </c>
    </row>
    <row r="49" spans="1:1">
      <c r="A49" s="36" t="s">
        <v>37</v>
      </c>
    </row>
    <row r="50" spans="1:1">
      <c r="A50" s="36" t="s">
        <v>40</v>
      </c>
    </row>
    <row r="51" spans="1:1">
      <c r="A51" s="36" t="s">
        <v>43</v>
      </c>
    </row>
    <row r="52" spans="1:1">
      <c r="A52" s="36" t="s">
        <v>183</v>
      </c>
    </row>
    <row r="53" spans="1:1">
      <c r="A53" s="36" t="s">
        <v>463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Aleksandr Kondratyev</dc:creator>
  <cp:keywords/>
  <dc:description/>
  <cp:lastModifiedBy>Ekaterina Rebrova</cp:lastModifiedBy>
  <cp:revision/>
  <dcterms:created xsi:type="dcterms:W3CDTF">2024-02-19T11:53:14Z</dcterms:created>
  <dcterms:modified xsi:type="dcterms:W3CDTF">2024-10-30T11:56:53Z</dcterms:modified>
  <cp:category/>
  <cp:contentStatus/>
</cp:coreProperties>
</file>