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ugracing_uoguelph_ca/Documents/Gryphon Racing Drive/GRC18/Design/Suspension/"/>
    </mc:Choice>
  </mc:AlternateContent>
  <xr:revisionPtr revIDLastSave="12" documentId="8_{B1BBE50C-6DBA-479D-A28D-B49595D57DC4}" xr6:coauthVersionLast="37" xr6:coauthVersionMax="37" xr10:uidLastSave="{C933BF5D-B896-4FED-BE8B-3C43A92A3AE7}"/>
  <bookViews>
    <workbookView xWindow="24570" yWindow="0" windowWidth="28800" windowHeight="11610" activeTab="3" xr2:uid="{00000000-000D-0000-FFFF-FFFF00000000}"/>
  </bookViews>
  <sheets>
    <sheet name="Suspension Points" sheetId="1" r:id="rId1"/>
    <sheet name="Wisbone Force Calcs " sheetId="10" r:id="rId2"/>
    <sheet name="Pullrod Force Calc" sheetId="13" r:id="rId3"/>
    <sheet name="Weight transfer" sheetId="5" r:id="rId4"/>
    <sheet name="Math" sheetId="4" r:id="rId5"/>
  </sheets>
  <externalReferences>
    <externalReference r:id="rId6"/>
  </externalReferences>
  <definedNames>
    <definedName name="AR_ARB">'Weight transfer'!$O$13</definedName>
    <definedName name="AR_FrontARB">'Weight transfer'!$O$11</definedName>
    <definedName name="AR_FrontAxleAndTire">'Weight transfer'!$O$39</definedName>
    <definedName name="AR_FrontSpring">'Weight transfer'!$O$8</definedName>
    <definedName name="AR_RearARB">'Weight transfer'!$O$12</definedName>
    <definedName name="AR_RearAxleAndTire">'Weight transfer'!$O$40</definedName>
    <definedName name="AR_RearSpring">'Weight transfer'!$O$9</definedName>
    <definedName name="AR_Spring">'Weight transfer'!$O$10</definedName>
    <definedName name="AR_Total">'Weight transfer'!$O$7</definedName>
    <definedName name="ARBMR_Fr">'Weight transfer'!$D$28</definedName>
    <definedName name="ARBMR_Rr">'Weight transfer'!$D$29</definedName>
    <definedName name="ARBStiffness_Fr">'Weight transfer'!$D$22</definedName>
    <definedName name="ARBStiffness_Rr">'Weight transfer'!$D$23</definedName>
    <definedName name="ARTotal_Tire">'Weight transfer'!$O$29</definedName>
    <definedName name="Cz">'Weight transfer'!$D$33</definedName>
    <definedName name="DeltaZ">'Weight transfer'!$O$20</definedName>
    <definedName name="DF">'Weight transfer'!$D$38</definedName>
    <definedName name="DF_Dist">'Weight transfer'!$D$34</definedName>
    <definedName name="F">[1]Sheet1!$K$12:$K$14</definedName>
    <definedName name="Front_SV_InstantCenter_X">'Suspension Points'!$O$24</definedName>
    <definedName name="Front_SV_InstantCenter_Z">'Suspension Points'!$Q$24</definedName>
    <definedName name="Front_Track">'Suspension Points'!$H$6</definedName>
    <definedName name="FrontTrack">'Weight transfer'!$D$4</definedName>
    <definedName name="FrontWheelRate_NoTire">'Weight transfer'!$O$16</definedName>
    <definedName name="Halftrack_Front">'Suspension Points'!$F$25</definedName>
    <definedName name="Halftrack_Rear">'Suspension Points'!$F$47</definedName>
    <definedName name="Instant_Center_Height">'Suspension Points'!$Q$18</definedName>
    <definedName name="Instant_Center_Offset">'Suspension Points'!$P$18</definedName>
    <definedName name="K">[1]Sheet1!$K$7:$M$9</definedName>
    <definedName name="la">[1]Sheet1!$F$8:$H$8</definedName>
    <definedName name="LatAccel">'Weight transfer'!$D$42</definedName>
    <definedName name="lb">[1]Sheet1!$F$9:$H$9</definedName>
    <definedName name="lLa" localSheetId="4">Math!$E$7:$G$7</definedName>
    <definedName name="lla">'Suspension Points'!$F$10:$H$10</definedName>
    <definedName name="lLb" localSheetId="4">Math!$E$6:$G$6</definedName>
    <definedName name="llb">'Suspension Points'!$F$9:$H$9</definedName>
    <definedName name="Lower_Chassis_2D_Mount">Math!$E$11:$G$11</definedName>
    <definedName name="Lower_Front_Points">'Suspension Points'!$F$9:$H$11</definedName>
    <definedName name="Lower_Inv">Math!$J$7:$L$9</definedName>
    <definedName name="Lower_t">Math!$O$7</definedName>
    <definedName name="lp0">'Suspension Points'!$F$11:$H$11</definedName>
    <definedName name="MassCGHeight">'Weight transfer'!$D$11</definedName>
    <definedName name="NSM_Fr">'Weight transfer'!$D$8</definedName>
    <definedName name="NSM_Rr">'Weight transfer'!$D$9</definedName>
    <definedName name="NSMCG_Fr">'Weight transfer'!$D$12</definedName>
    <definedName name="NSMCG_Rr">'Weight transfer'!$D$13</definedName>
    <definedName name="P">[1]Sheet1!$O$7:$Q$9</definedName>
    <definedName name="RC_Fr">'Weight transfer'!$D$30</definedName>
    <definedName name="RC_Rr">'Weight transfer'!$D$31</definedName>
    <definedName name="Rear_Halftrack">'Suspension Points'!$F$47</definedName>
    <definedName name="Rear_Instant_Center_Height">'Suspension Points'!$Q$41</definedName>
    <definedName name="Rear_Instant_Center_Offset">'Suspension Points'!$P$41</definedName>
    <definedName name="Rear_Lower_Inv">Math!$J$22:$L$24</definedName>
    <definedName name="Rear_Lower_Points">'Suspension Points'!$F$32:$H$34</definedName>
    <definedName name="Rear_Lower_t">Math!$O$22</definedName>
    <definedName name="Rear_Roll_Center_Height">'Suspension Points'!$Q$42</definedName>
    <definedName name="Rear_Static_Camber">'Suspension Points'!$F$52</definedName>
    <definedName name="Rear_SV_InstantCenter_X">'Suspension Points'!$O$45</definedName>
    <definedName name="Rear_SV_InstantCenter_Z">'Suspension Points'!$Q$45</definedName>
    <definedName name="Rear_Tire_Diam">'Suspension Points'!$F$50</definedName>
    <definedName name="Rear_Tire_Diameter">'Suspension Points'!$F$50</definedName>
    <definedName name="Rear_Tire_Longitudinal">'Suspension Points'!$F$46</definedName>
    <definedName name="Rear_Track">'Suspension Points'!$H$7</definedName>
    <definedName name="Rear_Upper_Inv">Math!$J$28:$L$30</definedName>
    <definedName name="Rear_Upper_Points">'Suspension Points'!$F$35:$H$37</definedName>
    <definedName name="Rear_Upper_t">Math!$O$28</definedName>
    <definedName name="Rear_Wheel_Center">'Suspension Points'!$Q$40</definedName>
    <definedName name="Rear_Wheel_Center_Offset">'Suspension Points'!$P$40</definedName>
    <definedName name="Rear_Wheel_Centerline_Axis">'Suspension Points'!$P$39</definedName>
    <definedName name="Rear_Wheel_Longitudinal_Offset">'Suspension Points'!$F$46</definedName>
    <definedName name="RearSuspensionPoints">'Suspension Points'!$F$32:$H$53</definedName>
    <definedName name="RearTrack">'Weight transfer'!$D$5</definedName>
    <definedName name="RearWheelRate_NoTire">'Weight transfer'!$O$17</definedName>
    <definedName name="RlLa">Math!$E$22:$G$22</definedName>
    <definedName name="RlLb">Math!$E$21:$G$21</definedName>
    <definedName name="Ro">'Weight transfer'!$D$35</definedName>
    <definedName name="Roll_Center_Height">'Suspension Points'!$Q$19</definedName>
    <definedName name="RuLa">Math!$E$28:$G$28</definedName>
    <definedName name="RuLb">Math!$E$27:$G$27</definedName>
    <definedName name="S">'Weight transfer'!$D$36</definedName>
    <definedName name="SM">'Weight transfer'!$D$14</definedName>
    <definedName name="SM_WD">'Weight transfer'!$D$15</definedName>
    <definedName name="SMCGHeight">'Weight transfer'!$D$18</definedName>
    <definedName name="Speed">'Weight transfer'!$D$37</definedName>
    <definedName name="SpringMR_Fr">'Weight transfer'!$D$26</definedName>
    <definedName name="SpringMR_Rr">'Weight transfer'!$D$27</definedName>
    <definedName name="SpringStiffness_Fr">'Weight transfer'!$D$20</definedName>
    <definedName name="SpringStiffness_Rr">'Weight transfer'!$D$21</definedName>
    <definedName name="Static_Camber">'Suspension Points'!$F$30</definedName>
    <definedName name="t">[1]Sheet1!$O$12</definedName>
    <definedName name="Tire_Diameter">'Suspension Points'!$F$28</definedName>
    <definedName name="Tire_Width">'Suspension Points'!$F$29</definedName>
    <definedName name="TireStiffness_Fr">'Weight transfer'!$D$24</definedName>
    <definedName name="TireStiffness_Rr">'Weight transfer'!$D$25</definedName>
    <definedName name="TotalMass">'Weight transfer'!$D$6</definedName>
    <definedName name="uLa" localSheetId="4">Math!$E$13:$G$13</definedName>
    <definedName name="ula">'Suspension Points'!$F$13:$H$13</definedName>
    <definedName name="uLb" localSheetId="4">Math!$E$12:$G$12</definedName>
    <definedName name="ulb">'Suspension Points'!$F$12:$H$12</definedName>
    <definedName name="up0">'Suspension Points'!$F$14:$H$14</definedName>
    <definedName name="Upper_Chassis_2D_Mount">Math!$E$17:$G$17</definedName>
    <definedName name="Upper_Front_Points">'Suspension Points'!$F$12:$H$14</definedName>
    <definedName name="Upper_Inv">Math!$J$13:$L$15</definedName>
    <definedName name="Upper_t">Math!$O$13</definedName>
    <definedName name="Ux">#REF!</definedName>
    <definedName name="Uy">#REF!</definedName>
    <definedName name="Uz">#REF!</definedName>
    <definedName name="WD">'Weight transfer'!$D$7</definedName>
    <definedName name="Wheel_Center">'Suspension Points'!$Q$17</definedName>
    <definedName name="Wheel_Center_Height">'Suspension Points'!$Q$17</definedName>
    <definedName name="Wheel_Center_Offset">'Suspension Points'!$P$17</definedName>
    <definedName name="Wheel_Centerline_Axis">'Suspension Points'!$P$16</definedName>
    <definedName name="Wheel_Longitudinal_Offset">'Suspension Points'!$F$24</definedName>
    <definedName name="Wheelbase">'Weight transfer'!$D$3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3" i="1" l="1"/>
  <c r="J34" i="1"/>
  <c r="J35" i="1"/>
  <c r="J36" i="1"/>
  <c r="J37" i="1"/>
  <c r="J38" i="1"/>
  <c r="J39" i="1"/>
  <c r="J40" i="1"/>
  <c r="J41" i="1"/>
  <c r="J42" i="1"/>
  <c r="J43" i="1"/>
  <c r="J44" i="1"/>
  <c r="J45" i="1"/>
  <c r="J3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9" i="1"/>
  <c r="G21" i="1" l="1"/>
  <c r="AP39" i="10" l="1"/>
  <c r="F25" i="1"/>
  <c r="O24" i="1"/>
  <c r="H7" i="10" l="1"/>
  <c r="AP41" i="10" l="1"/>
  <c r="F53" i="10"/>
  <c r="C18" i="13" l="1"/>
  <c r="F18" i="13" s="1"/>
  <c r="C17" i="13"/>
  <c r="F17" i="13" s="1"/>
  <c r="C16" i="13"/>
  <c r="F16" i="13" s="1"/>
  <c r="C15" i="13"/>
  <c r="F15" i="13" s="1"/>
  <c r="C14" i="13"/>
  <c r="F14" i="13" s="1"/>
  <c r="C13" i="13"/>
  <c r="F13" i="13" s="1"/>
  <c r="C12" i="13"/>
  <c r="F12" i="13" s="1"/>
  <c r="C11" i="13"/>
  <c r="F11" i="13" s="1"/>
  <c r="C10" i="13"/>
  <c r="F10" i="13" s="1"/>
  <c r="C9" i="13"/>
  <c r="F9" i="13" s="1"/>
  <c r="C8" i="13"/>
  <c r="F8" i="13" s="1"/>
  <c r="C7" i="13"/>
  <c r="F7" i="13" s="1"/>
  <c r="C6" i="13"/>
  <c r="F6" i="13" s="1"/>
  <c r="G8" i="13" l="1"/>
  <c r="I8" i="13" s="1"/>
  <c r="G16" i="13"/>
  <c r="I16" i="13" s="1"/>
  <c r="G12" i="13"/>
  <c r="I12" i="13" s="1"/>
  <c r="G6" i="13"/>
  <c r="I6" i="13" s="1"/>
  <c r="G18" i="13"/>
  <c r="I18" i="13" s="1"/>
  <c r="G14" i="13"/>
  <c r="I14" i="13" s="1"/>
  <c r="G10" i="13"/>
  <c r="I10" i="13" s="1"/>
  <c r="G13" i="13"/>
  <c r="I13" i="13" s="1"/>
  <c r="G17" i="13"/>
  <c r="I17" i="13" s="1"/>
  <c r="G7" i="13"/>
  <c r="I7" i="13" s="1"/>
  <c r="G11" i="13"/>
  <c r="I11" i="13" s="1"/>
  <c r="G15" i="13"/>
  <c r="I15" i="13" s="1"/>
  <c r="G9" i="13"/>
  <c r="I9" i="13" s="1"/>
  <c r="H10" i="13" l="1"/>
  <c r="J10" i="13" s="1"/>
  <c r="H6" i="13"/>
  <c r="J6" i="13" s="1"/>
  <c r="H15" i="13"/>
  <c r="J15" i="13" s="1"/>
  <c r="H18" i="13"/>
  <c r="J18" i="13" s="1"/>
  <c r="H9" i="13"/>
  <c r="J9" i="13" s="1"/>
  <c r="H7" i="13"/>
  <c r="J7" i="13" s="1"/>
  <c r="H17" i="13"/>
  <c r="J17" i="13" s="1"/>
  <c r="H14" i="13"/>
  <c r="J14" i="13" s="1"/>
  <c r="H11" i="13"/>
  <c r="J11" i="13" s="1"/>
  <c r="H12" i="13"/>
  <c r="J12" i="13" s="1"/>
  <c r="H8" i="13"/>
  <c r="J8" i="13" s="1"/>
  <c r="H16" i="13"/>
  <c r="J16" i="13" s="1"/>
  <c r="H13" i="13"/>
  <c r="J13" i="13" s="1"/>
  <c r="H6" i="10" l="1"/>
  <c r="AB16" i="10" l="1"/>
  <c r="G31" i="10"/>
  <c r="G51" i="10"/>
  <c r="AB17" i="10" l="1"/>
  <c r="Y19" i="1"/>
  <c r="Y17" i="1" l="1"/>
  <c r="Y20" i="1"/>
  <c r="Y21" i="1"/>
  <c r="Y22" i="1"/>
  <c r="Y16" i="1"/>
  <c r="F34" i="10" a="1"/>
  <c r="F34" i="10" s="1"/>
  <c r="H46" i="10" l="1"/>
  <c r="G45" i="10"/>
  <c r="F44" i="10"/>
  <c r="H42" i="10"/>
  <c r="G41" i="10"/>
  <c r="F40" i="10"/>
  <c r="H38" i="10"/>
  <c r="G37" i="10"/>
  <c r="F36" i="10"/>
  <c r="H34" i="10"/>
  <c r="F47" i="10"/>
  <c r="G44" i="10"/>
  <c r="H41" i="10"/>
  <c r="F39" i="10"/>
  <c r="G36" i="10"/>
  <c r="H47" i="10"/>
  <c r="G46" i="10"/>
  <c r="F45" i="10"/>
  <c r="H43" i="10"/>
  <c r="G42" i="10"/>
  <c r="F41" i="10"/>
  <c r="H39" i="10"/>
  <c r="G38" i="10"/>
  <c r="F37" i="10"/>
  <c r="H35" i="10"/>
  <c r="G34" i="10"/>
  <c r="H45" i="10"/>
  <c r="F43" i="10"/>
  <c r="G40" i="10"/>
  <c r="H37" i="10"/>
  <c r="F35" i="10"/>
  <c r="F46" i="10"/>
  <c r="H44" i="10"/>
  <c r="G43" i="10"/>
  <c r="F42" i="10"/>
  <c r="H40" i="10"/>
  <c r="G39" i="10"/>
  <c r="F38" i="10"/>
  <c r="H36" i="10"/>
  <c r="G35" i="10"/>
  <c r="AC16" i="10"/>
  <c r="Q65" i="10" l="1"/>
  <c r="O65" i="10"/>
  <c r="Q64" i="10"/>
  <c r="O64" i="10"/>
  <c r="AC17" i="10"/>
  <c r="AC18" i="10" s="1"/>
  <c r="AC19" i="10" s="1"/>
  <c r="Z61" i="10"/>
  <c r="Y51" i="10" s="1"/>
  <c r="F13" i="10" a="1"/>
  <c r="G13" i="10" s="1"/>
  <c r="O66" i="10" l="1"/>
  <c r="AC20" i="10"/>
  <c r="Z51" i="10"/>
  <c r="AA51" i="10"/>
  <c r="H27" i="10"/>
  <c r="G26" i="10"/>
  <c r="F25" i="10"/>
  <c r="H23" i="10"/>
  <c r="G22" i="10"/>
  <c r="F21" i="10"/>
  <c r="H19" i="10"/>
  <c r="G18" i="10"/>
  <c r="F17" i="10"/>
  <c r="H15" i="10"/>
  <c r="G14" i="10"/>
  <c r="F13" i="10"/>
  <c r="G27" i="10"/>
  <c r="F26" i="10"/>
  <c r="H24" i="10"/>
  <c r="G23" i="10"/>
  <c r="F22" i="10"/>
  <c r="H20" i="10"/>
  <c r="G19" i="10"/>
  <c r="F18" i="10"/>
  <c r="H16" i="10"/>
  <c r="G15" i="10"/>
  <c r="F14" i="10"/>
  <c r="F27" i="10"/>
  <c r="H25" i="10"/>
  <c r="G24" i="10"/>
  <c r="F23" i="10"/>
  <c r="H21" i="10"/>
  <c r="G20" i="10"/>
  <c r="F19" i="10"/>
  <c r="H17" i="10"/>
  <c r="G16" i="10"/>
  <c r="F15" i="10"/>
  <c r="H13" i="10"/>
  <c r="H26" i="10"/>
  <c r="G25" i="10"/>
  <c r="F24" i="10"/>
  <c r="H22" i="10"/>
  <c r="G21" i="10"/>
  <c r="F20" i="10"/>
  <c r="H18" i="10"/>
  <c r="G17" i="10"/>
  <c r="F16" i="10"/>
  <c r="H14" i="10"/>
  <c r="H5" i="10" l="1"/>
  <c r="Z39" i="10"/>
  <c r="Z29" i="10" s="1"/>
  <c r="Z40" i="10"/>
  <c r="Z30" i="10" s="1"/>
  <c r="Z41" i="10"/>
  <c r="Z31" i="10" s="1"/>
  <c r="Z42" i="10"/>
  <c r="Z32" i="10" s="1"/>
  <c r="Z44" i="10"/>
  <c r="Z34" i="10" s="1"/>
  <c r="AH44" i="10" s="1"/>
  <c r="Z43" i="10"/>
  <c r="Z33" i="10" s="1"/>
  <c r="Z60" i="10"/>
  <c r="Z63" i="10"/>
  <c r="Y52" i="10" s="1"/>
  <c r="Z64" i="10"/>
  <c r="Z67" i="10"/>
  <c r="R16" i="10" l="1"/>
  <c r="Y31" i="10"/>
  <c r="Z50" i="10"/>
  <c r="AA50" i="10"/>
  <c r="Y50" i="10"/>
  <c r="AA52" i="10"/>
  <c r="Z52" i="10"/>
  <c r="AA53" i="10"/>
  <c r="Y53" i="10"/>
  <c r="Z53" i="10"/>
  <c r="AA55" i="10"/>
  <c r="AI65" i="10" s="1"/>
  <c r="Y55" i="10"/>
  <c r="AG65" i="10" s="1"/>
  <c r="Z55" i="10"/>
  <c r="AH65" i="10" s="1"/>
  <c r="AA34" i="10"/>
  <c r="AI44" i="10" s="1"/>
  <c r="Y34" i="10"/>
  <c r="AG44" i="10" s="1"/>
  <c r="AA32" i="10"/>
  <c r="Y32" i="10"/>
  <c r="AA31" i="10"/>
  <c r="Y30" i="10"/>
  <c r="AA30" i="10"/>
  <c r="AA29" i="10"/>
  <c r="Y29" i="10"/>
  <c r="AA33" i="10"/>
  <c r="Y33" i="10"/>
  <c r="Q16" i="10"/>
  <c r="Y12" i="1"/>
  <c r="D21" i="5"/>
  <c r="R17" i="10" l="1"/>
  <c r="R18" i="10" s="1"/>
  <c r="R19" i="10" s="1"/>
  <c r="AM14" i="10"/>
  <c r="AM15" i="10" s="1"/>
  <c r="AL14" i="10"/>
  <c r="Q17" i="10"/>
  <c r="Q18" i="10" s="1"/>
  <c r="Q19" i="10" s="1"/>
  <c r="AC28" i="10" a="1"/>
  <c r="AD28" i="10" s="1"/>
  <c r="AC29" i="10" a="1"/>
  <c r="AE29" i="10" s="1"/>
  <c r="AC30" i="10" a="1"/>
  <c r="AH30" i="10" s="1"/>
  <c r="AM16" i="10" l="1"/>
  <c r="AI50" i="10" s="1"/>
  <c r="AM17" i="10"/>
  <c r="AI49" i="10" s="1"/>
  <c r="AG75" i="10" s="1"/>
  <c r="AI51" i="10"/>
  <c r="AL15" i="10"/>
  <c r="R20" i="10"/>
  <c r="R22" i="10" s="1"/>
  <c r="AF28" i="10"/>
  <c r="AE28" i="10"/>
  <c r="AE33" i="10" s="1"/>
  <c r="AC28" i="10"/>
  <c r="AH28" i="10"/>
  <c r="AH32" i="10" s="1"/>
  <c r="AG28" i="10"/>
  <c r="AG30" i="10"/>
  <c r="AH29" i="10"/>
  <c r="AD30" i="10"/>
  <c r="AD32" i="10" s="1"/>
  <c r="AG29" i="10"/>
  <c r="AF29" i="10"/>
  <c r="AE30" i="10"/>
  <c r="AD29" i="10"/>
  <c r="AD33" i="10" s="1"/>
  <c r="AC30" i="10"/>
  <c r="AC29" i="10"/>
  <c r="AF30" i="10"/>
  <c r="AL17" i="10" l="1"/>
  <c r="AI28" i="10" s="1"/>
  <c r="AL16" i="10"/>
  <c r="AI29" i="10" s="1"/>
  <c r="AI52" i="10"/>
  <c r="AG73" i="10"/>
  <c r="AI54" i="10"/>
  <c r="AI53" i="10"/>
  <c r="O72" i="10"/>
  <c r="O71" i="10"/>
  <c r="AI30" i="10"/>
  <c r="Q20" i="10"/>
  <c r="Q22" i="10" s="1"/>
  <c r="AC33" i="10"/>
  <c r="AG33" i="10"/>
  <c r="AC32" i="10"/>
  <c r="AE32" i="10"/>
  <c r="AF32" i="10"/>
  <c r="AF33" i="10"/>
  <c r="AH33" i="10"/>
  <c r="AG31" i="10"/>
  <c r="AE31" i="10"/>
  <c r="AG32" i="10"/>
  <c r="AF31" i="10"/>
  <c r="AD31" i="10"/>
  <c r="AC31" i="10"/>
  <c r="AH31" i="10"/>
  <c r="J5" i="5"/>
  <c r="J6" i="5"/>
  <c r="J7" i="5"/>
  <c r="J8" i="5"/>
  <c r="U8" i="5"/>
  <c r="D10" i="5"/>
  <c r="O11" i="5"/>
  <c r="B14" i="5"/>
  <c r="D14" i="5"/>
  <c r="O16" i="5"/>
  <c r="E28" i="5"/>
  <c r="U30" i="5"/>
  <c r="O33" i="5"/>
  <c r="O36" i="5"/>
  <c r="D37" i="5"/>
  <c r="D38" i="5"/>
  <c r="Q72" i="10" l="1"/>
  <c r="Q71" i="10"/>
  <c r="O73" i="10" s="1"/>
  <c r="O30" i="5"/>
  <c r="O8" i="5"/>
  <c r="O17" i="5"/>
  <c r="O44" i="5"/>
  <c r="D15" i="5"/>
  <c r="J11" i="5" s="1"/>
  <c r="J13" i="5" s="1"/>
  <c r="J15" i="5" s="1"/>
  <c r="O45" i="5"/>
  <c r="H5" i="1"/>
  <c r="D3" i="5" s="1"/>
  <c r="D16" i="5" s="1"/>
  <c r="J12" i="5" l="1"/>
  <c r="J14" i="5" s="1"/>
  <c r="J16" i="5" s="1"/>
  <c r="O39" i="5"/>
  <c r="J9" i="5"/>
  <c r="J10" i="5"/>
  <c r="P45" i="1"/>
  <c r="P40" i="1" l="1"/>
  <c r="Y18" i="1"/>
  <c r="H7" i="1"/>
  <c r="D5" i="5" s="1"/>
  <c r="Q40" i="1"/>
  <c r="Q39" i="1" s="1"/>
  <c r="P39" i="1"/>
  <c r="E5" i="4"/>
  <c r="E27" i="4" a="1"/>
  <c r="E27" i="4" s="1"/>
  <c r="E21" i="4" a="1"/>
  <c r="E21" i="4" s="1"/>
  <c r="E20" i="4"/>
  <c r="Q45" i="1"/>
  <c r="O45" i="1"/>
  <c r="P46" i="1" s="1"/>
  <c r="Q38" i="1"/>
  <c r="P38" i="1"/>
  <c r="Q36" i="1"/>
  <c r="P36" i="1"/>
  <c r="O12" i="5" l="1"/>
  <c r="O13" i="5" s="1"/>
  <c r="O37" i="5"/>
  <c r="O38" i="5" s="1"/>
  <c r="U10" i="5"/>
  <c r="O34" i="5"/>
  <c r="O35" i="5" s="1"/>
  <c r="U32" i="5"/>
  <c r="O31" i="5"/>
  <c r="O9" i="5"/>
  <c r="O10" i="5" s="1"/>
  <c r="P47" i="1"/>
  <c r="E30" i="4"/>
  <c r="K28" i="4" s="1"/>
  <c r="E25" i="4"/>
  <c r="L22" i="4" s="1"/>
  <c r="E31" i="4"/>
  <c r="L28" i="4" s="1"/>
  <c r="E24" i="4"/>
  <c r="K22" i="4" s="1"/>
  <c r="E29" i="4"/>
  <c r="G27" i="4"/>
  <c r="F29" i="4"/>
  <c r="E28" i="4"/>
  <c r="M28" i="4" s="1"/>
  <c r="G28" i="4"/>
  <c r="F27" i="4"/>
  <c r="G29" i="4"/>
  <c r="F28" i="4"/>
  <c r="E22" i="4"/>
  <c r="E23" i="4"/>
  <c r="G21" i="4"/>
  <c r="F23" i="4"/>
  <c r="G22" i="4"/>
  <c r="G24" i="4" s="1"/>
  <c r="F21" i="4"/>
  <c r="G23" i="4"/>
  <c r="F22" i="4"/>
  <c r="Y15" i="1"/>
  <c r="Y14" i="1"/>
  <c r="Y13" i="1"/>
  <c r="Q24" i="1"/>
  <c r="M23" i="4" l="1"/>
  <c r="O7" i="5"/>
  <c r="J18" i="5" s="1"/>
  <c r="O40" i="5"/>
  <c r="O41" i="5" s="1"/>
  <c r="O32" i="5"/>
  <c r="J22" i="4"/>
  <c r="M22" i="4"/>
  <c r="G31" i="4"/>
  <c r="L30" i="4" s="1"/>
  <c r="G30" i="4"/>
  <c r="K30" i="4" s="1"/>
  <c r="M24" i="4"/>
  <c r="G25" i="4"/>
  <c r="L24" i="4" s="1"/>
  <c r="J24" i="4"/>
  <c r="J30" i="4"/>
  <c r="M30" i="4"/>
  <c r="F31" i="4"/>
  <c r="L29" i="4" s="1"/>
  <c r="J29" i="4"/>
  <c r="M29" i="4"/>
  <c r="F30" i="4"/>
  <c r="K29" i="4" s="1"/>
  <c r="F25" i="4"/>
  <c r="L23" i="4" s="1"/>
  <c r="J23" i="4"/>
  <c r="F24" i="4"/>
  <c r="K23" i="4" s="1"/>
  <c r="J28" i="4"/>
  <c r="K24" i="4"/>
  <c r="P25" i="1"/>
  <c r="E10" i="4"/>
  <c r="L7" i="4" s="1"/>
  <c r="E6" i="4" a="1"/>
  <c r="G6" i="4" s="1"/>
  <c r="E12" i="4" a="1"/>
  <c r="G12" i="4" s="1"/>
  <c r="O29" i="5" l="1"/>
  <c r="J20" i="5"/>
  <c r="O22" i="4" a="1"/>
  <c r="O22" i="4" s="1"/>
  <c r="E26" i="4" s="1" a="1"/>
  <c r="O28" i="4" a="1"/>
  <c r="O28" i="4" s="1"/>
  <c r="E32" i="4" s="1" a="1"/>
  <c r="E15" i="4"/>
  <c r="K13" i="4" s="1"/>
  <c r="E9" i="4"/>
  <c r="K7" i="4" s="1"/>
  <c r="G7" i="4"/>
  <c r="G10" i="4" s="1"/>
  <c r="E7" i="4"/>
  <c r="M7" i="4" s="1"/>
  <c r="E16" i="4"/>
  <c r="L13" i="4" s="1"/>
  <c r="G14" i="4"/>
  <c r="G8" i="4"/>
  <c r="G13" i="4"/>
  <c r="E8" i="4"/>
  <c r="F6" i="4"/>
  <c r="E14" i="4"/>
  <c r="E13" i="4"/>
  <c r="F12" i="4"/>
  <c r="E12" i="4"/>
  <c r="E6" i="4"/>
  <c r="F14" i="4"/>
  <c r="F13" i="4"/>
  <c r="F8" i="4"/>
  <c r="F7" i="4"/>
  <c r="O23" i="4" l="1"/>
  <c r="O29" i="4"/>
  <c r="O24" i="4"/>
  <c r="O30" i="4"/>
  <c r="E32" i="4"/>
  <c r="F32" i="4"/>
  <c r="G32" i="4"/>
  <c r="G26" i="4"/>
  <c r="F26" i="4"/>
  <c r="E26" i="4"/>
  <c r="L9" i="4"/>
  <c r="G9" i="4"/>
  <c r="K9" i="4" s="1"/>
  <c r="J9" i="4"/>
  <c r="G16" i="4"/>
  <c r="L15" i="4" s="1"/>
  <c r="G15" i="4"/>
  <c r="K15" i="4" s="1"/>
  <c r="M15" i="4"/>
  <c r="J7" i="4"/>
  <c r="J15" i="4"/>
  <c r="M9" i="4"/>
  <c r="F9" i="4"/>
  <c r="K8" i="4" s="1"/>
  <c r="M8" i="4"/>
  <c r="J8" i="4"/>
  <c r="F10" i="4"/>
  <c r="L8" i="4" s="1"/>
  <c r="F15" i="4"/>
  <c r="K14" i="4" s="1"/>
  <c r="M14" i="4"/>
  <c r="J14" i="4"/>
  <c r="F16" i="4"/>
  <c r="L14" i="4" s="1"/>
  <c r="M13" i="4"/>
  <c r="J13" i="4"/>
  <c r="Q13" i="1"/>
  <c r="P13" i="1"/>
  <c r="Q15" i="1"/>
  <c r="P15" i="1"/>
  <c r="O35" i="1" l="1" a="1"/>
  <c r="O37" i="1" a="1"/>
  <c r="Q37" i="1" s="1"/>
  <c r="O7" i="4" a="1"/>
  <c r="O13" i="4" a="1"/>
  <c r="O13" i="4" s="1"/>
  <c r="O37" i="1" l="1"/>
  <c r="P37" i="1"/>
  <c r="O35" i="1"/>
  <c r="Q35" i="1"/>
  <c r="P35" i="1"/>
  <c r="E17" i="4" a="1"/>
  <c r="F17" i="4" s="1"/>
  <c r="O7" i="4"/>
  <c r="E11" i="4" s="1" a="1"/>
  <c r="E11" i="4" s="1"/>
  <c r="O9" i="4"/>
  <c r="O8" i="4"/>
  <c r="O15" i="4"/>
  <c r="O14" i="4"/>
  <c r="P41" i="1" l="1"/>
  <c r="E17" i="4"/>
  <c r="G17" i="4"/>
  <c r="O14" i="1" s="1" a="1"/>
  <c r="G11" i="4"/>
  <c r="F11" i="4"/>
  <c r="Q14" i="1" l="1"/>
  <c r="O12" i="1" a="1"/>
  <c r="P12" i="1" s="1"/>
  <c r="O14" i="1"/>
  <c r="P14" i="1"/>
  <c r="Q17" i="1"/>
  <c r="O39" i="1" l="1"/>
  <c r="P49" i="1" s="1"/>
  <c r="O40" i="1"/>
  <c r="O42" i="1"/>
  <c r="O41" i="1"/>
  <c r="Q12" i="1"/>
  <c r="Q18" i="1" s="1"/>
  <c r="O38" i="1"/>
  <c r="O36" i="1"/>
  <c r="Q16" i="1"/>
  <c r="O12" i="1"/>
  <c r="O17" i="1" s="1"/>
  <c r="P26" i="1"/>
  <c r="P22" i="1"/>
  <c r="Q41" i="1" l="1"/>
  <c r="P43" i="1"/>
  <c r="P18" i="1"/>
  <c r="O19" i="1"/>
  <c r="P48" i="1"/>
  <c r="O18" i="1"/>
  <c r="O16" i="1"/>
  <c r="O15" i="1"/>
  <c r="O13" i="1"/>
  <c r="Y23" i="1" l="1"/>
  <c r="G47" i="10"/>
  <c r="P27" i="1"/>
  <c r="P28" i="1"/>
  <c r="P44" i="1"/>
  <c r="Q42" i="1"/>
  <c r="D31" i="5" s="1"/>
  <c r="Z66" i="10" l="1"/>
  <c r="U40" i="5"/>
  <c r="O19" i="5"/>
  <c r="U18" i="5"/>
  <c r="P24" i="1"/>
  <c r="P17" i="1"/>
  <c r="P16" i="1"/>
  <c r="Y54" i="10" l="1"/>
  <c r="AC49" i="10" s="1" a="1"/>
  <c r="AA54" i="10"/>
  <c r="AC51" i="10" s="1" a="1"/>
  <c r="Z54" i="10"/>
  <c r="AC50" i="10" s="1" a="1"/>
  <c r="P21" i="1"/>
  <c r="P23" i="1"/>
  <c r="P20" i="1"/>
  <c r="Q19" i="1"/>
  <c r="D30" i="5" s="1"/>
  <c r="U38" i="5" s="1"/>
  <c r="AB18" i="10" l="1"/>
  <c r="AB19" i="10" s="1"/>
  <c r="AF50" i="10"/>
  <c r="AD50" i="10"/>
  <c r="AC50" i="10"/>
  <c r="AE50" i="10"/>
  <c r="AG50" i="10"/>
  <c r="AH50" i="10"/>
  <c r="AH49" i="10"/>
  <c r="AD49" i="10"/>
  <c r="AF49" i="10"/>
  <c r="AE49" i="10"/>
  <c r="AC49" i="10"/>
  <c r="AG49" i="10"/>
  <c r="AG51" i="10"/>
  <c r="AG52" i="10" s="1"/>
  <c r="AE51" i="10"/>
  <c r="AF51" i="10"/>
  <c r="AH51" i="10"/>
  <c r="AC51" i="10"/>
  <c r="AD51" i="10"/>
  <c r="AD52" i="10" s="1"/>
  <c r="O18" i="5"/>
  <c r="O20" i="5"/>
  <c r="U16" i="5"/>
  <c r="AE54" i="10" l="1"/>
  <c r="AD54" i="10"/>
  <c r="AG54" i="10"/>
  <c r="AF52" i="10"/>
  <c r="AC52" i="10"/>
  <c r="AE52" i="10"/>
  <c r="AH54" i="10"/>
  <c r="AF53" i="10"/>
  <c r="AG53" i="10"/>
  <c r="AE53" i="10"/>
  <c r="AH53" i="10"/>
  <c r="AH52" i="10"/>
  <c r="AD53" i="10"/>
  <c r="AC53" i="10"/>
  <c r="AF54" i="10"/>
  <c r="AC54" i="10"/>
  <c r="U36" i="5"/>
  <c r="U28" i="5" s="1"/>
  <c r="U34" i="5"/>
  <c r="U26" i="5" s="1"/>
  <c r="AI32" i="10"/>
  <c r="AB20" i="10"/>
  <c r="U12" i="5"/>
  <c r="O21" i="5"/>
  <c r="J17" i="5" s="1"/>
  <c r="O4" i="5"/>
  <c r="O3" i="5" s="1"/>
  <c r="O5" i="5" s="1"/>
  <c r="J3" i="5"/>
  <c r="J4" i="5" s="1"/>
  <c r="O26" i="5"/>
  <c r="O25" i="5" s="1"/>
  <c r="O27" i="5" s="1"/>
  <c r="U14" i="5"/>
  <c r="U6" i="5" s="1"/>
  <c r="AI33" i="10" l="1"/>
  <c r="AI31" i="10"/>
  <c r="O36" i="10" a="1"/>
  <c r="O36" i="10" s="1"/>
  <c r="AG60" i="10" s="1"/>
  <c r="O28" i="10" a="1"/>
  <c r="U4" i="5"/>
  <c r="J22" i="5" s="1"/>
  <c r="J21" i="5"/>
  <c r="H28" i="5"/>
  <c r="I28" i="5"/>
  <c r="I33" i="5"/>
  <c r="H33" i="5"/>
  <c r="Q36" i="10" l="1"/>
  <c r="AH60" i="10"/>
  <c r="AI60" i="10"/>
  <c r="O41" i="10"/>
  <c r="Q41" i="10" s="1"/>
  <c r="O38" i="10"/>
  <c r="Q38" i="10" s="1"/>
  <c r="O40" i="10"/>
  <c r="Q40" i="10" s="1"/>
  <c r="O39" i="10"/>
  <c r="Q39" i="10" s="1"/>
  <c r="O37" i="10"/>
  <c r="Q37" i="10" s="1"/>
  <c r="O32" i="10"/>
  <c r="O28" i="10"/>
  <c r="O33" i="10"/>
  <c r="O30" i="10"/>
  <c r="O29" i="10"/>
  <c r="O31" i="10"/>
  <c r="I27" i="5"/>
  <c r="H27" i="5"/>
  <c r="I32" i="5"/>
  <c r="H32" i="5"/>
  <c r="J23" i="5"/>
  <c r="Q31" i="10" l="1"/>
  <c r="AH42" i="10"/>
  <c r="AG42" i="10"/>
  <c r="AI42" i="10"/>
  <c r="Q29" i="10"/>
  <c r="AH40" i="10"/>
  <c r="AI40" i="10"/>
  <c r="AG40" i="10"/>
  <c r="Q30" i="10"/>
  <c r="AI41" i="10"/>
  <c r="AH41" i="10"/>
  <c r="AG41" i="10"/>
  <c r="Q33" i="10"/>
  <c r="P49" i="10"/>
  <c r="Q49" i="10"/>
  <c r="O49" i="10"/>
  <c r="Q28" i="10"/>
  <c r="AI39" i="10"/>
  <c r="AG39" i="10"/>
  <c r="AH39" i="10"/>
  <c r="Q32" i="10"/>
  <c r="AG43" i="10"/>
  <c r="O48" i="10" s="1"/>
  <c r="AH43" i="10"/>
  <c r="P48" i="10" s="1"/>
  <c r="AI43" i="10"/>
  <c r="Q48" i="10" s="1"/>
  <c r="AH64" i="10"/>
  <c r="P56" i="10" s="1"/>
  <c r="AI64" i="10"/>
  <c r="Q56" i="10" s="1"/>
  <c r="P57" i="10"/>
  <c r="Q57" i="10"/>
  <c r="O57" i="10"/>
  <c r="AG64" i="10"/>
  <c r="O56" i="10" s="1"/>
  <c r="AG63" i="10"/>
  <c r="AH63" i="10"/>
  <c r="AI63" i="10"/>
  <c r="AH62" i="10"/>
  <c r="AG62" i="10"/>
  <c r="AI62" i="10"/>
  <c r="AH61" i="10"/>
  <c r="P55" i="10" s="1"/>
  <c r="AG61" i="10"/>
  <c r="O55" i="10" s="1"/>
  <c r="AI61" i="10"/>
  <c r="Q55" i="10" s="1"/>
  <c r="A45" i="5"/>
  <c r="O46" i="10" l="1"/>
  <c r="P46" i="10"/>
  <c r="Q54" i="10"/>
  <c r="P47" i="10"/>
  <c r="Q46" i="10"/>
  <c r="O47" i="10"/>
  <c r="Q47" i="10"/>
  <c r="P54" i="10"/>
  <c r="O54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Gryphon Racing</author>
    <author>Jake Mac</author>
  </authors>
  <commentList>
    <comment ref="D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to Center
</t>
        </r>
      </text>
    </comment>
    <comment ref="D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to Center</t>
        </r>
      </text>
    </comment>
    <comment ref="D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to Center</t>
        </r>
      </text>
    </comment>
    <comment ref="F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G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H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L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See "Math" sheet for single point simplifications 
</t>
        </r>
      </text>
    </comment>
    <comment ref="O1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P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Q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M1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  <comment ref="M1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  <comment ref="M1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Based on tire contact patch, or half track
</t>
        </r>
      </text>
    </comment>
    <comment ref="M1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Based on Camber, not used in equations
</t>
        </r>
      </text>
    </comment>
    <comment ref="M18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From two A Arms</t>
        </r>
      </text>
    </comment>
    <comment ref="D24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Tire Center X dist
</t>
        </r>
      </text>
    </comment>
    <comment ref="D25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Front Wheel Center to Origin </t>
        </r>
      </text>
    </comment>
    <comment ref="D26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of rim to mounting face</t>
        </r>
      </text>
    </comment>
    <comment ref="O3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P3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Q3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M3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  <comment ref="M3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  <comment ref="M39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Based on tire contact patch, or half track
</t>
        </r>
      </text>
    </comment>
    <comment ref="M4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Based on Camber, not used in equations
</t>
        </r>
      </text>
    </comment>
    <comment ref="D46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Tire Center X dist</t>
        </r>
      </text>
    </comment>
    <comment ref="D47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Rear Wheel Center to Origin </t>
        </r>
      </text>
    </comment>
    <comment ref="D48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of rim to mounting face
</t>
        </r>
      </text>
    </comment>
    <comment ref="M50" authorId="1" shapeId="0" xr:uid="{00000000-0006-0000-0000-00001D000000}">
      <text>
        <r>
          <rPr>
            <b/>
            <sz val="9"/>
            <color indexed="81"/>
            <rFont val="Tahoma"/>
            <charset val="1"/>
          </rPr>
          <t>Jake Mac:</t>
        </r>
        <r>
          <rPr>
            <sz val="9"/>
            <color indexed="81"/>
            <rFont val="Tahoma"/>
            <charset val="1"/>
          </rPr>
          <t xml:space="preserve">
Needs to prevent bump steer. Either attach to A arm or generate a coordinate to match KRC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Gryphon Racing</author>
    <author>Jake Mac</author>
  </authors>
  <commentList>
    <comment ref="D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to Center
</t>
        </r>
      </text>
    </comment>
    <comment ref="D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to Center</t>
        </r>
      </text>
    </comment>
    <comment ref="D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Center to Center</t>
        </r>
      </text>
    </comment>
    <comment ref="F1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G1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H1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R15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From Tire Data
</t>
        </r>
      </text>
    </comment>
    <comment ref="AB15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From Tire Data
</t>
        </r>
      </text>
    </comment>
    <comment ref="AC1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From Tire Data
</t>
        </r>
      </text>
    </comment>
    <comment ref="L26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A Arm axial force magnitudes</t>
        </r>
      </text>
    </comment>
    <comment ref="V26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Force Vector pointing from upright to attachment</t>
        </r>
      </text>
    </comment>
    <comment ref="AI26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In N and Nm</t>
        </r>
      </text>
    </comment>
    <comment ref="Y2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Z28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AA28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D30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Taken off solidworks with 1 degree static camber
</t>
        </r>
      </text>
    </comment>
    <comment ref="D32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Origin of the upright in solidworks, wrt the car origin</t>
        </r>
      </text>
    </comment>
    <comment ref="D33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The center plane of the bearing, point laying tangent to the housing. 
Assumes both bearings are equidistant apart</t>
        </r>
      </text>
    </comment>
    <comment ref="L34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A Arm axial force magnitudes</t>
        </r>
      </text>
    </comment>
    <comment ref="AD3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Force Vector pointing from attachment to upright
</t>
        </r>
      </text>
    </comment>
    <comment ref="AG38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AH38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AI38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L43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Reaction forces acting at the upright
</t>
        </r>
      </text>
    </comment>
    <comment ref="O45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P45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Q45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V47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Force Vector pointing from upright to attachment
</t>
        </r>
      </text>
    </comment>
    <comment ref="AI47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In N and Nm
</t>
        </r>
      </text>
    </comment>
    <comment ref="L49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Spring force reacted assuming max compression, calcuated on other page through bellcrank geometry is used </t>
        </r>
      </text>
    </comment>
    <comment ref="Y49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Z49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AA49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D50" authorId="1" shapeId="0" xr:uid="{00000000-0006-0000-0100-000023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Taken off solidworks with 1 degree static camber
</t>
        </r>
      </text>
    </comment>
    <comment ref="L50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Assumed to be 475 nm for now</t>
        </r>
      </text>
    </comment>
    <comment ref="L51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Reaction forces acting at the upright
</t>
        </r>
      </text>
    </comment>
    <comment ref="D52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Origin of the upright in solidworks, wrt the car origin</t>
        </r>
      </text>
    </comment>
    <comment ref="D53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The center plane of the bearing, point laying tangent to the housing. 
Assumes both bearings are equidistant apart</t>
        </r>
      </text>
    </comment>
    <comment ref="O53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P53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Q53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L57" authorId="1" shapeId="0" xr:uid="{00000000-0006-0000-0100-00002B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Spring force reacted assuming max compression, calcuated on other page through bellcrank geometry is used </t>
        </r>
      </text>
    </comment>
    <comment ref="AD5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Force Vector pointing from attachment to upright
</t>
        </r>
      </text>
    </comment>
    <comment ref="L58" authorId="1" shapeId="0" xr:uid="{00000000-0006-0000-0100-00002D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Assumed to be 475 nm for now</t>
        </r>
      </text>
    </comment>
    <comment ref="AG59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AH5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AI5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O63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P63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Q63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O70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Longitudinal wrt Origin
</t>
        </r>
      </text>
    </comment>
    <comment ref="P70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Lateral wrt Origin</t>
        </r>
      </text>
    </comment>
    <comment ref="Q70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Height From Ground
</t>
        </r>
      </text>
    </comment>
    <comment ref="L71" authorId="1" shapeId="0" xr:uid="{00000000-0006-0000-0100-000037000000}">
      <text>
        <r>
          <rPr>
            <b/>
            <sz val="9"/>
            <color indexed="81"/>
            <rFont val="Tahoma"/>
            <family val="2"/>
          </rPr>
          <t>Jake Mac:</t>
        </r>
        <r>
          <rPr>
            <sz val="9"/>
            <color indexed="81"/>
            <rFont val="Tahoma"/>
            <family val="2"/>
          </rPr>
          <t xml:space="preserve">
Chassis side wheel bearing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Per Wheel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Per Wheel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Per Wheel</t>
        </r>
      </text>
    </comment>
    <comment ref="H8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Per Wheel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Per Corner</t>
        </r>
      </text>
    </comment>
    <comment ref="H10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Per Corner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Per Corner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The Y position of the NSM CG is equal to the half track.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Per Corner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The Y position of the NSM CG is equal to the half track.</t>
        </r>
      </text>
    </comment>
    <comment ref="H13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Per Corner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Per Corner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Per Corner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Per Corner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 xml:space="preserve">SM elastic weight transfer. No tire coupling.
</t>
        </r>
      </text>
    </comment>
    <comment ref="H19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SM elastic WT + SM geometric WT + NSM WT. No tire coupling.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SM elastic WT + SM geometric WT + NSM WT. Tire coupling.</t>
        </r>
      </text>
    </comment>
    <comment ref="H21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 xml:space="preserve">SM elastic weight transfer. No tire coupling.
</t>
        </r>
      </text>
    </comment>
    <comment ref="H22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SM elastic WT + SM geometric WT + NSM WT. No tire coupling.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3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SM elastic WT + SM geometric WT + NSM WT. Tire coupling.</t>
        </r>
      </text>
    </comment>
    <comment ref="B26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Wheel Motion / Spring Motion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" authorId="0" shapeId="0" xr:uid="{00000000-0006-0000-0400-000016000000}">
      <text>
        <r>
          <rPr>
            <b/>
            <sz val="9"/>
            <color indexed="81"/>
            <rFont val="Tahoma"/>
            <family val="2"/>
          </rPr>
          <t>Wheel Motion / Spring Motion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Wheel Motion / Spring Motion (mm/mm)
Chassis Roll / ARB Torsion
(deg/deg)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 shapeId="0" xr:uid="{00000000-0006-0000-0400-000018000000}">
      <text>
        <r>
          <rPr>
            <b/>
            <sz val="9"/>
            <color indexed="81"/>
            <rFont val="Tahoma"/>
            <family val="2"/>
          </rPr>
          <t>Wheel Motion / Spring Motion (mm/mm)
Chassis Roll / ARB Torsion
(deg/deg)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Gryphon Racing</author>
  </authors>
  <commentList>
    <comment ref="C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Based on tire contact patch, or half track
</t>
        </r>
      </text>
    </comment>
    <comment ref="C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Arbritray point in plane</t>
        </r>
      </text>
    </comment>
    <comment ref="C10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Arbritray point in plane</t>
        </r>
      </text>
    </comment>
    <comment ref="C1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  <comment ref="C17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  <comment ref="C20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Based on tire contact patch, or half track
</t>
        </r>
      </text>
    </comment>
    <comment ref="C24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Arbritray point in plane</t>
        </r>
      </text>
    </comment>
    <comment ref="C2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Arbritray point in plane</t>
        </r>
      </text>
    </comment>
    <comment ref="C26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  <comment ref="C30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Arbritray point in plane</t>
        </r>
      </text>
    </comment>
    <comment ref="C31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Arbritray point in plane</t>
        </r>
      </text>
    </comment>
    <comment ref="C32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Gryphon Racing:</t>
        </r>
        <r>
          <rPr>
            <sz val="9"/>
            <color indexed="81"/>
            <rFont val="Tahoma"/>
            <family val="2"/>
          </rPr>
          <t xml:space="preserve">
Double A-Arm simplified to one point</t>
        </r>
      </text>
    </comment>
  </commentList>
</comments>
</file>

<file path=xl/sharedStrings.xml><?xml version="1.0" encoding="utf-8"?>
<sst xmlns="http://schemas.openxmlformats.org/spreadsheetml/2006/main" count="829" uniqueCount="317">
  <si>
    <t>Wheel Base</t>
  </si>
  <si>
    <t>mm</t>
  </si>
  <si>
    <t>Front Track</t>
  </si>
  <si>
    <t>Rear Track</t>
  </si>
  <si>
    <t>X</t>
  </si>
  <si>
    <t>Y</t>
  </si>
  <si>
    <t>Z</t>
  </si>
  <si>
    <t>Lower</t>
  </si>
  <si>
    <t>Chassis Aft</t>
  </si>
  <si>
    <t>Chassis Fore</t>
  </si>
  <si>
    <t>Upright</t>
  </si>
  <si>
    <t>Upper</t>
  </si>
  <si>
    <t>Pullrod Upright</t>
  </si>
  <si>
    <t>Shock Chassis</t>
  </si>
  <si>
    <t>Steering</t>
  </si>
  <si>
    <t>Tierod Upright</t>
  </si>
  <si>
    <t>Tierod Rack</t>
  </si>
  <si>
    <t>Rack Center</t>
  </si>
  <si>
    <t>Half Track (Y Dist.)</t>
  </si>
  <si>
    <t>Rim dia.</t>
  </si>
  <si>
    <t>Tire Dia.</t>
  </si>
  <si>
    <t>Tire Width</t>
  </si>
  <si>
    <t>Static Camber</t>
  </si>
  <si>
    <t>deg</t>
  </si>
  <si>
    <t>Static Toe</t>
  </si>
  <si>
    <t>Kinematic Outputs</t>
  </si>
  <si>
    <t>Front</t>
  </si>
  <si>
    <t>Scrub Radius</t>
  </si>
  <si>
    <t>Wheel Center</t>
  </si>
  <si>
    <t>Roll Center</t>
  </si>
  <si>
    <t>Fvsa Angle</t>
  </si>
  <si>
    <t>Fvsa Length</t>
  </si>
  <si>
    <t>King Pin Angle</t>
  </si>
  <si>
    <t>Tire Centerline (Ground)</t>
  </si>
  <si>
    <t>Rocker Chassis Pivot</t>
  </si>
  <si>
    <t>Rocker Pivot Axis</t>
  </si>
  <si>
    <t>Shock Rocker Mount</t>
  </si>
  <si>
    <t>Pullrod Rocker Mount</t>
  </si>
  <si>
    <t>uP2</t>
  </si>
  <si>
    <t>Upper Point Below</t>
  </si>
  <si>
    <t>uP1</t>
  </si>
  <si>
    <t>Upper Point Above</t>
  </si>
  <si>
    <t>v</t>
  </si>
  <si>
    <t>uP0</t>
  </si>
  <si>
    <t>u</t>
  </si>
  <si>
    <t>uLa</t>
  </si>
  <si>
    <t>t</t>
  </si>
  <si>
    <t>uLb</t>
  </si>
  <si>
    <t>Upper Point Matrix</t>
  </si>
  <si>
    <t>Lower Chassis 2D Mount</t>
  </si>
  <si>
    <t>lP2</t>
  </si>
  <si>
    <t>Lower Point Below</t>
  </si>
  <si>
    <t>lP1</t>
  </si>
  <si>
    <t>Lower Point Above</t>
  </si>
  <si>
    <t>lP0</t>
  </si>
  <si>
    <t>lLa</t>
  </si>
  <si>
    <t>lLb</t>
  </si>
  <si>
    <t>Lower Point Matrix</t>
  </si>
  <si>
    <t>Points:</t>
  </si>
  <si>
    <t>Plane:</t>
  </si>
  <si>
    <t>Upper Chassis 2D Mount</t>
  </si>
  <si>
    <t>Front Suspension</t>
  </si>
  <si>
    <t>Intersection of a Line and Plane For Front View 2D Coordinates</t>
  </si>
  <si>
    <t>Longitudenal Offset (X Dist.)</t>
  </si>
  <si>
    <t>Svsa Angle</t>
  </si>
  <si>
    <t>Svsa Length</t>
  </si>
  <si>
    <t>Castor Angle</t>
  </si>
  <si>
    <t>Mechanical Trail</t>
  </si>
  <si>
    <t xml:space="preserve"> Wheel</t>
  </si>
  <si>
    <t>Rim Offset</t>
  </si>
  <si>
    <t>Length</t>
  </si>
  <si>
    <t>Output Link Lengths</t>
  </si>
  <si>
    <t>Pullrod Link</t>
  </si>
  <si>
    <t>Tierod Link</t>
  </si>
  <si>
    <t>Upper Aft Link</t>
  </si>
  <si>
    <t>Upper Fore Link</t>
  </si>
  <si>
    <t>Lower Aft Link</t>
  </si>
  <si>
    <t>Lower Fore Link</t>
  </si>
  <si>
    <t>Lower Balljoint (Upright)</t>
  </si>
  <si>
    <t>Upper Balljoint (Upright)</t>
  </si>
  <si>
    <t xml:space="preserve">Output Kinematic Properties Front </t>
  </si>
  <si>
    <t>Dim.</t>
  </si>
  <si>
    <t>Link Geometry Output</t>
  </si>
  <si>
    <t>Suspension Geometry Input</t>
  </si>
  <si>
    <t>Rear</t>
  </si>
  <si>
    <t>Output Kinematic Properties Rear</t>
  </si>
  <si>
    <t>Rear Suspension</t>
  </si>
  <si>
    <t>Car Properties Inputs</t>
  </si>
  <si>
    <t>Side View Instant Center</t>
  </si>
  <si>
    <t>Front View Instant Center</t>
  </si>
  <si>
    <t>N/mm</t>
  </si>
  <si>
    <t>Rear wheel rate (in serial with tire)</t>
  </si>
  <si>
    <t>Front wheel rate (in serial with tire)</t>
  </si>
  <si>
    <t>Error message box</t>
  </si>
  <si>
    <t>Additional values</t>
  </si>
  <si>
    <t>G</t>
  </si>
  <si>
    <t>Lat G</t>
  </si>
  <si>
    <t>N.m/°</t>
  </si>
  <si>
    <t>Total</t>
  </si>
  <si>
    <t>Case to simulate</t>
  </si>
  <si>
    <t>kg</t>
  </si>
  <si>
    <t>Lateral</t>
  </si>
  <si>
    <t>Rear Axle</t>
  </si>
  <si>
    <t>Front Axle</t>
  </si>
  <si>
    <t>A-R in Series with tires</t>
  </si>
  <si>
    <t>Kg</t>
  </si>
  <si>
    <t>Total Down Force</t>
  </si>
  <si>
    <t>Geo. W.T.</t>
  </si>
  <si>
    <t>Rear Tires</t>
  </si>
  <si>
    <t>km/h</t>
  </si>
  <si>
    <t>Speed</t>
  </si>
  <si>
    <t>Front Tires</t>
  </si>
  <si>
    <t>A-R moment coming from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</si>
  <si>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</si>
  <si>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Frontal Area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</si>
  <si>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</si>
  <si>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Air Density</t>
  </si>
  <si>
    <t>Rear ARB</t>
  </si>
  <si>
    <t>% Fr</t>
  </si>
  <si>
    <t>Down Force Distribution</t>
  </si>
  <si>
    <t>El. W.T.</t>
  </si>
  <si>
    <t>Front ARB</t>
  </si>
  <si>
    <t>-</t>
  </si>
  <si>
    <t>Down Force Coefficient</t>
  </si>
  <si>
    <t>Aero</t>
  </si>
  <si>
    <t>Rear springs</t>
  </si>
  <si>
    <t>Dynamic Load (Kg)</t>
  </si>
  <si>
    <r>
      <rPr>
        <b/>
        <sz val="11"/>
        <color theme="1"/>
        <rFont val="Calibri"/>
        <family val="2"/>
        <scheme val="minor"/>
      </rPr>
      <t xml:space="preserve">Rear </t>
    </r>
    <r>
      <rPr>
        <sz val="11"/>
        <color theme="1"/>
        <rFont val="Calibri"/>
        <family val="2"/>
        <scheme val="minor"/>
      </rPr>
      <t>roll center height</t>
    </r>
  </si>
  <si>
    <t>Front springs</t>
  </si>
  <si>
    <t>Tire Coupling</t>
  </si>
  <si>
    <r>
      <rPr>
        <b/>
        <sz val="11"/>
        <color theme="1"/>
        <rFont val="Calibri"/>
        <family val="2"/>
        <scheme val="minor"/>
      </rPr>
      <t xml:space="preserve">Front </t>
    </r>
    <r>
      <rPr>
        <sz val="11"/>
        <color theme="1"/>
        <rFont val="Calibri"/>
        <family val="2"/>
        <scheme val="minor"/>
      </rPr>
      <t>roll center height</t>
    </r>
  </si>
  <si>
    <t>Roll</t>
  </si>
  <si>
    <t>NSM - W.T.</t>
  </si>
  <si>
    <t>Anti-roll moment total</t>
  </si>
  <si>
    <t>Rear anti roll bar motion ratio</t>
  </si>
  <si>
    <t>Front anti roll bar motion ratio</t>
  </si>
  <si>
    <t>°/g</t>
  </si>
  <si>
    <t>Roll Gradient</t>
  </si>
  <si>
    <t>Rear spring motion ratio</t>
  </si>
  <si>
    <t>N.m</t>
  </si>
  <si>
    <t>Roll moment</t>
  </si>
  <si>
    <t>mm/mm</t>
  </si>
  <si>
    <t>Front spring motion ratio</t>
  </si>
  <si>
    <t>M.R.</t>
  </si>
  <si>
    <t>Total W.T.</t>
  </si>
  <si>
    <t>°</t>
  </si>
  <si>
    <t>Roll angle due to lat G</t>
  </si>
  <si>
    <r>
      <rPr>
        <b/>
        <sz val="12"/>
        <color rgb="FFFF0000"/>
        <rFont val="Calibri"/>
        <family val="2"/>
        <scheme val="minor"/>
      </rPr>
      <t>No</t>
    </r>
    <r>
      <rPr>
        <b/>
        <sz val="12"/>
        <color theme="1"/>
        <rFont val="Calibri"/>
        <family val="2"/>
        <scheme val="minor"/>
      </rPr>
      <t xml:space="preserve"> Tire Coupling</t>
    </r>
  </si>
  <si>
    <t>Rear tire stiffness</t>
  </si>
  <si>
    <t>Front tire stiffness</t>
  </si>
  <si>
    <t>Tires coupling</t>
  </si>
  <si>
    <r>
      <t>3</t>
    </r>
    <r>
      <rPr>
        <vertAlign val="superscript"/>
        <sz val="11"/>
        <color theme="1"/>
        <rFont val="Calibri"/>
        <family val="2"/>
        <scheme val="minor"/>
      </rPr>
      <t xml:space="preserve">rd </t>
    </r>
    <r>
      <rPr>
        <sz val="11"/>
        <color theme="1"/>
        <rFont val="Calibri"/>
        <family val="2"/>
        <scheme val="minor"/>
      </rPr>
      <t>magic number</t>
    </r>
  </si>
  <si>
    <t>N.m/deg</t>
  </si>
  <si>
    <t>Rear ARB stiffness</t>
  </si>
  <si>
    <r>
      <t>2</t>
    </r>
    <r>
      <rPr>
        <vertAlign val="superscript"/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>magic number</t>
    </r>
  </si>
  <si>
    <t>Front ARB stiffness</t>
  </si>
  <si>
    <t>kg.m²</t>
  </si>
  <si>
    <r>
      <t>Suspended mass inertia in roll - I</t>
    </r>
    <r>
      <rPr>
        <vertAlign val="subscript"/>
        <sz val="11"/>
        <color theme="1"/>
        <rFont val="Calibri"/>
        <family val="2"/>
        <scheme val="minor"/>
      </rPr>
      <t>roll</t>
    </r>
  </si>
  <si>
    <t>kg/kg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</si>
  <si>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magic number</t>
    </r>
  </si>
  <si>
    <t>Rear spring stiffness</t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</si>
  <si>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Distance from SM CG to roll axis </t>
    </r>
    <r>
      <rPr>
        <b/>
        <sz val="11"/>
        <color theme="1"/>
        <rFont val="Calibri"/>
        <family val="2"/>
        <scheme val="minor"/>
      </rPr>
      <t>@ SM CG</t>
    </r>
  </si>
  <si>
    <t>Front spring stiffness</t>
  </si>
  <si>
    <t>Spring ARB Tire</t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</si>
  <si>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Distance from SM CG to </t>
    </r>
    <r>
      <rPr>
        <b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 xml:space="preserve"> roll axis </t>
    </r>
  </si>
  <si>
    <r>
      <t>Suspended mass roll inertia (ref SM CG) - I</t>
    </r>
    <r>
      <rPr>
        <vertAlign val="subscript"/>
        <sz val="11"/>
        <color theme="1"/>
        <rFont val="Calibri"/>
        <family val="2"/>
        <scheme val="minor"/>
      </rPr>
      <t>xx</t>
    </r>
  </si>
  <si>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Distance from SM CG to </t>
    </r>
    <r>
      <rPr>
        <b/>
        <sz val="11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 xml:space="preserve"> roll axis </t>
    </r>
  </si>
  <si>
    <t>N.m/N.m</t>
  </si>
  <si>
    <t>M.N.</t>
  </si>
  <si>
    <t>Rear wheel rate</t>
  </si>
  <si>
    <t>Hz</t>
  </si>
  <si>
    <r>
      <t xml:space="preserve">Roll natural frequency of </t>
    </r>
    <r>
      <rPr>
        <b/>
        <sz val="11"/>
        <color theme="1"/>
        <rFont val="Calibri"/>
        <family val="2"/>
        <scheme val="minor"/>
      </rPr>
      <t>SM</t>
    </r>
  </si>
  <si>
    <t>Front wheel rate</t>
  </si>
  <si>
    <t>N/(mm/s)</t>
  </si>
  <si>
    <r>
      <rPr>
        <sz val="11"/>
        <color rgb="FFFF0000"/>
        <rFont val="Calibri"/>
        <family val="2"/>
        <scheme val="minor"/>
      </rPr>
      <t>70%</t>
    </r>
    <r>
      <rPr>
        <sz val="11"/>
        <color theme="1"/>
        <rFont val="Calibri"/>
        <family val="2"/>
        <scheme val="minor"/>
      </rPr>
      <t xml:space="preserve"> Rear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crit. Damp. @ Damper</t>
    </r>
  </si>
  <si>
    <t>Suspended mass CG coordinates</t>
  </si>
  <si>
    <r>
      <rPr>
        <sz val="11"/>
        <color rgb="FFFF0000"/>
        <rFont val="Calibri"/>
        <family val="2"/>
        <scheme val="minor"/>
      </rPr>
      <t xml:space="preserve">70% </t>
    </r>
    <r>
      <rPr>
        <sz val="11"/>
        <color theme="1"/>
        <rFont val="Calibri"/>
        <family val="2"/>
        <scheme val="minor"/>
      </rPr>
      <t xml:space="preserve">Front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crit. Damp. @ Damper</t>
    </r>
  </si>
  <si>
    <r>
      <rPr>
        <sz val="11"/>
        <color rgb="FFFF0000"/>
        <rFont val="Calibri"/>
        <family val="2"/>
        <scheme val="minor"/>
      </rPr>
      <t>70%</t>
    </r>
    <r>
      <rPr>
        <sz val="11"/>
        <color theme="1"/>
        <rFont val="Calibri"/>
        <family val="2"/>
        <scheme val="minor"/>
      </rPr>
      <t xml:space="preserve"> Rear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crit. Damp. @ Wheel</t>
    </r>
  </si>
  <si>
    <r>
      <rPr>
        <sz val="11"/>
        <color rgb="FFFF0000"/>
        <rFont val="Calibri"/>
        <family val="2"/>
        <scheme val="minor"/>
      </rPr>
      <t>70%</t>
    </r>
    <r>
      <rPr>
        <sz val="11"/>
        <color theme="1"/>
        <rFont val="Calibri"/>
        <family val="2"/>
        <scheme val="minor"/>
      </rPr>
      <t xml:space="preserve"> Front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crit. Damp. @ Wheel</t>
    </r>
  </si>
  <si>
    <t>Rear non suspended mass CG height</t>
  </si>
  <si>
    <r>
      <t xml:space="preserve">Rear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critical damping</t>
    </r>
  </si>
  <si>
    <t>Front non suspended mass CG height</t>
  </si>
  <si>
    <r>
      <t xml:space="preserve">Front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critical damping</t>
    </r>
  </si>
  <si>
    <t>Total mass CG height</t>
  </si>
  <si>
    <r>
      <t xml:space="preserve">Rear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frequency</t>
    </r>
  </si>
  <si>
    <t>Non suspended mass wheight distribution</t>
  </si>
  <si>
    <r>
      <t xml:space="preserve">Front </t>
    </r>
    <r>
      <rPr>
        <b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frequency</t>
    </r>
  </si>
  <si>
    <t>Rear non suspended mass (per wheel)</t>
  </si>
  <si>
    <r>
      <t xml:space="preserve">Rear </t>
    </r>
    <r>
      <rPr>
        <b/>
        <sz val="11"/>
        <color theme="1"/>
        <rFont val="Calibri"/>
        <family val="2"/>
        <scheme val="minor"/>
      </rPr>
      <t>NSM</t>
    </r>
    <r>
      <rPr>
        <sz val="11"/>
        <color theme="1"/>
        <rFont val="Calibri"/>
        <family val="2"/>
        <scheme val="minor"/>
      </rPr>
      <t xml:space="preserve"> Critical damping</t>
    </r>
  </si>
  <si>
    <t>Front non suspended mass (per wheel)</t>
  </si>
  <si>
    <r>
      <t xml:space="preserve">Front </t>
    </r>
    <r>
      <rPr>
        <b/>
        <sz val="11"/>
        <color theme="1"/>
        <rFont val="Calibri"/>
        <family val="2"/>
        <scheme val="minor"/>
      </rPr>
      <t>NSM</t>
    </r>
    <r>
      <rPr>
        <sz val="11"/>
        <color theme="1"/>
        <rFont val="Calibri"/>
        <family val="2"/>
        <scheme val="minor"/>
      </rPr>
      <t xml:space="preserve"> Critical damping</t>
    </r>
  </si>
  <si>
    <t>Total Mass distribution</t>
  </si>
  <si>
    <r>
      <t xml:space="preserve">Rear </t>
    </r>
    <r>
      <rPr>
        <b/>
        <sz val="11"/>
        <color theme="1"/>
        <rFont val="Calibri"/>
        <family val="2"/>
        <scheme val="minor"/>
      </rPr>
      <t>NSM</t>
    </r>
    <r>
      <rPr>
        <sz val="11"/>
        <color theme="1"/>
        <rFont val="Calibri"/>
        <family val="2"/>
        <scheme val="minor"/>
      </rPr>
      <t xml:space="preserve"> frequency</t>
    </r>
  </si>
  <si>
    <t>Total mass</t>
  </si>
  <si>
    <t>Mass and Inertia</t>
  </si>
  <si>
    <r>
      <t xml:space="preserve">Front </t>
    </r>
    <r>
      <rPr>
        <b/>
        <sz val="11"/>
        <color theme="1"/>
        <rFont val="Calibri"/>
        <family val="2"/>
        <scheme val="minor"/>
      </rPr>
      <t>NSM</t>
    </r>
    <r>
      <rPr>
        <sz val="11"/>
        <color theme="1"/>
        <rFont val="Calibri"/>
        <family val="2"/>
        <scheme val="minor"/>
      </rPr>
      <t xml:space="preserve"> frequency</t>
    </r>
  </si>
  <si>
    <t>Frequency &amp; Damping</t>
  </si>
  <si>
    <t>Rear track</t>
  </si>
  <si>
    <t>°Roll</t>
  </si>
  <si>
    <t>Roll angle</t>
  </si>
  <si>
    <t>Suspended mass roll stiffness</t>
  </si>
  <si>
    <t>Wheel base</t>
  </si>
  <si>
    <t>Results</t>
  </si>
  <si>
    <t>Input</t>
  </si>
  <si>
    <r>
      <rPr>
        <b/>
        <sz val="14"/>
        <color rgb="FFFF0000"/>
        <rFont val="Calibri"/>
        <family val="2"/>
        <scheme val="minor"/>
      </rPr>
      <t>No</t>
    </r>
    <r>
      <rPr>
        <b/>
        <sz val="14"/>
        <color theme="1"/>
        <rFont val="Calibri"/>
        <family val="2"/>
        <scheme val="minor"/>
      </rPr>
      <t xml:space="preserve"> Tires coupling</t>
    </r>
  </si>
  <si>
    <t>CG Y</t>
  </si>
  <si>
    <t>%</t>
  </si>
  <si>
    <t>Braking G's</t>
  </si>
  <si>
    <t>Friction Coeff</t>
  </si>
  <si>
    <t>Braking</t>
  </si>
  <si>
    <t>Braking Force on Upright</t>
  </si>
  <si>
    <t>CG Z</t>
  </si>
  <si>
    <t>N</t>
  </si>
  <si>
    <t>Caliper Radius</t>
  </si>
  <si>
    <t>Fy</t>
  </si>
  <si>
    <t>Fz</t>
  </si>
  <si>
    <t>Mx</t>
  </si>
  <si>
    <t>My</t>
  </si>
  <si>
    <t>Mz</t>
  </si>
  <si>
    <t>Fx</t>
  </si>
  <si>
    <t>Front Unit Vectors</t>
  </si>
  <si>
    <t>Front "A" Matrix</t>
  </si>
  <si>
    <t>"B"</t>
  </si>
  <si>
    <t>Nm</t>
  </si>
  <si>
    <t>Lateral Force</t>
  </si>
  <si>
    <t>Lateral G's</t>
  </si>
  <si>
    <t>Total Mass  (One Wheel)</t>
  </si>
  <si>
    <t>Output Front Link Lengths</t>
  </si>
  <si>
    <t>Rear "A" Matrix</t>
  </si>
  <si>
    <t>Rear Unit Vectors</t>
  </si>
  <si>
    <t>Long. Mass Transfer (One Wheel)</t>
  </si>
  <si>
    <t>Contact Patch</t>
  </si>
  <si>
    <t>Friction Force at Tire (X)</t>
  </si>
  <si>
    <t>Friction Force At Tire (Y)</t>
  </si>
  <si>
    <t>Lateral Mass Transfer  (One Wheel)</t>
  </si>
  <si>
    <t>Width(in.)</t>
  </si>
  <si>
    <t>Diameter(in.)</t>
  </si>
  <si>
    <t>Offset(mm)</t>
  </si>
  <si>
    <t>PCD(in.) ((Diameter))</t>
  </si>
  <si>
    <t>Lug Diameter (in)</t>
  </si>
  <si>
    <t>Mounting Holes</t>
  </si>
  <si>
    <t>Center Hole Diam(mm)</t>
  </si>
  <si>
    <t>Comments</t>
  </si>
  <si>
    <t>Pullrod Susp.</t>
  </si>
  <si>
    <t>Toe Link Upright</t>
  </si>
  <si>
    <t>Toe Link Frame</t>
  </si>
  <si>
    <t>Toe Link</t>
  </si>
  <si>
    <t>Unit</t>
  </si>
  <si>
    <t>Caster Angle</t>
  </si>
  <si>
    <t>Upper A Arm Reaction</t>
  </si>
  <si>
    <t>Lower A Arm Reaction</t>
  </si>
  <si>
    <t>Pullrod</t>
  </si>
  <si>
    <t>Force Components (Right Rear)</t>
  </si>
  <si>
    <t>Output Axial Force Rear (Right Rear)</t>
  </si>
  <si>
    <t>Force Components (Right Front)</t>
  </si>
  <si>
    <t xml:space="preserve">*** Analysing Right Components ***
On Left Hand Turn </t>
  </si>
  <si>
    <t>Lower Fore</t>
  </si>
  <si>
    <t xml:space="preserve">Lower Aft </t>
  </si>
  <si>
    <t xml:space="preserve">Upper Aft </t>
  </si>
  <si>
    <t>Upper Fore</t>
  </si>
  <si>
    <t>Tierod</t>
  </si>
  <si>
    <t>*** Analysing Right Components ***
i.e   Y values should be Negative</t>
  </si>
  <si>
    <t>Accel.</t>
  </si>
  <si>
    <t>Mx about Wheel From Lateral</t>
  </si>
  <si>
    <t>My about Wheel From Braking</t>
  </si>
  <si>
    <t>Car Mass (With Driver)</t>
  </si>
  <si>
    <t>Units</t>
  </si>
  <si>
    <t>Angle</t>
  </si>
  <si>
    <t>FEA Reaction Force Components  (Right Front)</t>
  </si>
  <si>
    <t>FEA Reaction Force Components  (Right Rear)</t>
  </si>
  <si>
    <t>Forces  acting 
at the contact patch, Moment about car origin</t>
  </si>
  <si>
    <t>Forces acting 
at the contact patch, Moment about car origin</t>
  </si>
  <si>
    <t>Spring
Stiffness</t>
  </si>
  <si>
    <t>Force Outputs</t>
  </si>
  <si>
    <t>Bellcrank Geometry</t>
  </si>
  <si>
    <t>K (lb/in)</t>
  </si>
  <si>
    <t>K (N/mm)</t>
  </si>
  <si>
    <t>Force at Spring(Fd)</t>
  </si>
  <si>
    <t>Pullrod Force (Fp)</t>
  </si>
  <si>
    <t>Ox</t>
  </si>
  <si>
    <t>Oy</t>
  </si>
  <si>
    <t>Bearing Force</t>
  </si>
  <si>
    <t>L1</t>
  </si>
  <si>
    <t>L2</t>
  </si>
  <si>
    <t>Y angle</t>
  </si>
  <si>
    <t>B Angle</t>
  </si>
  <si>
    <t>Compression</t>
  </si>
  <si>
    <t>lbin to N/mm conversion</t>
  </si>
  <si>
    <t>Pullrod Link Spring Force:</t>
  </si>
  <si>
    <t>Inboard  Bearing</t>
  </si>
  <si>
    <t>Outboard Bearing</t>
  </si>
  <si>
    <t>Upright Orgin</t>
  </si>
  <si>
    <t>Wheel Bearing Effective Dist.</t>
  </si>
  <si>
    <t>Bearing</t>
  </si>
  <si>
    <t>Upright Wheel Bearing Forces
 (Right Rear)</t>
  </si>
  <si>
    <t>Upright Wheel Bearing Forces
 (Right Front)</t>
  </si>
  <si>
    <t>Moments About Upright Origin  (Right Rear)</t>
  </si>
  <si>
    <t>Moments About Upright Origin  (Right Front)</t>
  </si>
  <si>
    <t>Combined Verticle Load (One Wheel Z)</t>
  </si>
  <si>
    <t>Lateral Mass  (One Wheel)</t>
  </si>
  <si>
    <t>Lateral Verticle Load (One Wheel Z)</t>
  </si>
  <si>
    <t>Long. Total Mass of (One Wheel)</t>
  </si>
  <si>
    <t>Long. Verticle Load (One Wheel Z)</t>
  </si>
  <si>
    <t>Combined Loads</t>
  </si>
  <si>
    <t>Magnitude</t>
  </si>
  <si>
    <t xml:space="preserve">Upright </t>
  </si>
  <si>
    <t>Tie Rod</t>
  </si>
  <si>
    <t>Output Axial Force Front  (Right Front)</t>
  </si>
  <si>
    <t>Keep your 
coordinates
in mind!!</t>
  </si>
  <si>
    <t>LOTUS X</t>
  </si>
  <si>
    <t>GRC 2019</t>
  </si>
  <si>
    <t>Mass Distribution (front)</t>
  </si>
  <si>
    <t>Rim Specs 2019</t>
  </si>
  <si>
    <t>Longitudinal Offset (X Dist.)</t>
  </si>
  <si>
    <t>Suspended mass weight distribution</t>
  </si>
  <si>
    <t>Weight transfer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</si>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</sst>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0"/>
    <numFmt numFmtId="167" formatCode="0.00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26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9" fillId="0" borderId="21" applyNumberFormat="0" applyFill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2" borderId="0" applyNumberFormat="0" applyBorder="0" applyAlignment="0" applyProtection="0"/>
    <xf numFmtId="0" fontId="1" fillId="24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33" fillId="40" borderId="0" applyNumberFormat="0" applyBorder="0" applyAlignment="0" applyProtection="0"/>
    <xf numFmtId="0" fontId="1" fillId="19" borderId="0"/>
  </cellStyleXfs>
  <cellXfs count="922">
    <xf numFmtId="0" fontId="0" fillId="0" borderId="0" xfId="0"/>
    <xf numFmtId="2" fontId="1" fillId="5" borderId="3" xfId="5" applyNumberFormat="1" applyBorder="1" applyAlignment="1">
      <alignment horizontal="center" vertical="center"/>
    </xf>
    <xf numFmtId="2" fontId="1" fillId="11" borderId="3" xfId="11" applyNumberFormat="1" applyBorder="1" applyAlignment="1">
      <alignment horizontal="center" vertical="center"/>
    </xf>
    <xf numFmtId="2" fontId="1" fillId="4" borderId="3" xfId="4" applyNumberFormat="1" applyBorder="1" applyAlignment="1"/>
    <xf numFmtId="2" fontId="1" fillId="8" borderId="3" xfId="8" applyNumberFormat="1" applyBorder="1" applyAlignment="1">
      <alignment horizontal="center" vertical="center"/>
    </xf>
    <xf numFmtId="2" fontId="3" fillId="7" borderId="3" xfId="1" applyNumberFormat="1" applyFill="1" applyBorder="1" applyAlignment="1">
      <alignment horizontal="center" vertical="center"/>
    </xf>
    <xf numFmtId="2" fontId="4" fillId="7" borderId="3" xfId="7" applyNumberFormat="1" applyFont="1" applyBorder="1" applyAlignment="1">
      <alignment horizontal="center" vertical="center"/>
    </xf>
    <xf numFmtId="2" fontId="3" fillId="9" borderId="3" xfId="1" applyNumberFormat="1" applyFill="1" applyBorder="1" applyAlignment="1">
      <alignment horizontal="center" vertical="center"/>
    </xf>
    <xf numFmtId="165" fontId="4" fillId="9" borderId="3" xfId="9" applyNumberFormat="1" applyFont="1" applyBorder="1" applyAlignment="1">
      <alignment horizontal="center" vertical="center"/>
    </xf>
    <xf numFmtId="2" fontId="1" fillId="7" borderId="3" xfId="7" applyNumberFormat="1" applyBorder="1" applyAlignment="1">
      <alignment horizontal="center" vertical="center"/>
    </xf>
    <xf numFmtId="2" fontId="1" fillId="13" borderId="4" xfId="13" applyNumberFormat="1" applyBorder="1" applyAlignment="1">
      <alignment horizontal="center"/>
    </xf>
    <xf numFmtId="2" fontId="1" fillId="13" borderId="3" xfId="13" applyNumberFormat="1" applyBorder="1" applyAlignment="1">
      <alignment horizontal="center"/>
    </xf>
    <xf numFmtId="2" fontId="1" fillId="13" borderId="4" xfId="13" applyNumberFormat="1" applyBorder="1" applyAlignment="1">
      <alignment horizontal="center" vertical="center"/>
    </xf>
    <xf numFmtId="2" fontId="1" fillId="13" borderId="3" xfId="13" applyNumberFormat="1" applyBorder="1" applyAlignment="1">
      <alignment horizontal="center" vertical="center"/>
    </xf>
    <xf numFmtId="2" fontId="1" fillId="14" borderId="13" xfId="14" applyNumberFormat="1" applyBorder="1"/>
    <xf numFmtId="2" fontId="1" fillId="14" borderId="12" xfId="14" applyNumberFormat="1" applyBorder="1"/>
    <xf numFmtId="2" fontId="1" fillId="14" borderId="3" xfId="14" applyNumberFormat="1" applyBorder="1"/>
    <xf numFmtId="2" fontId="1" fillId="14" borderId="6" xfId="14" applyNumberFormat="1" applyBorder="1"/>
    <xf numFmtId="2" fontId="1" fillId="14" borderId="10" xfId="14" applyNumberFormat="1" applyBorder="1"/>
    <xf numFmtId="2" fontId="1" fillId="14" borderId="9" xfId="14" applyNumberFormat="1" applyBorder="1"/>
    <xf numFmtId="2" fontId="5" fillId="18" borderId="3" xfId="15" applyNumberFormat="1" applyFill="1" applyBorder="1" applyAlignment="1">
      <alignment horizontal="center" vertical="center"/>
    </xf>
    <xf numFmtId="0" fontId="4" fillId="0" borderId="27" xfId="0" applyFont="1" applyBorder="1"/>
    <xf numFmtId="0" fontId="3" fillId="0" borderId="26" xfId="1" applyBorder="1"/>
    <xf numFmtId="0" fontId="3" fillId="0" borderId="25" xfId="1" applyBorder="1"/>
    <xf numFmtId="2" fontId="2" fillId="16" borderId="3" xfId="16" applyNumberFormat="1" applyFont="1" applyBorder="1" applyAlignment="1">
      <alignment horizontal="center" vertical="center"/>
    </xf>
    <xf numFmtId="0" fontId="12" fillId="18" borderId="3" xfId="1" applyFont="1" applyFill="1" applyBorder="1" applyAlignment="1">
      <alignment horizontal="center"/>
    </xf>
    <xf numFmtId="2" fontId="4" fillId="8" borderId="3" xfId="8" applyNumberFormat="1" applyFont="1" applyBorder="1" applyAlignment="1">
      <alignment horizontal="center" vertical="center"/>
    </xf>
    <xf numFmtId="2" fontId="0" fillId="19" borderId="0" xfId="0" applyNumberFormat="1" applyFill="1"/>
    <xf numFmtId="0" fontId="0" fillId="19" borderId="0" xfId="0" applyFill="1"/>
    <xf numFmtId="164" fontId="0" fillId="19" borderId="0" xfId="0" applyNumberFormat="1" applyFill="1"/>
    <xf numFmtId="0" fontId="0" fillId="19" borderId="0" xfId="0" applyFill="1" applyBorder="1" applyAlignment="1">
      <alignment horizontal="center" vertical="center"/>
    </xf>
    <xf numFmtId="2" fontId="0" fillId="19" borderId="0" xfId="0" applyNumberFormat="1" applyFill="1" applyBorder="1" applyAlignment="1">
      <alignment vertical="center"/>
    </xf>
    <xf numFmtId="2" fontId="3" fillId="19" borderId="0" xfId="1" applyNumberFormat="1" applyFill="1"/>
    <xf numFmtId="0" fontId="3" fillId="19" borderId="0" xfId="1" applyFill="1"/>
    <xf numFmtId="2" fontId="3" fillId="8" borderId="3" xfId="1" applyNumberFormat="1" applyFill="1" applyBorder="1" applyAlignment="1">
      <alignment horizontal="center" vertical="center"/>
    </xf>
    <xf numFmtId="0" fontId="2" fillId="17" borderId="31" xfId="17" applyFont="1" applyBorder="1"/>
    <xf numFmtId="0" fontId="2" fillId="3" borderId="10" xfId="3" applyFont="1" applyBorder="1" applyAlignment="1">
      <alignment horizontal="center"/>
    </xf>
    <xf numFmtId="0" fontId="2" fillId="3" borderId="11" xfId="3" applyFont="1" applyBorder="1" applyAlignment="1">
      <alignment horizontal="center"/>
    </xf>
    <xf numFmtId="0" fontId="2" fillId="16" borderId="6" xfId="16" applyFont="1" applyBorder="1" applyAlignment="1">
      <alignment horizontal="right"/>
    </xf>
    <xf numFmtId="0" fontId="5" fillId="18" borderId="8" xfId="15" applyFill="1" applyBorder="1" applyAlignment="1">
      <alignment horizontal="center"/>
    </xf>
    <xf numFmtId="2" fontId="1" fillId="8" borderId="8" xfId="8" applyNumberFormat="1" applyBorder="1" applyAlignment="1">
      <alignment horizontal="center" vertical="center"/>
    </xf>
    <xf numFmtId="2" fontId="1" fillId="13" borderId="8" xfId="13" applyNumberFormat="1" applyBorder="1" applyAlignment="1">
      <alignment horizontal="center"/>
    </xf>
    <xf numFmtId="2" fontId="1" fillId="7" borderId="8" xfId="7" applyNumberFormat="1" applyBorder="1" applyAlignment="1">
      <alignment horizontal="center" vertical="center"/>
    </xf>
    <xf numFmtId="2" fontId="1" fillId="13" borderId="7" xfId="13" applyNumberFormat="1" applyBorder="1" applyAlignment="1">
      <alignment horizontal="center"/>
    </xf>
    <xf numFmtId="2" fontId="1" fillId="7" borderId="1" xfId="7" applyNumberFormat="1" applyBorder="1" applyAlignment="1">
      <alignment horizontal="center" vertical="center"/>
    </xf>
    <xf numFmtId="2" fontId="1" fillId="7" borderId="5" xfId="7" applyNumberFormat="1" applyBorder="1" applyAlignment="1">
      <alignment horizontal="center" vertical="center"/>
    </xf>
    <xf numFmtId="2" fontId="2" fillId="10" borderId="16" xfId="10" applyNumberFormat="1" applyFont="1" applyBorder="1" applyAlignment="1">
      <alignment horizontal="center" vertical="center"/>
    </xf>
    <xf numFmtId="2" fontId="2" fillId="10" borderId="17" xfId="10" applyNumberFormat="1" applyFont="1" applyBorder="1" applyAlignment="1">
      <alignment horizontal="center" vertical="center"/>
    </xf>
    <xf numFmtId="0" fontId="2" fillId="17" borderId="31" xfId="17" applyFont="1" applyBorder="1" applyAlignment="1">
      <alignment horizontal="center"/>
    </xf>
    <xf numFmtId="2" fontId="3" fillId="2" borderId="3" xfId="1" applyNumberFormat="1" applyFill="1" applyBorder="1" applyAlignment="1">
      <alignment horizontal="center" vertical="center"/>
    </xf>
    <xf numFmtId="2" fontId="4" fillId="2" borderId="3" xfId="2" applyNumberFormat="1" applyFont="1" applyBorder="1" applyAlignment="1">
      <alignment horizontal="center" vertical="center"/>
    </xf>
    <xf numFmtId="0" fontId="5" fillId="3" borderId="8" xfId="3" applyBorder="1" applyAlignment="1">
      <alignment horizontal="left"/>
    </xf>
    <xf numFmtId="2" fontId="0" fillId="9" borderId="8" xfId="9" applyNumberFormat="1" applyFont="1" applyBorder="1" applyAlignment="1">
      <alignment horizontal="left" vertical="center"/>
    </xf>
    <xf numFmtId="2" fontId="1" fillId="2" borderId="14" xfId="2" applyNumberFormat="1" applyBorder="1" applyAlignment="1">
      <alignment horizontal="left" vertical="center"/>
    </xf>
    <xf numFmtId="2" fontId="1" fillId="14" borderId="38" xfId="14" applyNumberFormat="1" applyBorder="1"/>
    <xf numFmtId="2" fontId="1" fillId="14" borderId="30" xfId="14" applyNumberFormat="1" applyBorder="1"/>
    <xf numFmtId="2" fontId="1" fillId="14" borderId="39" xfId="14" applyNumberFormat="1" applyBorder="1"/>
    <xf numFmtId="2" fontId="1" fillId="11" borderId="40" xfId="11" applyNumberFormat="1" applyBorder="1"/>
    <xf numFmtId="2" fontId="1" fillId="11" borderId="41" xfId="11" applyNumberFormat="1" applyBorder="1"/>
    <xf numFmtId="2" fontId="1" fillId="11" borderId="42" xfId="11" applyNumberFormat="1" applyBorder="1"/>
    <xf numFmtId="0" fontId="2" fillId="22" borderId="33" xfId="18" applyFont="1" applyBorder="1" applyAlignment="1"/>
    <xf numFmtId="0" fontId="2" fillId="22" borderId="31" xfId="18" applyFont="1" applyBorder="1" applyAlignment="1">
      <alignment horizontal="center"/>
    </xf>
    <xf numFmtId="0" fontId="2" fillId="22" borderId="3" xfId="18" applyFont="1" applyBorder="1" applyAlignment="1">
      <alignment horizontal="center"/>
    </xf>
    <xf numFmtId="0" fontId="2" fillId="22" borderId="8" xfId="18" applyFont="1" applyBorder="1"/>
    <xf numFmtId="0" fontId="2" fillId="3" borderId="3" xfId="3" applyFont="1" applyBorder="1" applyAlignment="1">
      <alignment horizontal="center"/>
    </xf>
    <xf numFmtId="0" fontId="0" fillId="19" borderId="0" xfId="0" applyFill="1" applyAlignment="1">
      <alignment horizontal="center"/>
    </xf>
    <xf numFmtId="2" fontId="1" fillId="8" borderId="10" xfId="8" applyNumberFormat="1" applyBorder="1" applyAlignment="1">
      <alignment horizontal="center" vertical="center"/>
    </xf>
    <xf numFmtId="0" fontId="0" fillId="9" borderId="7" xfId="9" applyFont="1" applyBorder="1" applyAlignment="1">
      <alignment vertical="center"/>
    </xf>
    <xf numFmtId="0" fontId="0" fillId="19" borderId="0" xfId="0" applyFill="1" applyAlignment="1"/>
    <xf numFmtId="2" fontId="1" fillId="4" borderId="3" xfId="1" applyNumberFormat="1" applyFont="1" applyFill="1" applyBorder="1" applyAlignment="1"/>
    <xf numFmtId="2" fontId="4" fillId="24" borderId="3" xfId="19" applyNumberFormat="1" applyFont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9" borderId="22" xfId="0" applyFill="1" applyBorder="1" applyAlignment="1"/>
    <xf numFmtId="0" fontId="0" fillId="19" borderId="28" xfId="0" applyFill="1" applyBorder="1" applyAlignment="1"/>
    <xf numFmtId="0" fontId="0" fillId="0" borderId="0" xfId="0" applyAlignment="1">
      <alignment textRotation="90"/>
    </xf>
    <xf numFmtId="2" fontId="0" fillId="0" borderId="0" xfId="0" applyNumberFormat="1"/>
    <xf numFmtId="0" fontId="0" fillId="19" borderId="0" xfId="0" applyFont="1" applyFill="1" applyBorder="1"/>
    <xf numFmtId="0" fontId="0" fillId="27" borderId="14" xfId="0" applyFill="1" applyBorder="1" applyAlignment="1">
      <alignment horizontal="center" vertical="center"/>
    </xf>
    <xf numFmtId="2" fontId="0" fillId="27" borderId="13" xfId="0" applyNumberFormat="1" applyFill="1" applyBorder="1" applyAlignment="1">
      <alignment vertical="center"/>
    </xf>
    <xf numFmtId="0" fontId="0" fillId="27" borderId="5" xfId="0" applyFill="1" applyBorder="1" applyAlignment="1">
      <alignment horizontal="center" vertical="center"/>
    </xf>
    <xf numFmtId="2" fontId="0" fillId="27" borderId="1" xfId="0" applyNumberFormat="1" applyFill="1" applyBorder="1" applyAlignment="1">
      <alignment vertical="center"/>
    </xf>
    <xf numFmtId="167" fontId="0" fillId="19" borderId="0" xfId="0" applyNumberFormat="1" applyFill="1"/>
    <xf numFmtId="164" fontId="0" fillId="19" borderId="0" xfId="0" applyNumberFormat="1" applyFill="1" applyAlignment="1">
      <alignment horizontal="center"/>
    </xf>
    <xf numFmtId="0" fontId="0" fillId="19" borderId="0" xfId="0" applyFill="1" applyAlignment="1">
      <alignment textRotation="90"/>
    </xf>
    <xf numFmtId="0" fontId="0" fillId="0" borderId="3" xfId="0" applyFill="1" applyBorder="1" applyAlignment="1">
      <alignment horizontal="center" vertical="center"/>
    </xf>
    <xf numFmtId="2" fontId="0" fillId="0" borderId="3" xfId="0" applyNumberFormat="1" applyFill="1" applyBorder="1" applyAlignment="1" applyProtection="1">
      <alignment vertical="center"/>
      <protection locked="0"/>
    </xf>
    <xf numFmtId="0" fontId="4" fillId="19" borderId="0" xfId="0" applyFont="1" applyFill="1" applyBorder="1" applyAlignment="1">
      <alignment vertical="center" textRotation="90"/>
    </xf>
    <xf numFmtId="164" fontId="0" fillId="27" borderId="13" xfId="0" applyNumberFormat="1" applyFill="1" applyBorder="1" applyAlignment="1">
      <alignment vertical="center"/>
    </xf>
    <xf numFmtId="0" fontId="0" fillId="27" borderId="13" xfId="0" applyFill="1" applyBorder="1" applyAlignment="1">
      <alignment vertical="center"/>
    </xf>
    <xf numFmtId="164" fontId="0" fillId="30" borderId="14" xfId="0" applyNumberFormat="1" applyFill="1" applyBorder="1" applyAlignment="1">
      <alignment horizontal="center"/>
    </xf>
    <xf numFmtId="164" fontId="0" fillId="30" borderId="13" xfId="0" applyNumberFormat="1" applyFill="1" applyBorder="1"/>
    <xf numFmtId="0" fontId="0" fillId="27" borderId="8" xfId="0" applyFill="1" applyBorder="1" applyAlignment="1">
      <alignment horizontal="center" vertical="center"/>
    </xf>
    <xf numFmtId="164" fontId="0" fillId="27" borderId="3" xfId="0" applyNumberFormat="1" applyFill="1" applyBorder="1" applyAlignment="1">
      <alignment vertical="center"/>
    </xf>
    <xf numFmtId="0" fontId="0" fillId="27" borderId="3" xfId="0" applyFill="1" applyBorder="1" applyAlignment="1">
      <alignment vertical="center"/>
    </xf>
    <xf numFmtId="164" fontId="0" fillId="19" borderId="0" xfId="0" applyNumberFormat="1" applyFill="1" applyAlignment="1">
      <alignment horizontal="center" vertical="center"/>
    </xf>
    <xf numFmtId="0" fontId="0" fillId="27" borderId="11" xfId="0" applyFill="1" applyBorder="1" applyAlignment="1">
      <alignment horizontal="center" vertical="center"/>
    </xf>
    <xf numFmtId="164" fontId="0" fillId="27" borderId="10" xfId="0" applyNumberFormat="1" applyFill="1" applyBorder="1" applyAlignment="1">
      <alignment vertical="center"/>
    </xf>
    <xf numFmtId="0" fontId="0" fillId="27" borderId="10" xfId="0" applyFill="1" applyBorder="1" applyAlignment="1">
      <alignment vertical="center"/>
    </xf>
    <xf numFmtId="164" fontId="0" fillId="12" borderId="8" xfId="0" applyNumberFormat="1" applyFill="1" applyBorder="1" applyAlignment="1">
      <alignment horizontal="center"/>
    </xf>
    <xf numFmtId="164" fontId="0" fillId="12" borderId="3" xfId="0" applyNumberFormat="1" applyFill="1" applyBorder="1"/>
    <xf numFmtId="0" fontId="0" fillId="31" borderId="7" xfId="0" applyFill="1" applyBorder="1" applyAlignment="1">
      <alignment horizontal="center" vertical="center"/>
    </xf>
    <xf numFmtId="164" fontId="0" fillId="31" borderId="4" xfId="0" applyNumberFormat="1" applyFill="1" applyBorder="1" applyAlignment="1">
      <alignment vertical="center"/>
    </xf>
    <xf numFmtId="0" fontId="0" fillId="31" borderId="4" xfId="0" applyFill="1" applyBorder="1" applyAlignment="1">
      <alignment vertical="center"/>
    </xf>
    <xf numFmtId="2" fontId="0" fillId="28" borderId="3" xfId="0" applyNumberFormat="1" applyFill="1" applyBorder="1" applyAlignment="1">
      <alignment horizontal="center" vertical="center"/>
    </xf>
    <xf numFmtId="2" fontId="0" fillId="28" borderId="3" xfId="0" applyNumberFormat="1" applyFill="1" applyBorder="1" applyAlignment="1" applyProtection="1">
      <alignment horizontal="right" vertical="center"/>
    </xf>
    <xf numFmtId="0" fontId="0" fillId="31" borderId="8" xfId="0" applyFill="1" applyBorder="1" applyAlignment="1">
      <alignment horizontal="center" vertical="center"/>
    </xf>
    <xf numFmtId="164" fontId="0" fillId="31" borderId="3" xfId="0" applyNumberFormat="1" applyFill="1" applyBorder="1" applyAlignment="1">
      <alignment vertical="center"/>
    </xf>
    <xf numFmtId="0" fontId="0" fillId="31" borderId="3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Protection="1">
      <protection locked="0"/>
    </xf>
    <xf numFmtId="164" fontId="0" fillId="30" borderId="8" xfId="0" applyNumberFormat="1" applyFill="1" applyBorder="1" applyAlignment="1">
      <alignment horizontal="center"/>
    </xf>
    <xf numFmtId="164" fontId="0" fillId="30" borderId="3" xfId="0" applyNumberFormat="1" applyFill="1" applyBorder="1"/>
    <xf numFmtId="0" fontId="0" fillId="0" borderId="3" xfId="0" applyBorder="1" applyAlignment="1">
      <alignment horizontal="center" vertical="center"/>
    </xf>
    <xf numFmtId="164" fontId="0" fillId="26" borderId="14" xfId="0" applyNumberFormat="1" applyFill="1" applyBorder="1" applyAlignment="1">
      <alignment horizontal="center"/>
    </xf>
    <xf numFmtId="164" fontId="0" fillId="25" borderId="12" xfId="0" applyNumberFormat="1" applyFill="1" applyBorder="1" applyAlignment="1">
      <alignment horizontal="center"/>
    </xf>
    <xf numFmtId="0" fontId="0" fillId="32" borderId="8" xfId="0" applyFill="1" applyBorder="1" applyAlignment="1">
      <alignment horizontal="center" vertical="center"/>
    </xf>
    <xf numFmtId="164" fontId="0" fillId="32" borderId="3" xfId="0" applyNumberFormat="1" applyFill="1" applyBorder="1" applyAlignment="1">
      <alignment vertical="center"/>
    </xf>
    <xf numFmtId="0" fontId="0" fillId="32" borderId="3" xfId="0" applyFill="1" applyBorder="1" applyAlignment="1">
      <alignment vertical="center"/>
    </xf>
    <xf numFmtId="164" fontId="0" fillId="29" borderId="5" xfId="0" applyNumberFormat="1" applyFill="1" applyBorder="1" applyAlignment="1">
      <alignment horizontal="center"/>
    </xf>
    <xf numFmtId="164" fontId="0" fillId="33" borderId="50" xfId="0" applyNumberFormat="1" applyFill="1" applyBorder="1" applyAlignment="1">
      <alignment horizontal="center"/>
    </xf>
    <xf numFmtId="0" fontId="0" fillId="12" borderId="3" xfId="0" applyFill="1" applyBorder="1" applyAlignment="1" applyProtection="1">
      <alignment vertical="center"/>
      <protection locked="0"/>
    </xf>
    <xf numFmtId="0" fontId="0" fillId="34" borderId="8" xfId="0" applyFill="1" applyBorder="1" applyAlignment="1">
      <alignment horizontal="center" vertical="center"/>
    </xf>
    <xf numFmtId="164" fontId="0" fillId="34" borderId="3" xfId="0" applyNumberFormat="1" applyFill="1" applyBorder="1" applyAlignment="1">
      <alignment vertical="center"/>
    </xf>
    <xf numFmtId="0" fontId="5" fillId="19" borderId="0" xfId="0" applyFont="1" applyFill="1" applyAlignment="1">
      <alignment horizontal="right"/>
    </xf>
    <xf numFmtId="165" fontId="0" fillId="0" borderId="3" xfId="0" applyNumberFormat="1" applyFill="1" applyBorder="1" applyAlignment="1" applyProtection="1">
      <alignment vertical="center"/>
      <protection locked="0"/>
    </xf>
    <xf numFmtId="0" fontId="4" fillId="19" borderId="0" xfId="0" applyFont="1" applyFill="1" applyBorder="1" applyAlignment="1">
      <alignment horizontal="center" vertical="center" textRotation="90"/>
    </xf>
    <xf numFmtId="2" fontId="0" fillId="32" borderId="3" xfId="0" applyNumberFormat="1" applyFill="1" applyBorder="1" applyAlignment="1">
      <alignment vertical="center"/>
    </xf>
    <xf numFmtId="0" fontId="0" fillId="32" borderId="7" xfId="0" applyFill="1" applyBorder="1" applyAlignment="1">
      <alignment horizontal="center" vertical="center"/>
    </xf>
    <xf numFmtId="2" fontId="0" fillId="19" borderId="0" xfId="0" applyNumberFormat="1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2" fontId="0" fillId="32" borderId="10" xfId="0" applyNumberFormat="1" applyFill="1" applyBorder="1" applyAlignment="1">
      <alignment vertical="center"/>
    </xf>
    <xf numFmtId="2" fontId="0" fillId="12" borderId="3" xfId="0" applyNumberFormat="1" applyFill="1" applyBorder="1" applyAlignment="1" applyProtection="1">
      <alignment vertical="center"/>
      <protection locked="0"/>
    </xf>
    <xf numFmtId="2" fontId="0" fillId="27" borderId="3" xfId="0" applyNumberFormat="1" applyFill="1" applyBorder="1" applyAlignment="1">
      <alignment vertical="center"/>
    </xf>
    <xf numFmtId="0" fontId="5" fillId="19" borderId="0" xfId="0" applyFont="1" applyFill="1"/>
    <xf numFmtId="2" fontId="0" fillId="30" borderId="3" xfId="0" applyNumberFormat="1" applyFill="1" applyBorder="1" applyAlignment="1" applyProtection="1">
      <alignment vertical="center"/>
      <protection locked="0"/>
    </xf>
    <xf numFmtId="0" fontId="0" fillId="35" borderId="14" xfId="0" applyFill="1" applyBorder="1" applyAlignment="1">
      <alignment horizontal="center" vertical="center"/>
    </xf>
    <xf numFmtId="164" fontId="0" fillId="35" borderId="13" xfId="0" applyNumberFormat="1" applyFill="1" applyBorder="1" applyAlignment="1">
      <alignment horizontal="right" vertical="center"/>
    </xf>
    <xf numFmtId="2" fontId="0" fillId="35" borderId="3" xfId="0" applyNumberFormat="1" applyFill="1" applyBorder="1" applyAlignment="1" applyProtection="1">
      <alignment vertical="center"/>
      <protection locked="0"/>
    </xf>
    <xf numFmtId="2" fontId="0" fillId="12" borderId="3" xfId="0" applyNumberFormat="1" applyFill="1" applyBorder="1" applyAlignment="1">
      <alignment horizontal="right" vertical="center"/>
    </xf>
    <xf numFmtId="1" fontId="0" fillId="12" borderId="3" xfId="0" applyNumberFormat="1" applyFill="1" applyBorder="1" applyAlignment="1">
      <alignment horizontal="right" vertical="center"/>
    </xf>
    <xf numFmtId="2" fontId="0" fillId="18" borderId="3" xfId="0" applyNumberFormat="1" applyFill="1" applyBorder="1" applyAlignment="1">
      <alignment vertical="center"/>
    </xf>
    <xf numFmtId="2" fontId="0" fillId="0" borderId="3" xfId="0" applyNumberFormat="1" applyBorder="1" applyAlignment="1" applyProtection="1">
      <alignment vertical="center"/>
      <protection locked="0"/>
    </xf>
    <xf numFmtId="2" fontId="0" fillId="28" borderId="3" xfId="0" applyNumberFormat="1" applyFill="1" applyBorder="1" applyAlignment="1">
      <alignment horizontal="right" vertical="center"/>
    </xf>
    <xf numFmtId="0" fontId="0" fillId="28" borderId="3" xfId="0" applyFill="1" applyBorder="1" applyAlignment="1">
      <alignment horizontal="center" vertical="center"/>
    </xf>
    <xf numFmtId="165" fontId="0" fillId="27" borderId="3" xfId="0" applyNumberFormat="1" applyFill="1" applyBorder="1" applyAlignment="1">
      <alignment vertical="center"/>
    </xf>
    <xf numFmtId="0" fontId="0" fillId="27" borderId="3" xfId="0" applyFill="1" applyBorder="1" applyAlignment="1">
      <alignment horizontal="center" vertical="center"/>
    </xf>
    <xf numFmtId="165" fontId="0" fillId="27" borderId="10" xfId="0" applyNumberFormat="1" applyFill="1" applyBorder="1" applyAlignment="1">
      <alignment vertical="center"/>
    </xf>
    <xf numFmtId="0" fontId="0" fillId="31" borderId="3" xfId="0" applyFill="1" applyBorder="1" applyAlignment="1">
      <alignment horizontal="center" vertical="center"/>
    </xf>
    <xf numFmtId="167" fontId="0" fillId="31" borderId="3" xfId="0" applyNumberFormat="1" applyFont="1" applyFill="1" applyBorder="1" applyAlignment="1">
      <alignment vertical="center"/>
    </xf>
    <xf numFmtId="2" fontId="0" fillId="28" borderId="3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2" fontId="17" fillId="31" borderId="3" xfId="0" applyNumberFormat="1" applyFont="1" applyFill="1" applyBorder="1" applyAlignment="1">
      <alignment vertical="center"/>
    </xf>
    <xf numFmtId="0" fontId="0" fillId="31" borderId="14" xfId="0" applyFill="1" applyBorder="1" applyAlignment="1">
      <alignment horizontal="center" vertical="center"/>
    </xf>
    <xf numFmtId="164" fontId="0" fillId="31" borderId="13" xfId="0" applyNumberFormat="1" applyFill="1" applyBorder="1" applyAlignment="1">
      <alignment vertical="center"/>
    </xf>
    <xf numFmtId="0" fontId="0" fillId="31" borderId="13" xfId="0" applyFill="1" applyBorder="1" applyAlignment="1">
      <alignment vertical="center"/>
    </xf>
    <xf numFmtId="1" fontId="0" fillId="0" borderId="3" xfId="0" applyNumberFormat="1" applyBorder="1" applyAlignment="1" applyProtection="1">
      <alignment vertical="center"/>
      <protection locked="0"/>
    </xf>
    <xf numFmtId="2" fontId="0" fillId="31" borderId="3" xfId="0" applyNumberFormat="1" applyFill="1" applyBorder="1" applyAlignment="1">
      <alignment vertical="center"/>
    </xf>
    <xf numFmtId="0" fontId="0" fillId="31" borderId="3" xfId="0" applyFont="1" applyFill="1" applyBorder="1" applyAlignment="1">
      <alignment horizontal="center" vertical="center"/>
    </xf>
    <xf numFmtId="2" fontId="0" fillId="31" borderId="3" xfId="0" applyNumberFormat="1" applyFont="1" applyFill="1" applyBorder="1" applyAlignment="1">
      <alignment vertical="center"/>
    </xf>
    <xf numFmtId="0" fontId="0" fillId="34" borderId="3" xfId="0" applyFill="1" applyBorder="1" applyAlignment="1">
      <alignment horizontal="center" vertical="center"/>
    </xf>
    <xf numFmtId="2" fontId="0" fillId="34" borderId="3" xfId="0" applyNumberFormat="1" applyFill="1" applyBorder="1" applyAlignment="1">
      <alignment vertical="center"/>
    </xf>
    <xf numFmtId="0" fontId="0" fillId="34" borderId="5" xfId="0" applyFill="1" applyBorder="1" applyAlignment="1">
      <alignment horizontal="center" vertical="center"/>
    </xf>
    <xf numFmtId="164" fontId="0" fillId="34" borderId="1" xfId="0" applyNumberFormat="1" applyFill="1" applyBorder="1" applyAlignment="1">
      <alignment vertical="center"/>
    </xf>
    <xf numFmtId="0" fontId="0" fillId="32" borderId="5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19" fillId="19" borderId="0" xfId="0" applyFont="1" applyFill="1" applyBorder="1" applyAlignment="1"/>
    <xf numFmtId="165" fontId="0" fillId="12" borderId="3" xfId="0" applyNumberFormat="1" applyFill="1" applyBorder="1" applyAlignment="1" applyProtection="1">
      <alignment vertical="center"/>
      <protection locked="0"/>
    </xf>
    <xf numFmtId="0" fontId="0" fillId="0" borderId="0" xfId="0" applyAlignment="1"/>
    <xf numFmtId="2" fontId="1" fillId="2" borderId="3" xfId="2" applyNumberFormat="1" applyBorder="1" applyAlignment="1">
      <alignment horizontal="center" vertical="center"/>
    </xf>
    <xf numFmtId="165" fontId="1" fillId="8" borderId="3" xfId="8" applyNumberFormat="1" applyBorder="1" applyAlignment="1">
      <alignment horizontal="center" vertical="center"/>
    </xf>
    <xf numFmtId="165" fontId="1" fillId="7" borderId="3" xfId="7" applyNumberFormat="1" applyBorder="1" applyAlignment="1">
      <alignment horizontal="center" vertical="center"/>
    </xf>
    <xf numFmtId="165" fontId="1" fillId="2" borderId="3" xfId="2" applyNumberFormat="1" applyBorder="1" applyAlignment="1">
      <alignment horizontal="center" vertical="center"/>
    </xf>
    <xf numFmtId="165" fontId="1" fillId="36" borderId="13" xfId="21" applyNumberFormat="1" applyBorder="1" applyAlignment="1">
      <alignment horizontal="center" vertical="center"/>
    </xf>
    <xf numFmtId="0" fontId="2" fillId="3" borderId="56" xfId="3" applyFont="1" applyBorder="1" applyAlignment="1"/>
    <xf numFmtId="0" fontId="2" fillId="3" borderId="52" xfId="3" applyFont="1" applyBorder="1" applyAlignment="1"/>
    <xf numFmtId="0" fontId="2" fillId="3" borderId="55" xfId="3" applyFont="1" applyBorder="1" applyAlignment="1"/>
    <xf numFmtId="165" fontId="0" fillId="38" borderId="67" xfId="0" applyNumberFormat="1" applyFill="1" applyBorder="1"/>
    <xf numFmtId="2" fontId="2" fillId="10" borderId="3" xfId="10" applyNumberFormat="1" applyFont="1" applyBorder="1"/>
    <xf numFmtId="165" fontId="17" fillId="4" borderId="3" xfId="20" applyNumberFormat="1" applyFill="1" applyBorder="1" applyAlignment="1"/>
    <xf numFmtId="165" fontId="0" fillId="38" borderId="68" xfId="0" applyNumberFormat="1" applyFill="1" applyBorder="1"/>
    <xf numFmtId="165" fontId="4" fillId="4" borderId="3" xfId="4" applyNumberFormat="1" applyFont="1" applyBorder="1" applyAlignment="1"/>
    <xf numFmtId="165" fontId="4" fillId="4" borderId="3" xfId="1" applyNumberFormat="1" applyFont="1" applyFill="1" applyBorder="1" applyAlignment="1"/>
    <xf numFmtId="2" fontId="2" fillId="10" borderId="1" xfId="10" applyNumberFormat="1" applyFont="1" applyBorder="1"/>
    <xf numFmtId="165" fontId="1" fillId="7" borderId="9" xfId="7" applyNumberFormat="1" applyBorder="1"/>
    <xf numFmtId="165" fontId="1" fillId="7" borderId="10" xfId="7" applyNumberFormat="1" applyBorder="1"/>
    <xf numFmtId="165" fontId="1" fillId="7" borderId="11" xfId="7" applyNumberFormat="1" applyBorder="1"/>
    <xf numFmtId="165" fontId="1" fillId="7" borderId="6" xfId="7" applyNumberFormat="1" applyBorder="1"/>
    <xf numFmtId="165" fontId="1" fillId="7" borderId="3" xfId="7" applyNumberFormat="1" applyBorder="1"/>
    <xf numFmtId="165" fontId="1" fillId="7" borderId="8" xfId="7" applyNumberFormat="1" applyBorder="1"/>
    <xf numFmtId="165" fontId="1" fillId="7" borderId="12" xfId="7" applyNumberFormat="1" applyBorder="1"/>
    <xf numFmtId="165" fontId="1" fillId="7" borderId="13" xfId="7" applyNumberFormat="1" applyBorder="1"/>
    <xf numFmtId="165" fontId="1" fillId="7" borderId="14" xfId="7" applyNumberFormat="1" applyBorder="1"/>
    <xf numFmtId="165" fontId="0" fillId="38" borderId="69" xfId="0" applyNumberFormat="1" applyFill="1" applyBorder="1"/>
    <xf numFmtId="0" fontId="27" fillId="0" borderId="0" xfId="0" applyFont="1"/>
    <xf numFmtId="0" fontId="3" fillId="0" borderId="0" xfId="1"/>
    <xf numFmtId="0" fontId="2" fillId="22" borderId="31" xfId="18" applyFont="1" applyBorder="1" applyAlignment="1">
      <alignment horizontal="center"/>
    </xf>
    <xf numFmtId="0" fontId="2" fillId="22" borderId="3" xfId="18" applyFont="1" applyBorder="1" applyAlignment="1">
      <alignment horizontal="center"/>
    </xf>
    <xf numFmtId="2" fontId="12" fillId="8" borderId="10" xfId="8" applyNumberFormat="1" applyFont="1" applyBorder="1" applyAlignment="1">
      <alignment horizontal="center" vertical="center"/>
    </xf>
    <xf numFmtId="2" fontId="12" fillId="8" borderId="3" xfId="8" applyNumberFormat="1" applyFont="1" applyBorder="1" applyAlignment="1">
      <alignment horizontal="center" vertical="center"/>
    </xf>
    <xf numFmtId="2" fontId="12" fillId="7" borderId="3" xfId="7" applyNumberFormat="1" applyFont="1" applyBorder="1" applyAlignment="1">
      <alignment horizontal="center" vertical="center"/>
    </xf>
    <xf numFmtId="2" fontId="12" fillId="11" borderId="3" xfId="11" applyNumberFormat="1" applyFont="1" applyBorder="1" applyAlignment="1">
      <alignment horizontal="center" vertical="center"/>
    </xf>
    <xf numFmtId="2" fontId="12" fillId="5" borderId="3" xfId="5" applyNumberFormat="1" applyFont="1" applyBorder="1" applyAlignment="1">
      <alignment horizontal="center" vertical="center"/>
    </xf>
    <xf numFmtId="2" fontId="28" fillId="8" borderId="3" xfId="8" applyNumberFormat="1" applyFont="1" applyBorder="1" applyAlignment="1">
      <alignment horizontal="center" vertical="center"/>
    </xf>
    <xf numFmtId="2" fontId="28" fillId="7" borderId="3" xfId="7" applyNumberFormat="1" applyFont="1" applyBorder="1" applyAlignment="1">
      <alignment horizontal="center" vertical="center"/>
    </xf>
    <xf numFmtId="2" fontId="28" fillId="11" borderId="3" xfId="11" applyNumberFormat="1" applyFont="1" applyBorder="1" applyAlignment="1">
      <alignment horizontal="center" vertical="center"/>
    </xf>
    <xf numFmtId="2" fontId="28" fillId="5" borderId="3" xfId="5" applyNumberFormat="1" applyFont="1" applyBorder="1" applyAlignment="1">
      <alignment horizontal="center" vertical="center"/>
    </xf>
    <xf numFmtId="2" fontId="1" fillId="2" borderId="8" xfId="2" applyNumberFormat="1" applyBorder="1" applyAlignment="1">
      <alignment vertical="center"/>
    </xf>
    <xf numFmtId="2" fontId="3" fillId="38" borderId="13" xfId="1" applyNumberFormat="1" applyFill="1" applyBorder="1" applyAlignment="1">
      <alignment horizontal="center" vertical="center"/>
    </xf>
    <xf numFmtId="2" fontId="4" fillId="38" borderId="13" xfId="21" applyNumberFormat="1" applyFont="1" applyFill="1" applyBorder="1" applyAlignment="1">
      <alignment horizontal="center" vertical="center"/>
    </xf>
    <xf numFmtId="0" fontId="0" fillId="38" borderId="14" xfId="0" applyFill="1" applyBorder="1" applyAlignment="1"/>
    <xf numFmtId="0" fontId="2" fillId="22" borderId="8" xfId="18" applyFont="1" applyBorder="1" applyAlignment="1">
      <alignment horizontal="center"/>
    </xf>
    <xf numFmtId="2" fontId="2" fillId="10" borderId="5" xfId="10" applyNumberFormat="1" applyFont="1" applyBorder="1"/>
    <xf numFmtId="2" fontId="2" fillId="10" borderId="65" xfId="10" applyNumberFormat="1" applyFont="1" applyBorder="1"/>
    <xf numFmtId="0" fontId="2" fillId="3" borderId="16" xfId="3" applyFont="1" applyBorder="1" applyAlignment="1">
      <alignment horizontal="center"/>
    </xf>
    <xf numFmtId="0" fontId="2" fillId="3" borderId="17" xfId="3" applyFont="1" applyBorder="1" applyAlignment="1">
      <alignment horizontal="center"/>
    </xf>
    <xf numFmtId="0" fontId="10" fillId="20" borderId="8" xfId="10" applyFont="1" applyFill="1" applyBorder="1" applyAlignment="1">
      <alignment horizontal="center"/>
    </xf>
    <xf numFmtId="0" fontId="1" fillId="4" borderId="8" xfId="4" applyBorder="1" applyAlignment="1">
      <alignment horizontal="center" vertical="center"/>
    </xf>
    <xf numFmtId="0" fontId="0" fillId="4" borderId="8" xfId="4" applyFont="1" applyBorder="1" applyAlignment="1">
      <alignment horizontal="center" vertical="center"/>
    </xf>
    <xf numFmtId="0" fontId="0" fillId="4" borderId="14" xfId="4" applyFont="1" applyBorder="1" applyAlignment="1">
      <alignment horizontal="center" vertical="center"/>
    </xf>
    <xf numFmtId="0" fontId="2" fillId="3" borderId="3" xfId="3" applyFont="1" applyBorder="1" applyAlignment="1">
      <alignment horizontal="center"/>
    </xf>
    <xf numFmtId="0" fontId="10" fillId="20" borderId="8" xfId="10" applyFont="1" applyFill="1" applyBorder="1" applyAlignment="1">
      <alignment horizontal="center"/>
    </xf>
    <xf numFmtId="0" fontId="0" fillId="4" borderId="8" xfId="4" applyFont="1" applyBorder="1" applyAlignment="1">
      <alignment horizontal="center" vertical="center"/>
    </xf>
    <xf numFmtId="2" fontId="2" fillId="10" borderId="13" xfId="10" applyNumberFormat="1" applyFont="1" applyBorder="1"/>
    <xf numFmtId="0" fontId="10" fillId="39" borderId="3" xfId="10" applyFont="1" applyFill="1" applyBorder="1" applyAlignment="1">
      <alignment horizontal="center" vertical="center"/>
    </xf>
    <xf numFmtId="0" fontId="10" fillId="25" borderId="3" xfId="10" applyFont="1" applyFill="1" applyBorder="1" applyAlignment="1">
      <alignment horizontal="center" vertical="center"/>
    </xf>
    <xf numFmtId="2" fontId="0" fillId="42" borderId="8" xfId="0" applyNumberFormat="1" applyFill="1" applyBorder="1"/>
    <xf numFmtId="165" fontId="0" fillId="38" borderId="56" xfId="0" applyNumberFormat="1" applyFill="1" applyBorder="1"/>
    <xf numFmtId="0" fontId="2" fillId="41" borderId="32" xfId="0" applyFont="1" applyFill="1" applyBorder="1"/>
    <xf numFmtId="0" fontId="2" fillId="41" borderId="32" xfId="0" applyFont="1" applyFill="1" applyBorder="1" applyAlignment="1"/>
    <xf numFmtId="0" fontId="2" fillId="41" borderId="30" xfId="0" applyFont="1" applyFill="1" applyBorder="1"/>
    <xf numFmtId="0" fontId="2" fillId="41" borderId="33" xfId="0" applyFont="1" applyFill="1" applyBorder="1"/>
    <xf numFmtId="0" fontId="2" fillId="41" borderId="33" xfId="0" applyFont="1" applyFill="1" applyBorder="1" applyAlignment="1"/>
    <xf numFmtId="0" fontId="2" fillId="41" borderId="34" xfId="0" applyFont="1" applyFill="1" applyBorder="1" applyAlignment="1"/>
    <xf numFmtId="0" fontId="0" fillId="41" borderId="26" xfId="0" applyFill="1" applyBorder="1" applyAlignment="1"/>
    <xf numFmtId="0" fontId="0" fillId="41" borderId="27" xfId="0" applyFill="1" applyBorder="1" applyAlignment="1"/>
    <xf numFmtId="0" fontId="2" fillId="41" borderId="43" xfId="0" applyFont="1" applyFill="1" applyBorder="1" applyAlignment="1"/>
    <xf numFmtId="0" fontId="1" fillId="4" borderId="14" xfId="4" applyBorder="1" applyAlignment="1">
      <alignment horizontal="center" vertical="center"/>
    </xf>
    <xf numFmtId="0" fontId="0" fillId="7" borderId="8" xfId="7" applyFont="1" applyBorder="1" applyAlignment="1">
      <alignment horizontal="center" vertical="center"/>
    </xf>
    <xf numFmtId="0" fontId="0" fillId="8" borderId="8" xfId="8" applyFont="1" applyBorder="1" applyAlignment="1">
      <alignment horizontal="center" vertical="center"/>
    </xf>
    <xf numFmtId="0" fontId="1" fillId="19" borderId="0" xfId="23"/>
    <xf numFmtId="2" fontId="1" fillId="19" borderId="0" xfId="23" applyNumberFormat="1"/>
    <xf numFmtId="0" fontId="2" fillId="44" borderId="74" xfId="23" applyFont="1" applyFill="1" applyBorder="1"/>
    <xf numFmtId="0" fontId="2" fillId="44" borderId="46" xfId="23" applyFont="1" applyFill="1" applyBorder="1"/>
    <xf numFmtId="0" fontId="2" fillId="44" borderId="53" xfId="23" applyFont="1" applyFill="1" applyBorder="1" applyAlignment="1">
      <alignment horizontal="center"/>
    </xf>
    <xf numFmtId="0" fontId="2" fillId="44" borderId="70" xfId="23" applyFont="1" applyFill="1" applyBorder="1" applyAlignment="1">
      <alignment horizontal="center"/>
    </xf>
    <xf numFmtId="0" fontId="2" fillId="44" borderId="71" xfId="23" applyFont="1" applyFill="1" applyBorder="1" applyAlignment="1">
      <alignment horizontal="center"/>
    </xf>
    <xf numFmtId="0" fontId="1" fillId="30" borderId="9" xfId="23" applyFill="1" applyBorder="1" applyAlignment="1">
      <alignment horizontal="center"/>
    </xf>
    <xf numFmtId="2" fontId="1" fillId="30" borderId="11" xfId="23" applyNumberFormat="1" applyFill="1" applyBorder="1" applyAlignment="1">
      <alignment horizontal="center"/>
    </xf>
    <xf numFmtId="0" fontId="2" fillId="45" borderId="6" xfId="23" applyFont="1" applyFill="1" applyBorder="1" applyAlignment="1">
      <alignment horizontal="right"/>
    </xf>
    <xf numFmtId="2" fontId="5" fillId="45" borderId="3" xfId="23" applyNumberFormat="1" applyFont="1" applyFill="1" applyBorder="1"/>
    <xf numFmtId="0" fontId="5" fillId="45" borderId="8" xfId="23" applyFont="1" applyFill="1" applyBorder="1"/>
    <xf numFmtId="0" fontId="1" fillId="30" borderId="6" xfId="23" applyFill="1" applyBorder="1" applyAlignment="1">
      <alignment horizontal="center"/>
    </xf>
    <xf numFmtId="2" fontId="1" fillId="30" borderId="8" xfId="23" applyNumberFormat="1" applyFill="1" applyBorder="1" applyAlignment="1">
      <alignment horizontal="center"/>
    </xf>
    <xf numFmtId="0" fontId="2" fillId="45" borderId="12" xfId="23" applyFont="1" applyFill="1" applyBorder="1" applyAlignment="1">
      <alignment horizontal="right"/>
    </xf>
    <xf numFmtId="2" fontId="5" fillId="45" borderId="13" xfId="23" applyNumberFormat="1" applyFont="1" applyFill="1" applyBorder="1"/>
    <xf numFmtId="0" fontId="5" fillId="45" borderId="14" xfId="23" applyFont="1" applyFill="1" applyBorder="1"/>
    <xf numFmtId="0" fontId="1" fillId="19" borderId="0" xfId="23" applyAlignment="1"/>
    <xf numFmtId="0" fontId="1" fillId="30" borderId="12" xfId="23" applyFill="1" applyBorder="1" applyAlignment="1">
      <alignment horizontal="center"/>
    </xf>
    <xf numFmtId="2" fontId="1" fillId="30" borderId="14" xfId="23" applyNumberFormat="1" applyFill="1" applyBorder="1" applyAlignment="1">
      <alignment horizontal="center"/>
    </xf>
    <xf numFmtId="0" fontId="4" fillId="0" borderId="0" xfId="0" applyFont="1"/>
    <xf numFmtId="2" fontId="37" fillId="46" borderId="9" xfId="23" applyNumberFormat="1" applyFont="1" applyFill="1" applyBorder="1" applyAlignment="1">
      <alignment horizontal="center"/>
    </xf>
    <xf numFmtId="2" fontId="37" fillId="46" borderId="10" xfId="23" applyNumberFormat="1" applyFont="1" applyFill="1" applyBorder="1" applyAlignment="1">
      <alignment horizontal="center"/>
    </xf>
    <xf numFmtId="2" fontId="37" fillId="46" borderId="11" xfId="23" applyNumberFormat="1" applyFont="1" applyFill="1" applyBorder="1" applyAlignment="1">
      <alignment horizontal="center"/>
    </xf>
    <xf numFmtId="2" fontId="37" fillId="46" borderId="6" xfId="23" applyNumberFormat="1" applyFont="1" applyFill="1" applyBorder="1" applyAlignment="1">
      <alignment horizontal="center"/>
    </xf>
    <xf numFmtId="2" fontId="37" fillId="46" borderId="3" xfId="23" applyNumberFormat="1" applyFont="1" applyFill="1" applyBorder="1" applyAlignment="1">
      <alignment horizontal="center"/>
    </xf>
    <xf numFmtId="2" fontId="37" fillId="46" borderId="8" xfId="23" applyNumberFormat="1" applyFont="1" applyFill="1" applyBorder="1" applyAlignment="1">
      <alignment horizontal="center"/>
    </xf>
    <xf numFmtId="2" fontId="37" fillId="46" borderId="8" xfId="22" applyNumberFormat="1" applyFont="1" applyFill="1" applyBorder="1" applyAlignment="1">
      <alignment horizontal="center"/>
    </xf>
    <xf numFmtId="2" fontId="37" fillId="46" borderId="12" xfId="23" applyNumberFormat="1" applyFont="1" applyFill="1" applyBorder="1" applyAlignment="1">
      <alignment horizontal="center"/>
    </xf>
    <xf numFmtId="2" fontId="37" fillId="46" borderId="13" xfId="23" applyNumberFormat="1" applyFont="1" applyFill="1" applyBorder="1" applyAlignment="1">
      <alignment horizontal="center"/>
    </xf>
    <xf numFmtId="2" fontId="37" fillId="46" borderId="14" xfId="23" applyNumberFormat="1" applyFont="1" applyFill="1" applyBorder="1" applyAlignment="1">
      <alignment horizontal="center"/>
    </xf>
    <xf numFmtId="0" fontId="2" fillId="41" borderId="82" xfId="0" applyFont="1" applyFill="1" applyBorder="1" applyAlignment="1"/>
    <xf numFmtId="165" fontId="0" fillId="19" borderId="0" xfId="0" applyNumberFormat="1" applyFill="1"/>
    <xf numFmtId="2" fontId="1" fillId="2" borderId="13" xfId="2" applyNumberFormat="1" applyBorder="1" applyAlignment="1">
      <alignment horizontal="center"/>
    </xf>
    <xf numFmtId="2" fontId="2" fillId="41" borderId="5" xfId="10" applyNumberFormat="1" applyFont="1" applyFill="1" applyBorder="1"/>
    <xf numFmtId="2" fontId="4" fillId="4" borderId="13" xfId="4" applyNumberFormat="1" applyFont="1" applyBorder="1" applyAlignment="1"/>
    <xf numFmtId="165" fontId="1" fillId="4" borderId="3" xfId="1" applyNumberFormat="1" applyFont="1" applyFill="1" applyBorder="1" applyAlignment="1"/>
    <xf numFmtId="165" fontId="1" fillId="4" borderId="3" xfId="4" applyNumberFormat="1" applyFont="1" applyBorder="1" applyAlignment="1"/>
    <xf numFmtId="165" fontId="1" fillId="4" borderId="13" xfId="1" applyNumberFormat="1" applyFont="1" applyFill="1" applyBorder="1" applyAlignment="1"/>
    <xf numFmtId="2" fontId="1" fillId="4" borderId="3" xfId="4" applyNumberFormat="1" applyFont="1" applyBorder="1" applyAlignment="1"/>
    <xf numFmtId="2" fontId="1" fillId="4" borderId="13" xfId="1" applyNumberFormat="1" applyFont="1" applyFill="1" applyBorder="1" applyAlignment="1"/>
    <xf numFmtId="2" fontId="0" fillId="19" borderId="0" xfId="0" applyNumberFormat="1" applyFill="1" applyBorder="1"/>
    <xf numFmtId="0" fontId="0" fillId="19" borderId="0" xfId="0" applyFill="1" applyBorder="1"/>
    <xf numFmtId="0" fontId="2" fillId="3" borderId="3" xfId="3" applyFont="1" applyBorder="1" applyAlignment="1">
      <alignment horizontal="center"/>
    </xf>
    <xf numFmtId="0" fontId="0" fillId="4" borderId="8" xfId="4" applyFont="1" applyBorder="1" applyAlignment="1">
      <alignment horizontal="center" vertical="center"/>
    </xf>
    <xf numFmtId="0" fontId="2" fillId="3" borderId="1" xfId="3" applyFont="1" applyBorder="1" applyAlignment="1">
      <alignment horizontal="center"/>
    </xf>
    <xf numFmtId="2" fontId="1" fillId="2" borderId="3" xfId="2" applyNumberFormat="1" applyBorder="1" applyAlignment="1">
      <alignment horizontal="center"/>
    </xf>
    <xf numFmtId="2" fontId="2" fillId="10" borderId="3" xfId="10" applyNumberFormat="1" applyFont="1" applyBorder="1" applyAlignment="1">
      <alignment horizontal="center"/>
    </xf>
    <xf numFmtId="2" fontId="1" fillId="2" borderId="3" xfId="2" applyNumberFormat="1" applyBorder="1" applyAlignment="1"/>
    <xf numFmtId="2" fontId="0" fillId="19" borderId="87" xfId="0" applyNumberFormat="1" applyFill="1" applyBorder="1"/>
    <xf numFmtId="2" fontId="0" fillId="42" borderId="85" xfId="0" applyNumberFormat="1" applyFill="1" applyBorder="1"/>
    <xf numFmtId="0" fontId="0" fillId="19" borderId="87" xfId="0" applyFill="1" applyBorder="1"/>
    <xf numFmtId="2" fontId="0" fillId="19" borderId="96" xfId="0" applyNumberFormat="1" applyFill="1" applyBorder="1"/>
    <xf numFmtId="0" fontId="0" fillId="19" borderId="96" xfId="0" applyFill="1" applyBorder="1"/>
    <xf numFmtId="2" fontId="2" fillId="10" borderId="88" xfId="10" applyNumberFormat="1" applyFont="1" applyBorder="1" applyAlignment="1">
      <alignment horizontal="center"/>
    </xf>
    <xf numFmtId="2" fontId="2" fillId="10" borderId="84" xfId="10" applyNumberFormat="1" applyFont="1" applyBorder="1" applyAlignment="1">
      <alignment horizontal="center"/>
    </xf>
    <xf numFmtId="0" fontId="11" fillId="21" borderId="0" xfId="6" applyFont="1" applyFill="1" applyBorder="1" applyAlignment="1">
      <alignment horizontal="center"/>
    </xf>
    <xf numFmtId="0" fontId="10" fillId="20" borderId="0" xfId="10" applyFont="1" applyFill="1" applyBorder="1" applyAlignment="1">
      <alignment horizontal="center"/>
    </xf>
    <xf numFmtId="0" fontId="1" fillId="4" borderId="0" xfId="4" applyBorder="1" applyAlignment="1">
      <alignment horizontal="left" vertical="center"/>
    </xf>
    <xf numFmtId="0" fontId="5" fillId="3" borderId="0" xfId="3" applyBorder="1" applyAlignment="1">
      <alignment horizontal="left"/>
    </xf>
    <xf numFmtId="2" fontId="1" fillId="8" borderId="0" xfId="8" applyNumberFormat="1" applyBorder="1" applyAlignment="1">
      <alignment horizontal="left" vertical="center"/>
    </xf>
    <xf numFmtId="165" fontId="37" fillId="4" borderId="3" xfId="20" applyNumberFormat="1" applyFont="1" applyFill="1" applyBorder="1" applyAlignment="1"/>
    <xf numFmtId="0" fontId="34" fillId="41" borderId="23" xfId="6" applyFont="1" applyFill="1" applyBorder="1" applyAlignment="1">
      <alignment horizontal="center" vertical="center" wrapText="1"/>
    </xf>
    <xf numFmtId="0" fontId="34" fillId="41" borderId="22" xfId="6" applyFont="1" applyFill="1" applyBorder="1" applyAlignment="1">
      <alignment horizontal="center" vertical="center"/>
    </xf>
    <xf numFmtId="0" fontId="34" fillId="41" borderId="24" xfId="6" applyFont="1" applyFill="1" applyBorder="1" applyAlignment="1">
      <alignment horizontal="center" vertical="center"/>
    </xf>
    <xf numFmtId="0" fontId="34" fillId="41" borderId="62" xfId="6" applyFont="1" applyFill="1" applyBorder="1" applyAlignment="1">
      <alignment horizontal="center" vertical="center"/>
    </xf>
    <xf numFmtId="0" fontId="34" fillId="41" borderId="0" xfId="6" applyFont="1" applyFill="1" applyBorder="1" applyAlignment="1">
      <alignment horizontal="center" vertical="center"/>
    </xf>
    <xf numFmtId="0" fontId="34" fillId="41" borderId="66" xfId="6" applyFont="1" applyFill="1" applyBorder="1" applyAlignment="1">
      <alignment horizontal="center" vertical="center"/>
    </xf>
    <xf numFmtId="0" fontId="34" fillId="41" borderId="63" xfId="6" applyFont="1" applyFill="1" applyBorder="1" applyAlignment="1">
      <alignment horizontal="center" vertical="center"/>
    </xf>
    <xf numFmtId="0" fontId="34" fillId="41" borderId="28" xfId="6" applyFont="1" applyFill="1" applyBorder="1" applyAlignment="1">
      <alignment horizontal="center" vertical="center"/>
    </xf>
    <xf numFmtId="0" fontId="34" fillId="41" borderId="64" xfId="6" applyFont="1" applyFill="1" applyBorder="1" applyAlignment="1">
      <alignment horizontal="center" vertical="center"/>
    </xf>
    <xf numFmtId="2" fontId="1" fillId="2" borderId="30" xfId="2" applyNumberFormat="1" applyBorder="1" applyAlignment="1">
      <alignment horizontal="center"/>
    </xf>
    <xf numFmtId="2" fontId="1" fillId="2" borderId="32" xfId="2" applyNumberFormat="1" applyBorder="1" applyAlignment="1">
      <alignment horizontal="center"/>
    </xf>
    <xf numFmtId="2" fontId="1" fillId="2" borderId="31" xfId="2" applyNumberFormat="1" applyBorder="1" applyAlignment="1">
      <alignment horizontal="center"/>
    </xf>
    <xf numFmtId="0" fontId="1" fillId="2" borderId="8" xfId="2" applyBorder="1" applyAlignment="1">
      <alignment horizontal="left" vertical="center"/>
    </xf>
    <xf numFmtId="0" fontId="1" fillId="2" borderId="14" xfId="2" applyBorder="1" applyAlignment="1">
      <alignment horizontal="left" vertical="center"/>
    </xf>
    <xf numFmtId="0" fontId="1" fillId="8" borderId="11" xfId="8" applyBorder="1" applyAlignment="1">
      <alignment horizontal="left" vertical="center"/>
    </xf>
    <xf numFmtId="0" fontId="1" fillId="8" borderId="8" xfId="8" applyBorder="1" applyAlignment="1">
      <alignment horizontal="left" vertical="center"/>
    </xf>
    <xf numFmtId="0" fontId="1" fillId="11" borderId="8" xfId="11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1" fillId="2" borderId="30" xfId="2" applyBorder="1" applyAlignment="1">
      <alignment horizontal="center"/>
    </xf>
    <xf numFmtId="0" fontId="1" fillId="2" borderId="32" xfId="2" applyBorder="1" applyAlignment="1">
      <alignment horizontal="center"/>
    </xf>
    <xf numFmtId="0" fontId="1" fillId="2" borderId="31" xfId="2" applyBorder="1" applyAlignment="1">
      <alignment horizontal="center"/>
    </xf>
    <xf numFmtId="164" fontId="1" fillId="2" borderId="30" xfId="2" applyNumberFormat="1" applyBorder="1" applyAlignment="1">
      <alignment horizontal="center"/>
    </xf>
    <xf numFmtId="164" fontId="1" fillId="2" borderId="32" xfId="2" applyNumberFormat="1" applyBorder="1" applyAlignment="1">
      <alignment horizontal="center"/>
    </xf>
    <xf numFmtId="164" fontId="1" fillId="2" borderId="31" xfId="2" applyNumberFormat="1" applyBorder="1" applyAlignment="1">
      <alignment horizontal="center"/>
    </xf>
    <xf numFmtId="165" fontId="4" fillId="2" borderId="3" xfId="2" applyNumberFormat="1" applyFont="1" applyBorder="1" applyAlignment="1">
      <alignment horizontal="center" vertical="center"/>
    </xf>
    <xf numFmtId="0" fontId="4" fillId="2" borderId="30" xfId="2" applyFont="1" applyBorder="1" applyAlignment="1">
      <alignment horizontal="center" vertical="center"/>
    </xf>
    <xf numFmtId="0" fontId="4" fillId="2" borderId="31" xfId="2" applyFont="1" applyBorder="1" applyAlignment="1">
      <alignment horizontal="center" vertical="center"/>
    </xf>
    <xf numFmtId="2" fontId="1" fillId="2" borderId="7" xfId="2" applyNumberFormat="1" applyBorder="1" applyAlignment="1">
      <alignment vertical="center"/>
    </xf>
    <xf numFmtId="2" fontId="1" fillId="2" borderId="5" xfId="2" applyNumberFormat="1" applyBorder="1" applyAlignment="1">
      <alignment vertical="center"/>
    </xf>
    <xf numFmtId="0" fontId="1" fillId="2" borderId="7" xfId="2" applyBorder="1" applyAlignment="1">
      <alignment vertical="center"/>
    </xf>
    <xf numFmtId="0" fontId="1" fillId="2" borderId="5" xfId="2" applyBorder="1" applyAlignment="1">
      <alignment vertical="center"/>
    </xf>
    <xf numFmtId="0" fontId="1" fillId="7" borderId="8" xfId="7" applyBorder="1" applyAlignment="1">
      <alignment horizontal="left" vertical="center"/>
    </xf>
    <xf numFmtId="0" fontId="4" fillId="8" borderId="30" xfId="8" applyFont="1" applyBorder="1" applyAlignment="1">
      <alignment horizontal="right" vertical="center"/>
    </xf>
    <xf numFmtId="0" fontId="4" fillId="8" borderId="31" xfId="8" applyFont="1" applyBorder="1" applyAlignment="1">
      <alignment horizontal="right" vertical="center"/>
    </xf>
    <xf numFmtId="0" fontId="4" fillId="7" borderId="30" xfId="7" applyFont="1" applyBorder="1" applyAlignment="1">
      <alignment horizontal="right" vertical="center"/>
    </xf>
    <xf numFmtId="0" fontId="4" fillId="7" borderId="31" xfId="7" applyFont="1" applyBorder="1" applyAlignment="1">
      <alignment horizontal="right" vertical="center"/>
    </xf>
    <xf numFmtId="0" fontId="1" fillId="7" borderId="7" xfId="7" applyBorder="1" applyAlignment="1">
      <alignment vertical="center"/>
    </xf>
    <xf numFmtId="0" fontId="1" fillId="7" borderId="5" xfId="7" applyBorder="1" applyAlignment="1">
      <alignment vertical="center"/>
    </xf>
    <xf numFmtId="0" fontId="1" fillId="2" borderId="7" xfId="2" applyBorder="1" applyAlignment="1">
      <alignment horizontal="left" vertical="center"/>
    </xf>
    <xf numFmtId="0" fontId="4" fillId="4" borderId="30" xfId="4" applyFont="1" applyBorder="1" applyAlignment="1">
      <alignment horizontal="right" vertical="center"/>
    </xf>
    <xf numFmtId="0" fontId="4" fillId="4" borderId="32" xfId="4" applyFont="1" applyBorder="1" applyAlignment="1">
      <alignment horizontal="right" vertical="center"/>
    </xf>
    <xf numFmtId="0" fontId="4" fillId="4" borderId="31" xfId="4" applyFont="1" applyBorder="1" applyAlignment="1">
      <alignment horizontal="right" vertical="center"/>
    </xf>
    <xf numFmtId="2" fontId="29" fillId="4" borderId="30" xfId="1" applyNumberFormat="1" applyFont="1" applyFill="1" applyBorder="1" applyAlignment="1">
      <alignment horizontal="center" vertical="center"/>
    </xf>
    <xf numFmtId="2" fontId="29" fillId="4" borderId="31" xfId="1" applyNumberFormat="1" applyFont="1" applyFill="1" applyBorder="1" applyAlignment="1">
      <alignment horizontal="center" vertical="center"/>
    </xf>
    <xf numFmtId="0" fontId="4" fillId="7" borderId="32" xfId="7" applyFont="1" applyBorder="1" applyAlignment="1">
      <alignment horizontal="right" vertical="center"/>
    </xf>
    <xf numFmtId="2" fontId="4" fillId="7" borderId="30" xfId="7" applyNumberFormat="1" applyFont="1" applyBorder="1" applyAlignment="1">
      <alignment horizontal="center" vertical="center"/>
    </xf>
    <xf numFmtId="2" fontId="4" fillId="7" borderId="31" xfId="7" applyNumberFormat="1" applyFont="1" applyBorder="1" applyAlignment="1">
      <alignment horizontal="center" vertical="center"/>
    </xf>
    <xf numFmtId="0" fontId="0" fillId="12" borderId="8" xfId="0" applyFill="1" applyBorder="1" applyAlignment="1">
      <alignment horizontal="left" vertical="center"/>
    </xf>
    <xf numFmtId="0" fontId="1" fillId="24" borderId="7" xfId="19" applyBorder="1" applyAlignment="1">
      <alignment horizontal="left" vertical="center"/>
    </xf>
    <xf numFmtId="0" fontId="1" fillId="24" borderId="5" xfId="19" applyBorder="1" applyAlignment="1">
      <alignment horizontal="left" vertical="center"/>
    </xf>
    <xf numFmtId="0" fontId="0" fillId="2" borderId="30" xfId="2" applyFont="1" applyBorder="1" applyAlignment="1">
      <alignment horizontal="right"/>
    </xf>
    <xf numFmtId="0" fontId="0" fillId="2" borderId="31" xfId="2" applyFont="1" applyBorder="1" applyAlignment="1">
      <alignment horizontal="right"/>
    </xf>
    <xf numFmtId="0" fontId="1" fillId="2" borderId="30" xfId="2" applyBorder="1" applyAlignment="1">
      <alignment horizontal="right"/>
    </xf>
    <xf numFmtId="0" fontId="1" fillId="2" borderId="31" xfId="2" applyBorder="1" applyAlignment="1">
      <alignment horizontal="right"/>
    </xf>
    <xf numFmtId="2" fontId="29" fillId="4" borderId="39" xfId="1" applyNumberFormat="1" applyFont="1" applyFill="1" applyBorder="1" applyAlignment="1">
      <alignment horizontal="center" vertical="center"/>
    </xf>
    <xf numFmtId="2" fontId="29" fillId="4" borderId="35" xfId="1" applyNumberFormat="1" applyFont="1" applyFill="1" applyBorder="1" applyAlignment="1">
      <alignment horizontal="center" vertical="center"/>
    </xf>
    <xf numFmtId="0" fontId="16" fillId="25" borderId="18" xfId="14" applyFont="1" applyFill="1" applyBorder="1" applyAlignment="1">
      <alignment horizontal="center" vertical="center" textRotation="90"/>
    </xf>
    <xf numFmtId="0" fontId="16" fillId="25" borderId="19" xfId="14" applyFont="1" applyFill="1" applyBorder="1" applyAlignment="1">
      <alignment horizontal="center" vertical="center" textRotation="90"/>
    </xf>
    <xf numFmtId="0" fontId="16" fillId="25" borderId="20" xfId="14" applyFont="1" applyFill="1" applyBorder="1" applyAlignment="1">
      <alignment horizontal="center" vertical="center" textRotation="90"/>
    </xf>
    <xf numFmtId="165" fontId="4" fillId="2" borderId="30" xfId="2" applyNumberFormat="1" applyFont="1" applyBorder="1" applyAlignment="1">
      <alignment horizontal="center" vertical="center"/>
    </xf>
    <xf numFmtId="165" fontId="4" fillId="2" borderId="31" xfId="2" applyNumberFormat="1" applyFont="1" applyBorder="1" applyAlignment="1">
      <alignment horizontal="center" vertical="center"/>
    </xf>
    <xf numFmtId="166" fontId="4" fillId="2" borderId="30" xfId="2" applyNumberFormat="1" applyFont="1" applyBorder="1" applyAlignment="1">
      <alignment horizontal="center" vertical="center"/>
    </xf>
    <xf numFmtId="166" fontId="4" fillId="2" borderId="31" xfId="2" applyNumberFormat="1" applyFont="1" applyBorder="1" applyAlignment="1">
      <alignment horizontal="center" vertical="center"/>
    </xf>
    <xf numFmtId="2" fontId="1" fillId="2" borderId="7" xfId="2" applyNumberFormat="1" applyBorder="1" applyAlignment="1">
      <alignment horizontal="left" vertical="center"/>
    </xf>
    <xf numFmtId="2" fontId="1" fillId="2" borderId="5" xfId="2" applyNumberFormat="1" applyBorder="1" applyAlignment="1">
      <alignment horizontal="left" vertical="center"/>
    </xf>
    <xf numFmtId="0" fontId="1" fillId="2" borderId="5" xfId="2" applyBorder="1" applyAlignment="1">
      <alignment horizontal="left" vertical="center"/>
    </xf>
    <xf numFmtId="2" fontId="4" fillId="2" borderId="30" xfId="2" applyNumberFormat="1" applyFont="1" applyBorder="1" applyAlignment="1">
      <alignment horizontal="center" vertical="center"/>
    </xf>
    <xf numFmtId="2" fontId="4" fillId="2" borderId="31" xfId="2" applyNumberFormat="1" applyFont="1" applyBorder="1" applyAlignment="1">
      <alignment horizontal="center" vertical="center"/>
    </xf>
    <xf numFmtId="0" fontId="0" fillId="11" borderId="3" xfId="11" applyFont="1" applyBorder="1" applyAlignment="1">
      <alignment horizontal="right" vertical="center"/>
    </xf>
    <xf numFmtId="0" fontId="4" fillId="4" borderId="39" xfId="4" applyFont="1" applyBorder="1" applyAlignment="1">
      <alignment horizontal="right" vertical="center"/>
    </xf>
    <xf numFmtId="0" fontId="4" fillId="4" borderId="43" xfId="4" applyFont="1" applyBorder="1" applyAlignment="1">
      <alignment horizontal="right" vertical="center"/>
    </xf>
    <xf numFmtId="0" fontId="4" fillId="4" borderId="35" xfId="4" applyFont="1" applyBorder="1" applyAlignment="1">
      <alignment horizontal="right" vertical="center"/>
    </xf>
    <xf numFmtId="0" fontId="4" fillId="2" borderId="32" xfId="2" applyFont="1" applyBorder="1" applyAlignment="1">
      <alignment horizontal="center" vertical="center"/>
    </xf>
    <xf numFmtId="0" fontId="1" fillId="2" borderId="39" xfId="2" applyBorder="1" applyAlignment="1">
      <alignment horizontal="right"/>
    </xf>
    <xf numFmtId="0" fontId="1" fillId="2" borderId="35" xfId="2" applyBorder="1" applyAlignment="1">
      <alignment horizontal="right"/>
    </xf>
    <xf numFmtId="164" fontId="1" fillId="2" borderId="39" xfId="2" applyNumberFormat="1" applyBorder="1" applyAlignment="1">
      <alignment horizontal="center"/>
    </xf>
    <xf numFmtId="164" fontId="1" fillId="2" borderId="43" xfId="2" applyNumberFormat="1" applyBorder="1" applyAlignment="1">
      <alignment horizontal="center"/>
    </xf>
    <xf numFmtId="164" fontId="1" fillId="2" borderId="35" xfId="2" applyNumberFormat="1" applyBorder="1" applyAlignment="1">
      <alignment horizontal="center"/>
    </xf>
    <xf numFmtId="0" fontId="14" fillId="12" borderId="3" xfId="0" applyFont="1" applyFill="1" applyBorder="1" applyAlignment="1">
      <alignment horizontal="center" vertical="center" textRotation="90" wrapText="1"/>
    </xf>
    <xf numFmtId="0" fontId="1" fillId="8" borderId="3" xfId="8" applyBorder="1" applyAlignment="1">
      <alignment horizontal="right" vertical="center"/>
    </xf>
    <xf numFmtId="0" fontId="1" fillId="8" borderId="10" xfId="8" applyBorder="1" applyAlignment="1">
      <alignment horizontal="right" vertical="center"/>
    </xf>
    <xf numFmtId="0" fontId="4" fillId="7" borderId="3" xfId="7" applyFont="1" applyBorder="1" applyAlignment="1">
      <alignment horizontal="center" vertical="center" textRotation="90"/>
    </xf>
    <xf numFmtId="0" fontId="0" fillId="12" borderId="3" xfId="0" applyFill="1" applyBorder="1" applyAlignment="1">
      <alignment horizontal="right" vertical="center"/>
    </xf>
    <xf numFmtId="0" fontId="4" fillId="8" borderId="10" xfId="8" applyFont="1" applyBorder="1" applyAlignment="1">
      <alignment horizontal="center" vertical="center" textRotation="90"/>
    </xf>
    <xf numFmtId="0" fontId="4" fillId="8" borderId="3" xfId="8" applyFont="1" applyBorder="1" applyAlignment="1">
      <alignment horizontal="center" vertical="center" textRotation="90"/>
    </xf>
    <xf numFmtId="0" fontId="4" fillId="11" borderId="3" xfId="11" applyFont="1" applyBorder="1" applyAlignment="1">
      <alignment horizontal="center" vertical="center" textRotation="90"/>
    </xf>
    <xf numFmtId="0" fontId="1" fillId="7" borderId="3" xfId="7" applyBorder="1" applyAlignment="1">
      <alignment horizontal="right" vertical="center"/>
    </xf>
    <xf numFmtId="0" fontId="4" fillId="9" borderId="30" xfId="9" applyFont="1" applyBorder="1" applyAlignment="1">
      <alignment horizontal="center" vertical="center"/>
    </xf>
    <xf numFmtId="0" fontId="4" fillId="9" borderId="32" xfId="9" applyFont="1" applyBorder="1" applyAlignment="1">
      <alignment horizontal="center" vertical="center"/>
    </xf>
    <xf numFmtId="0" fontId="4" fillId="9" borderId="31" xfId="9" applyFont="1" applyBorder="1" applyAlignment="1">
      <alignment horizontal="center" vertical="center"/>
    </xf>
    <xf numFmtId="2" fontId="4" fillId="9" borderId="30" xfId="9" applyNumberFormat="1" applyFont="1" applyBorder="1" applyAlignment="1">
      <alignment horizontal="center" vertical="center"/>
    </xf>
    <xf numFmtId="2" fontId="4" fillId="9" borderId="31" xfId="9" applyNumberFormat="1" applyFont="1" applyBorder="1" applyAlignment="1">
      <alignment horizontal="center" vertical="center"/>
    </xf>
    <xf numFmtId="0" fontId="4" fillId="2" borderId="3" xfId="2" applyFont="1" applyBorder="1" applyAlignment="1">
      <alignment horizontal="center" vertical="center" textRotation="90"/>
    </xf>
    <xf numFmtId="0" fontId="4" fillId="2" borderId="13" xfId="2" applyFont="1" applyBorder="1" applyAlignment="1">
      <alignment horizontal="center" vertical="center" textRotation="90"/>
    </xf>
    <xf numFmtId="0" fontId="4" fillId="38" borderId="13" xfId="7" applyFont="1" applyFill="1" applyBorder="1" applyAlignment="1">
      <alignment horizontal="right" vertical="center"/>
    </xf>
    <xf numFmtId="0" fontId="4" fillId="2" borderId="3" xfId="2" applyFont="1" applyBorder="1" applyAlignment="1">
      <alignment horizontal="center" vertical="center"/>
    </xf>
    <xf numFmtId="0" fontId="1" fillId="24" borderId="7" xfId="19" applyBorder="1" applyAlignment="1">
      <alignment vertical="center"/>
    </xf>
    <xf numFmtId="0" fontId="1" fillId="24" borderId="5" xfId="19" applyBorder="1" applyAlignment="1">
      <alignment vertical="center"/>
    </xf>
    <xf numFmtId="0" fontId="4" fillId="24" borderId="30" xfId="19" applyFont="1" applyBorder="1" applyAlignment="1">
      <alignment horizontal="right" vertical="center"/>
    </xf>
    <xf numFmtId="0" fontId="4" fillId="24" borderId="31" xfId="19" applyFont="1" applyBorder="1" applyAlignment="1">
      <alignment horizontal="right" vertical="center"/>
    </xf>
    <xf numFmtId="0" fontId="4" fillId="9" borderId="30" xfId="9" applyFont="1" applyBorder="1" applyAlignment="1">
      <alignment horizontal="right" vertical="center"/>
    </xf>
    <xf numFmtId="0" fontId="4" fillId="9" borderId="31" xfId="9" applyFont="1" applyBorder="1" applyAlignment="1">
      <alignment horizontal="right" vertical="center"/>
    </xf>
    <xf numFmtId="0" fontId="0" fillId="9" borderId="7" xfId="9" applyFont="1" applyBorder="1" applyAlignment="1">
      <alignment vertical="center"/>
    </xf>
    <xf numFmtId="0" fontId="0" fillId="9" borderId="2" xfId="9" applyFont="1" applyBorder="1" applyAlignment="1">
      <alignment vertical="center"/>
    </xf>
    <xf numFmtId="0" fontId="0" fillId="9" borderId="5" xfId="9" applyFont="1" applyBorder="1" applyAlignment="1">
      <alignment vertical="center"/>
    </xf>
    <xf numFmtId="0" fontId="1" fillId="8" borderId="7" xfId="8" applyBorder="1" applyAlignment="1">
      <alignment vertical="center"/>
    </xf>
    <xf numFmtId="0" fontId="1" fillId="8" borderId="5" xfId="8" applyBorder="1" applyAlignment="1">
      <alignment vertical="center"/>
    </xf>
    <xf numFmtId="0" fontId="1" fillId="8" borderId="7" xfId="8" applyBorder="1" applyAlignment="1">
      <alignment horizontal="left" vertical="center"/>
    </xf>
    <xf numFmtId="0" fontId="1" fillId="8" borderId="5" xfId="8" applyBorder="1" applyAlignment="1">
      <alignment horizontal="left" vertical="center"/>
    </xf>
    <xf numFmtId="0" fontId="4" fillId="8" borderId="32" xfId="8" applyFont="1" applyBorder="1" applyAlignment="1">
      <alignment horizontal="right" vertical="center"/>
    </xf>
    <xf numFmtId="2" fontId="4" fillId="8" borderId="30" xfId="8" applyNumberFormat="1" applyFont="1" applyBorder="1" applyAlignment="1">
      <alignment horizontal="center" vertical="center"/>
    </xf>
    <xf numFmtId="2" fontId="4" fillId="8" borderId="31" xfId="8" applyNumberFormat="1" applyFont="1" applyBorder="1" applyAlignment="1">
      <alignment horizontal="center" vertical="center"/>
    </xf>
    <xf numFmtId="165" fontId="4" fillId="9" borderId="30" xfId="9" applyNumberFormat="1" applyFont="1" applyBorder="1" applyAlignment="1">
      <alignment horizontal="center" vertical="center"/>
    </xf>
    <xf numFmtId="165" fontId="4" fillId="9" borderId="31" xfId="9" applyNumberFormat="1" applyFont="1" applyBorder="1" applyAlignment="1">
      <alignment horizontal="center" vertical="center"/>
    </xf>
    <xf numFmtId="2" fontId="4" fillId="4" borderId="39" xfId="4" applyNumberFormat="1" applyFont="1" applyBorder="1" applyAlignment="1">
      <alignment horizontal="center" vertical="center"/>
    </xf>
    <xf numFmtId="2" fontId="4" fillId="4" borderId="35" xfId="4" applyNumberFormat="1" applyFont="1" applyBorder="1" applyAlignment="1">
      <alignment horizontal="center" vertical="center"/>
    </xf>
    <xf numFmtId="0" fontId="0" fillId="9" borderId="7" xfId="9" applyFont="1" applyBorder="1" applyAlignment="1">
      <alignment horizontal="left" vertical="center"/>
    </xf>
    <xf numFmtId="0" fontId="0" fillId="9" borderId="2" xfId="9" applyFont="1" applyBorder="1" applyAlignment="1">
      <alignment horizontal="left" vertical="center"/>
    </xf>
    <xf numFmtId="0" fontId="0" fillId="9" borderId="5" xfId="9" applyFont="1" applyBorder="1" applyAlignment="1">
      <alignment horizontal="left" vertical="center"/>
    </xf>
    <xf numFmtId="0" fontId="1" fillId="4" borderId="7" xfId="4" applyBorder="1" applyAlignment="1">
      <alignment horizontal="left" vertical="center"/>
    </xf>
    <xf numFmtId="0" fontId="1" fillId="4" borderId="44" xfId="4" applyBorder="1" applyAlignment="1">
      <alignment horizontal="left" vertical="center"/>
    </xf>
    <xf numFmtId="0" fontId="15" fillId="25" borderId="9" xfId="14" applyFont="1" applyFill="1" applyBorder="1" applyAlignment="1">
      <alignment horizontal="center" vertical="center" textRotation="90"/>
    </xf>
    <xf numFmtId="0" fontId="15" fillId="25" borderId="6" xfId="14" applyFont="1" applyFill="1" applyBorder="1" applyAlignment="1">
      <alignment horizontal="center" vertical="center" textRotation="90"/>
    </xf>
    <xf numFmtId="0" fontId="15" fillId="25" borderId="12" xfId="14" applyFont="1" applyFill="1" applyBorder="1" applyAlignment="1">
      <alignment horizontal="center" vertical="center" textRotation="90"/>
    </xf>
    <xf numFmtId="0" fontId="11" fillId="21" borderId="9" xfId="6" applyFont="1" applyFill="1" applyBorder="1" applyAlignment="1">
      <alignment horizontal="center"/>
    </xf>
    <xf numFmtId="0" fontId="11" fillId="21" borderId="10" xfId="6" applyFont="1" applyFill="1" applyBorder="1" applyAlignment="1">
      <alignment horizontal="center"/>
    </xf>
    <xf numFmtId="0" fontId="11" fillId="21" borderId="11" xfId="6" applyFont="1" applyFill="1" applyBorder="1" applyAlignment="1">
      <alignment horizontal="center"/>
    </xf>
    <xf numFmtId="0" fontId="11" fillId="21" borderId="6" xfId="6" applyFont="1" applyFill="1" applyBorder="1" applyAlignment="1">
      <alignment horizontal="center"/>
    </xf>
    <xf numFmtId="0" fontId="11" fillId="21" borderId="3" xfId="6" applyFont="1" applyFill="1" applyBorder="1" applyAlignment="1">
      <alignment horizontal="center"/>
    </xf>
    <xf numFmtId="0" fontId="11" fillId="21" borderId="8" xfId="6" applyFont="1" applyFill="1" applyBorder="1" applyAlignment="1">
      <alignment horizontal="center"/>
    </xf>
    <xf numFmtId="0" fontId="2" fillId="22" borderId="32" xfId="18" applyFont="1" applyBorder="1" applyAlignment="1">
      <alignment horizontal="center"/>
    </xf>
    <xf numFmtId="0" fontId="2" fillId="22" borderId="31" xfId="18" applyFont="1" applyBorder="1" applyAlignment="1">
      <alignment horizontal="center"/>
    </xf>
    <xf numFmtId="0" fontId="16" fillId="39" borderId="18" xfId="14" applyFont="1" applyFill="1" applyBorder="1" applyAlignment="1">
      <alignment horizontal="center" vertical="center" textRotation="90"/>
    </xf>
    <xf numFmtId="0" fontId="16" fillId="39" borderId="19" xfId="14" applyFont="1" applyFill="1" applyBorder="1" applyAlignment="1">
      <alignment horizontal="center" vertical="center" textRotation="90"/>
    </xf>
    <xf numFmtId="0" fontId="16" fillId="39" borderId="20" xfId="14" applyFont="1" applyFill="1" applyBorder="1" applyAlignment="1">
      <alignment horizontal="center" vertical="center" textRotation="90"/>
    </xf>
    <xf numFmtId="0" fontId="1" fillId="4" borderId="3" xfId="4" applyBorder="1" applyAlignment="1">
      <alignment horizontal="center"/>
    </xf>
    <xf numFmtId="0" fontId="1" fillId="4" borderId="8" xfId="4" applyBorder="1" applyAlignment="1">
      <alignment horizontal="left" vertical="center"/>
    </xf>
    <xf numFmtId="0" fontId="10" fillId="20" borderId="6" xfId="10" applyFont="1" applyFill="1" applyBorder="1" applyAlignment="1">
      <alignment horizontal="center"/>
    </xf>
    <xf numFmtId="0" fontId="10" fillId="20" borderId="3" xfId="10" applyFont="1" applyFill="1" applyBorder="1" applyAlignment="1">
      <alignment horizontal="center"/>
    </xf>
    <xf numFmtId="0" fontId="10" fillId="20" borderId="8" xfId="1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 textRotation="90"/>
    </xf>
    <xf numFmtId="0" fontId="8" fillId="23" borderId="23" xfId="10" applyFont="1" applyFill="1" applyBorder="1" applyAlignment="1">
      <alignment horizontal="center" vertical="center"/>
    </xf>
    <xf numFmtId="0" fontId="8" fillId="23" borderId="22" xfId="10" applyFont="1" applyFill="1" applyBorder="1" applyAlignment="1">
      <alignment horizontal="center" vertical="center"/>
    </xf>
    <xf numFmtId="0" fontId="8" fillId="23" borderId="24" xfId="10" applyFont="1" applyFill="1" applyBorder="1" applyAlignment="1">
      <alignment horizontal="center" vertical="center"/>
    </xf>
    <xf numFmtId="0" fontId="8" fillId="23" borderId="36" xfId="10" applyFont="1" applyFill="1" applyBorder="1" applyAlignment="1">
      <alignment horizontal="center" vertical="center"/>
    </xf>
    <xf numFmtId="0" fontId="8" fillId="23" borderId="29" xfId="10" applyFont="1" applyFill="1" applyBorder="1" applyAlignment="1">
      <alignment horizontal="center" vertical="center"/>
    </xf>
    <xf numFmtId="0" fontId="8" fillId="23" borderId="37" xfId="10" applyFont="1" applyFill="1" applyBorder="1" applyAlignment="1">
      <alignment horizontal="center" vertical="center"/>
    </xf>
    <xf numFmtId="0" fontId="15" fillId="39" borderId="6" xfId="14" applyFont="1" applyFill="1" applyBorder="1" applyAlignment="1">
      <alignment horizontal="center" vertical="center" textRotation="90"/>
    </xf>
    <xf numFmtId="0" fontId="15" fillId="39" borderId="18" xfId="14" applyFont="1" applyFill="1" applyBorder="1" applyAlignment="1">
      <alignment horizontal="center" vertical="center" textRotation="90"/>
    </xf>
    <xf numFmtId="0" fontId="2" fillId="3" borderId="6" xfId="3" applyFont="1" applyBorder="1" applyAlignment="1">
      <alignment horizontal="center"/>
    </xf>
    <xf numFmtId="0" fontId="2" fillId="3" borderId="3" xfId="3" applyFont="1" applyBorder="1" applyAlignment="1">
      <alignment horizontal="center"/>
    </xf>
    <xf numFmtId="0" fontId="4" fillId="4" borderId="6" xfId="4" applyFont="1" applyBorder="1" applyAlignment="1">
      <alignment horizontal="center" vertical="center" textRotation="90"/>
    </xf>
    <xf numFmtId="0" fontId="4" fillId="4" borderId="3" xfId="4" applyFont="1" applyBorder="1" applyAlignment="1">
      <alignment horizontal="center" vertical="center" textRotation="90"/>
    </xf>
    <xf numFmtId="0" fontId="4" fillId="2" borderId="39" xfId="2" applyFont="1" applyBorder="1" applyAlignment="1">
      <alignment horizontal="center" vertical="center"/>
    </xf>
    <xf numFmtId="0" fontId="4" fillId="2" borderId="43" xfId="2" applyFont="1" applyBorder="1" applyAlignment="1">
      <alignment horizontal="center" vertical="center"/>
    </xf>
    <xf numFmtId="0" fontId="4" fillId="2" borderId="35" xfId="2" applyFont="1" applyBorder="1" applyAlignment="1">
      <alignment horizontal="center" vertical="center"/>
    </xf>
    <xf numFmtId="165" fontId="4" fillId="2" borderId="39" xfId="2" applyNumberFormat="1" applyFont="1" applyBorder="1" applyAlignment="1">
      <alignment horizontal="center" vertical="center"/>
    </xf>
    <xf numFmtId="165" fontId="4" fillId="2" borderId="35" xfId="2" applyNumberFormat="1" applyFont="1" applyBorder="1" applyAlignment="1">
      <alignment horizontal="center" vertical="center"/>
    </xf>
    <xf numFmtId="0" fontId="4" fillId="2" borderId="4" xfId="2" applyFont="1" applyBorder="1" applyAlignment="1">
      <alignment horizontal="center" vertical="center" textRotation="90"/>
    </xf>
    <xf numFmtId="0" fontId="8" fillId="33" borderId="23" xfId="10" applyFont="1" applyFill="1" applyBorder="1" applyAlignment="1">
      <alignment horizontal="center" vertical="center"/>
    </xf>
    <xf numFmtId="0" fontId="8" fillId="33" borderId="22" xfId="10" applyFont="1" applyFill="1" applyBorder="1" applyAlignment="1">
      <alignment horizontal="center" vertical="center"/>
    </xf>
    <xf numFmtId="0" fontId="8" fillId="33" borderId="24" xfId="10" applyFont="1" applyFill="1" applyBorder="1" applyAlignment="1">
      <alignment horizontal="center" vertical="center"/>
    </xf>
    <xf numFmtId="0" fontId="8" fillId="33" borderId="36" xfId="10" applyFont="1" applyFill="1" applyBorder="1" applyAlignment="1">
      <alignment horizontal="center" vertical="center"/>
    </xf>
    <xf numFmtId="0" fontId="8" fillId="33" borderId="29" xfId="10" applyFont="1" applyFill="1" applyBorder="1" applyAlignment="1">
      <alignment horizontal="center" vertical="center"/>
    </xf>
    <xf numFmtId="0" fontId="8" fillId="33" borderId="37" xfId="10" applyFont="1" applyFill="1" applyBorder="1" applyAlignment="1">
      <alignment horizontal="center" vertical="center"/>
    </xf>
    <xf numFmtId="0" fontId="1" fillId="7" borderId="7" xfId="7" applyBorder="1" applyAlignment="1">
      <alignment horizontal="left" vertical="center"/>
    </xf>
    <xf numFmtId="0" fontId="1" fillId="7" borderId="5" xfId="7" applyBorder="1" applyAlignment="1">
      <alignment horizontal="left" vertical="center"/>
    </xf>
    <xf numFmtId="0" fontId="2" fillId="22" borderId="33" xfId="18" applyFont="1" applyBorder="1" applyAlignment="1">
      <alignment horizontal="center"/>
    </xf>
    <xf numFmtId="0" fontId="2" fillId="22" borderId="30" xfId="18" applyFont="1" applyBorder="1" applyAlignment="1">
      <alignment horizontal="center"/>
    </xf>
    <xf numFmtId="2" fontId="4" fillId="4" borderId="30" xfId="4" applyNumberFormat="1" applyFont="1" applyBorder="1" applyAlignment="1">
      <alignment horizontal="center" vertical="center"/>
    </xf>
    <xf numFmtId="2" fontId="4" fillId="4" borderId="31" xfId="4" applyNumberFormat="1" applyFont="1" applyBorder="1" applyAlignment="1">
      <alignment horizontal="center" vertical="center"/>
    </xf>
    <xf numFmtId="0" fontId="8" fillId="37" borderId="23" xfId="10" applyFont="1" applyFill="1" applyBorder="1" applyAlignment="1">
      <alignment horizontal="center" vertical="center"/>
    </xf>
    <xf numFmtId="0" fontId="8" fillId="37" borderId="22" xfId="10" applyFont="1" applyFill="1" applyBorder="1" applyAlignment="1">
      <alignment horizontal="center" vertical="center"/>
    </xf>
    <xf numFmtId="0" fontId="8" fillId="37" borderId="24" xfId="10" applyFont="1" applyFill="1" applyBorder="1" applyAlignment="1">
      <alignment horizontal="center" vertical="center"/>
    </xf>
    <xf numFmtId="0" fontId="8" fillId="37" borderId="63" xfId="10" applyFont="1" applyFill="1" applyBorder="1" applyAlignment="1">
      <alignment horizontal="center" vertical="center"/>
    </xf>
    <xf numFmtId="0" fontId="8" fillId="37" borderId="28" xfId="10" applyFont="1" applyFill="1" applyBorder="1" applyAlignment="1">
      <alignment horizontal="center" vertical="center"/>
    </xf>
    <xf numFmtId="0" fontId="8" fillId="37" borderId="64" xfId="10" applyFont="1" applyFill="1" applyBorder="1" applyAlignment="1">
      <alignment horizontal="center" vertical="center"/>
    </xf>
    <xf numFmtId="165" fontId="4" fillId="4" borderId="13" xfId="4" applyNumberFormat="1" applyFont="1" applyBorder="1" applyAlignment="1">
      <alignment horizontal="center" vertical="center"/>
    </xf>
    <xf numFmtId="0" fontId="2" fillId="10" borderId="98" xfId="10" applyFont="1" applyBorder="1" applyAlignment="1">
      <alignment horizontal="right" vertical="center"/>
    </xf>
    <xf numFmtId="0" fontId="2" fillId="10" borderId="99" xfId="10" applyFont="1" applyBorder="1" applyAlignment="1">
      <alignment horizontal="right" vertical="center"/>
    </xf>
    <xf numFmtId="0" fontId="25" fillId="10" borderId="86" xfId="10" applyFont="1" applyBorder="1" applyAlignment="1">
      <alignment horizontal="center" vertical="center"/>
    </xf>
    <xf numFmtId="0" fontId="25" fillId="10" borderId="100" xfId="10" applyFont="1" applyBorder="1" applyAlignment="1">
      <alignment horizontal="center" vertical="center"/>
    </xf>
    <xf numFmtId="2" fontId="2" fillId="10" borderId="99" xfId="10" applyNumberFormat="1" applyFont="1" applyBorder="1" applyAlignment="1">
      <alignment horizontal="center"/>
    </xf>
    <xf numFmtId="0" fontId="2" fillId="10" borderId="97" xfId="10" applyFont="1" applyBorder="1" applyAlignment="1">
      <alignment horizontal="right" vertical="center"/>
    </xf>
    <xf numFmtId="0" fontId="2" fillId="10" borderId="4" xfId="10" applyFont="1" applyBorder="1" applyAlignment="1">
      <alignment horizontal="right" vertical="center"/>
    </xf>
    <xf numFmtId="2" fontId="2" fillId="10" borderId="4" xfId="10" applyNumberFormat="1" applyFont="1" applyBorder="1" applyAlignment="1">
      <alignment horizontal="center"/>
    </xf>
    <xf numFmtId="0" fontId="25" fillId="10" borderId="88" xfId="10" applyFont="1" applyBorder="1" applyAlignment="1">
      <alignment horizontal="center" vertical="center"/>
    </xf>
    <xf numFmtId="0" fontId="2" fillId="10" borderId="94" xfId="10" applyFont="1" applyBorder="1" applyAlignment="1">
      <alignment horizontal="right" vertical="center"/>
    </xf>
    <xf numFmtId="0" fontId="2" fillId="10" borderId="3" xfId="10" applyFont="1" applyBorder="1" applyAlignment="1">
      <alignment horizontal="right" vertical="center"/>
    </xf>
    <xf numFmtId="0" fontId="5" fillId="23" borderId="3" xfId="0" applyFont="1" applyFill="1" applyBorder="1" applyAlignment="1">
      <alignment horizontal="left" vertical="center"/>
    </xf>
    <xf numFmtId="0" fontId="5" fillId="23" borderId="86" xfId="0" applyFont="1" applyFill="1" applyBorder="1" applyAlignment="1">
      <alignment horizontal="left" vertical="center"/>
    </xf>
    <xf numFmtId="165" fontId="4" fillId="8" borderId="3" xfId="8" applyNumberFormat="1" applyFont="1" applyBorder="1" applyAlignment="1">
      <alignment horizontal="center" vertical="center"/>
    </xf>
    <xf numFmtId="165" fontId="4" fillId="7" borderId="3" xfId="7" applyNumberFormat="1" applyFont="1" applyBorder="1" applyAlignment="1">
      <alignment horizontal="center" vertical="center"/>
    </xf>
    <xf numFmtId="0" fontId="25" fillId="10" borderId="1" xfId="10" applyFont="1" applyBorder="1" applyAlignment="1">
      <alignment horizontal="center" vertical="center"/>
    </xf>
    <xf numFmtId="0" fontId="25" fillId="10" borderId="3" xfId="10" applyFont="1" applyBorder="1" applyAlignment="1">
      <alignment horizontal="center" vertical="center"/>
    </xf>
    <xf numFmtId="0" fontId="8" fillId="33" borderId="27" xfId="0" applyFont="1" applyFill="1" applyBorder="1" applyAlignment="1">
      <alignment horizontal="center" vertical="center"/>
    </xf>
    <xf numFmtId="0" fontId="8" fillId="33" borderId="25" xfId="0" applyFont="1" applyFill="1" applyBorder="1" applyAlignment="1">
      <alignment horizontal="center" vertical="center"/>
    </xf>
    <xf numFmtId="0" fontId="0" fillId="4" borderId="3" xfId="4" applyFont="1" applyBorder="1" applyAlignment="1">
      <alignment horizontal="center"/>
    </xf>
    <xf numFmtId="0" fontId="29" fillId="46" borderId="80" xfId="10" applyFont="1" applyFill="1" applyBorder="1" applyAlignment="1">
      <alignment horizontal="center" vertical="center"/>
    </xf>
    <xf numFmtId="0" fontId="29" fillId="46" borderId="81" xfId="10" applyFont="1" applyFill="1" applyBorder="1" applyAlignment="1">
      <alignment horizontal="center" vertical="center"/>
    </xf>
    <xf numFmtId="0" fontId="2" fillId="10" borderId="77" xfId="10" applyFont="1" applyBorder="1" applyAlignment="1">
      <alignment horizontal="center" vertical="center"/>
    </xf>
    <xf numFmtId="0" fontId="2" fillId="10" borderId="78" xfId="10" applyFont="1" applyBorder="1" applyAlignment="1">
      <alignment horizontal="center" vertical="center"/>
    </xf>
    <xf numFmtId="0" fontId="2" fillId="10" borderId="79" xfId="10" applyFont="1" applyBorder="1" applyAlignment="1">
      <alignment horizontal="center" vertical="center"/>
    </xf>
    <xf numFmtId="0" fontId="26" fillId="41" borderId="9" xfId="0" applyFont="1" applyFill="1" applyBorder="1" applyAlignment="1">
      <alignment horizontal="center" vertical="center" wrapText="1"/>
    </xf>
    <xf numFmtId="0" fontId="26" fillId="41" borderId="11" xfId="0" applyFont="1" applyFill="1" applyBorder="1" applyAlignment="1">
      <alignment horizontal="center" vertical="center" wrapText="1"/>
    </xf>
    <xf numFmtId="0" fontId="26" fillId="41" borderId="6" xfId="0" applyFont="1" applyFill="1" applyBorder="1" applyAlignment="1">
      <alignment horizontal="center" vertical="center" wrapText="1"/>
    </xf>
    <xf numFmtId="0" fontId="26" fillId="41" borderId="8" xfId="0" applyFont="1" applyFill="1" applyBorder="1" applyAlignment="1">
      <alignment horizontal="center" vertical="center" wrapText="1"/>
    </xf>
    <xf numFmtId="0" fontId="26" fillId="41" borderId="12" xfId="0" applyFont="1" applyFill="1" applyBorder="1" applyAlignment="1">
      <alignment horizontal="center" vertical="center" wrapText="1"/>
    </xf>
    <xf numFmtId="0" fontId="26" fillId="41" borderId="14" xfId="0" applyFont="1" applyFill="1" applyBorder="1" applyAlignment="1">
      <alignment horizontal="center" vertical="center" wrapText="1"/>
    </xf>
    <xf numFmtId="0" fontId="0" fillId="41" borderId="27" xfId="0" applyFill="1" applyBorder="1" applyAlignment="1">
      <alignment horizontal="center"/>
    </xf>
    <xf numFmtId="0" fontId="0" fillId="41" borderId="76" xfId="0" applyFill="1" applyBorder="1" applyAlignment="1">
      <alignment horizontal="center"/>
    </xf>
    <xf numFmtId="0" fontId="26" fillId="39" borderId="23" xfId="10" applyFont="1" applyFill="1" applyBorder="1" applyAlignment="1">
      <alignment horizontal="center" vertical="center"/>
    </xf>
    <xf numFmtId="0" fontId="26" fillId="39" borderId="22" xfId="10" applyFont="1" applyFill="1" applyBorder="1" applyAlignment="1">
      <alignment horizontal="center" vertical="center"/>
    </xf>
    <xf numFmtId="0" fontId="26" fillId="39" borderId="75" xfId="10" applyFont="1" applyFill="1" applyBorder="1" applyAlignment="1">
      <alignment horizontal="center" vertical="center"/>
    </xf>
    <xf numFmtId="0" fontId="26" fillId="39" borderId="63" xfId="10" applyFont="1" applyFill="1" applyBorder="1" applyAlignment="1">
      <alignment horizontal="center" vertical="center"/>
    </xf>
    <xf numFmtId="0" fontId="26" fillId="39" borderId="28" xfId="10" applyFont="1" applyFill="1" applyBorder="1" applyAlignment="1">
      <alignment horizontal="center" vertical="center"/>
    </xf>
    <xf numFmtId="0" fontId="26" fillId="39" borderId="73" xfId="10" applyFont="1" applyFill="1" applyBorder="1" applyAlignment="1">
      <alignment horizontal="center" vertical="center"/>
    </xf>
    <xf numFmtId="0" fontId="1" fillId="7" borderId="7" xfId="7" applyBorder="1" applyAlignment="1">
      <alignment horizontal="center" vertical="center"/>
    </xf>
    <xf numFmtId="0" fontId="1" fillId="7" borderId="5" xfId="7" applyBorder="1" applyAlignment="1">
      <alignment horizontal="center" vertical="center"/>
    </xf>
    <xf numFmtId="165" fontId="4" fillId="7" borderId="30" xfId="7" applyNumberFormat="1" applyFont="1" applyBorder="1" applyAlignment="1">
      <alignment horizontal="center" vertical="center"/>
    </xf>
    <xf numFmtId="165" fontId="4" fillId="7" borderId="31" xfId="7" applyNumberFormat="1" applyFont="1" applyBorder="1" applyAlignment="1">
      <alignment horizontal="center" vertical="center"/>
    </xf>
    <xf numFmtId="165" fontId="4" fillId="8" borderId="30" xfId="8" applyNumberFormat="1" applyFont="1" applyBorder="1" applyAlignment="1">
      <alignment horizontal="center" vertical="center"/>
    </xf>
    <xf numFmtId="165" fontId="4" fillId="8" borderId="31" xfId="8" applyNumberFormat="1" applyFont="1" applyBorder="1" applyAlignment="1">
      <alignment horizontal="center" vertical="center"/>
    </xf>
    <xf numFmtId="0" fontId="2" fillId="10" borderId="61" xfId="10" applyFont="1" applyBorder="1" applyAlignment="1">
      <alignment horizontal="right" vertical="center"/>
    </xf>
    <xf numFmtId="0" fontId="2" fillId="10" borderId="59" xfId="10" applyFont="1" applyBorder="1" applyAlignment="1">
      <alignment horizontal="right" vertical="center"/>
    </xf>
    <xf numFmtId="0" fontId="2" fillId="10" borderId="57" xfId="10" applyFont="1" applyBorder="1" applyAlignment="1">
      <alignment horizontal="right" vertical="center"/>
    </xf>
    <xf numFmtId="0" fontId="26" fillId="39" borderId="9" xfId="10" applyFont="1" applyFill="1" applyBorder="1" applyAlignment="1">
      <alignment horizontal="center" vertical="center"/>
    </xf>
    <xf numFmtId="0" fontId="26" fillId="39" borderId="10" xfId="10" applyFont="1" applyFill="1" applyBorder="1" applyAlignment="1">
      <alignment horizontal="center" vertical="center"/>
    </xf>
    <xf numFmtId="0" fontId="26" fillId="39" borderId="12" xfId="10" applyFont="1" applyFill="1" applyBorder="1" applyAlignment="1">
      <alignment horizontal="center" vertical="center"/>
    </xf>
    <xf numFmtId="0" fontId="26" fillId="39" borderId="13" xfId="10" applyFont="1" applyFill="1" applyBorder="1" applyAlignment="1">
      <alignment horizontal="center" vertical="center"/>
    </xf>
    <xf numFmtId="0" fontId="4" fillId="8" borderId="33" xfId="8" applyFont="1" applyBorder="1" applyAlignment="1">
      <alignment horizontal="center" vertical="center"/>
    </xf>
    <xf numFmtId="0" fontId="4" fillId="8" borderId="32" xfId="8" applyFont="1" applyBorder="1" applyAlignment="1">
      <alignment horizontal="center" vertical="center"/>
    </xf>
    <xf numFmtId="0" fontId="4" fillId="8" borderId="31" xfId="8" applyFont="1" applyBorder="1" applyAlignment="1">
      <alignment horizontal="center" vertical="center"/>
    </xf>
    <xf numFmtId="0" fontId="4" fillId="2" borderId="33" xfId="2" applyFont="1" applyBorder="1" applyAlignment="1">
      <alignment horizontal="center" vertical="center"/>
    </xf>
    <xf numFmtId="0" fontId="4" fillId="36" borderId="34" xfId="21" applyFont="1" applyBorder="1" applyAlignment="1">
      <alignment horizontal="center" vertical="center"/>
    </xf>
    <xf numFmtId="0" fontId="4" fillId="36" borderId="43" xfId="21" applyFont="1" applyBorder="1" applyAlignment="1">
      <alignment horizontal="center" vertical="center"/>
    </xf>
    <xf numFmtId="0" fontId="4" fillId="36" borderId="35" xfId="21" applyFont="1" applyBorder="1" applyAlignment="1">
      <alignment horizontal="center" vertical="center"/>
    </xf>
    <xf numFmtId="0" fontId="0" fillId="4" borderId="8" xfId="4" applyFont="1" applyBorder="1" applyAlignment="1">
      <alignment horizontal="center" vertical="center"/>
    </xf>
    <xf numFmtId="0" fontId="1" fillId="4" borderId="8" xfId="4" applyBorder="1" applyAlignment="1">
      <alignment horizontal="center" vertical="center"/>
    </xf>
    <xf numFmtId="164" fontId="1" fillId="4" borderId="30" xfId="4" applyNumberFormat="1" applyBorder="1" applyAlignment="1">
      <alignment horizontal="center"/>
    </xf>
    <xf numFmtId="164" fontId="1" fillId="4" borderId="31" xfId="4" applyNumberFormat="1" applyBorder="1" applyAlignment="1">
      <alignment horizontal="center"/>
    </xf>
    <xf numFmtId="0" fontId="11" fillId="21" borderId="23" xfId="6" applyFont="1" applyFill="1" applyBorder="1" applyAlignment="1">
      <alignment horizontal="center"/>
    </xf>
    <xf numFmtId="0" fontId="11" fillId="21" borderId="22" xfId="6" applyFont="1" applyFill="1" applyBorder="1" applyAlignment="1">
      <alignment horizontal="center"/>
    </xf>
    <xf numFmtId="0" fontId="11" fillId="21" borderId="24" xfId="6" applyFont="1" applyFill="1" applyBorder="1" applyAlignment="1">
      <alignment horizontal="center"/>
    </xf>
    <xf numFmtId="0" fontId="11" fillId="21" borderId="36" xfId="6" applyFont="1" applyFill="1" applyBorder="1" applyAlignment="1">
      <alignment horizontal="center"/>
    </xf>
    <xf numFmtId="0" fontId="11" fillId="21" borderId="29" xfId="6" applyFont="1" applyFill="1" applyBorder="1" applyAlignment="1">
      <alignment horizontal="center"/>
    </xf>
    <xf numFmtId="0" fontId="11" fillId="21" borderId="37" xfId="6" applyFont="1" applyFill="1" applyBorder="1" applyAlignment="1">
      <alignment horizontal="center"/>
    </xf>
    <xf numFmtId="0" fontId="4" fillId="4" borderId="61" xfId="4" applyFont="1" applyBorder="1" applyAlignment="1">
      <alignment horizontal="center" vertical="center" textRotation="90"/>
    </xf>
    <xf numFmtId="0" fontId="4" fillId="4" borderId="57" xfId="4" applyFont="1" applyBorder="1" applyAlignment="1">
      <alignment horizontal="center" vertical="center" textRotation="90"/>
    </xf>
    <xf numFmtId="0" fontId="4" fillId="4" borderId="62" xfId="4" applyFont="1" applyBorder="1" applyAlignment="1">
      <alignment horizontal="center" vertical="center" textRotation="90"/>
    </xf>
    <xf numFmtId="0" fontId="4" fillId="4" borderId="60" xfId="4" applyFont="1" applyBorder="1" applyAlignment="1">
      <alignment horizontal="center" vertical="center" textRotation="90"/>
    </xf>
    <xf numFmtId="0" fontId="4" fillId="4" borderId="36" xfId="4" applyFont="1" applyBorder="1" applyAlignment="1">
      <alignment horizontal="center" vertical="center" textRotation="90"/>
    </xf>
    <xf numFmtId="0" fontId="4" fillId="4" borderId="45" xfId="4" applyFont="1" applyBorder="1" applyAlignment="1">
      <alignment horizontal="center" vertical="center" textRotation="90"/>
    </xf>
    <xf numFmtId="0" fontId="35" fillId="41" borderId="23" xfId="6" applyFont="1" applyFill="1" applyBorder="1" applyAlignment="1">
      <alignment horizontal="center" vertical="center" wrapText="1"/>
    </xf>
    <xf numFmtId="0" fontId="35" fillId="41" borderId="22" xfId="6" applyFont="1" applyFill="1" applyBorder="1" applyAlignment="1">
      <alignment horizontal="center" vertical="center" wrapText="1"/>
    </xf>
    <xf numFmtId="0" fontId="35" fillId="41" borderId="24" xfId="6" applyFont="1" applyFill="1" applyBorder="1" applyAlignment="1">
      <alignment horizontal="center" vertical="center" wrapText="1"/>
    </xf>
    <xf numFmtId="0" fontId="35" fillId="41" borderId="62" xfId="6" applyFont="1" applyFill="1" applyBorder="1" applyAlignment="1">
      <alignment horizontal="center" vertical="center" wrapText="1"/>
    </xf>
    <xf numFmtId="0" fontId="35" fillId="41" borderId="0" xfId="6" applyFont="1" applyFill="1" applyBorder="1" applyAlignment="1">
      <alignment horizontal="center" vertical="center" wrapText="1"/>
    </xf>
    <xf numFmtId="0" fontId="35" fillId="41" borderId="66" xfId="6" applyFont="1" applyFill="1" applyBorder="1" applyAlignment="1">
      <alignment horizontal="center" vertical="center" wrapText="1"/>
    </xf>
    <xf numFmtId="0" fontId="35" fillId="41" borderId="63" xfId="6" applyFont="1" applyFill="1" applyBorder="1" applyAlignment="1">
      <alignment horizontal="center" vertical="center" wrapText="1"/>
    </xf>
    <xf numFmtId="0" fontId="35" fillId="41" borderId="28" xfId="6" applyFont="1" applyFill="1" applyBorder="1" applyAlignment="1">
      <alignment horizontal="center" vertical="center" wrapText="1"/>
    </xf>
    <xf numFmtId="0" fontId="35" fillId="41" borderId="64" xfId="6" applyFont="1" applyFill="1" applyBorder="1" applyAlignment="1">
      <alignment horizontal="center" vertical="center" wrapText="1"/>
    </xf>
    <xf numFmtId="0" fontId="4" fillId="4" borderId="18" xfId="4" applyFont="1" applyBorder="1" applyAlignment="1">
      <alignment horizontal="center" vertical="center" textRotation="90"/>
    </xf>
    <xf numFmtId="0" fontId="4" fillId="4" borderId="19" xfId="4" applyFont="1" applyBorder="1" applyAlignment="1">
      <alignment horizontal="center" vertical="center" textRotation="90"/>
    </xf>
    <xf numFmtId="0" fontId="4" fillId="4" borderId="20" xfId="4" applyFont="1" applyBorder="1" applyAlignment="1">
      <alignment horizontal="center" vertical="center" textRotation="90"/>
    </xf>
    <xf numFmtId="0" fontId="1" fillId="4" borderId="3" xfId="4" applyFont="1" applyBorder="1" applyAlignment="1">
      <alignment horizontal="center"/>
    </xf>
    <xf numFmtId="0" fontId="2" fillId="3" borderId="33" xfId="3" applyFont="1" applyBorder="1" applyAlignment="1">
      <alignment horizontal="center"/>
    </xf>
    <xf numFmtId="0" fontId="2" fillId="3" borderId="32" xfId="3" applyFont="1" applyBorder="1" applyAlignment="1">
      <alignment horizontal="center"/>
    </xf>
    <xf numFmtId="0" fontId="2" fillId="3" borderId="31" xfId="3" applyFont="1" applyBorder="1" applyAlignment="1">
      <alignment horizontal="center"/>
    </xf>
    <xf numFmtId="0" fontId="0" fillId="4" borderId="13" xfId="4" applyFont="1" applyBorder="1" applyAlignment="1">
      <alignment horizontal="center"/>
    </xf>
    <xf numFmtId="0" fontId="4" fillId="8" borderId="4" xfId="8" applyFont="1" applyBorder="1" applyAlignment="1">
      <alignment horizontal="center" vertical="center" textRotation="90"/>
    </xf>
    <xf numFmtId="0" fontId="4" fillId="8" borderId="54" xfId="8" applyFont="1" applyBorder="1" applyAlignment="1">
      <alignment horizontal="center" vertical="center" textRotation="90"/>
    </xf>
    <xf numFmtId="0" fontId="4" fillId="8" borderId="1" xfId="8" applyFont="1" applyBorder="1" applyAlignment="1">
      <alignment horizontal="center" vertical="center" textRotation="90"/>
    </xf>
    <xf numFmtId="0" fontId="0" fillId="8" borderId="30" xfId="8" applyFont="1" applyBorder="1" applyAlignment="1">
      <alignment horizontal="right" vertical="center"/>
    </xf>
    <xf numFmtId="0" fontId="0" fillId="8" borderId="31" xfId="8" applyFont="1" applyBorder="1" applyAlignment="1">
      <alignment horizontal="right" vertical="center"/>
    </xf>
    <xf numFmtId="0" fontId="1" fillId="8" borderId="7" xfId="8" applyBorder="1" applyAlignment="1">
      <alignment horizontal="center" vertical="center"/>
    </xf>
    <xf numFmtId="0" fontId="1" fillId="8" borderId="2" xfId="8" applyBorder="1" applyAlignment="1">
      <alignment horizontal="center" vertical="center"/>
    </xf>
    <xf numFmtId="0" fontId="1" fillId="8" borderId="5" xfId="8" applyBorder="1" applyAlignment="1">
      <alignment horizontal="center" vertical="center"/>
    </xf>
    <xf numFmtId="0" fontId="4" fillId="7" borderId="4" xfId="7" applyFont="1" applyBorder="1" applyAlignment="1">
      <alignment horizontal="center" vertical="center" textRotation="90"/>
    </xf>
    <xf numFmtId="0" fontId="4" fillId="7" borderId="54" xfId="7" applyFont="1" applyBorder="1" applyAlignment="1">
      <alignment horizontal="center" vertical="center" textRotation="90"/>
    </xf>
    <xf numFmtId="0" fontId="4" fillId="7" borderId="1" xfId="7" applyFont="1" applyBorder="1" applyAlignment="1">
      <alignment horizontal="center" vertical="center" textRotation="90"/>
    </xf>
    <xf numFmtId="0" fontId="0" fillId="7" borderId="30" xfId="7" applyFont="1" applyBorder="1" applyAlignment="1">
      <alignment horizontal="right" vertical="center"/>
    </xf>
    <xf numFmtId="0" fontId="0" fillId="7" borderId="31" xfId="7" applyFont="1" applyBorder="1" applyAlignment="1">
      <alignment horizontal="right" vertical="center"/>
    </xf>
    <xf numFmtId="0" fontId="1" fillId="7" borderId="2" xfId="7" applyBorder="1" applyAlignment="1">
      <alignment horizontal="center" vertical="center"/>
    </xf>
    <xf numFmtId="0" fontId="4" fillId="11" borderId="4" xfId="11" applyFont="1" applyBorder="1" applyAlignment="1">
      <alignment horizontal="center" vertical="center" textRotation="90"/>
    </xf>
    <xf numFmtId="0" fontId="4" fillId="11" borderId="54" xfId="11" applyFont="1" applyBorder="1" applyAlignment="1">
      <alignment horizontal="center" vertical="center" textRotation="90"/>
    </xf>
    <xf numFmtId="0" fontId="4" fillId="11" borderId="1" xfId="11" applyFont="1" applyBorder="1" applyAlignment="1">
      <alignment horizontal="center" vertical="center" textRotation="90"/>
    </xf>
    <xf numFmtId="0" fontId="0" fillId="11" borderId="30" xfId="11" applyFont="1" applyBorder="1" applyAlignment="1">
      <alignment horizontal="right" vertical="center"/>
    </xf>
    <xf numFmtId="0" fontId="0" fillId="11" borderId="31" xfId="11" applyFont="1" applyBorder="1" applyAlignment="1">
      <alignment horizontal="right" vertical="center"/>
    </xf>
    <xf numFmtId="0" fontId="4" fillId="7" borderId="33" xfId="7" applyFont="1" applyBorder="1" applyAlignment="1">
      <alignment horizontal="center" vertical="center"/>
    </xf>
    <xf numFmtId="0" fontId="4" fillId="7" borderId="32" xfId="7" applyFont="1" applyBorder="1" applyAlignment="1">
      <alignment horizontal="center" vertical="center"/>
    </xf>
    <xf numFmtId="0" fontId="4" fillId="7" borderId="31" xfId="7" applyFont="1" applyBorder="1" applyAlignment="1">
      <alignment horizontal="center" vertical="center"/>
    </xf>
    <xf numFmtId="0" fontId="1" fillId="7" borderId="8" xfId="7" applyBorder="1" applyAlignment="1">
      <alignment horizontal="center" vertical="center"/>
    </xf>
    <xf numFmtId="0" fontId="26" fillId="25" borderId="95" xfId="10" applyFont="1" applyFill="1" applyBorder="1" applyAlignment="1">
      <alignment horizontal="center" vertical="center"/>
    </xf>
    <xf numFmtId="0" fontId="26" fillId="25" borderId="10" xfId="10" applyFont="1" applyFill="1" applyBorder="1" applyAlignment="1">
      <alignment horizontal="center" vertical="center"/>
    </xf>
    <xf numFmtId="0" fontId="26" fillId="25" borderId="83" xfId="10" applyFont="1" applyFill="1" applyBorder="1" applyAlignment="1">
      <alignment horizontal="center" vertical="center"/>
    </xf>
    <xf numFmtId="0" fontId="26" fillId="25" borderId="92" xfId="10" applyFont="1" applyFill="1" applyBorder="1" applyAlignment="1">
      <alignment horizontal="center" vertical="center"/>
    </xf>
    <xf numFmtId="0" fontId="26" fillId="25" borderId="13" xfId="10" applyFont="1" applyFill="1" applyBorder="1" applyAlignment="1">
      <alignment horizontal="center" vertical="center"/>
    </xf>
    <xf numFmtId="0" fontId="26" fillId="25" borderId="84" xfId="10" applyFont="1" applyFill="1" applyBorder="1" applyAlignment="1">
      <alignment horizontal="center" vertical="center"/>
    </xf>
    <xf numFmtId="0" fontId="0" fillId="2" borderId="3" xfId="2" applyFont="1" applyBorder="1" applyAlignment="1">
      <alignment horizontal="right" vertical="center"/>
    </xf>
    <xf numFmtId="0" fontId="4" fillId="12" borderId="4" xfId="0" applyFont="1" applyFill="1" applyBorder="1" applyAlignment="1">
      <alignment horizontal="center" vertical="center" textRotation="90"/>
    </xf>
    <xf numFmtId="0" fontId="4" fillId="12" borderId="54" xfId="0" applyFont="1" applyFill="1" applyBorder="1" applyAlignment="1">
      <alignment horizontal="center" vertical="center" textRotation="90"/>
    </xf>
    <xf numFmtId="0" fontId="4" fillId="12" borderId="1" xfId="0" applyFont="1" applyFill="1" applyBorder="1" applyAlignment="1">
      <alignment horizontal="center" vertical="center" textRotation="90"/>
    </xf>
    <xf numFmtId="0" fontId="0" fillId="12" borderId="30" xfId="0" applyFill="1" applyBorder="1" applyAlignment="1">
      <alignment horizontal="right" vertical="center"/>
    </xf>
    <xf numFmtId="0" fontId="0" fillId="12" borderId="31" xfId="0" applyFill="1" applyBorder="1" applyAlignment="1">
      <alignment horizontal="right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1" fillId="11" borderId="7" xfId="11" applyBorder="1" applyAlignment="1">
      <alignment horizontal="center" vertical="center"/>
    </xf>
    <xf numFmtId="0" fontId="1" fillId="11" borderId="2" xfId="11" applyBorder="1" applyAlignment="1">
      <alignment horizontal="center" vertical="center"/>
    </xf>
    <xf numFmtId="0" fontId="1" fillId="11" borderId="5" xfId="11" applyBorder="1" applyAlignment="1">
      <alignment horizontal="center" vertical="center"/>
    </xf>
    <xf numFmtId="0" fontId="26" fillId="39" borderId="89" xfId="10" applyFont="1" applyFill="1" applyBorder="1" applyAlignment="1">
      <alignment horizontal="center" vertical="center"/>
    </xf>
    <xf numFmtId="0" fontId="26" fillId="39" borderId="90" xfId="10" applyFont="1" applyFill="1" applyBorder="1" applyAlignment="1">
      <alignment horizontal="center" vertical="center"/>
    </xf>
    <xf numFmtId="0" fontId="26" fillId="39" borderId="91" xfId="10" applyFont="1" applyFill="1" applyBorder="1" applyAlignment="1">
      <alignment horizontal="center" vertical="center"/>
    </xf>
    <xf numFmtId="0" fontId="26" fillId="39" borderId="92" xfId="10" applyFont="1" applyFill="1" applyBorder="1" applyAlignment="1">
      <alignment horizontal="center" vertical="center"/>
    </xf>
    <xf numFmtId="0" fontId="26" fillId="39" borderId="84" xfId="10" applyFont="1" applyFill="1" applyBorder="1" applyAlignment="1">
      <alignment horizontal="center" vertical="center"/>
    </xf>
    <xf numFmtId="0" fontId="2" fillId="10" borderId="93" xfId="10" applyFont="1" applyBorder="1" applyAlignment="1">
      <alignment horizontal="right" vertical="center"/>
    </xf>
    <xf numFmtId="0" fontId="2" fillId="10" borderId="1" xfId="10" applyFont="1" applyBorder="1" applyAlignment="1">
      <alignment horizontal="right" vertical="center"/>
    </xf>
    <xf numFmtId="0" fontId="0" fillId="2" borderId="3" xfId="2" applyFont="1" applyBorder="1" applyAlignment="1">
      <alignment horizontal="right"/>
    </xf>
    <xf numFmtId="0" fontId="0" fillId="8" borderId="38" xfId="8" applyFont="1" applyBorder="1" applyAlignment="1">
      <alignment horizontal="right" vertical="center"/>
    </xf>
    <xf numFmtId="0" fontId="0" fillId="8" borderId="55" xfId="8" applyFont="1" applyBorder="1" applyAlignment="1">
      <alignment horizontal="right" vertical="center"/>
    </xf>
    <xf numFmtId="0" fontId="1" fillId="8" borderId="11" xfId="8" applyBorder="1" applyAlignment="1">
      <alignment horizontal="center" vertical="center"/>
    </xf>
    <xf numFmtId="0" fontId="1" fillId="8" borderId="8" xfId="8" applyBorder="1" applyAlignment="1">
      <alignment horizontal="center" vertical="center"/>
    </xf>
    <xf numFmtId="0" fontId="5" fillId="23" borderId="1" xfId="0" applyFont="1" applyFill="1" applyBorder="1" applyAlignment="1">
      <alignment horizontal="left" vertical="center"/>
    </xf>
    <xf numFmtId="0" fontId="5" fillId="23" borderId="85" xfId="0" applyFont="1" applyFill="1" applyBorder="1" applyAlignment="1">
      <alignment horizontal="left" vertical="center"/>
    </xf>
    <xf numFmtId="165" fontId="4" fillId="4" borderId="3" xfId="4" applyNumberFormat="1" applyFont="1" applyBorder="1" applyAlignment="1">
      <alignment horizontal="center" vertical="center"/>
    </xf>
    <xf numFmtId="0" fontId="1" fillId="11" borderId="8" xfId="11" applyBorder="1" applyAlignment="1">
      <alignment horizontal="center" vertical="center"/>
    </xf>
    <xf numFmtId="0" fontId="5" fillId="23" borderId="13" xfId="0" applyFont="1" applyFill="1" applyBorder="1" applyAlignment="1">
      <alignment horizontal="left" vertical="center"/>
    </xf>
    <xf numFmtId="0" fontId="5" fillId="23" borderId="84" xfId="0" applyFont="1" applyFill="1" applyBorder="1" applyAlignment="1">
      <alignment horizontal="left" vertical="center"/>
    </xf>
    <xf numFmtId="0" fontId="2" fillId="10" borderId="92" xfId="10" applyFont="1" applyBorder="1" applyAlignment="1">
      <alignment horizontal="right" vertical="center"/>
    </xf>
    <xf numFmtId="0" fontId="2" fillId="10" borderId="13" xfId="10" applyFont="1" applyBorder="1" applyAlignment="1">
      <alignment horizontal="right" vertical="center"/>
    </xf>
    <xf numFmtId="0" fontId="25" fillId="10" borderId="13" xfId="10" applyFont="1" applyBorder="1" applyAlignment="1">
      <alignment horizontal="center" vertical="center"/>
    </xf>
    <xf numFmtId="0" fontId="2" fillId="22" borderId="6" xfId="18" applyFont="1" applyBorder="1" applyAlignment="1">
      <alignment horizontal="center"/>
    </xf>
    <xf numFmtId="0" fontId="2" fillId="22" borderId="3" xfId="18" applyFont="1" applyBorder="1" applyAlignment="1">
      <alignment horizontal="center"/>
    </xf>
    <xf numFmtId="0" fontId="26" fillId="39" borderId="95" xfId="10" applyFont="1" applyFill="1" applyBorder="1" applyAlignment="1">
      <alignment horizontal="center" vertical="center"/>
    </xf>
    <xf numFmtId="0" fontId="26" fillId="39" borderId="83" xfId="10" applyFont="1" applyFill="1" applyBorder="1" applyAlignment="1">
      <alignment horizontal="center" vertical="center"/>
    </xf>
    <xf numFmtId="0" fontId="2" fillId="3" borderId="93" xfId="3" applyFont="1" applyBorder="1" applyAlignment="1">
      <alignment horizontal="center"/>
    </xf>
    <xf numFmtId="0" fontId="2" fillId="3" borderId="1" xfId="3" applyFont="1" applyBorder="1" applyAlignment="1">
      <alignment horizontal="center"/>
    </xf>
    <xf numFmtId="0" fontId="26" fillId="25" borderId="9" xfId="10" applyFont="1" applyFill="1" applyBorder="1" applyAlignment="1">
      <alignment horizontal="center" vertical="center"/>
    </xf>
    <xf numFmtId="0" fontId="26" fillId="25" borderId="12" xfId="10" applyFont="1" applyFill="1" applyBorder="1" applyAlignment="1">
      <alignment horizontal="center" vertical="center"/>
    </xf>
    <xf numFmtId="0" fontId="16" fillId="39" borderId="6" xfId="14" applyFont="1" applyFill="1" applyBorder="1" applyAlignment="1">
      <alignment horizontal="center" vertical="center" textRotation="90"/>
    </xf>
    <xf numFmtId="0" fontId="16" fillId="39" borderId="12" xfId="14" applyFont="1" applyFill="1" applyBorder="1" applyAlignment="1">
      <alignment horizontal="center" vertical="center" textRotation="90"/>
    </xf>
    <xf numFmtId="0" fontId="38" fillId="41" borderId="23" xfId="0" applyFont="1" applyFill="1" applyBorder="1" applyAlignment="1">
      <alignment horizontal="center" vertical="center" wrapText="1"/>
    </xf>
    <xf numFmtId="0" fontId="38" fillId="41" borderId="22" xfId="0" applyFont="1" applyFill="1" applyBorder="1" applyAlignment="1">
      <alignment horizontal="center" vertical="center"/>
    </xf>
    <xf numFmtId="0" fontId="38" fillId="41" borderId="24" xfId="0" applyFont="1" applyFill="1" applyBorder="1" applyAlignment="1">
      <alignment horizontal="center" vertical="center"/>
    </xf>
    <xf numFmtId="0" fontId="38" fillId="41" borderId="62" xfId="0" applyFont="1" applyFill="1" applyBorder="1" applyAlignment="1">
      <alignment horizontal="center" vertical="center"/>
    </xf>
    <xf numFmtId="0" fontId="38" fillId="41" borderId="0" xfId="0" applyFont="1" applyFill="1" applyBorder="1" applyAlignment="1">
      <alignment horizontal="center" vertical="center"/>
    </xf>
    <xf numFmtId="0" fontId="38" fillId="41" borderId="66" xfId="0" applyFont="1" applyFill="1" applyBorder="1" applyAlignment="1">
      <alignment horizontal="center" vertical="center"/>
    </xf>
    <xf numFmtId="0" fontId="38" fillId="41" borderId="63" xfId="0" applyFont="1" applyFill="1" applyBorder="1" applyAlignment="1">
      <alignment horizontal="center" vertical="center"/>
    </xf>
    <xf numFmtId="0" fontId="38" fillId="41" borderId="28" xfId="0" applyFont="1" applyFill="1" applyBorder="1" applyAlignment="1">
      <alignment horizontal="center" vertical="center"/>
    </xf>
    <xf numFmtId="0" fontId="38" fillId="41" borderId="64" xfId="0" applyFont="1" applyFill="1" applyBorder="1" applyAlignment="1">
      <alignment horizontal="center" vertical="center"/>
    </xf>
    <xf numFmtId="0" fontId="4" fillId="4" borderId="13" xfId="4" applyFont="1" applyBorder="1" applyAlignment="1">
      <alignment horizontal="right" vertical="center"/>
    </xf>
    <xf numFmtId="0" fontId="4" fillId="4" borderId="3" xfId="4" applyFont="1" applyBorder="1" applyAlignment="1">
      <alignment horizontal="right" vertical="center"/>
    </xf>
    <xf numFmtId="0" fontId="1" fillId="2" borderId="7" xfId="2" applyBorder="1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1" fillId="2" borderId="44" xfId="2" applyBorder="1" applyAlignment="1">
      <alignment horizontal="center" vertical="center"/>
    </xf>
    <xf numFmtId="0" fontId="15" fillId="39" borderId="19" xfId="14" applyFont="1" applyFill="1" applyBorder="1" applyAlignment="1">
      <alignment horizontal="center" vertical="center" textRotation="90"/>
    </xf>
    <xf numFmtId="0" fontId="15" fillId="39" borderId="20" xfId="14" applyFont="1" applyFill="1" applyBorder="1" applyAlignment="1">
      <alignment horizontal="center" vertical="center" textRotation="90"/>
    </xf>
    <xf numFmtId="0" fontId="15" fillId="25" borderId="53" xfId="14" applyFont="1" applyFill="1" applyBorder="1" applyAlignment="1">
      <alignment horizontal="center" vertical="center" textRotation="90"/>
    </xf>
    <xf numFmtId="0" fontId="15" fillId="25" borderId="19" xfId="14" applyFont="1" applyFill="1" applyBorder="1" applyAlignment="1">
      <alignment horizontal="center" vertical="center" textRotation="90"/>
    </xf>
    <xf numFmtId="0" fontId="15" fillId="25" borderId="20" xfId="14" applyFont="1" applyFill="1" applyBorder="1" applyAlignment="1">
      <alignment horizontal="center" vertical="center" textRotation="90"/>
    </xf>
    <xf numFmtId="2" fontId="1" fillId="2" borderId="3" xfId="2" applyNumberFormat="1" applyBorder="1" applyAlignment="1">
      <alignment horizontal="center"/>
    </xf>
    <xf numFmtId="0" fontId="0" fillId="2" borderId="13" xfId="2" applyFont="1" applyBorder="1" applyAlignment="1">
      <alignment horizontal="right"/>
    </xf>
    <xf numFmtId="0" fontId="4" fillId="2" borderId="54" xfId="2" applyFont="1" applyBorder="1" applyAlignment="1">
      <alignment horizontal="center" vertical="center" textRotation="90"/>
    </xf>
    <xf numFmtId="0" fontId="4" fillId="2" borderId="65" xfId="2" applyFont="1" applyBorder="1" applyAlignment="1">
      <alignment horizontal="center" vertical="center" textRotation="90"/>
    </xf>
    <xf numFmtId="2" fontId="2" fillId="10" borderId="39" xfId="10" applyNumberFormat="1" applyFont="1" applyBorder="1" applyAlignment="1">
      <alignment horizontal="center"/>
    </xf>
    <xf numFmtId="2" fontId="2" fillId="10" borderId="43" xfId="10" applyNumberFormat="1" applyFont="1" applyBorder="1" applyAlignment="1">
      <alignment horizontal="center"/>
    </xf>
    <xf numFmtId="2" fontId="2" fillId="10" borderId="35" xfId="10" applyNumberFormat="1" applyFont="1" applyBorder="1" applyAlignment="1">
      <alignment horizontal="center"/>
    </xf>
    <xf numFmtId="0" fontId="30" fillId="12" borderId="3" xfId="0" applyFont="1" applyFill="1" applyBorder="1" applyAlignment="1">
      <alignment horizontal="center" vertical="center" textRotation="90" wrapText="1"/>
    </xf>
    <xf numFmtId="0" fontId="1" fillId="2" borderId="3" xfId="2" applyBorder="1" applyAlignment="1">
      <alignment horizontal="right"/>
    </xf>
    <xf numFmtId="0" fontId="4" fillId="8" borderId="3" xfId="8" applyFont="1" applyBorder="1" applyAlignment="1">
      <alignment horizontal="right" vertical="center"/>
    </xf>
    <xf numFmtId="0" fontId="4" fillId="7" borderId="3" xfId="7" applyFont="1" applyBorder="1" applyAlignment="1">
      <alignment horizontal="right" vertical="center"/>
    </xf>
    <xf numFmtId="0" fontId="2" fillId="41" borderId="36" xfId="10" applyFont="1" applyFill="1" applyBorder="1" applyAlignment="1">
      <alignment horizontal="right" vertical="center"/>
    </xf>
    <xf numFmtId="0" fontId="2" fillId="41" borderId="29" xfId="10" applyFont="1" applyFill="1" applyBorder="1" applyAlignment="1">
      <alignment horizontal="right" vertical="center"/>
    </xf>
    <xf numFmtId="0" fontId="2" fillId="41" borderId="45" xfId="10" applyFont="1" applyFill="1" applyBorder="1" applyAlignment="1">
      <alignment horizontal="right" vertical="center"/>
    </xf>
    <xf numFmtId="0" fontId="2" fillId="41" borderId="33" xfId="10" applyFont="1" applyFill="1" applyBorder="1" applyAlignment="1">
      <alignment horizontal="right" vertical="center"/>
    </xf>
    <xf numFmtId="0" fontId="2" fillId="41" borderId="32" xfId="10" applyFont="1" applyFill="1" applyBorder="1" applyAlignment="1">
      <alignment horizontal="right" vertical="center"/>
    </xf>
    <xf numFmtId="0" fontId="2" fillId="41" borderId="31" xfId="10" applyFont="1" applyFill="1" applyBorder="1" applyAlignment="1">
      <alignment horizontal="right" vertical="center"/>
    </xf>
    <xf numFmtId="2" fontId="2" fillId="41" borderId="38" xfId="10" applyNumberFormat="1" applyFont="1" applyFill="1" applyBorder="1" applyAlignment="1">
      <alignment horizontal="center"/>
    </xf>
    <xf numFmtId="2" fontId="2" fillId="41" borderId="55" xfId="10" applyNumberFormat="1" applyFont="1" applyFill="1" applyBorder="1" applyAlignment="1">
      <alignment horizontal="center"/>
    </xf>
    <xf numFmtId="2" fontId="2" fillId="41" borderId="30" xfId="10" applyNumberFormat="1" applyFont="1" applyFill="1" applyBorder="1" applyAlignment="1">
      <alignment horizontal="center"/>
    </xf>
    <xf numFmtId="2" fontId="2" fillId="41" borderId="31" xfId="10" applyNumberFormat="1" applyFont="1" applyFill="1" applyBorder="1" applyAlignment="1">
      <alignment horizontal="center"/>
    </xf>
    <xf numFmtId="0" fontId="2" fillId="10" borderId="6" xfId="10" applyFont="1" applyBorder="1" applyAlignment="1">
      <alignment horizontal="right" vertical="center"/>
    </xf>
    <xf numFmtId="0" fontId="2" fillId="10" borderId="12" xfId="10" applyFont="1" applyBorder="1" applyAlignment="1">
      <alignment horizontal="right" vertical="center"/>
    </xf>
    <xf numFmtId="0" fontId="26" fillId="25" borderId="23" xfId="10" applyFont="1" applyFill="1" applyBorder="1" applyAlignment="1">
      <alignment horizontal="center" vertical="center"/>
    </xf>
    <xf numFmtId="0" fontId="26" fillId="25" borderId="22" xfId="10" applyFont="1" applyFill="1" applyBorder="1" applyAlignment="1">
      <alignment horizontal="center" vertical="center"/>
    </xf>
    <xf numFmtId="0" fontId="26" fillId="25" borderId="24" xfId="10" applyFont="1" applyFill="1" applyBorder="1" applyAlignment="1">
      <alignment horizontal="center" vertical="center"/>
    </xf>
    <xf numFmtId="0" fontId="26" fillId="25" borderId="63" xfId="10" applyFont="1" applyFill="1" applyBorder="1" applyAlignment="1">
      <alignment horizontal="center" vertical="center"/>
    </xf>
    <xf numFmtId="0" fontId="26" fillId="25" borderId="28" xfId="10" applyFont="1" applyFill="1" applyBorder="1" applyAlignment="1">
      <alignment horizontal="center" vertical="center"/>
    </xf>
    <xf numFmtId="0" fontId="26" fillId="25" borderId="64" xfId="10" applyFont="1" applyFill="1" applyBorder="1" applyAlignment="1">
      <alignment horizontal="center" vertical="center"/>
    </xf>
    <xf numFmtId="0" fontId="25" fillId="10" borderId="8" xfId="10" applyFont="1" applyBorder="1" applyAlignment="1">
      <alignment horizontal="center" vertical="center"/>
    </xf>
    <xf numFmtId="0" fontId="25" fillId="10" borderId="14" xfId="10" applyFont="1" applyBorder="1" applyAlignment="1">
      <alignment horizontal="center" vertical="center"/>
    </xf>
    <xf numFmtId="0" fontId="26" fillId="25" borderId="11" xfId="10" applyFont="1" applyFill="1" applyBorder="1" applyAlignment="1">
      <alignment horizontal="center" vertical="center"/>
    </xf>
    <xf numFmtId="0" fontId="26" fillId="25" borderId="6" xfId="10" applyFont="1" applyFill="1" applyBorder="1" applyAlignment="1">
      <alignment horizontal="center" vertical="center"/>
    </xf>
    <xf numFmtId="0" fontId="26" fillId="25" borderId="3" xfId="10" applyFont="1" applyFill="1" applyBorder="1" applyAlignment="1">
      <alignment horizontal="center" vertical="center"/>
    </xf>
    <xf numFmtId="0" fontId="26" fillId="25" borderId="8" xfId="10" applyFont="1" applyFill="1" applyBorder="1" applyAlignment="1">
      <alignment horizontal="center" vertical="center"/>
    </xf>
    <xf numFmtId="0" fontId="26" fillId="25" borderId="95" xfId="10" applyFont="1" applyFill="1" applyBorder="1" applyAlignment="1">
      <alignment horizontal="center" vertical="center" wrapText="1"/>
    </xf>
    <xf numFmtId="0" fontId="26" fillId="25" borderId="10" xfId="10" applyFont="1" applyFill="1" applyBorder="1" applyAlignment="1">
      <alignment horizontal="center" vertical="center" wrapText="1"/>
    </xf>
    <xf numFmtId="0" fontId="26" fillId="25" borderId="83" xfId="10" applyFont="1" applyFill="1" applyBorder="1" applyAlignment="1">
      <alignment horizontal="center" vertical="center" wrapText="1"/>
    </xf>
    <xf numFmtId="0" fontId="26" fillId="25" borderId="94" xfId="10" applyFont="1" applyFill="1" applyBorder="1" applyAlignment="1">
      <alignment horizontal="center" vertical="center" wrapText="1"/>
    </xf>
    <xf numFmtId="0" fontId="26" fillId="25" borderId="3" xfId="10" applyFont="1" applyFill="1" applyBorder="1" applyAlignment="1">
      <alignment horizontal="center" vertical="center" wrapText="1"/>
    </xf>
    <xf numFmtId="0" fontId="26" fillId="25" borderId="86" xfId="10" applyFont="1" applyFill="1" applyBorder="1" applyAlignment="1">
      <alignment horizontal="center" vertical="center" wrapText="1"/>
    </xf>
    <xf numFmtId="0" fontId="26" fillId="25" borderId="92" xfId="10" applyFont="1" applyFill="1" applyBorder="1" applyAlignment="1">
      <alignment horizontal="center" vertical="center" wrapText="1"/>
    </xf>
    <xf numFmtId="0" fontId="26" fillId="25" borderId="13" xfId="10" applyFont="1" applyFill="1" applyBorder="1" applyAlignment="1">
      <alignment horizontal="center" vertical="center" wrapText="1"/>
    </xf>
    <xf numFmtId="0" fontId="26" fillId="25" borderId="84" xfId="10" applyFont="1" applyFill="1" applyBorder="1" applyAlignment="1">
      <alignment horizontal="center" vertical="center" wrapText="1"/>
    </xf>
    <xf numFmtId="0" fontId="26" fillId="39" borderId="95" xfId="10" applyFont="1" applyFill="1" applyBorder="1" applyAlignment="1">
      <alignment horizontal="center" vertical="center" wrapText="1"/>
    </xf>
    <xf numFmtId="0" fontId="26" fillId="39" borderId="10" xfId="10" applyFont="1" applyFill="1" applyBorder="1" applyAlignment="1">
      <alignment horizontal="center" vertical="center" wrapText="1"/>
    </xf>
    <xf numFmtId="0" fontId="26" fillId="39" borderId="83" xfId="10" applyFont="1" applyFill="1" applyBorder="1" applyAlignment="1">
      <alignment horizontal="center" vertical="center" wrapText="1"/>
    </xf>
    <xf numFmtId="0" fontId="26" fillId="39" borderId="94" xfId="10" applyFont="1" applyFill="1" applyBorder="1" applyAlignment="1">
      <alignment horizontal="center" vertical="center" wrapText="1"/>
    </xf>
    <xf numFmtId="0" fontId="26" fillId="39" borderId="3" xfId="10" applyFont="1" applyFill="1" applyBorder="1" applyAlignment="1">
      <alignment horizontal="center" vertical="center" wrapText="1"/>
    </xf>
    <xf numFmtId="0" fontId="26" fillId="39" borderId="86" xfId="10" applyFont="1" applyFill="1" applyBorder="1" applyAlignment="1">
      <alignment horizontal="center" vertical="center" wrapText="1"/>
    </xf>
    <xf numFmtId="0" fontId="26" fillId="39" borderId="92" xfId="10" applyFont="1" applyFill="1" applyBorder="1" applyAlignment="1">
      <alignment horizontal="center" vertical="center" wrapText="1"/>
    </xf>
    <xf numFmtId="0" fontId="26" fillId="39" borderId="13" xfId="10" applyFont="1" applyFill="1" applyBorder="1" applyAlignment="1">
      <alignment horizontal="center" vertical="center" wrapText="1"/>
    </xf>
    <xf numFmtId="0" fontId="26" fillId="39" borderId="84" xfId="10" applyFont="1" applyFill="1" applyBorder="1" applyAlignment="1">
      <alignment horizontal="center" vertical="center" wrapText="1"/>
    </xf>
    <xf numFmtId="0" fontId="1" fillId="4" borderId="14" xfId="4" applyBorder="1" applyAlignment="1">
      <alignment horizontal="left" vertical="center"/>
    </xf>
    <xf numFmtId="0" fontId="2" fillId="10" borderId="33" xfId="10" applyFont="1" applyBorder="1" applyAlignment="1">
      <alignment horizontal="right" vertical="center"/>
    </xf>
    <xf numFmtId="0" fontId="2" fillId="10" borderId="32" xfId="10" applyFont="1" applyBorder="1" applyAlignment="1">
      <alignment horizontal="right" vertical="center"/>
    </xf>
    <xf numFmtId="0" fontId="2" fillId="10" borderId="31" xfId="10" applyFont="1" applyBorder="1" applyAlignment="1">
      <alignment horizontal="right" vertical="center"/>
    </xf>
    <xf numFmtId="0" fontId="4" fillId="4" borderId="12" xfId="4" applyFont="1" applyBorder="1" applyAlignment="1">
      <alignment horizontal="center" vertical="center" textRotation="90"/>
    </xf>
    <xf numFmtId="0" fontId="4" fillId="4" borderId="3" xfId="4" applyFont="1" applyBorder="1" applyAlignment="1">
      <alignment horizontal="center"/>
    </xf>
    <xf numFmtId="0" fontId="4" fillId="4" borderId="13" xfId="4" applyFont="1" applyBorder="1" applyAlignment="1">
      <alignment horizontal="center"/>
    </xf>
    <xf numFmtId="0" fontId="0" fillId="4" borderId="14" xfId="4" applyFont="1" applyBorder="1" applyAlignment="1">
      <alignment horizontal="center" vertical="center"/>
    </xf>
    <xf numFmtId="0" fontId="26" fillId="39" borderId="11" xfId="10" applyFont="1" applyFill="1" applyBorder="1" applyAlignment="1">
      <alignment horizontal="center" vertical="center"/>
    </xf>
    <xf numFmtId="0" fontId="26" fillId="39" borderId="14" xfId="10" applyFont="1" applyFill="1" applyBorder="1" applyAlignment="1">
      <alignment horizontal="center" vertical="center"/>
    </xf>
    <xf numFmtId="0" fontId="2" fillId="3" borderId="48" xfId="3" applyFont="1" applyBorder="1" applyAlignment="1">
      <alignment horizontal="center"/>
    </xf>
    <xf numFmtId="0" fontId="2" fillId="3" borderId="47" xfId="3" applyFont="1" applyBorder="1" applyAlignment="1">
      <alignment horizontal="center"/>
    </xf>
    <xf numFmtId="0" fontId="2" fillId="3" borderId="72" xfId="3" applyFont="1" applyBorder="1" applyAlignment="1">
      <alignment horizontal="center"/>
    </xf>
    <xf numFmtId="0" fontId="2" fillId="10" borderId="36" xfId="10" applyFont="1" applyBorder="1" applyAlignment="1">
      <alignment horizontal="right" vertical="center"/>
    </xf>
    <xf numFmtId="0" fontId="2" fillId="10" borderId="29" xfId="10" applyFont="1" applyBorder="1" applyAlignment="1">
      <alignment horizontal="right" vertical="center"/>
    </xf>
    <xf numFmtId="0" fontId="2" fillId="10" borderId="45" xfId="10" applyFont="1" applyBorder="1" applyAlignment="1">
      <alignment horizontal="right" vertical="center"/>
    </xf>
    <xf numFmtId="0" fontId="26" fillId="39" borderId="23" xfId="23" applyFont="1" applyFill="1" applyBorder="1" applyAlignment="1">
      <alignment horizontal="center" vertical="center" wrapText="1"/>
    </xf>
    <xf numFmtId="0" fontId="26" fillId="39" borderId="24" xfId="23" applyFont="1" applyFill="1" applyBorder="1" applyAlignment="1">
      <alignment horizontal="center" vertical="center" wrapText="1"/>
    </xf>
    <xf numFmtId="0" fontId="26" fillId="39" borderId="62" xfId="23" applyFont="1" applyFill="1" applyBorder="1" applyAlignment="1">
      <alignment horizontal="center" vertical="center" wrapText="1"/>
    </xf>
    <xf numFmtId="0" fontId="26" fillId="39" borderId="66" xfId="23" applyFont="1" applyFill="1" applyBorder="1" applyAlignment="1">
      <alignment horizontal="center" vertical="center" wrapText="1"/>
    </xf>
    <xf numFmtId="0" fontId="26" fillId="39" borderId="63" xfId="23" applyFont="1" applyFill="1" applyBorder="1" applyAlignment="1">
      <alignment horizontal="center" vertical="center" wrapText="1"/>
    </xf>
    <xf numFmtId="0" fontId="26" fillId="39" borderId="64" xfId="23" applyFont="1" applyFill="1" applyBorder="1" applyAlignment="1">
      <alignment horizontal="center" vertical="center" wrapText="1"/>
    </xf>
    <xf numFmtId="0" fontId="26" fillId="43" borderId="23" xfId="23" applyFont="1" applyFill="1" applyBorder="1" applyAlignment="1">
      <alignment horizontal="center" vertical="center"/>
    </xf>
    <xf numFmtId="0" fontId="26" fillId="43" borderId="22" xfId="23" applyFont="1" applyFill="1" applyBorder="1" applyAlignment="1">
      <alignment horizontal="center" vertical="center"/>
    </xf>
    <xf numFmtId="0" fontId="26" fillId="43" borderId="24" xfId="23" applyFont="1" applyFill="1" applyBorder="1" applyAlignment="1">
      <alignment horizontal="center" vertical="center"/>
    </xf>
    <xf numFmtId="0" fontId="26" fillId="43" borderId="62" xfId="23" applyFont="1" applyFill="1" applyBorder="1" applyAlignment="1">
      <alignment horizontal="center" vertical="center"/>
    </xf>
    <xf numFmtId="0" fontId="26" fillId="43" borderId="0" xfId="23" applyFont="1" applyFill="1" applyBorder="1" applyAlignment="1">
      <alignment horizontal="center" vertical="center"/>
    </xf>
    <xf numFmtId="0" fontId="26" fillId="43" borderId="66" xfId="23" applyFont="1" applyFill="1" applyBorder="1" applyAlignment="1">
      <alignment horizontal="center" vertical="center"/>
    </xf>
    <xf numFmtId="0" fontId="5" fillId="43" borderId="23" xfId="23" applyFont="1" applyFill="1" applyBorder="1" applyAlignment="1">
      <alignment horizontal="center"/>
    </xf>
    <xf numFmtId="0" fontId="5" fillId="43" borderId="22" xfId="23" applyFont="1" applyFill="1" applyBorder="1" applyAlignment="1">
      <alignment horizontal="center"/>
    </xf>
    <xf numFmtId="0" fontId="5" fillId="43" borderId="24" xfId="23" applyFont="1" applyFill="1" applyBorder="1" applyAlignment="1">
      <alignment horizontal="center"/>
    </xf>
    <xf numFmtId="0" fontId="1" fillId="31" borderId="48" xfId="23" applyFill="1" applyBorder="1" applyAlignment="1">
      <alignment horizontal="center"/>
    </xf>
    <xf numFmtId="0" fontId="1" fillId="31" borderId="47" xfId="23" applyFill="1" applyBorder="1" applyAlignment="1">
      <alignment horizontal="center"/>
    </xf>
    <xf numFmtId="0" fontId="1" fillId="31" borderId="46" xfId="23" applyFill="1" applyBorder="1" applyAlignment="1">
      <alignment horizontal="center"/>
    </xf>
    <xf numFmtId="0" fontId="36" fillId="41" borderId="23" xfId="23" applyFont="1" applyFill="1" applyBorder="1" applyAlignment="1">
      <alignment horizontal="center" vertical="center"/>
    </xf>
    <xf numFmtId="0" fontId="36" fillId="41" borderId="22" xfId="23" applyFont="1" applyFill="1" applyBorder="1" applyAlignment="1">
      <alignment horizontal="center" vertical="center"/>
    </xf>
    <xf numFmtId="0" fontId="36" fillId="41" borderId="24" xfId="23" applyFont="1" applyFill="1" applyBorder="1" applyAlignment="1">
      <alignment horizontal="center" vertical="center"/>
    </xf>
    <xf numFmtId="0" fontId="36" fillId="41" borderId="62" xfId="23" applyFont="1" applyFill="1" applyBorder="1" applyAlignment="1">
      <alignment horizontal="center" vertical="center"/>
    </xf>
    <xf numFmtId="0" fontId="36" fillId="41" borderId="0" xfId="23" applyFont="1" applyFill="1" applyBorder="1" applyAlignment="1">
      <alignment horizontal="center" vertical="center"/>
    </xf>
    <xf numFmtId="0" fontId="36" fillId="41" borderId="66" xfId="23" applyFont="1" applyFill="1" applyBorder="1" applyAlignment="1">
      <alignment horizontal="center" vertical="center"/>
    </xf>
    <xf numFmtId="0" fontId="36" fillId="41" borderId="63" xfId="23" applyFont="1" applyFill="1" applyBorder="1" applyAlignment="1">
      <alignment horizontal="center" vertical="center"/>
    </xf>
    <xf numFmtId="0" fontId="36" fillId="41" borderId="28" xfId="23" applyFont="1" applyFill="1" applyBorder="1" applyAlignment="1">
      <alignment horizontal="center" vertical="center"/>
    </xf>
    <xf numFmtId="0" fontId="36" fillId="41" borderId="64" xfId="23" applyFont="1" applyFill="1" applyBorder="1" applyAlignment="1">
      <alignment horizontal="center" vertical="center"/>
    </xf>
    <xf numFmtId="0" fontId="4" fillId="29" borderId="4" xfId="0" applyFont="1" applyFill="1" applyBorder="1" applyAlignment="1">
      <alignment horizontal="center" vertical="center" textRotation="90"/>
    </xf>
    <xf numFmtId="0" fontId="4" fillId="29" borderId="54" xfId="0" applyFont="1" applyFill="1" applyBorder="1" applyAlignment="1">
      <alignment horizontal="center" vertical="center" textRotation="90"/>
    </xf>
    <xf numFmtId="0" fontId="0" fillId="34" borderId="3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164" fontId="0" fillId="12" borderId="3" xfId="0" applyNumberFormat="1" applyFill="1" applyBorder="1" applyAlignment="1">
      <alignment horizontal="center"/>
    </xf>
    <xf numFmtId="164" fontId="0" fillId="30" borderId="3" xfId="0" applyNumberFormat="1" applyFill="1" applyBorder="1" applyAlignment="1">
      <alignment horizontal="center"/>
    </xf>
    <xf numFmtId="164" fontId="21" fillId="30" borderId="3" xfId="0" applyNumberFormat="1" applyFont="1" applyFill="1" applyBorder="1" applyAlignment="1">
      <alignment horizontal="center"/>
    </xf>
    <xf numFmtId="164" fontId="21" fillId="30" borderId="8" xfId="0" applyNumberFormat="1" applyFont="1" applyFill="1" applyBorder="1" applyAlignment="1">
      <alignment horizontal="center"/>
    </xf>
    <xf numFmtId="0" fontId="0" fillId="32" borderId="6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4" fillId="28" borderId="9" xfId="0" applyFont="1" applyFill="1" applyBorder="1" applyAlignment="1">
      <alignment horizontal="center" vertical="center" textRotation="90"/>
    </xf>
    <xf numFmtId="0" fontId="4" fillId="28" borderId="6" xfId="0" applyFont="1" applyFill="1" applyBorder="1" applyAlignment="1">
      <alignment horizontal="center" vertical="center" textRotation="90"/>
    </xf>
    <xf numFmtId="0" fontId="4" fillId="28" borderId="12" xfId="0" applyFont="1" applyFill="1" applyBorder="1" applyAlignment="1">
      <alignment horizontal="center" vertical="center" textRotation="90"/>
    </xf>
    <xf numFmtId="0" fontId="4" fillId="29" borderId="1" xfId="0" applyFont="1" applyFill="1" applyBorder="1" applyAlignment="1">
      <alignment horizontal="center" vertical="center" textRotation="90"/>
    </xf>
    <xf numFmtId="0" fontId="21" fillId="28" borderId="48" xfId="0" applyFont="1" applyFill="1" applyBorder="1" applyAlignment="1">
      <alignment horizontal="center"/>
    </xf>
    <xf numFmtId="0" fontId="21" fillId="28" borderId="46" xfId="0" applyFont="1" applyFill="1" applyBorder="1" applyAlignment="1">
      <alignment horizontal="center"/>
    </xf>
    <xf numFmtId="0" fontId="4" fillId="29" borderId="3" xfId="0" applyFont="1" applyFill="1" applyBorder="1" applyAlignment="1">
      <alignment horizontal="center" vertical="center" textRotation="90"/>
    </xf>
    <xf numFmtId="0" fontId="21" fillId="26" borderId="48" xfId="0" applyFont="1" applyFill="1" applyBorder="1" applyAlignment="1">
      <alignment horizontal="center"/>
    </xf>
    <xf numFmtId="0" fontId="21" fillId="26" borderId="46" xfId="0" applyFont="1" applyFill="1" applyBorder="1" applyAlignment="1">
      <alignment horizontal="center"/>
    </xf>
    <xf numFmtId="164" fontId="21" fillId="12" borderId="30" xfId="0" applyNumberFormat="1" applyFont="1" applyFill="1" applyBorder="1" applyAlignment="1">
      <alignment horizontal="center"/>
    </xf>
    <xf numFmtId="164" fontId="21" fillId="12" borderId="32" xfId="0" applyNumberFormat="1" applyFont="1" applyFill="1" applyBorder="1" applyAlignment="1">
      <alignment horizontal="center"/>
    </xf>
    <xf numFmtId="164" fontId="21" fillId="12" borderId="49" xfId="0" applyNumberFormat="1" applyFont="1" applyFill="1" applyBorder="1" applyAlignment="1">
      <alignment horizontal="center"/>
    </xf>
    <xf numFmtId="164" fontId="0" fillId="12" borderId="30" xfId="0" applyNumberFormat="1" applyFill="1" applyBorder="1" applyAlignment="1">
      <alignment horizontal="center"/>
    </xf>
    <xf numFmtId="164" fontId="0" fillId="12" borderId="31" xfId="0" applyNumberFormat="1" applyFill="1" applyBorder="1" applyAlignment="1">
      <alignment horizontal="center"/>
    </xf>
    <xf numFmtId="0" fontId="4" fillId="28" borderId="53" xfId="0" applyFont="1" applyFill="1" applyBorder="1" applyAlignment="1">
      <alignment horizontal="center" vertical="center" textRotation="90"/>
    </xf>
    <xf numFmtId="0" fontId="4" fillId="28" borderId="19" xfId="0" applyFont="1" applyFill="1" applyBorder="1" applyAlignment="1">
      <alignment horizontal="center" vertical="center" textRotation="90"/>
    </xf>
    <xf numFmtId="0" fontId="4" fillId="28" borderId="50" xfId="0" applyFont="1" applyFill="1" applyBorder="1" applyAlignment="1">
      <alignment horizontal="center" vertical="center" textRotation="90"/>
    </xf>
    <xf numFmtId="164" fontId="0" fillId="30" borderId="30" xfId="0" applyNumberFormat="1" applyFill="1" applyBorder="1" applyAlignment="1">
      <alignment horizontal="center"/>
    </xf>
    <xf numFmtId="164" fontId="0" fillId="30" borderId="31" xfId="0" applyNumberFormat="1" applyFill="1" applyBorder="1" applyAlignment="1">
      <alignment horizontal="center"/>
    </xf>
    <xf numFmtId="164" fontId="21" fillId="30" borderId="30" xfId="0" applyNumberFormat="1" applyFont="1" applyFill="1" applyBorder="1" applyAlignment="1">
      <alignment horizontal="center"/>
    </xf>
    <xf numFmtId="164" fontId="21" fillId="30" borderId="32" xfId="0" applyNumberFormat="1" applyFont="1" applyFill="1" applyBorder="1" applyAlignment="1">
      <alignment horizontal="center"/>
    </xf>
    <xf numFmtId="164" fontId="21" fillId="30" borderId="49" xfId="0" applyNumberFormat="1" applyFont="1" applyFill="1" applyBorder="1" applyAlignment="1">
      <alignment horizontal="center"/>
    </xf>
    <xf numFmtId="0" fontId="4" fillId="28" borderId="18" xfId="0" applyFont="1" applyFill="1" applyBorder="1" applyAlignment="1">
      <alignment horizontal="center" vertical="center" textRotation="90"/>
    </xf>
    <xf numFmtId="0" fontId="20" fillId="28" borderId="18" xfId="0" applyFont="1" applyFill="1" applyBorder="1" applyAlignment="1">
      <alignment horizontal="center" vertical="center" textRotation="90"/>
    </xf>
    <xf numFmtId="0" fontId="20" fillId="28" borderId="19" xfId="0" applyFont="1" applyFill="1" applyBorder="1" applyAlignment="1">
      <alignment horizontal="center" vertical="center" textRotation="90"/>
    </xf>
    <xf numFmtId="0" fontId="20" fillId="28" borderId="20" xfId="0" applyFont="1" applyFill="1" applyBorder="1" applyAlignment="1">
      <alignment horizontal="center" vertical="center" textRotation="90"/>
    </xf>
    <xf numFmtId="164" fontId="0" fillId="30" borderId="39" xfId="0" applyNumberFormat="1" applyFill="1" applyBorder="1" applyAlignment="1">
      <alignment horizontal="center"/>
    </xf>
    <xf numFmtId="164" fontId="0" fillId="30" borderId="35" xfId="0" applyNumberFormat="1" applyFill="1" applyBorder="1" applyAlignment="1">
      <alignment horizont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27" borderId="9" xfId="0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1" borderId="6" xfId="0" applyFill="1" applyBorder="1" applyAlignment="1">
      <alignment horizontal="center" vertical="center"/>
    </xf>
    <xf numFmtId="0" fontId="19" fillId="29" borderId="3" xfId="0" applyFont="1" applyFill="1" applyBorder="1" applyAlignment="1">
      <alignment horizontal="center"/>
    </xf>
    <xf numFmtId="0" fontId="21" fillId="28" borderId="48" xfId="0" applyFont="1" applyFill="1" applyBorder="1" applyAlignment="1">
      <alignment horizontal="center" vertical="center"/>
    </xf>
    <xf numFmtId="0" fontId="21" fillId="28" borderId="4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0" fillId="30" borderId="3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4" fillId="30" borderId="4" xfId="0" applyFont="1" applyFill="1" applyBorder="1" applyAlignment="1">
      <alignment horizontal="center" vertical="center" textRotation="90"/>
    </xf>
    <xf numFmtId="0" fontId="4" fillId="30" borderId="1" xfId="0" applyFont="1" applyFill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2" borderId="33" xfId="0" applyFill="1" applyBorder="1" applyAlignment="1">
      <alignment horizontal="center" vertical="center"/>
    </xf>
    <xf numFmtId="0" fontId="0" fillId="32" borderId="3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8" borderId="30" xfId="0" applyFill="1" applyBorder="1" applyAlignment="1">
      <alignment horizontal="center" vertical="center"/>
    </xf>
    <xf numFmtId="0" fontId="0" fillId="28" borderId="3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2" borderId="9" xfId="0" applyFill="1" applyBorder="1" applyAlignment="1">
      <alignment horizontal="center" vertical="center"/>
    </xf>
    <xf numFmtId="0" fontId="0" fillId="32" borderId="10" xfId="0" applyFill="1" applyBorder="1" applyAlignment="1">
      <alignment horizontal="center" vertical="center"/>
    </xf>
    <xf numFmtId="0" fontId="19" fillId="28" borderId="23" xfId="0" applyFont="1" applyFill="1" applyBorder="1" applyAlignment="1">
      <alignment horizontal="center" vertical="center"/>
    </xf>
    <xf numFmtId="0" fontId="19" fillId="28" borderId="22" xfId="0" applyFont="1" applyFill="1" applyBorder="1" applyAlignment="1">
      <alignment horizontal="center" vertical="center"/>
    </xf>
    <xf numFmtId="0" fontId="19" fillId="28" borderId="24" xfId="0" applyFont="1" applyFill="1" applyBorder="1" applyAlignment="1">
      <alignment horizontal="center" vertical="center"/>
    </xf>
    <xf numFmtId="0" fontId="19" fillId="26" borderId="48" xfId="0" applyFont="1" applyFill="1" applyBorder="1" applyAlignment="1">
      <alignment horizontal="center" vertical="center"/>
    </xf>
    <xf numFmtId="0" fontId="19" fillId="26" borderId="47" xfId="0" applyFont="1" applyFill="1" applyBorder="1" applyAlignment="1">
      <alignment horizontal="center" vertical="center"/>
    </xf>
    <xf numFmtId="0" fontId="19" fillId="26" borderId="46" xfId="0" applyFont="1" applyFill="1" applyBorder="1" applyAlignment="1">
      <alignment horizontal="center" vertical="center"/>
    </xf>
    <xf numFmtId="0" fontId="21" fillId="12" borderId="38" xfId="0" applyFont="1" applyFill="1" applyBorder="1" applyAlignment="1">
      <alignment horizontal="center"/>
    </xf>
    <xf numFmtId="0" fontId="21" fillId="12" borderId="52" xfId="0" applyFont="1" applyFill="1" applyBorder="1" applyAlignment="1">
      <alignment horizontal="center"/>
    </xf>
    <xf numFmtId="0" fontId="21" fillId="12" borderId="51" xfId="0" applyFont="1" applyFill="1" applyBorder="1" applyAlignment="1">
      <alignment horizontal="center"/>
    </xf>
    <xf numFmtId="0" fontId="19" fillId="28" borderId="48" xfId="0" applyFont="1" applyFill="1" applyBorder="1" applyAlignment="1">
      <alignment horizontal="center" vertical="center"/>
    </xf>
    <xf numFmtId="0" fontId="19" fillId="28" borderId="47" xfId="0" applyFont="1" applyFill="1" applyBorder="1" applyAlignment="1">
      <alignment horizontal="center" vertical="center"/>
    </xf>
    <xf numFmtId="0" fontId="19" fillId="28" borderId="46" xfId="0" applyFont="1" applyFill="1" applyBorder="1" applyAlignment="1">
      <alignment horizontal="center" vertical="center"/>
    </xf>
    <xf numFmtId="0" fontId="18" fillId="26" borderId="3" xfId="0" applyFont="1" applyFill="1" applyBorder="1" applyAlignment="1">
      <alignment horizontal="center" vertical="center"/>
    </xf>
    <xf numFmtId="0" fontId="19" fillId="28" borderId="3" xfId="0" applyFont="1" applyFill="1" applyBorder="1" applyAlignment="1">
      <alignment horizontal="center"/>
    </xf>
    <xf numFmtId="0" fontId="0" fillId="27" borderId="36" xfId="0" applyFill="1" applyBorder="1" applyAlignment="1">
      <alignment horizontal="center" vertical="center"/>
    </xf>
    <xf numFmtId="0" fontId="0" fillId="27" borderId="45" xfId="0" applyFill="1" applyBorder="1" applyAlignment="1">
      <alignment horizontal="center" vertical="center"/>
    </xf>
    <xf numFmtId="0" fontId="0" fillId="27" borderId="34" xfId="0" applyFill="1" applyBorder="1" applyAlignment="1">
      <alignment horizontal="center" vertical="center"/>
    </xf>
    <xf numFmtId="0" fontId="0" fillId="27" borderId="35" xfId="0" applyFill="1" applyBorder="1" applyAlignment="1">
      <alignment horizontal="center" vertical="center"/>
    </xf>
    <xf numFmtId="0" fontId="0" fillId="31" borderId="18" xfId="0" applyFill="1" applyBorder="1" applyAlignment="1">
      <alignment horizontal="center" vertical="center"/>
    </xf>
    <xf numFmtId="0" fontId="4" fillId="34" borderId="6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0" fillId="27" borderId="30" xfId="0" applyFill="1" applyBorder="1" applyAlignment="1">
      <alignment horizontal="center" vertical="center"/>
    </xf>
    <xf numFmtId="0" fontId="0" fillId="27" borderId="3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27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27" borderId="4" xfId="0" applyFill="1" applyBorder="1" applyAlignment="1">
      <alignment horizontal="center" vertical="center"/>
    </xf>
    <xf numFmtId="0" fontId="0" fillId="27" borderId="54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32" borderId="4" xfId="0" applyFill="1" applyBorder="1" applyAlignment="1">
      <alignment horizontal="center" vertical="center"/>
    </xf>
    <xf numFmtId="0" fontId="0" fillId="32" borderId="54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0" fillId="28" borderId="4" xfId="0" applyFill="1" applyBorder="1" applyAlignment="1">
      <alignment horizontal="center" vertical="center"/>
    </xf>
    <xf numFmtId="0" fontId="0" fillId="28" borderId="54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35" borderId="4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30" borderId="4" xfId="0" applyFill="1" applyBorder="1" applyAlignment="1" applyProtection="1">
      <alignment horizontal="center" vertical="center"/>
      <protection locked="0"/>
    </xf>
    <xf numFmtId="0" fontId="0" fillId="30" borderId="1" xfId="0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5" borderId="3" xfId="0" applyFill="1" applyBorder="1" applyAlignment="1">
      <alignment horizontal="center"/>
    </xf>
    <xf numFmtId="0" fontId="0" fillId="28" borderId="3" xfId="0" applyFill="1" applyBorder="1" applyAlignment="1">
      <alignment horizontal="center" vertical="center"/>
    </xf>
    <xf numFmtId="0" fontId="0" fillId="28" borderId="58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1" borderId="3" xfId="0" applyFont="1" applyFill="1" applyBorder="1" applyAlignment="1">
      <alignment horizontal="center" vertical="center"/>
    </xf>
    <xf numFmtId="0" fontId="0" fillId="32" borderId="30" xfId="0" applyFill="1" applyBorder="1" applyAlignment="1">
      <alignment horizontal="center" vertical="center"/>
    </xf>
    <xf numFmtId="0" fontId="0" fillId="31" borderId="12" xfId="0" applyFill="1" applyBorder="1" applyAlignment="1">
      <alignment horizontal="center" vertical="center"/>
    </xf>
    <xf numFmtId="164" fontId="21" fillId="12" borderId="3" xfId="0" applyNumberFormat="1" applyFont="1" applyFill="1" applyBorder="1" applyAlignment="1">
      <alignment horizontal="center"/>
    </xf>
    <xf numFmtId="164" fontId="21" fillId="12" borderId="8" xfId="0" applyNumberFormat="1" applyFont="1" applyFill="1" applyBorder="1" applyAlignment="1">
      <alignment horizontal="center"/>
    </xf>
    <xf numFmtId="0" fontId="19" fillId="28" borderId="15" xfId="0" applyFont="1" applyFill="1" applyBorder="1" applyAlignment="1">
      <alignment horizontal="center"/>
    </xf>
    <xf numFmtId="0" fontId="19" fillId="28" borderId="16" xfId="0" applyFont="1" applyFill="1" applyBorder="1" applyAlignment="1">
      <alignment horizontal="center"/>
    </xf>
    <xf numFmtId="0" fontId="19" fillId="28" borderId="17" xfId="0" applyFont="1" applyFill="1" applyBorder="1" applyAlignment="1">
      <alignment horizontal="center"/>
    </xf>
    <xf numFmtId="0" fontId="0" fillId="12" borderId="54" xfId="0" applyFill="1" applyBorder="1" applyAlignment="1">
      <alignment horizontal="center" vertical="center"/>
    </xf>
    <xf numFmtId="0" fontId="19" fillId="26" borderId="48" xfId="0" applyFont="1" applyFill="1" applyBorder="1" applyAlignment="1">
      <alignment horizontal="center"/>
    </xf>
    <xf numFmtId="0" fontId="19" fillId="26" borderId="47" xfId="0" applyFont="1" applyFill="1" applyBorder="1" applyAlignment="1">
      <alignment horizontal="center"/>
    </xf>
    <xf numFmtId="0" fontId="19" fillId="26" borderId="46" xfId="0" applyFont="1" applyFill="1" applyBorder="1" applyAlignment="1">
      <alignment horizontal="center"/>
    </xf>
    <xf numFmtId="0" fontId="0" fillId="12" borderId="33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19" fillId="28" borderId="15" xfId="0" applyFont="1" applyFill="1" applyBorder="1" applyAlignment="1">
      <alignment horizontal="center" vertical="center"/>
    </xf>
    <xf numFmtId="0" fontId="19" fillId="28" borderId="16" xfId="0" applyFont="1" applyFill="1" applyBorder="1" applyAlignment="1">
      <alignment horizontal="center" vertical="center"/>
    </xf>
    <xf numFmtId="0" fontId="19" fillId="28" borderId="17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4" fillId="34" borderId="50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64" fontId="0" fillId="30" borderId="13" xfId="0" applyNumberFormat="1" applyFill="1" applyBorder="1" applyAlignment="1">
      <alignment horizontal="center"/>
    </xf>
    <xf numFmtId="0" fontId="4" fillId="7" borderId="6" xfId="7" applyFont="1" applyBorder="1" applyAlignment="1">
      <alignment horizontal="center" vertical="center" textRotation="90"/>
    </xf>
    <xf numFmtId="0" fontId="4" fillId="7" borderId="34" xfId="7" applyFont="1" applyBorder="1" applyAlignment="1">
      <alignment horizontal="center" vertical="center" textRotation="90"/>
    </xf>
    <xf numFmtId="0" fontId="1" fillId="7" borderId="1" xfId="7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1" fillId="7" borderId="3" xfId="7" applyBorder="1" applyAlignment="1">
      <alignment horizontal="center" vertical="center"/>
    </xf>
    <xf numFmtId="0" fontId="0" fillId="7" borderId="3" xfId="7" applyFont="1" applyBorder="1" applyAlignment="1">
      <alignment horizontal="center" vertical="center"/>
    </xf>
    <xf numFmtId="0" fontId="0" fillId="7" borderId="4" xfId="7" applyFont="1" applyBorder="1" applyAlignment="1">
      <alignment horizontal="center" vertical="center"/>
    </xf>
    <xf numFmtId="0" fontId="1" fillId="7" borderId="4" xfId="7" applyBorder="1" applyAlignment="1">
      <alignment horizontal="center" vertical="center"/>
    </xf>
    <xf numFmtId="0" fontId="2" fillId="10" borderId="15" xfId="10" applyFont="1" applyBorder="1" applyAlignment="1">
      <alignment horizontal="center" vertical="center"/>
    </xf>
    <xf numFmtId="0" fontId="2" fillId="10" borderId="16" xfId="10" applyFont="1" applyBorder="1" applyAlignment="1">
      <alignment horizontal="center" vertical="center"/>
    </xf>
    <xf numFmtId="0" fontId="4" fillId="8" borderId="6" xfId="8" applyFont="1" applyBorder="1" applyAlignment="1">
      <alignment horizontal="center" vertical="center" textRotation="90"/>
    </xf>
    <xf numFmtId="0" fontId="4" fillId="8" borderId="33" xfId="8" applyFont="1" applyBorder="1" applyAlignment="1">
      <alignment horizontal="center" vertical="center" textRotation="90"/>
    </xf>
    <xf numFmtId="0" fontId="1" fillId="8" borderId="3" xfId="8" applyBorder="1" applyAlignment="1">
      <alignment horizontal="center" vertical="center"/>
    </xf>
    <xf numFmtId="0" fontId="0" fillId="8" borderId="3" xfId="8" applyFont="1" applyBorder="1" applyAlignment="1">
      <alignment horizontal="center" vertical="center"/>
    </xf>
    <xf numFmtId="0" fontId="0" fillId="8" borderId="4" xfId="8" applyFont="1" applyBorder="1" applyAlignment="1">
      <alignment horizontal="center" vertical="center"/>
    </xf>
    <xf numFmtId="0" fontId="1" fillId="8" borderId="4" xfId="8" applyBorder="1" applyAlignment="1">
      <alignment horizontal="center" vertical="center"/>
    </xf>
    <xf numFmtId="0" fontId="10" fillId="3" borderId="9" xfId="3" applyFont="1" applyBorder="1" applyAlignment="1">
      <alignment horizontal="center"/>
    </xf>
    <xf numFmtId="0" fontId="10" fillId="3" borderId="10" xfId="3" applyFont="1" applyBorder="1" applyAlignment="1">
      <alignment horizontal="center"/>
    </xf>
    <xf numFmtId="0" fontId="2" fillId="16" borderId="3" xfId="16" applyFont="1" applyBorder="1" applyAlignment="1">
      <alignment horizontal="center" vertical="center"/>
    </xf>
    <xf numFmtId="0" fontId="13" fillId="0" borderId="0" xfId="12" applyFont="1" applyBorder="1" applyAlignment="1">
      <alignment horizontal="center"/>
    </xf>
  </cellXfs>
  <cellStyles count="24">
    <cellStyle name="20% - Accent1" xfId="2" builtinId="30"/>
    <cellStyle name="20% - Accent2" xfId="21" builtinId="34"/>
    <cellStyle name="20% - Accent3" xfId="4" builtinId="38"/>
    <cellStyle name="20% - Accent4" xfId="7" builtinId="42"/>
    <cellStyle name="20% - Accent6" xfId="19" builtinId="50"/>
    <cellStyle name="40% - Accent1" xfId="13" builtinId="31"/>
    <cellStyle name="40% - Accent2" xfId="14" builtinId="35"/>
    <cellStyle name="40% - Accent3" xfId="5" builtinId="39"/>
    <cellStyle name="40% - Accent4" xfId="8" builtinId="43"/>
    <cellStyle name="40% - Accent5" xfId="9" builtinId="47"/>
    <cellStyle name="40% - Accent6" xfId="11" builtinId="51"/>
    <cellStyle name="60% - Accent5" xfId="16" builtinId="48"/>
    <cellStyle name="60% - Accent6" xfId="17" builtinId="52"/>
    <cellStyle name="Accent2" xfId="3" builtinId="33"/>
    <cellStyle name="Accent3" xfId="15" builtinId="37"/>
    <cellStyle name="Accent4" xfId="6" builtinId="41"/>
    <cellStyle name="Accent5" xfId="18" builtinId="45"/>
    <cellStyle name="Accent6" xfId="10" builtinId="49"/>
    <cellStyle name="Explanatory Text" xfId="1" builtinId="53"/>
    <cellStyle name="Good" xfId="22" builtinId="26"/>
    <cellStyle name="Heading 1" xfId="12" builtinId="16"/>
    <cellStyle name="Normal" xfId="0" builtinId="0"/>
    <cellStyle name="Normal 2" xfId="23" xr:uid="{00000000-0005-0000-0000-000016000000}"/>
    <cellStyle name="Warning Text" xfId="20" builtinId="11"/>
  </cellStyles>
  <dxfs count="0"/>
  <tableStyles count="0" defaultTableStyle="TableStyleMedium2" defaultPivotStyle="PivotStyleLight16"/>
  <colors>
    <mruColors>
      <color rgb="FFFF9797"/>
      <color rgb="FFF8F056"/>
      <color rgb="FFDBF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JPG"/><Relationship Id="rId1" Type="http://schemas.openxmlformats.org/officeDocument/2006/relationships/image" Target="../media/image2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2" Type="http://schemas.openxmlformats.org/officeDocument/2006/relationships/image" Target="../media/image7.JPG"/><Relationship Id="rId1" Type="http://schemas.openxmlformats.org/officeDocument/2006/relationships/image" Target="../media/image6.JPG"/><Relationship Id="rId4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5042</xdr:colOff>
      <xdr:row>23</xdr:row>
      <xdr:rowOff>181535</xdr:rowOff>
    </xdr:from>
    <xdr:to>
      <xdr:col>24</xdr:col>
      <xdr:colOff>512364</xdr:colOff>
      <xdr:row>41</xdr:row>
      <xdr:rowOff>40341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1992" y="4648760"/>
          <a:ext cx="2278972" cy="3306856"/>
        </a:xfrm>
        <a:prstGeom prst="rect">
          <a:avLst/>
        </a:prstGeom>
        <a:ln>
          <a:solidFill>
            <a:schemeClr val="tx1"/>
          </a:solidFill>
        </a:ln>
        <a:effectLst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79</xdr:row>
      <xdr:rowOff>115295</xdr:rowOff>
    </xdr:from>
    <xdr:ext cx="5562600" cy="472855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5612470"/>
          <a:ext cx="5562600" cy="4728552"/>
        </a:xfrm>
        <a:prstGeom prst="rect">
          <a:avLst/>
        </a:prstGeom>
      </xdr:spPr>
    </xdr:pic>
    <xdr:clientData/>
  </xdr:oneCellAnchor>
  <xdr:twoCellAnchor editAs="oneCell">
    <xdr:from>
      <xdr:col>2</xdr:col>
      <xdr:colOff>47625</xdr:colOff>
      <xdr:row>54</xdr:row>
      <xdr:rowOff>104775</xdr:rowOff>
    </xdr:from>
    <xdr:to>
      <xdr:col>5</xdr:col>
      <xdr:colOff>571500</xdr:colOff>
      <xdr:row>74</xdr:row>
      <xdr:rowOff>114247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843678-EB11-40F9-A90D-2E3B1B8E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0677525"/>
          <a:ext cx="2724150" cy="3952822"/>
        </a:xfrm>
        <a:prstGeom prst="rect">
          <a:avLst/>
        </a:prstGeom>
        <a:ln>
          <a:solidFill>
            <a:schemeClr val="tx1"/>
          </a:solidFill>
        </a:ln>
        <a:effectLst>
          <a:softEdge rad="0"/>
        </a:effectLst>
      </xdr:spPr>
    </xdr:pic>
    <xdr:clientData/>
  </xdr:twoCellAnchor>
  <xdr:twoCellAnchor editAs="oneCell">
    <xdr:from>
      <xdr:col>20</xdr:col>
      <xdr:colOff>87174</xdr:colOff>
      <xdr:row>75</xdr:row>
      <xdr:rowOff>19051</xdr:rowOff>
    </xdr:from>
    <xdr:to>
      <xdr:col>26</xdr:col>
      <xdr:colOff>31613</xdr:colOff>
      <xdr:row>107</xdr:row>
      <xdr:rowOff>41653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3FB0EB-2933-414C-B873-97BFD977F1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2729"/>
        <a:stretch/>
      </xdr:blipFill>
      <xdr:spPr>
        <a:xfrm>
          <a:off x="10564674" y="14754226"/>
          <a:ext cx="3268664" cy="6118602"/>
        </a:xfrm>
        <a:prstGeom prst="rect">
          <a:avLst/>
        </a:prstGeom>
      </xdr:spPr>
    </xdr:pic>
    <xdr:clientData/>
  </xdr:twoCellAnchor>
  <xdr:twoCellAnchor editAs="oneCell">
    <xdr:from>
      <xdr:col>9</xdr:col>
      <xdr:colOff>257188</xdr:colOff>
      <xdr:row>83</xdr:row>
      <xdr:rowOff>148216</xdr:rowOff>
    </xdr:from>
    <xdr:to>
      <xdr:col>18</xdr:col>
      <xdr:colOff>122718</xdr:colOff>
      <xdr:row>98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A07CC2-7CFA-4FEA-86DF-A48BB2AB3A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491" t="5421" r="10170" b="4885"/>
        <a:stretch/>
      </xdr:blipFill>
      <xdr:spPr>
        <a:xfrm rot="16200000">
          <a:off x="6326724" y="15405155"/>
          <a:ext cx="2747384" cy="4751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184897</xdr:colOff>
      <xdr:row>34</xdr:row>
      <xdr:rowOff>124945</xdr:rowOff>
    </xdr:from>
    <xdr:ext cx="1869962" cy="3410705"/>
    <xdr:pic>
      <xdr:nvPicPr>
        <xdr:cNvPr id="2" name="Image 2" descr="Sans titre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2097" y="6601945"/>
          <a:ext cx="1869962" cy="341070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390525</xdr:colOff>
      <xdr:row>4</xdr:row>
      <xdr:rowOff>123825</xdr:rowOff>
    </xdr:from>
    <xdr:to>
      <xdr:col>22</xdr:col>
      <xdr:colOff>238125</xdr:colOff>
      <xdr:row>10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14400"/>
          <a:ext cx="4114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16650</xdr:colOff>
      <xdr:row>10</xdr:row>
      <xdr:rowOff>121425</xdr:rowOff>
    </xdr:from>
    <xdr:to>
      <xdr:col>18</xdr:col>
      <xdr:colOff>454800</xdr:colOff>
      <xdr:row>13</xdr:row>
      <xdr:rowOff>45225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4100" y="2055000"/>
          <a:ext cx="1657350" cy="5048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  <xdr:twoCellAnchor editAs="oneCell">
    <xdr:from>
      <xdr:col>15</xdr:col>
      <xdr:colOff>419100</xdr:colOff>
      <xdr:row>13</xdr:row>
      <xdr:rowOff>161925</xdr:rowOff>
    </xdr:from>
    <xdr:to>
      <xdr:col>26</xdr:col>
      <xdr:colOff>323850</xdr:colOff>
      <xdr:row>19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950" y="2667000"/>
          <a:ext cx="6610350" cy="1104900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7</xdr:row>
      <xdr:rowOff>85725</xdr:rowOff>
    </xdr:from>
    <xdr:to>
      <xdr:col>13</xdr:col>
      <xdr:colOff>504825</xdr:colOff>
      <xdr:row>7</xdr:row>
      <xdr:rowOff>85725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8315325" y="14478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13</xdr:row>
      <xdr:rowOff>104775</xdr:rowOff>
    </xdr:from>
    <xdr:to>
      <xdr:col>13</xdr:col>
      <xdr:colOff>514350</xdr:colOff>
      <xdr:row>13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324850" y="26289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22</xdr:row>
      <xdr:rowOff>85725</xdr:rowOff>
    </xdr:from>
    <xdr:to>
      <xdr:col>13</xdr:col>
      <xdr:colOff>504825</xdr:colOff>
      <xdr:row>22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8029575" y="14478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28</xdr:row>
      <xdr:rowOff>104775</xdr:rowOff>
    </xdr:from>
    <xdr:to>
      <xdr:col>13</xdr:col>
      <xdr:colOff>514350</xdr:colOff>
      <xdr:row>28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8039100" y="26289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600076</xdr:colOff>
      <xdr:row>20</xdr:row>
      <xdr:rowOff>57150</xdr:rowOff>
    </xdr:from>
    <xdr:to>
      <xdr:col>24</xdr:col>
      <xdr:colOff>142876</xdr:colOff>
      <xdr:row>37</xdr:row>
      <xdr:rowOff>160670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3" t="16798" r="9809" b="1562"/>
        <a:stretch/>
      </xdr:blipFill>
      <xdr:spPr>
        <a:xfrm>
          <a:off x="9591676" y="3962400"/>
          <a:ext cx="5029200" cy="34182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7">
          <cell r="K7">
            <v>229.83000000000004</v>
          </cell>
          <cell r="L7">
            <v>0</v>
          </cell>
          <cell r="M7">
            <v>0</v>
          </cell>
          <cell r="O7">
            <v>4.3510420745768606E-3</v>
          </cell>
          <cell r="P7">
            <v>0</v>
          </cell>
          <cell r="Q7">
            <v>0</v>
          </cell>
        </row>
        <row r="8">
          <cell r="F8">
            <v>852.96</v>
          </cell>
          <cell r="G8">
            <v>287.27999999999997</v>
          </cell>
          <cell r="H8">
            <v>289.77</v>
          </cell>
          <cell r="K8">
            <v>8.92999999999995</v>
          </cell>
          <cell r="L8">
            <v>-366.37</v>
          </cell>
          <cell r="M8">
            <v>-366.37</v>
          </cell>
          <cell r="O8">
            <v>1.7430962235585282E-4</v>
          </cell>
          <cell r="P8">
            <v>-4.5841635505090485E-3</v>
          </cell>
          <cell r="Q8">
            <v>1.2500000000000001E-2</v>
          </cell>
        </row>
        <row r="9">
          <cell r="F9">
            <v>623.13</v>
          </cell>
          <cell r="G9">
            <v>278.35000000000002</v>
          </cell>
          <cell r="H9">
            <v>289.7</v>
          </cell>
          <cell r="K9">
            <v>6.9999999999993179E-2</v>
          </cell>
          <cell r="L9">
            <v>-54.360000000000014</v>
          </cell>
          <cell r="M9">
            <v>-134.36000000000001</v>
          </cell>
          <cell r="O9">
            <v>-6.8256163486482658E-5</v>
          </cell>
          <cell r="P9">
            <v>1.8546824248710323E-3</v>
          </cell>
          <cell r="Q9">
            <v>-1.2500000000000001E-2</v>
          </cell>
        </row>
        <row r="12">
          <cell r="K12">
            <v>13.590000000000032</v>
          </cell>
          <cell r="O12">
            <v>5.9130661793499677E-2</v>
          </cell>
        </row>
        <row r="13">
          <cell r="K13">
            <v>-326.37</v>
          </cell>
        </row>
        <row r="14">
          <cell r="K14">
            <v>-94.360000000000014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D55:G62" totalsRowShown="0">
  <autoFilter ref="D55:G62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Rim Specs 2019"/>
    <tableColumn id="2" xr3:uid="{00000000-0010-0000-0000-000002000000}" name="Front"/>
    <tableColumn id="3" xr3:uid="{00000000-0010-0000-0000-000003000000}" name="Rear"/>
    <tableColumn id="4" xr3:uid="{00000000-0010-0000-0000-000004000000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82"/>
  <sheetViews>
    <sheetView topLeftCell="A41" zoomScaleNormal="100" workbookViewId="0">
      <selection activeCell="D28" sqref="D28:E28"/>
    </sheetView>
  </sheetViews>
  <sheetFormatPr defaultRowHeight="15" x14ac:dyDescent="0.25"/>
  <cols>
    <col min="1" max="3" width="3.85546875" customWidth="1"/>
    <col min="4" max="4" width="18.5703125" customWidth="1"/>
    <col min="9" max="9" width="5" customWidth="1"/>
    <col min="10" max="10" width="10.5703125" customWidth="1"/>
    <col min="11" max="11" width="9.85546875" customWidth="1"/>
    <col min="12" max="12" width="3.140625" customWidth="1"/>
    <col min="13" max="13" width="22.42578125" customWidth="1"/>
    <col min="14" max="14" width="10.28515625" bestFit="1" customWidth="1"/>
    <col min="15" max="17" width="11" customWidth="1"/>
    <col min="18" max="18" width="5.28515625" customWidth="1"/>
    <col min="19" max="19" width="1.7109375" customWidth="1"/>
    <col min="20" max="21" width="3.28515625" customWidth="1"/>
    <col min="24" max="24" width="5" customWidth="1"/>
    <col min="28" max="28" width="22" customWidth="1"/>
    <col min="29" max="29" width="13.42578125" customWidth="1"/>
    <col min="30" max="30" width="13" customWidth="1"/>
    <col min="31" max="31" width="12" customWidth="1"/>
  </cols>
  <sheetData>
    <row r="1" spans="1:42" ht="15.75" thickBot="1" x14ac:dyDescent="0.3">
      <c r="A1" s="28"/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15" customHeight="1" thickBot="1" x14ac:dyDescent="0.45">
      <c r="A2" s="27"/>
      <c r="B2" s="425" t="s">
        <v>87</v>
      </c>
      <c r="C2" s="426"/>
      <c r="D2" s="426"/>
      <c r="E2" s="426"/>
      <c r="F2" s="426"/>
      <c r="G2" s="426"/>
      <c r="H2" s="426"/>
      <c r="I2" s="427"/>
      <c r="J2" s="295"/>
      <c r="K2" s="27"/>
      <c r="L2" s="2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 ht="15" customHeight="1" x14ac:dyDescent="0.4">
      <c r="A3" s="27"/>
      <c r="B3" s="428"/>
      <c r="C3" s="429"/>
      <c r="D3" s="429"/>
      <c r="E3" s="429"/>
      <c r="F3" s="429"/>
      <c r="G3" s="429"/>
      <c r="H3" s="429"/>
      <c r="I3" s="430"/>
      <c r="J3" s="295"/>
      <c r="K3" s="27"/>
      <c r="L3" s="28"/>
      <c r="M3" s="301" t="s">
        <v>261</v>
      </c>
      <c r="N3" s="302"/>
      <c r="O3" s="302"/>
      <c r="P3" s="302"/>
      <c r="Q3" s="302"/>
      <c r="R3" s="302"/>
      <c r="S3" s="302"/>
      <c r="T3" s="302"/>
      <c r="U3" s="303"/>
      <c r="V3" s="68"/>
      <c r="W3" s="68"/>
      <c r="X3" s="68"/>
      <c r="Y3" s="68"/>
      <c r="Z3" s="68"/>
      <c r="AA3" s="28"/>
      <c r="AB3" s="28"/>
      <c r="AC3" s="28"/>
      <c r="AD3" s="28"/>
      <c r="AE3" s="27"/>
      <c r="AF3" s="28"/>
      <c r="AG3" s="28"/>
      <c r="AH3" s="28"/>
      <c r="AI3" s="28"/>
      <c r="AJ3" s="28"/>
      <c r="AK3" s="28"/>
      <c r="AL3" s="27"/>
      <c r="AM3" s="28"/>
      <c r="AN3" s="28"/>
      <c r="AO3" s="28"/>
      <c r="AP3" s="28"/>
    </row>
    <row r="4" spans="1:42" ht="15.75" customHeight="1" x14ac:dyDescent="0.25">
      <c r="A4" s="27"/>
      <c r="B4" s="438" t="s">
        <v>310</v>
      </c>
      <c r="C4" s="439"/>
      <c r="D4" s="439"/>
      <c r="E4" s="439"/>
      <c r="F4" s="439"/>
      <c r="G4" s="439"/>
      <c r="H4" s="439"/>
      <c r="I4" s="440"/>
      <c r="J4" s="296"/>
      <c r="K4" s="27"/>
      <c r="L4" s="28"/>
      <c r="M4" s="304"/>
      <c r="N4" s="305"/>
      <c r="O4" s="305"/>
      <c r="P4" s="305"/>
      <c r="Q4" s="305"/>
      <c r="R4" s="305"/>
      <c r="S4" s="305"/>
      <c r="T4" s="305"/>
      <c r="U4" s="306"/>
      <c r="V4" s="68"/>
      <c r="W4" s="68"/>
      <c r="X4" s="68"/>
      <c r="Y4" s="68"/>
      <c r="Z4" s="6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</row>
    <row r="5" spans="1:42" ht="15.75" customHeight="1" x14ac:dyDescent="0.25">
      <c r="A5" s="27"/>
      <c r="B5" s="452" t="s">
        <v>81</v>
      </c>
      <c r="C5" s="453"/>
      <c r="D5" s="436" t="s">
        <v>0</v>
      </c>
      <c r="E5" s="436"/>
      <c r="F5" s="436"/>
      <c r="G5" s="436"/>
      <c r="H5" s="3">
        <f>(-1*Rear_Tire_Longitudinal)+Wheel_Longitudinal_Offset</f>
        <v>1576.38</v>
      </c>
      <c r="I5" s="437" t="s">
        <v>1</v>
      </c>
      <c r="J5" s="297"/>
      <c r="K5" s="27"/>
      <c r="L5" s="28"/>
      <c r="M5" s="304"/>
      <c r="N5" s="305"/>
      <c r="O5" s="305"/>
      <c r="P5" s="305"/>
      <c r="Q5" s="305"/>
      <c r="R5" s="305"/>
      <c r="S5" s="305"/>
      <c r="T5" s="305"/>
      <c r="U5" s="306"/>
      <c r="V5" s="68"/>
      <c r="W5" s="68"/>
      <c r="X5" s="68"/>
      <c r="Y5" s="68"/>
      <c r="Z5" s="6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</row>
    <row r="6" spans="1:42" ht="15" customHeight="1" thickBot="1" x14ac:dyDescent="0.3">
      <c r="A6" s="27"/>
      <c r="B6" s="452"/>
      <c r="C6" s="453"/>
      <c r="D6" s="436" t="s">
        <v>2</v>
      </c>
      <c r="E6" s="436"/>
      <c r="F6" s="436"/>
      <c r="G6" s="436"/>
      <c r="H6" s="3">
        <v>1305.8</v>
      </c>
      <c r="I6" s="437"/>
      <c r="J6" s="297"/>
      <c r="K6" s="28"/>
      <c r="L6" s="28"/>
      <c r="M6" s="307"/>
      <c r="N6" s="308"/>
      <c r="O6" s="308"/>
      <c r="P6" s="308"/>
      <c r="Q6" s="308"/>
      <c r="R6" s="308"/>
      <c r="S6" s="308"/>
      <c r="T6" s="308"/>
      <c r="U6" s="309"/>
      <c r="V6" s="68"/>
      <c r="W6" s="68"/>
      <c r="X6" s="68"/>
      <c r="Y6" s="68"/>
      <c r="Z6" s="6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</row>
    <row r="7" spans="1:42" ht="15.75" customHeight="1" x14ac:dyDescent="0.25">
      <c r="A7" s="28"/>
      <c r="B7" s="452"/>
      <c r="C7" s="453"/>
      <c r="D7" s="436" t="s">
        <v>3</v>
      </c>
      <c r="E7" s="436"/>
      <c r="F7" s="436"/>
      <c r="G7" s="436"/>
      <c r="H7" s="69">
        <f>Halftrack_Rear*2</f>
        <v>-1232.78</v>
      </c>
      <c r="I7" s="437"/>
      <c r="J7" s="297"/>
      <c r="K7" s="27"/>
      <c r="L7" s="2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</row>
    <row r="8" spans="1:42" ht="15" customHeight="1" thickBot="1" x14ac:dyDescent="0.3">
      <c r="A8" s="28"/>
      <c r="B8" s="450" t="s">
        <v>83</v>
      </c>
      <c r="C8" s="451"/>
      <c r="D8" s="451"/>
      <c r="E8" s="451"/>
      <c r="F8" s="64" t="s">
        <v>4</v>
      </c>
      <c r="G8" s="64" t="s">
        <v>5</v>
      </c>
      <c r="H8" s="64" t="s">
        <v>6</v>
      </c>
      <c r="I8" s="51"/>
      <c r="J8" s="298" t="s">
        <v>309</v>
      </c>
      <c r="K8" s="27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</row>
    <row r="9" spans="1:42" ht="15.75" customHeight="1" x14ac:dyDescent="0.25">
      <c r="A9" s="28"/>
      <c r="B9" s="448" t="s">
        <v>26</v>
      </c>
      <c r="C9" s="385" t="s">
        <v>7</v>
      </c>
      <c r="D9" s="380" t="s">
        <v>8</v>
      </c>
      <c r="E9" s="380"/>
      <c r="F9" s="4">
        <v>610</v>
      </c>
      <c r="G9" s="4">
        <v>-215</v>
      </c>
      <c r="H9" s="4">
        <v>120</v>
      </c>
      <c r="I9" s="316" t="s">
        <v>1</v>
      </c>
      <c r="J9" s="299">
        <f>F9-1000</f>
        <v>-390</v>
      </c>
      <c r="K9" s="27"/>
      <c r="L9" s="442" t="s">
        <v>80</v>
      </c>
      <c r="M9" s="443"/>
      <c r="N9" s="443"/>
      <c r="O9" s="443"/>
      <c r="P9" s="443"/>
      <c r="Q9" s="443"/>
      <c r="R9" s="444"/>
      <c r="S9" s="28"/>
      <c r="T9" s="28"/>
      <c r="U9" s="460" t="s">
        <v>71</v>
      </c>
      <c r="V9" s="461"/>
      <c r="W9" s="461"/>
      <c r="X9" s="461"/>
      <c r="Y9" s="461"/>
      <c r="Z9" s="461"/>
      <c r="AA9" s="462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</row>
    <row r="10" spans="1:42" x14ac:dyDescent="0.25">
      <c r="A10" s="28"/>
      <c r="B10" s="448"/>
      <c r="C10" s="385"/>
      <c r="D10" s="380" t="s">
        <v>9</v>
      </c>
      <c r="E10" s="380"/>
      <c r="F10" s="4">
        <v>970</v>
      </c>
      <c r="G10" s="4">
        <v>-215</v>
      </c>
      <c r="H10" s="4">
        <v>120</v>
      </c>
      <c r="I10" s="316"/>
      <c r="J10" s="299">
        <f t="shared" ref="J10:J30" si="0">F10-1000</f>
        <v>-30</v>
      </c>
      <c r="K10" s="27"/>
      <c r="L10" s="445"/>
      <c r="M10" s="446"/>
      <c r="N10" s="446"/>
      <c r="O10" s="446"/>
      <c r="P10" s="446"/>
      <c r="Q10" s="446"/>
      <c r="R10" s="447"/>
      <c r="S10" s="28"/>
      <c r="T10" s="28"/>
      <c r="U10" s="463"/>
      <c r="V10" s="464"/>
      <c r="W10" s="464"/>
      <c r="X10" s="464"/>
      <c r="Y10" s="464"/>
      <c r="Z10" s="464"/>
      <c r="AA10" s="465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</row>
    <row r="11" spans="1:42" x14ac:dyDescent="0.25">
      <c r="A11" s="28"/>
      <c r="B11" s="448"/>
      <c r="C11" s="385"/>
      <c r="D11" s="380" t="s">
        <v>10</v>
      </c>
      <c r="E11" s="380"/>
      <c r="F11" s="4">
        <v>904.91300000000001</v>
      </c>
      <c r="G11" s="4">
        <v>-610.16499999999996</v>
      </c>
      <c r="H11" s="4">
        <v>134.929</v>
      </c>
      <c r="I11" s="316"/>
      <c r="J11" s="299">
        <f t="shared" si="0"/>
        <v>-95.086999999999989</v>
      </c>
      <c r="K11" s="28"/>
      <c r="L11" s="60"/>
      <c r="M11" s="431" t="s">
        <v>25</v>
      </c>
      <c r="N11" s="432"/>
      <c r="O11" s="61" t="s">
        <v>4</v>
      </c>
      <c r="P11" s="62" t="s">
        <v>5</v>
      </c>
      <c r="Q11" s="62" t="s">
        <v>6</v>
      </c>
      <c r="R11" s="63"/>
      <c r="S11" s="28"/>
      <c r="T11" s="28"/>
      <c r="U11" s="468" t="s">
        <v>82</v>
      </c>
      <c r="V11" s="431"/>
      <c r="W11" s="431"/>
      <c r="X11" s="432"/>
      <c r="Y11" s="469" t="s">
        <v>70</v>
      </c>
      <c r="Z11" s="432"/>
      <c r="AA11" s="210" t="s">
        <v>247</v>
      </c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</row>
    <row r="12" spans="1:42" ht="15" customHeight="1" x14ac:dyDescent="0.25">
      <c r="A12" s="28"/>
      <c r="B12" s="448"/>
      <c r="C12" s="382" t="s">
        <v>11</v>
      </c>
      <c r="D12" s="387" t="s">
        <v>8</v>
      </c>
      <c r="E12" s="387"/>
      <c r="F12" s="9">
        <v>622</v>
      </c>
      <c r="G12" s="9">
        <v>-287</v>
      </c>
      <c r="H12" s="9">
        <v>336</v>
      </c>
      <c r="I12" s="332" t="s">
        <v>1</v>
      </c>
      <c r="J12" s="299">
        <f t="shared" si="0"/>
        <v>-378</v>
      </c>
      <c r="K12" s="27"/>
      <c r="L12" s="433" t="s">
        <v>26</v>
      </c>
      <c r="M12" s="333" t="s">
        <v>49</v>
      </c>
      <c r="N12" s="334"/>
      <c r="O12" s="34">
        <f t="array" ref="O12:Q12">Lower_Chassis_2D_Mount</f>
        <v>842.1</v>
      </c>
      <c r="P12" s="26">
        <v>-215</v>
      </c>
      <c r="Q12" s="26">
        <v>120</v>
      </c>
      <c r="R12" s="408" t="s">
        <v>1</v>
      </c>
      <c r="S12" s="27"/>
      <c r="T12" s="28"/>
      <c r="U12" s="433" t="s">
        <v>26</v>
      </c>
      <c r="V12" s="333" t="s">
        <v>76</v>
      </c>
      <c r="W12" s="410"/>
      <c r="X12" s="334"/>
      <c r="Y12" s="411">
        <f>SQRT(($F$11-F9)^2+($G$11-G9)^2+($H$11-H9)^2)</f>
        <v>493.30713539842498</v>
      </c>
      <c r="Z12" s="412"/>
      <c r="AA12" s="408" t="s">
        <v>1</v>
      </c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</row>
    <row r="13" spans="1:42" ht="15" customHeight="1" x14ac:dyDescent="0.25">
      <c r="A13" s="28"/>
      <c r="B13" s="448"/>
      <c r="C13" s="382"/>
      <c r="D13" s="387" t="s">
        <v>9</v>
      </c>
      <c r="E13" s="387"/>
      <c r="F13" s="9">
        <v>974</v>
      </c>
      <c r="G13" s="9">
        <v>-287</v>
      </c>
      <c r="H13" s="9">
        <v>336</v>
      </c>
      <c r="I13" s="332"/>
      <c r="J13" s="299">
        <f t="shared" si="0"/>
        <v>-26</v>
      </c>
      <c r="K13" s="27"/>
      <c r="L13" s="434"/>
      <c r="M13" s="333" t="s">
        <v>78</v>
      </c>
      <c r="N13" s="334"/>
      <c r="O13" s="34">
        <f>O12</f>
        <v>842.1</v>
      </c>
      <c r="P13" s="26">
        <f>G11</f>
        <v>-610.16499999999996</v>
      </c>
      <c r="Q13" s="26">
        <f>H11</f>
        <v>134.929</v>
      </c>
      <c r="R13" s="409"/>
      <c r="S13" s="27"/>
      <c r="T13" s="28"/>
      <c r="U13" s="434"/>
      <c r="V13" s="333" t="s">
        <v>77</v>
      </c>
      <c r="W13" s="410"/>
      <c r="X13" s="334"/>
      <c r="Y13" s="411">
        <f>SQRT(($F$11-F10)^2+($G$11-G10)^2+($H$11-H10)^2)</f>
        <v>400.76747601944942</v>
      </c>
      <c r="Z13" s="412"/>
      <c r="AA13" s="409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</row>
    <row r="14" spans="1:42" ht="17.25" customHeight="1" x14ac:dyDescent="0.25">
      <c r="A14" s="28"/>
      <c r="B14" s="448"/>
      <c r="C14" s="382"/>
      <c r="D14" s="387" t="s">
        <v>10</v>
      </c>
      <c r="E14" s="387"/>
      <c r="F14" s="9">
        <v>883.08699999999999</v>
      </c>
      <c r="G14" s="9">
        <v>-610.16200000000003</v>
      </c>
      <c r="H14" s="9">
        <v>384.35500000000002</v>
      </c>
      <c r="I14" s="332"/>
      <c r="J14" s="299">
        <f t="shared" si="0"/>
        <v>-116.91300000000001</v>
      </c>
      <c r="K14" s="27"/>
      <c r="L14" s="434"/>
      <c r="M14" s="335" t="s">
        <v>60</v>
      </c>
      <c r="N14" s="336"/>
      <c r="O14" s="5">
        <f t="array" ref="O14:Q14">Upper_Chassis_2D_Mount</f>
        <v>842.1</v>
      </c>
      <c r="P14" s="6">
        <v>-287</v>
      </c>
      <c r="Q14" s="6">
        <v>336</v>
      </c>
      <c r="R14" s="466" t="s">
        <v>1</v>
      </c>
      <c r="S14" s="27"/>
      <c r="T14" s="28"/>
      <c r="U14" s="434"/>
      <c r="V14" s="335" t="s">
        <v>74</v>
      </c>
      <c r="W14" s="345"/>
      <c r="X14" s="336"/>
      <c r="Y14" s="346">
        <f>SQRT(($F$14-F12)^2+($G$14-G12)^2+($H$14-H12)^2)</f>
        <v>418.25626813952232</v>
      </c>
      <c r="Z14" s="347"/>
      <c r="AA14" s="466" t="s">
        <v>1</v>
      </c>
      <c r="AB14" s="27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</row>
    <row r="15" spans="1:42" ht="15" customHeight="1" x14ac:dyDescent="0.25">
      <c r="A15" s="28"/>
      <c r="B15" s="448"/>
      <c r="C15" s="386" t="s">
        <v>243</v>
      </c>
      <c r="D15" s="369" t="s">
        <v>34</v>
      </c>
      <c r="E15" s="369"/>
      <c r="F15" s="2">
        <v>810.77</v>
      </c>
      <c r="G15" s="2">
        <v>-266.76</v>
      </c>
      <c r="H15" s="2">
        <v>122.39</v>
      </c>
      <c r="I15" s="317" t="s">
        <v>1</v>
      </c>
      <c r="J15" s="299">
        <f t="shared" si="0"/>
        <v>-189.23000000000002</v>
      </c>
      <c r="K15" s="27"/>
      <c r="L15" s="434"/>
      <c r="M15" s="335" t="s">
        <v>79</v>
      </c>
      <c r="N15" s="336"/>
      <c r="O15" s="5">
        <f>O12</f>
        <v>842.1</v>
      </c>
      <c r="P15" s="6">
        <f>G14</f>
        <v>-610.16200000000003</v>
      </c>
      <c r="Q15" s="6">
        <f>H14</f>
        <v>384.35500000000002</v>
      </c>
      <c r="R15" s="467"/>
      <c r="S15" s="27"/>
      <c r="T15" s="27"/>
      <c r="U15" s="434"/>
      <c r="V15" s="335" t="s">
        <v>75</v>
      </c>
      <c r="W15" s="345"/>
      <c r="X15" s="336"/>
      <c r="Y15" s="346">
        <f>SQRT(($F$14-F13)^2+($G$14-G13)^2+($H$14-H13)^2)</f>
        <v>339.17113355649832</v>
      </c>
      <c r="Z15" s="347"/>
      <c r="AA15" s="467"/>
      <c r="AB15" s="28"/>
      <c r="AC15" s="28"/>
      <c r="AD15" s="28"/>
      <c r="AE15" s="27"/>
      <c r="AF15" s="28"/>
      <c r="AG15" s="28"/>
      <c r="AH15" s="28"/>
      <c r="AI15" s="28"/>
      <c r="AJ15" s="28"/>
      <c r="AK15" s="28"/>
      <c r="AL15" s="27"/>
      <c r="AM15" s="28"/>
      <c r="AN15" s="28"/>
      <c r="AO15" s="28"/>
      <c r="AP15" s="28"/>
    </row>
    <row r="16" spans="1:42" x14ac:dyDescent="0.25">
      <c r="A16" s="27"/>
      <c r="B16" s="448"/>
      <c r="C16" s="386"/>
      <c r="D16" s="369" t="s">
        <v>35</v>
      </c>
      <c r="E16" s="369"/>
      <c r="F16" s="2">
        <v>930.99</v>
      </c>
      <c r="G16" s="2">
        <v>-155.74</v>
      </c>
      <c r="H16" s="2">
        <v>236.64</v>
      </c>
      <c r="I16" s="317"/>
      <c r="J16" s="299">
        <f t="shared" si="0"/>
        <v>-69.009999999999991</v>
      </c>
      <c r="K16" s="28"/>
      <c r="L16" s="434"/>
      <c r="M16" s="399" t="s">
        <v>33</v>
      </c>
      <c r="N16" s="400"/>
      <c r="O16" s="70">
        <f>O12</f>
        <v>842.1</v>
      </c>
      <c r="P16" s="70">
        <f>Halftrack_Front</f>
        <v>-652.9</v>
      </c>
      <c r="Q16" s="70">
        <f>Wheel_Center</f>
        <v>260.35000000000002</v>
      </c>
      <c r="R16" s="349" t="s">
        <v>1</v>
      </c>
      <c r="S16" s="28"/>
      <c r="T16" s="27"/>
      <c r="U16" s="434"/>
      <c r="V16" s="340" t="s">
        <v>72</v>
      </c>
      <c r="W16" s="341"/>
      <c r="X16" s="342"/>
      <c r="Y16" s="470">
        <f>SQRT(($F$20-F19)^2+($G$20-G19)^2+($H$20-H19)^2)</f>
        <v>404.33322454346381</v>
      </c>
      <c r="Z16" s="471"/>
      <c r="AA16" s="420" t="s">
        <v>1</v>
      </c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</row>
    <row r="17" spans="1:276" ht="15" customHeight="1" thickBot="1" x14ac:dyDescent="0.3">
      <c r="A17" s="27"/>
      <c r="B17" s="448"/>
      <c r="C17" s="386"/>
      <c r="D17" s="369" t="s">
        <v>36</v>
      </c>
      <c r="E17" s="369"/>
      <c r="F17" s="2">
        <v>895.95</v>
      </c>
      <c r="G17" s="2">
        <v>-267.63</v>
      </c>
      <c r="H17" s="2">
        <v>142.80000000000001</v>
      </c>
      <c r="I17" s="317"/>
      <c r="J17" s="299">
        <f t="shared" si="0"/>
        <v>-104.04999999999995</v>
      </c>
      <c r="K17" s="27"/>
      <c r="L17" s="434"/>
      <c r="M17" s="399" t="s">
        <v>28</v>
      </c>
      <c r="N17" s="400"/>
      <c r="O17" s="70">
        <f>O12</f>
        <v>842.1</v>
      </c>
      <c r="P17" s="70">
        <f>Halftrack_Front-((Tire_Diameter/2)*TAN(RADIANS(Static_Camber*(-1))))</f>
        <v>-648.35557384593858</v>
      </c>
      <c r="Q17" s="70">
        <f>Tire_Diameter/2</f>
        <v>260.35000000000002</v>
      </c>
      <c r="R17" s="350"/>
      <c r="S17" s="27"/>
      <c r="T17" s="27"/>
      <c r="U17" s="435"/>
      <c r="V17" s="370" t="s">
        <v>73</v>
      </c>
      <c r="W17" s="371"/>
      <c r="X17" s="372"/>
      <c r="Y17" s="415">
        <f>SQRT(($F$21-F22)^2+($G$21-G22)^2+($H$21-H22)^2)</f>
        <v>443.3614036268832</v>
      </c>
      <c r="Z17" s="416"/>
      <c r="AA17" s="421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</row>
    <row r="18" spans="1:276" x14ac:dyDescent="0.25">
      <c r="A18" s="27"/>
      <c r="B18" s="448"/>
      <c r="C18" s="386"/>
      <c r="D18" s="369" t="s">
        <v>13</v>
      </c>
      <c r="E18" s="369"/>
      <c r="F18" s="2">
        <v>650</v>
      </c>
      <c r="G18" s="2">
        <v>-260</v>
      </c>
      <c r="H18" s="2">
        <v>285</v>
      </c>
      <c r="I18" s="317"/>
      <c r="J18" s="299">
        <f t="shared" si="0"/>
        <v>-350</v>
      </c>
      <c r="K18" s="27"/>
      <c r="L18" s="434"/>
      <c r="M18" s="401" t="s">
        <v>89</v>
      </c>
      <c r="N18" s="402"/>
      <c r="O18" s="7">
        <f>O12</f>
        <v>842.1</v>
      </c>
      <c r="P18" s="8">
        <f>(((P15*Q14)-(Q15*P14))*(P13-P12)-(P15-P14)*((P13*Q12)-(Q13*P12)))/((P15-P14)*(Q13-Q12)-(Q15-Q14)*(P13-P12))</f>
        <v>1619.8099937985069</v>
      </c>
      <c r="Q18" s="8">
        <f>(((P15*Q14)-(Q15*P14))*(Q13-Q12)-(Q15-Q14)*((P13*Q12)-(Q13*P12)))/((P15-P14)*(Q13-Q12)-(Q15-Q14)*(P13-P12))</f>
        <v>50.682427853129909</v>
      </c>
      <c r="R18" s="417" t="s">
        <v>1</v>
      </c>
      <c r="S18" s="27"/>
      <c r="T18" s="27"/>
      <c r="U18" s="357" t="s">
        <v>84</v>
      </c>
      <c r="V18" s="333" t="s">
        <v>76</v>
      </c>
      <c r="W18" s="410"/>
      <c r="X18" s="334"/>
      <c r="Y18" s="411">
        <f>SQRT(($F$34-F32)^2+($G$34-G32)^2+($H$34-H32)^2)</f>
        <v>371.08232361566343</v>
      </c>
      <c r="Z18" s="412"/>
      <c r="AA18" s="408" t="s">
        <v>1</v>
      </c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</row>
    <row r="19" spans="1:276" ht="15" customHeight="1" x14ac:dyDescent="0.25">
      <c r="A19" s="27"/>
      <c r="B19" s="448"/>
      <c r="C19" s="386"/>
      <c r="D19" s="369" t="s">
        <v>37</v>
      </c>
      <c r="E19" s="369"/>
      <c r="F19" s="2">
        <v>858.09</v>
      </c>
      <c r="G19" s="2">
        <v>-230.39</v>
      </c>
      <c r="H19" s="2">
        <v>129.53</v>
      </c>
      <c r="I19" s="317"/>
      <c r="J19" s="299">
        <f t="shared" si="0"/>
        <v>-141.90999999999997</v>
      </c>
      <c r="K19" s="27"/>
      <c r="L19" s="434"/>
      <c r="M19" s="401" t="s">
        <v>29</v>
      </c>
      <c r="N19" s="402"/>
      <c r="O19" s="7">
        <f>O12</f>
        <v>842.1</v>
      </c>
      <c r="P19" s="7">
        <v>0</v>
      </c>
      <c r="Q19" s="8">
        <f>0-((Instant_Center_Height-0)/(Instant_Center_Offset-Wheel_Centerline_Axis))*(Wheel_Centerline_Axis)</f>
        <v>14.559955839329252</v>
      </c>
      <c r="R19" s="418"/>
      <c r="S19" s="27"/>
      <c r="T19" s="28"/>
      <c r="U19" s="358"/>
      <c r="V19" s="333" t="s">
        <v>77</v>
      </c>
      <c r="W19" s="410"/>
      <c r="X19" s="334"/>
      <c r="Y19" s="411">
        <f>SQRT(($F$34-F33)^2+($G$34-G33)^2+($H$34-H33)^2)</f>
        <v>418.9766882536544</v>
      </c>
      <c r="Z19" s="412"/>
      <c r="AA19" s="409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</row>
    <row r="20" spans="1:276" x14ac:dyDescent="0.25">
      <c r="A20" s="27"/>
      <c r="B20" s="448"/>
      <c r="C20" s="386"/>
      <c r="D20" s="369" t="s">
        <v>12</v>
      </c>
      <c r="E20" s="369"/>
      <c r="F20" s="2">
        <v>883.18311399000004</v>
      </c>
      <c r="G20" s="2">
        <v>-565.64</v>
      </c>
      <c r="H20" s="2">
        <v>354.17</v>
      </c>
      <c r="I20" s="317"/>
      <c r="J20" s="299">
        <f t="shared" si="0"/>
        <v>-116.81688600999996</v>
      </c>
      <c r="K20" s="27"/>
      <c r="L20" s="434"/>
      <c r="M20" s="388" t="s">
        <v>31</v>
      </c>
      <c r="N20" s="389"/>
      <c r="O20" s="390"/>
      <c r="P20" s="391">
        <f xml:space="preserve"> Wheel_Centerline_Axis-Instant_Center_Offset</f>
        <v>-2272.7099937985067</v>
      </c>
      <c r="Q20" s="392"/>
      <c r="R20" s="419"/>
      <c r="S20" s="27"/>
      <c r="T20" s="27"/>
      <c r="U20" s="358"/>
      <c r="V20" s="335" t="s">
        <v>74</v>
      </c>
      <c r="W20" s="345"/>
      <c r="X20" s="336"/>
      <c r="Y20" s="346">
        <f>SQRT(($F$37-F35)^2+($G$37-G35)^2+($H$37-H35)^2)</f>
        <v>277.92981308236796</v>
      </c>
      <c r="Z20" s="347"/>
      <c r="AA20" s="466" t="s">
        <v>1</v>
      </c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JP20" s="259"/>
    </row>
    <row r="21" spans="1:276" ht="15" customHeight="1" x14ac:dyDescent="0.25">
      <c r="A21" s="28"/>
      <c r="B21" s="448"/>
      <c r="C21" s="441" t="s">
        <v>14</v>
      </c>
      <c r="D21" s="383" t="s">
        <v>15</v>
      </c>
      <c r="E21" s="383"/>
      <c r="F21" s="1">
        <v>835.721</v>
      </c>
      <c r="G21" s="1">
        <f>-628.711</f>
        <v>-628.71100000000001</v>
      </c>
      <c r="H21" s="1">
        <v>168.28800000000001</v>
      </c>
      <c r="I21" s="348" t="s">
        <v>1</v>
      </c>
      <c r="J21" s="299">
        <f t="shared" si="0"/>
        <v>-164.279</v>
      </c>
      <c r="K21" s="28"/>
      <c r="L21" s="434"/>
      <c r="M21" s="388" t="s">
        <v>30</v>
      </c>
      <c r="N21" s="389"/>
      <c r="O21" s="390"/>
      <c r="P21" s="391">
        <f>IF(Instant_Center_Height&lt;=Wheel_Center,((ATAN((Wheel_Center-Instant_Center_Height)/(Wheel_Centerline_Axis-Instant_Center_Offset)))*(180/PI())*(-1)),(ATAN((Instant_Center_Height)/(Wheel_Centerline_Axis-Instant_Center_Offset)))*(180/PI()))</f>
        <v>5.2708701979979216</v>
      </c>
      <c r="Q21" s="392"/>
      <c r="R21" s="417" t="s">
        <v>23</v>
      </c>
      <c r="S21" s="28"/>
      <c r="T21" s="27"/>
      <c r="U21" s="358"/>
      <c r="V21" s="335" t="s">
        <v>75</v>
      </c>
      <c r="W21" s="345"/>
      <c r="X21" s="336"/>
      <c r="Y21" s="346">
        <f>SQRT(($F$37-F36)^2+($G$37-G36)^2+($H$37-H36)^2)</f>
        <v>353.22496641658842</v>
      </c>
      <c r="Z21" s="347"/>
      <c r="AA21" s="467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</row>
    <row r="22" spans="1:276" x14ac:dyDescent="0.25">
      <c r="A22" s="28"/>
      <c r="B22" s="448"/>
      <c r="C22" s="441"/>
      <c r="D22" s="383" t="s">
        <v>16</v>
      </c>
      <c r="E22" s="383"/>
      <c r="F22" s="1">
        <v>737.96</v>
      </c>
      <c r="G22" s="1">
        <v>-197.67</v>
      </c>
      <c r="H22" s="1">
        <v>133.41999999999999</v>
      </c>
      <c r="I22" s="348"/>
      <c r="J22" s="299">
        <f t="shared" si="0"/>
        <v>-262.03999999999996</v>
      </c>
      <c r="K22" s="27"/>
      <c r="L22" s="434"/>
      <c r="M22" s="388" t="s">
        <v>32</v>
      </c>
      <c r="N22" s="389"/>
      <c r="O22" s="390"/>
      <c r="P22" s="413">
        <f>(ATAN((P13-P15)/(Q15-Q13)))*(180/PI())</f>
        <v>-6.8913160026177599E-4</v>
      </c>
      <c r="Q22" s="414"/>
      <c r="R22" s="419"/>
      <c r="S22" s="27"/>
      <c r="T22" s="27"/>
      <c r="U22" s="358"/>
      <c r="V22" s="340" t="s">
        <v>72</v>
      </c>
      <c r="W22" s="341"/>
      <c r="X22" s="342"/>
      <c r="Y22" s="343">
        <f>SQRT(($F$43-F42)^2+($G$43-G42)^2+($H$43-H42)^2)</f>
        <v>287.78442296274477</v>
      </c>
      <c r="Z22" s="344"/>
      <c r="AA22" s="420" t="s">
        <v>1</v>
      </c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</row>
    <row r="23" spans="1:276" ht="15.75" thickBot="1" x14ac:dyDescent="0.3">
      <c r="A23" s="28"/>
      <c r="B23" s="448"/>
      <c r="C23" s="441"/>
      <c r="D23" s="383" t="s">
        <v>17</v>
      </c>
      <c r="E23" s="383"/>
      <c r="F23" s="1">
        <v>737.96</v>
      </c>
      <c r="G23" s="1">
        <v>0</v>
      </c>
      <c r="H23" s="1">
        <v>133.41999999999999</v>
      </c>
      <c r="I23" s="348"/>
      <c r="J23" s="299">
        <f t="shared" si="0"/>
        <v>-262.03999999999996</v>
      </c>
      <c r="K23" s="27"/>
      <c r="L23" s="434"/>
      <c r="M23" s="388" t="s">
        <v>27</v>
      </c>
      <c r="N23" s="389"/>
      <c r="O23" s="390"/>
      <c r="P23" s="413">
        <f>Wheel_Centerline_Axis-(((P13*((((P15*Q13)-(Q15*P13))*(Wheel_Center-0)-(Q15-Q13)*((Wheel_Centerline_Axis*0)-(Wheel_Center*Wheel_Centerline_Axis)))/((P15-P13)*(Wheel_Center-0)-(Q15-Q13)*(Wheel_Centerline_Axis-Wheel_Centerline_Axis))))-(Q13*Wheel_Centerline_Axis))*(Wheel_Centerline_Axis)-(P13-((((P15*Q13)-(Q15*P13))*(Wheel_Center-0)-(Q15-Q13)*((Wheel_Centerline_Axis*0)-(Wheel_Center*Wheel_Centerline_Axis)))/((P15-P13)*(Wheel_Center-0)-(Q15-Q13)*(Wheel_Centerline_Axis-Wheel_Centerline_Axis))))*(0))/((P13-Wheel_Centerline_Axis)*(0)-(Q13-((((P15*Q13)-(Q15*P13))*(Wheel_Center-0)-(Q15-Q13)*((Wheel_Centerline_Axis*0)-(Wheel_Center*Wheel_Centerline_Axis)))/((P15-P13)*(Wheel_Center-0)-(Q15-Q13)*(Wheel_Centerline_Axis-Wheel_Centerline_Axis))))*(Wheel_Centerline_Axis-0))</f>
        <v>-42.73337712588102</v>
      </c>
      <c r="Q23" s="414"/>
      <c r="R23" s="52" t="s">
        <v>1</v>
      </c>
      <c r="S23" s="27"/>
      <c r="T23" s="27"/>
      <c r="U23" s="359"/>
      <c r="V23" s="370" t="s">
        <v>246</v>
      </c>
      <c r="W23" s="371"/>
      <c r="X23" s="372"/>
      <c r="Y23" s="355">
        <f>SQRT(($F$45-F44)^2+($G$45-G44)^2+($H$45-H44)^2)</f>
        <v>353.28119749004475</v>
      </c>
      <c r="Z23" s="356"/>
      <c r="AA23" s="421"/>
      <c r="AB23" s="28"/>
      <c r="AC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</row>
    <row r="24" spans="1:276" ht="15" customHeight="1" x14ac:dyDescent="0.25">
      <c r="A24" s="28"/>
      <c r="B24" s="448"/>
      <c r="C24" s="393" t="s">
        <v>68</v>
      </c>
      <c r="D24" s="351" t="s">
        <v>313</v>
      </c>
      <c r="E24" s="352"/>
      <c r="F24" s="310">
        <v>842.1</v>
      </c>
      <c r="G24" s="311"/>
      <c r="H24" s="312"/>
      <c r="I24" s="313" t="s">
        <v>1</v>
      </c>
      <c r="J24" s="299">
        <f t="shared" si="0"/>
        <v>-157.89999999999998</v>
      </c>
      <c r="K24" s="27"/>
      <c r="L24" s="434"/>
      <c r="M24" s="326" t="s">
        <v>88</v>
      </c>
      <c r="N24" s="327"/>
      <c r="O24" s="50" t="e">
        <f>(((F13*H12)-(H13*F12))*(F10-F9)-(F13-F12)*((F10*H9)-(H10*F9)))/((F13-F12)*(H10-H9)-(H13-H12)*(F10-F9))</f>
        <v>#DIV/0!</v>
      </c>
      <c r="P24" s="49">
        <f>Halftrack_Front</f>
        <v>-652.9</v>
      </c>
      <c r="Q24" s="50" t="e">
        <f>(((F13*H12)-(H13*F12))*(H10-H9)-(H13-H12)*((F10*H9)-(H10*F9)))/((F13-F12)*(H10-H9)-(H13-H12)*(F10-F9))</f>
        <v>#DIV/0!</v>
      </c>
      <c r="R24" s="364" t="s">
        <v>1</v>
      </c>
      <c r="S24" s="27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</row>
    <row r="25" spans="1:276" x14ac:dyDescent="0.25">
      <c r="A25" s="28"/>
      <c r="B25" s="448"/>
      <c r="C25" s="393"/>
      <c r="D25" s="353" t="s">
        <v>18</v>
      </c>
      <c r="E25" s="354"/>
      <c r="F25" s="310">
        <f>-Front_Track/2</f>
        <v>-652.9</v>
      </c>
      <c r="G25" s="311"/>
      <c r="H25" s="312"/>
      <c r="I25" s="313"/>
      <c r="J25" s="299"/>
      <c r="K25" s="27"/>
      <c r="L25" s="434"/>
      <c r="M25" s="326" t="s">
        <v>65</v>
      </c>
      <c r="N25" s="373"/>
      <c r="O25" s="327"/>
      <c r="P25" s="367" t="e">
        <f>Wheel_Longitudinal_Offset-Front_SV_InstantCenter_X</f>
        <v>#DIV/0!</v>
      </c>
      <c r="Q25" s="368"/>
      <c r="R25" s="365"/>
      <c r="S25" s="27"/>
      <c r="T25" s="27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</row>
    <row r="26" spans="1:276" x14ac:dyDescent="0.25">
      <c r="A26" s="28"/>
      <c r="B26" s="448"/>
      <c r="C26" s="393"/>
      <c r="D26" s="351" t="s">
        <v>69</v>
      </c>
      <c r="E26" s="352"/>
      <c r="F26" s="310">
        <v>24</v>
      </c>
      <c r="G26" s="311"/>
      <c r="H26" s="312"/>
      <c r="I26" s="313"/>
      <c r="J26" s="299">
        <f t="shared" si="0"/>
        <v>-976</v>
      </c>
      <c r="K26" s="28"/>
      <c r="L26" s="434"/>
      <c r="M26" s="326" t="s">
        <v>64</v>
      </c>
      <c r="N26" s="373"/>
      <c r="O26" s="327"/>
      <c r="P26" s="362" t="e">
        <f>IF(Front_SV_InstantCenter_Z&lt;=Wheel_Center,(ATAN((Wheel_Center-Front_SV_InstantCenter_Z)/(Front_SV_InstantCenter_X)))*(180/PI()),(ATAN((Front_SV_InstantCenter_Z-Wheel_Center)/(Front_SV_InstantCenter_X)))*(-180/PI()))</f>
        <v>#DIV/0!</v>
      </c>
      <c r="Q26" s="363"/>
      <c r="R26" s="339" t="s">
        <v>23</v>
      </c>
      <c r="S26" s="28"/>
      <c r="T26" s="27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</row>
    <row r="27" spans="1:276" x14ac:dyDescent="0.25">
      <c r="A27" s="28"/>
      <c r="B27" s="448"/>
      <c r="C27" s="393"/>
      <c r="D27" s="353" t="s">
        <v>19</v>
      </c>
      <c r="E27" s="354"/>
      <c r="F27" s="310">
        <v>330</v>
      </c>
      <c r="G27" s="311"/>
      <c r="H27" s="312"/>
      <c r="I27" s="313"/>
      <c r="J27" s="299">
        <f t="shared" si="0"/>
        <v>-670</v>
      </c>
      <c r="K27" s="27"/>
      <c r="L27" s="434"/>
      <c r="M27" s="326" t="s">
        <v>248</v>
      </c>
      <c r="N27" s="373"/>
      <c r="O27" s="327"/>
      <c r="P27" s="360">
        <f>(ATAN((F14-O16)/(H14-Q16)))*(-180/PI())</f>
        <v>-18.290114980946417</v>
      </c>
      <c r="Q27" s="361"/>
      <c r="R27" s="366"/>
      <c r="S27" s="28"/>
      <c r="T27" s="27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</row>
    <row r="28" spans="1:276" ht="15.75" thickBot="1" x14ac:dyDescent="0.3">
      <c r="A28" s="28"/>
      <c r="B28" s="448"/>
      <c r="C28" s="393"/>
      <c r="D28" s="353" t="s">
        <v>20</v>
      </c>
      <c r="E28" s="354"/>
      <c r="F28" s="310">
        <v>520.70000000000005</v>
      </c>
      <c r="G28" s="311"/>
      <c r="H28" s="312"/>
      <c r="I28" s="313"/>
      <c r="J28" s="299">
        <f t="shared" si="0"/>
        <v>-479.29999999999995</v>
      </c>
      <c r="K28" s="27"/>
      <c r="L28" s="435"/>
      <c r="M28" s="454" t="s">
        <v>67</v>
      </c>
      <c r="N28" s="455"/>
      <c r="O28" s="456"/>
      <c r="P28" s="457">
        <f>(((F14*H11)-(H14*F11))*(O16-0)-(F14-F11)*((O16*0)-(0*0)))/((F14-F11)*(0)-(H14-H11)*(O16-0))-O16</f>
        <v>74.619950173598568</v>
      </c>
      <c r="Q28" s="458"/>
      <c r="R28" s="53" t="s">
        <v>1</v>
      </c>
      <c r="S28" s="28"/>
      <c r="T28" s="27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</row>
    <row r="29" spans="1:276" x14ac:dyDescent="0.25">
      <c r="A29" s="28"/>
      <c r="B29" s="448"/>
      <c r="C29" s="393"/>
      <c r="D29" s="353" t="s">
        <v>21</v>
      </c>
      <c r="E29" s="354"/>
      <c r="F29" s="310">
        <v>177.8</v>
      </c>
      <c r="G29" s="311"/>
      <c r="H29" s="312"/>
      <c r="I29" s="313"/>
      <c r="J29" s="299">
        <f t="shared" si="0"/>
        <v>-822.2</v>
      </c>
      <c r="K29" s="27"/>
      <c r="L29" s="72"/>
      <c r="M29" s="72"/>
      <c r="N29" s="72"/>
      <c r="O29" s="72"/>
      <c r="P29" s="72"/>
      <c r="Q29" s="72"/>
      <c r="R29" s="72"/>
      <c r="S29" s="28"/>
      <c r="T29" s="28"/>
      <c r="U29" s="28"/>
      <c r="V29" s="28"/>
      <c r="W29" s="28"/>
      <c r="X29" s="28"/>
      <c r="Y29" s="28"/>
      <c r="Z29" s="28"/>
      <c r="AA29" s="28"/>
      <c r="AB29" s="6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</row>
    <row r="30" spans="1:276" x14ac:dyDescent="0.25">
      <c r="A30" s="28"/>
      <c r="B30" s="448"/>
      <c r="C30" s="393"/>
      <c r="D30" s="353" t="s">
        <v>22</v>
      </c>
      <c r="E30" s="354"/>
      <c r="F30" s="322">
        <v>1</v>
      </c>
      <c r="G30" s="323"/>
      <c r="H30" s="324"/>
      <c r="I30" s="313" t="s">
        <v>23</v>
      </c>
      <c r="J30" s="299">
        <f t="shared" si="0"/>
        <v>-999</v>
      </c>
      <c r="K30" s="27"/>
      <c r="L30" s="68"/>
      <c r="M30" s="65"/>
      <c r="N30" s="68"/>
      <c r="O30" s="68"/>
      <c r="P30" s="68"/>
      <c r="Q30" s="68"/>
      <c r="R30" s="68"/>
      <c r="S30" s="27"/>
      <c r="T30" s="28"/>
      <c r="U30" s="28"/>
      <c r="V30" s="28"/>
      <c r="W30" s="28"/>
      <c r="X30" s="28"/>
      <c r="Y30" s="28"/>
      <c r="Z30" s="28"/>
      <c r="AA30" s="28"/>
      <c r="AB30" s="6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</row>
    <row r="31" spans="1:276" ht="15.75" thickBot="1" x14ac:dyDescent="0.3">
      <c r="A31" s="28"/>
      <c r="B31" s="449"/>
      <c r="C31" s="459"/>
      <c r="D31" s="374" t="s">
        <v>24</v>
      </c>
      <c r="E31" s="375"/>
      <c r="F31" s="376">
        <v>0</v>
      </c>
      <c r="G31" s="377"/>
      <c r="H31" s="378"/>
      <c r="I31" s="339"/>
      <c r="J31" s="299"/>
      <c r="K31" s="27"/>
      <c r="L31" s="73"/>
      <c r="M31" s="73"/>
      <c r="N31" s="73"/>
      <c r="O31" s="73"/>
      <c r="P31" s="73"/>
      <c r="Q31" s="73"/>
      <c r="R31" s="73"/>
      <c r="S31" s="28"/>
      <c r="T31" s="28"/>
      <c r="U31" s="28"/>
      <c r="V31" s="28"/>
      <c r="W31" s="28"/>
      <c r="X31" s="28"/>
      <c r="Y31" s="28"/>
      <c r="Z31" s="28"/>
      <c r="AA31" s="28"/>
      <c r="AB31" s="6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</row>
    <row r="32" spans="1:276" ht="15" customHeight="1" x14ac:dyDescent="0.25">
      <c r="A32" s="28"/>
      <c r="B32" s="422" t="s">
        <v>84</v>
      </c>
      <c r="C32" s="384" t="s">
        <v>7</v>
      </c>
      <c r="D32" s="381" t="s">
        <v>8</v>
      </c>
      <c r="E32" s="381"/>
      <c r="F32" s="66">
        <v>-710.16</v>
      </c>
      <c r="G32" s="66">
        <v>-231.13</v>
      </c>
      <c r="H32" s="66">
        <v>128.78</v>
      </c>
      <c r="I32" s="315" t="s">
        <v>1</v>
      </c>
      <c r="J32" s="299">
        <f>F32 - 1000</f>
        <v>-1710.1599999999999</v>
      </c>
      <c r="K32" s="27"/>
      <c r="L32" s="442" t="s">
        <v>85</v>
      </c>
      <c r="M32" s="443"/>
      <c r="N32" s="443"/>
      <c r="O32" s="443"/>
      <c r="P32" s="443"/>
      <c r="Q32" s="443"/>
      <c r="R32" s="444"/>
      <c r="S32" s="28"/>
      <c r="T32" s="28"/>
      <c r="U32" s="28"/>
      <c r="V32" s="27"/>
      <c r="W32" s="28"/>
      <c r="X32" s="28"/>
      <c r="Y32" s="28"/>
      <c r="Z32" s="27"/>
      <c r="AA32" s="28"/>
      <c r="AB32" s="6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</row>
    <row r="33" spans="1:42" ht="15" customHeight="1" x14ac:dyDescent="0.25">
      <c r="A33" s="28"/>
      <c r="B33" s="423"/>
      <c r="C33" s="385"/>
      <c r="D33" s="380" t="s">
        <v>9</v>
      </c>
      <c r="E33" s="380"/>
      <c r="F33" s="4">
        <v>-470.62</v>
      </c>
      <c r="G33" s="4">
        <v>-302.72000000000003</v>
      </c>
      <c r="H33" s="4">
        <v>133.81</v>
      </c>
      <c r="I33" s="316"/>
      <c r="J33" s="299">
        <f t="shared" ref="J33:J45" si="1">F33 - 1000</f>
        <v>-1470.62</v>
      </c>
      <c r="K33" s="27"/>
      <c r="L33" s="445"/>
      <c r="M33" s="446"/>
      <c r="N33" s="446"/>
      <c r="O33" s="446"/>
      <c r="P33" s="446"/>
      <c r="Q33" s="446"/>
      <c r="R33" s="447"/>
      <c r="S33" s="28"/>
      <c r="T33" s="28"/>
      <c r="U33" s="28"/>
      <c r="V33" s="28"/>
      <c r="W33" s="28"/>
      <c r="X33" s="28"/>
      <c r="Y33" s="28"/>
      <c r="Z33" s="28"/>
      <c r="AA33" s="28"/>
      <c r="AB33" s="6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</row>
    <row r="34" spans="1:42" x14ac:dyDescent="0.25">
      <c r="A34" s="28"/>
      <c r="B34" s="423"/>
      <c r="C34" s="385"/>
      <c r="D34" s="380" t="s">
        <v>10</v>
      </c>
      <c r="E34" s="380"/>
      <c r="F34" s="4">
        <v>-768.28</v>
      </c>
      <c r="G34" s="4">
        <v>-594.91</v>
      </c>
      <c r="H34" s="4">
        <v>173.37</v>
      </c>
      <c r="I34" s="316"/>
      <c r="J34" s="299">
        <f t="shared" si="1"/>
        <v>-1768.28</v>
      </c>
      <c r="K34" s="27"/>
      <c r="L34" s="60"/>
      <c r="M34" s="431" t="s">
        <v>25</v>
      </c>
      <c r="N34" s="432"/>
      <c r="O34" s="195" t="s">
        <v>4</v>
      </c>
      <c r="P34" s="196" t="s">
        <v>5</v>
      </c>
      <c r="Q34" s="196" t="s">
        <v>6</v>
      </c>
      <c r="R34" s="63"/>
      <c r="S34" s="28"/>
      <c r="T34" s="28"/>
      <c r="U34" s="28"/>
      <c r="V34" s="28"/>
      <c r="W34" s="28"/>
      <c r="X34" s="28"/>
      <c r="Y34" s="28"/>
      <c r="Z34" s="28"/>
      <c r="AA34" s="28"/>
      <c r="AB34" s="68"/>
      <c r="AC34" s="28"/>
      <c r="AD34" s="28"/>
      <c r="AE34" s="28"/>
      <c r="AF34" s="28"/>
      <c r="AG34" s="28"/>
      <c r="AH34" s="28"/>
      <c r="AI34" s="28"/>
      <c r="AJ34" s="28"/>
      <c r="AK34" s="28"/>
      <c r="AL34" s="27"/>
      <c r="AM34" s="28"/>
      <c r="AN34" s="28"/>
      <c r="AO34" s="28"/>
      <c r="AP34" s="28"/>
    </row>
    <row r="35" spans="1:42" ht="15" customHeight="1" x14ac:dyDescent="0.25">
      <c r="A35" s="28"/>
      <c r="B35" s="423"/>
      <c r="C35" s="382" t="s">
        <v>11</v>
      </c>
      <c r="D35" s="387" t="s">
        <v>8</v>
      </c>
      <c r="E35" s="387"/>
      <c r="F35" s="9">
        <v>-709.22</v>
      </c>
      <c r="G35" s="9">
        <v>-287.60000000000002</v>
      </c>
      <c r="H35" s="9">
        <v>298.79000000000002</v>
      </c>
      <c r="I35" s="332" t="s">
        <v>1</v>
      </c>
      <c r="J35" s="299">
        <f t="shared" si="1"/>
        <v>-1709.22</v>
      </c>
      <c r="K35" s="27"/>
      <c r="L35" s="357" t="s">
        <v>84</v>
      </c>
      <c r="M35" s="333" t="s">
        <v>49</v>
      </c>
      <c r="N35" s="334"/>
      <c r="O35" s="34">
        <f t="array" ref="O35:Q35">Math!E26:G26</f>
        <v>-734.28</v>
      </c>
      <c r="P35" s="26">
        <v>-223.92138849461469</v>
      </c>
      <c r="Q35" s="26">
        <v>128.27351423561828</v>
      </c>
      <c r="R35" s="406" t="s">
        <v>1</v>
      </c>
      <c r="S35" s="28"/>
      <c r="T35" s="28"/>
      <c r="U35" s="28"/>
      <c r="V35" s="28"/>
      <c r="W35" s="28"/>
      <c r="X35" s="28"/>
      <c r="Y35" s="28"/>
      <c r="Z35" s="28"/>
      <c r="AA35" s="28"/>
      <c r="AB35" s="6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</row>
    <row r="36" spans="1:42" x14ac:dyDescent="0.25">
      <c r="A36" s="27"/>
      <c r="B36" s="423"/>
      <c r="C36" s="382"/>
      <c r="D36" s="387" t="s">
        <v>9</v>
      </c>
      <c r="E36" s="387"/>
      <c r="F36" s="9">
        <v>-471.39</v>
      </c>
      <c r="G36" s="9">
        <v>-327.55</v>
      </c>
      <c r="H36" s="9">
        <v>307.42</v>
      </c>
      <c r="I36" s="332"/>
      <c r="J36" s="299">
        <f t="shared" si="1"/>
        <v>-1471.3899999999999</v>
      </c>
      <c r="K36" s="28"/>
      <c r="L36" s="358"/>
      <c r="M36" s="333" t="s">
        <v>78</v>
      </c>
      <c r="N36" s="334"/>
      <c r="O36" s="34">
        <f>O35</f>
        <v>-734.28</v>
      </c>
      <c r="P36" s="26">
        <f>G34</f>
        <v>-594.91</v>
      </c>
      <c r="Q36" s="26">
        <f>H34</f>
        <v>173.37</v>
      </c>
      <c r="R36" s="407"/>
      <c r="S36" s="28"/>
      <c r="T36" s="28"/>
      <c r="U36" s="68"/>
      <c r="V36" s="68"/>
      <c r="W36" s="68"/>
      <c r="X36" s="68"/>
      <c r="Y36" s="68"/>
      <c r="Z36" s="68"/>
      <c r="AA36" s="68"/>
      <c r="AB36" s="68"/>
      <c r="AC36" s="28"/>
      <c r="AD36" s="28"/>
      <c r="AE36" s="27"/>
      <c r="AF36" s="27"/>
      <c r="AG36" s="28"/>
      <c r="AH36" s="28"/>
      <c r="AI36" s="28"/>
      <c r="AJ36" s="28"/>
      <c r="AK36" s="28"/>
      <c r="AL36" s="28"/>
      <c r="AM36" s="28"/>
      <c r="AN36" s="28"/>
      <c r="AO36" s="28"/>
      <c r="AP36" s="28"/>
    </row>
    <row r="37" spans="1:42" ht="15" customHeight="1" x14ac:dyDescent="0.25">
      <c r="A37" s="27"/>
      <c r="B37" s="423"/>
      <c r="C37" s="382"/>
      <c r="D37" s="387" t="s">
        <v>10</v>
      </c>
      <c r="E37" s="387"/>
      <c r="F37" s="9">
        <v>-734.26</v>
      </c>
      <c r="G37" s="9">
        <v>-559.35</v>
      </c>
      <c r="H37" s="9">
        <v>351.42</v>
      </c>
      <c r="I37" s="332"/>
      <c r="J37" s="299">
        <f t="shared" si="1"/>
        <v>-1734.26</v>
      </c>
      <c r="K37" s="27"/>
      <c r="L37" s="358"/>
      <c r="M37" s="335" t="s">
        <v>60</v>
      </c>
      <c r="N37" s="336"/>
      <c r="O37" s="5">
        <f t="array" ref="O37:Q37">Math!E32:G32</f>
        <v>-734.28</v>
      </c>
      <c r="P37" s="6">
        <v>-283.39049320943536</v>
      </c>
      <c r="Q37" s="6">
        <v>297.88066223773285</v>
      </c>
      <c r="R37" s="337" t="s">
        <v>1</v>
      </c>
      <c r="S37" s="28"/>
      <c r="T37" s="28"/>
      <c r="U37" s="68"/>
      <c r="V37" s="68"/>
      <c r="W37" s="68"/>
      <c r="X37" s="68"/>
      <c r="Y37" s="68"/>
      <c r="Z37" s="68"/>
      <c r="AA37" s="68"/>
      <c r="AB37" s="6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</row>
    <row r="38" spans="1:42" ht="15" customHeight="1" x14ac:dyDescent="0.25">
      <c r="A38" s="27"/>
      <c r="B38" s="423"/>
      <c r="C38" s="386" t="s">
        <v>243</v>
      </c>
      <c r="D38" s="369" t="s">
        <v>34</v>
      </c>
      <c r="E38" s="369"/>
      <c r="F38" s="2">
        <v>-548.14</v>
      </c>
      <c r="G38" s="2">
        <v>-275.91000000000003</v>
      </c>
      <c r="H38" s="2">
        <v>160.69</v>
      </c>
      <c r="I38" s="317" t="s">
        <v>1</v>
      </c>
      <c r="J38" s="299">
        <f t="shared" si="1"/>
        <v>-1548.1399999999999</v>
      </c>
      <c r="K38" s="27"/>
      <c r="L38" s="358"/>
      <c r="M38" s="335" t="s">
        <v>79</v>
      </c>
      <c r="N38" s="336"/>
      <c r="O38" s="5">
        <f>O35</f>
        <v>-734.28</v>
      </c>
      <c r="P38" s="6">
        <f>G37</f>
        <v>-559.35</v>
      </c>
      <c r="Q38" s="6">
        <f>H37</f>
        <v>351.42</v>
      </c>
      <c r="R38" s="338"/>
      <c r="S38" s="28"/>
      <c r="T38" s="28"/>
      <c r="U38" s="68"/>
      <c r="V38" s="68"/>
      <c r="W38" s="68"/>
      <c r="X38" s="68"/>
      <c r="Y38" s="68"/>
      <c r="Z38" s="68"/>
      <c r="AA38" s="68"/>
      <c r="AB38" s="6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</row>
    <row r="39" spans="1:42" ht="15" customHeight="1" x14ac:dyDescent="0.25">
      <c r="A39" s="27"/>
      <c r="B39" s="423"/>
      <c r="C39" s="386"/>
      <c r="D39" s="369" t="s">
        <v>35</v>
      </c>
      <c r="E39" s="369"/>
      <c r="F39" s="2">
        <v>-551.85</v>
      </c>
      <c r="G39" s="2">
        <v>-266</v>
      </c>
      <c r="H39" s="2">
        <v>171.78</v>
      </c>
      <c r="I39" s="317"/>
      <c r="J39" s="299">
        <f t="shared" si="1"/>
        <v>-1551.85</v>
      </c>
      <c r="K39" s="27"/>
      <c r="L39" s="358"/>
      <c r="M39" s="399" t="s">
        <v>33</v>
      </c>
      <c r="N39" s="400"/>
      <c r="O39" s="70">
        <f>O35</f>
        <v>-734.28</v>
      </c>
      <c r="P39" s="70">
        <f>Halftrack_Rear</f>
        <v>-616.39</v>
      </c>
      <c r="Q39" s="70">
        <f>Rear_Wheel_Center</f>
        <v>260.35000000000002</v>
      </c>
      <c r="R39" s="397" t="s">
        <v>1</v>
      </c>
      <c r="S39" s="28"/>
      <c r="T39" s="28"/>
      <c r="U39" s="68"/>
      <c r="V39" s="68"/>
      <c r="W39" s="68"/>
      <c r="X39" s="68"/>
      <c r="Y39" s="68"/>
      <c r="Z39" s="68"/>
      <c r="AA39" s="68"/>
      <c r="AB39" s="6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</row>
    <row r="40" spans="1:42" x14ac:dyDescent="0.25">
      <c r="B40" s="423"/>
      <c r="C40" s="386"/>
      <c r="D40" s="369" t="s">
        <v>36</v>
      </c>
      <c r="E40" s="369"/>
      <c r="F40" s="2">
        <v>-537.92999999999995</v>
      </c>
      <c r="G40" s="2">
        <v>-337.1</v>
      </c>
      <c r="H40" s="2">
        <v>218.81</v>
      </c>
      <c r="I40" s="317"/>
      <c r="J40" s="299">
        <f t="shared" si="1"/>
        <v>-1537.9299999999998</v>
      </c>
      <c r="K40" s="27"/>
      <c r="L40" s="358"/>
      <c r="M40" s="399" t="s">
        <v>28</v>
      </c>
      <c r="N40" s="400"/>
      <c r="O40" s="70">
        <f>O35</f>
        <v>-734.28</v>
      </c>
      <c r="P40" s="70">
        <f>Halftrack_Rear-((Rear_Tire_Diameter/2)*TAN(RADIANS(Rear_Static_Camber*(-1))))</f>
        <v>-611.84557384593859</v>
      </c>
      <c r="Q40" s="70">
        <f>Rear_Tire_Diameter/2</f>
        <v>260.35000000000002</v>
      </c>
      <c r="R40" s="398"/>
      <c r="S40" s="28"/>
      <c r="T40" s="28"/>
      <c r="U40" s="68"/>
      <c r="V40" s="68"/>
      <c r="W40" s="68"/>
      <c r="X40" s="68"/>
      <c r="Y40" s="68"/>
      <c r="Z40" s="68"/>
      <c r="AA40" s="68"/>
      <c r="AB40" s="68"/>
      <c r="AC40" s="28"/>
      <c r="AD40" s="27"/>
      <c r="AE40" s="28"/>
      <c r="AF40" s="28"/>
      <c r="AG40" s="28"/>
      <c r="AH40" s="28"/>
      <c r="AI40" s="27"/>
      <c r="AJ40" s="28"/>
      <c r="AK40" s="27"/>
      <c r="AL40" s="28"/>
      <c r="AM40" s="28"/>
      <c r="AN40" s="28"/>
      <c r="AO40" s="28"/>
      <c r="AP40" s="27"/>
    </row>
    <row r="41" spans="1:42" x14ac:dyDescent="0.25">
      <c r="A41" s="28"/>
      <c r="B41" s="423"/>
      <c r="C41" s="386"/>
      <c r="D41" s="369" t="s">
        <v>13</v>
      </c>
      <c r="E41" s="369"/>
      <c r="F41" s="2">
        <v>-337.01</v>
      </c>
      <c r="G41" s="2">
        <v>-349.68</v>
      </c>
      <c r="H41" s="2">
        <v>297.33999999999997</v>
      </c>
      <c r="I41" s="317"/>
      <c r="J41" s="299">
        <f t="shared" si="1"/>
        <v>-1337.01</v>
      </c>
      <c r="K41" s="28"/>
      <c r="L41" s="358"/>
      <c r="M41" s="401" t="s">
        <v>89</v>
      </c>
      <c r="N41" s="402"/>
      <c r="O41" s="7">
        <f>O35</f>
        <v>-734.28</v>
      </c>
      <c r="P41" s="8">
        <f>(((P38*Q37)-(Q38*P37))*(P36-P35)-(P38-P37)*((P36*Q35)-(Q36*P35)))/((P38-P37)*(Q36-Q35)-(Q38-Q37)*(P36-P35))</f>
        <v>1957.7320375787476</v>
      </c>
      <c r="Q41" s="8">
        <f>(((P38*Q37)-(Q38*P37))*(Q36-Q35)-(Q38-Q37)*((P36*Q35)-(Q36*P35)))/((P38-P37)*(Q36-Q35)-(Q38-Q37)*(P36-P35))</f>
        <v>-136.92304334200924</v>
      </c>
      <c r="R41" s="403" t="s">
        <v>1</v>
      </c>
      <c r="S41" s="28"/>
      <c r="T41" s="28"/>
      <c r="U41" s="68"/>
      <c r="V41" s="68"/>
      <c r="W41" s="68"/>
      <c r="X41" s="68"/>
      <c r="Y41" s="68"/>
      <c r="Z41" s="68"/>
      <c r="AA41" s="68"/>
      <c r="AB41" s="6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</row>
    <row r="42" spans="1:42" ht="15" customHeight="1" x14ac:dyDescent="0.25">
      <c r="A42" s="28"/>
      <c r="B42" s="423"/>
      <c r="C42" s="386"/>
      <c r="D42" s="369" t="s">
        <v>37</v>
      </c>
      <c r="E42" s="369"/>
      <c r="F42" s="2">
        <v>-601.09</v>
      </c>
      <c r="G42" s="2">
        <v>-289.8</v>
      </c>
      <c r="H42" s="2">
        <v>155.37</v>
      </c>
      <c r="I42" s="317"/>
      <c r="J42" s="299">
        <f t="shared" si="1"/>
        <v>-1601.0900000000001</v>
      </c>
      <c r="K42" s="27"/>
      <c r="L42" s="358"/>
      <c r="M42" s="401" t="s">
        <v>29</v>
      </c>
      <c r="N42" s="402"/>
      <c r="O42" s="7">
        <f>O35</f>
        <v>-734.28</v>
      </c>
      <c r="P42" s="7">
        <v>0</v>
      </c>
      <c r="Q42" s="8">
        <f>0-((Rear_Instant_Center_Height-0)/(Rear_Instant_Center_Offset-Rear_Wheel_Centerline_Axis))*(Rear_Wheel_Centerline_Axis)</f>
        <v>-32.787099233634983</v>
      </c>
      <c r="R42" s="404"/>
      <c r="S42" s="27"/>
      <c r="T42" s="28"/>
      <c r="U42" s="68"/>
      <c r="V42" s="68"/>
      <c r="W42" s="68"/>
      <c r="X42" s="68"/>
      <c r="Y42" s="68"/>
      <c r="Z42" s="68"/>
      <c r="AA42" s="68"/>
      <c r="AB42" s="6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</row>
    <row r="43" spans="1:42" x14ac:dyDescent="0.25">
      <c r="A43" s="28"/>
      <c r="B43" s="423"/>
      <c r="C43" s="386"/>
      <c r="D43" s="369" t="s">
        <v>12</v>
      </c>
      <c r="E43" s="369"/>
      <c r="F43" s="2">
        <v>-708.39</v>
      </c>
      <c r="G43" s="2">
        <v>-505.84</v>
      </c>
      <c r="H43" s="2">
        <v>312.32</v>
      </c>
      <c r="I43" s="317"/>
      <c r="J43" s="299">
        <f t="shared" si="1"/>
        <v>-1708.3899999999999</v>
      </c>
      <c r="K43" s="27"/>
      <c r="L43" s="358"/>
      <c r="M43" s="388" t="s">
        <v>31</v>
      </c>
      <c r="N43" s="389"/>
      <c r="O43" s="390"/>
      <c r="P43" s="391">
        <f xml:space="preserve"> Rear_Wheel_Centerline_Axis-Rear_Instant_Center_Offset</f>
        <v>-2574.1220375787475</v>
      </c>
      <c r="Q43" s="392"/>
      <c r="R43" s="405"/>
      <c r="S43" s="27"/>
      <c r="T43" s="28"/>
      <c r="U43" s="68"/>
      <c r="V43" s="68"/>
      <c r="W43" s="68"/>
      <c r="X43" s="68"/>
      <c r="Y43" s="68"/>
      <c r="Z43" s="68"/>
      <c r="AA43" s="68"/>
      <c r="AB43" s="6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</row>
    <row r="44" spans="1:42" x14ac:dyDescent="0.25">
      <c r="A44" s="28"/>
      <c r="B44" s="423"/>
      <c r="C44" s="379" t="s">
        <v>246</v>
      </c>
      <c r="D44" s="383" t="s">
        <v>244</v>
      </c>
      <c r="E44" s="383"/>
      <c r="F44" s="1">
        <v>-658.28</v>
      </c>
      <c r="G44" s="1">
        <v>-594.52</v>
      </c>
      <c r="H44" s="1">
        <v>195.87</v>
      </c>
      <c r="I44" s="318" t="s">
        <v>1</v>
      </c>
      <c r="J44" s="299">
        <f t="shared" si="1"/>
        <v>-1658.28</v>
      </c>
      <c r="K44" s="27"/>
      <c r="L44" s="358"/>
      <c r="M44" s="388" t="s">
        <v>30</v>
      </c>
      <c r="N44" s="389"/>
      <c r="O44" s="390"/>
      <c r="P44" s="391">
        <f>IF(Rear_Instant_Center_Height&lt;=Rear_Wheel_Center,((ATAN((Rear_Wheel_Center-Rear_Instant_Center_Height)/(Rear_Wheel_Centerline_Axis-Rear_Instant_Center_Offset)))*(180/PI())*(-1)),(ATAN((Rear_Instant_Center_Height)/(Rear_Wheel_Centerline_Axis-Rear_Instant_Center_Offset)))*(180/PI()))</f>
        <v>8.7734327388206843</v>
      </c>
      <c r="Q44" s="392"/>
      <c r="R44" s="67" t="s">
        <v>23</v>
      </c>
      <c r="S44" s="27"/>
      <c r="T44" s="28"/>
      <c r="U44" s="68"/>
      <c r="V44" s="68"/>
      <c r="W44" s="68"/>
      <c r="X44" s="68"/>
      <c r="Y44" s="68"/>
      <c r="Z44" s="68"/>
      <c r="AA44" s="68"/>
      <c r="AB44" s="6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</row>
    <row r="45" spans="1:42" ht="15" customHeight="1" x14ac:dyDescent="0.25">
      <c r="A45" s="28"/>
      <c r="B45" s="423"/>
      <c r="C45" s="379"/>
      <c r="D45" s="383" t="s">
        <v>245</v>
      </c>
      <c r="E45" s="383"/>
      <c r="F45" s="1">
        <v>-658.28</v>
      </c>
      <c r="G45" s="1">
        <v>-244.15</v>
      </c>
      <c r="H45" s="1">
        <v>150.61000000000001</v>
      </c>
      <c r="I45" s="318"/>
      <c r="J45" s="299">
        <f t="shared" si="1"/>
        <v>-1658.28</v>
      </c>
      <c r="K45" s="27"/>
      <c r="L45" s="358"/>
      <c r="M45" s="326" t="s">
        <v>88</v>
      </c>
      <c r="N45" s="327"/>
      <c r="O45" s="50">
        <f>(((F36*H35)-(H36*F35))*(F33-F32)-(F36-F35)*((F33*H32)-(H33*F32)))/((F36-F35)*(H33-H32)-(H36-H35)*(F33-F32))</f>
        <v>-11828.530115314967</v>
      </c>
      <c r="P45" s="49">
        <f>Halftrack_Rear</f>
        <v>-616.39</v>
      </c>
      <c r="Q45" s="50">
        <f>(((F36*H35)-(H36*F35))*(H33-H32)-(H36-H35)*((F33*H32)-(H33*F32)))/((F36-F35)*(H33-H32)-(H36-H35)*(F33-F32))</f>
        <v>-104.68999114984688</v>
      </c>
      <c r="R45" s="328" t="s">
        <v>1</v>
      </c>
      <c r="S45" s="27"/>
      <c r="T45" s="27"/>
      <c r="U45" s="68"/>
      <c r="V45" s="68"/>
      <c r="W45" s="68"/>
      <c r="X45" s="68"/>
      <c r="Y45" s="68"/>
      <c r="Z45" s="68"/>
      <c r="AA45" s="68"/>
      <c r="AB45" s="6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</row>
    <row r="46" spans="1:42" x14ac:dyDescent="0.25">
      <c r="A46" s="28"/>
      <c r="B46" s="423"/>
      <c r="C46" s="393" t="s">
        <v>68</v>
      </c>
      <c r="D46" s="351" t="s">
        <v>63</v>
      </c>
      <c r="E46" s="352"/>
      <c r="F46" s="310">
        <v>-734.28</v>
      </c>
      <c r="G46" s="311"/>
      <c r="H46" s="312"/>
      <c r="I46" s="313" t="s">
        <v>1</v>
      </c>
      <c r="J46" s="299"/>
      <c r="K46" s="28"/>
      <c r="L46" s="358"/>
      <c r="M46" s="326" t="s">
        <v>65</v>
      </c>
      <c r="N46" s="373"/>
      <c r="O46" s="327"/>
      <c r="P46" s="367">
        <f>Rear_Wheel_Longitudinal_Offset-Rear_SV_InstantCenter_X</f>
        <v>11094.250115314966</v>
      </c>
      <c r="Q46" s="368"/>
      <c r="R46" s="329"/>
      <c r="S46" s="28"/>
      <c r="T46" s="27"/>
      <c r="U46" s="68"/>
      <c r="V46" s="68"/>
      <c r="W46" s="68"/>
      <c r="X46" s="68"/>
      <c r="Y46" s="68"/>
      <c r="Z46" s="68"/>
      <c r="AA46" s="68"/>
      <c r="AB46" s="6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</row>
    <row r="47" spans="1:42" x14ac:dyDescent="0.25">
      <c r="A47" s="27"/>
      <c r="B47" s="423"/>
      <c r="C47" s="393"/>
      <c r="D47" s="353" t="s">
        <v>18</v>
      </c>
      <c r="E47" s="354"/>
      <c r="F47" s="310">
        <v>-616.39</v>
      </c>
      <c r="G47" s="311"/>
      <c r="H47" s="312"/>
      <c r="I47" s="313"/>
      <c r="J47" s="299"/>
      <c r="K47" s="27"/>
      <c r="L47" s="358"/>
      <c r="M47" s="326" t="s">
        <v>64</v>
      </c>
      <c r="N47" s="373"/>
      <c r="O47" s="327"/>
      <c r="P47" s="362">
        <f>IF(Rear_SV_InstantCenter_Z&lt;=Rear_Wheel_Center,(ATAN((Rear_Wheel_Center-Rear_SV_InstantCenter_Z)/(Rear_SV_InstantCenter_X)))*(180/PI()),(ATAN((Rear_SV_InstantCenter_Z-Rear_Wheel_Center)/(Rear_SV_InstantCenter_X)))*(-180/PI()))</f>
        <v>-1.7676426859596166</v>
      </c>
      <c r="Q47" s="363"/>
      <c r="R47" s="330" t="s">
        <v>23</v>
      </c>
      <c r="S47" s="27"/>
      <c r="T47" s="27"/>
      <c r="U47" s="68"/>
      <c r="V47" s="68"/>
      <c r="W47" s="68"/>
      <c r="X47" s="68"/>
      <c r="Y47" s="68"/>
      <c r="Z47" s="68"/>
      <c r="AA47" s="68"/>
      <c r="AB47" s="6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</row>
    <row r="48" spans="1:42" x14ac:dyDescent="0.25">
      <c r="A48" s="27"/>
      <c r="B48" s="423"/>
      <c r="C48" s="393"/>
      <c r="D48" s="351" t="s">
        <v>69</v>
      </c>
      <c r="E48" s="352"/>
      <c r="F48" s="319">
        <v>11</v>
      </c>
      <c r="G48" s="320"/>
      <c r="H48" s="321"/>
      <c r="I48" s="313"/>
      <c r="J48" s="299"/>
      <c r="K48" s="27"/>
      <c r="L48" s="358"/>
      <c r="M48" s="326" t="s">
        <v>66</v>
      </c>
      <c r="N48" s="373"/>
      <c r="O48" s="327"/>
      <c r="P48" s="360">
        <f>(ATAN((F37-O39)/(H37-Q39)))*(-180/PI())</f>
        <v>-1.2582799734692422E-2</v>
      </c>
      <c r="Q48" s="361"/>
      <c r="R48" s="331"/>
      <c r="S48" s="27"/>
      <c r="T48" s="27"/>
      <c r="U48" s="68"/>
      <c r="V48" s="68"/>
      <c r="W48" s="68"/>
      <c r="X48" s="68"/>
      <c r="Y48" s="68"/>
      <c r="Z48" s="68"/>
      <c r="AA48" s="68"/>
      <c r="AB48" s="6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</row>
    <row r="49" spans="1:42" x14ac:dyDescent="0.25">
      <c r="A49" s="28"/>
      <c r="B49" s="423"/>
      <c r="C49" s="393"/>
      <c r="D49" s="353" t="s">
        <v>19</v>
      </c>
      <c r="E49" s="354"/>
      <c r="F49" s="310">
        <v>330</v>
      </c>
      <c r="G49" s="311"/>
      <c r="H49" s="312"/>
      <c r="I49" s="313"/>
      <c r="J49" s="299"/>
      <c r="K49" s="27"/>
      <c r="L49" s="358"/>
      <c r="M49" s="396" t="s">
        <v>67</v>
      </c>
      <c r="N49" s="396"/>
      <c r="O49" s="396"/>
      <c r="P49" s="325">
        <f>(((F37*H34)-(H37*F34))*(O39-0)-(F37-F34)*((O39*0)-(0*0)))/((F37-F34)*(0)-(H37-H34)*(O39-0))-O39</f>
        <v>-67.125792754844269</v>
      </c>
      <c r="Q49" s="325"/>
      <c r="R49" s="206" t="s">
        <v>1</v>
      </c>
      <c r="S49" s="27"/>
      <c r="T49" s="2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28"/>
      <c r="AI49" s="28"/>
      <c r="AJ49" s="28"/>
      <c r="AK49" s="28"/>
      <c r="AL49" s="28"/>
      <c r="AM49" s="28"/>
      <c r="AN49" s="28"/>
      <c r="AO49" s="28"/>
      <c r="AP49" s="28"/>
    </row>
    <row r="50" spans="1:42" ht="15.75" thickBot="1" x14ac:dyDescent="0.3">
      <c r="A50" s="28"/>
      <c r="B50" s="423"/>
      <c r="C50" s="393"/>
      <c r="D50" s="353" t="s">
        <v>20</v>
      </c>
      <c r="E50" s="354"/>
      <c r="F50" s="310">
        <v>520.70000000000005</v>
      </c>
      <c r="G50" s="311"/>
      <c r="H50" s="312"/>
      <c r="I50" s="313"/>
      <c r="J50" s="299"/>
      <c r="K50" s="27"/>
      <c r="L50" s="359"/>
      <c r="M50" s="395" t="s">
        <v>245</v>
      </c>
      <c r="N50" s="395"/>
      <c r="O50" s="207"/>
      <c r="P50" s="208"/>
      <c r="Q50" s="208"/>
      <c r="R50" s="209" t="s">
        <v>1</v>
      </c>
      <c r="S50" s="68"/>
      <c r="T50" s="6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H50" s="28"/>
      <c r="AI50" s="28"/>
      <c r="AJ50" s="28"/>
      <c r="AK50" s="28"/>
      <c r="AL50" s="28"/>
      <c r="AM50" s="28"/>
      <c r="AN50" s="28"/>
      <c r="AO50" s="28"/>
      <c r="AP50" s="28"/>
    </row>
    <row r="51" spans="1:42" ht="15" customHeight="1" x14ac:dyDescent="0.25">
      <c r="A51" s="28"/>
      <c r="B51" s="423"/>
      <c r="C51" s="393"/>
      <c r="D51" s="353" t="s">
        <v>21</v>
      </c>
      <c r="E51" s="354"/>
      <c r="F51" s="310">
        <v>177.8</v>
      </c>
      <c r="G51" s="311"/>
      <c r="H51" s="312"/>
      <c r="I51" s="313"/>
      <c r="J51" s="299"/>
      <c r="K51" s="28"/>
      <c r="L51" s="68"/>
      <c r="M51" s="68"/>
      <c r="N51" s="68"/>
      <c r="O51" s="68"/>
      <c r="P51" s="68"/>
      <c r="Q51" s="68"/>
      <c r="R51" s="68"/>
      <c r="S51" s="68"/>
      <c r="T51" s="6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68"/>
      <c r="AH51" s="28"/>
      <c r="AI51" s="28"/>
      <c r="AJ51" s="28"/>
      <c r="AK51" s="28"/>
      <c r="AL51" s="27"/>
      <c r="AM51" s="27"/>
      <c r="AN51" s="28"/>
      <c r="AO51" s="28"/>
      <c r="AP51" s="28"/>
    </row>
    <row r="52" spans="1:42" x14ac:dyDescent="0.25">
      <c r="A52" s="28"/>
      <c r="B52" s="423"/>
      <c r="C52" s="393"/>
      <c r="D52" s="353" t="s">
        <v>22</v>
      </c>
      <c r="E52" s="354"/>
      <c r="F52" s="322">
        <v>1</v>
      </c>
      <c r="G52" s="323"/>
      <c r="H52" s="324"/>
      <c r="I52" s="313" t="s">
        <v>23</v>
      </c>
      <c r="J52" s="299"/>
      <c r="K52" s="28"/>
      <c r="L52" s="68"/>
      <c r="M52" s="68"/>
      <c r="N52" s="68"/>
      <c r="O52" s="68"/>
      <c r="P52" s="68"/>
      <c r="Q52" s="68"/>
      <c r="R52" s="68"/>
      <c r="S52" s="68"/>
      <c r="T52" s="6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68"/>
      <c r="AH52" s="28"/>
      <c r="AI52" s="28"/>
      <c r="AJ52" s="28"/>
      <c r="AK52" s="28"/>
      <c r="AL52" s="28"/>
      <c r="AM52" s="28"/>
      <c r="AN52" s="28"/>
      <c r="AO52" s="28"/>
      <c r="AP52" s="28"/>
    </row>
    <row r="53" spans="1:42" ht="15.75" thickBot="1" x14ac:dyDescent="0.3">
      <c r="A53" s="27"/>
      <c r="B53" s="424"/>
      <c r="C53" s="394"/>
      <c r="D53" s="374" t="s">
        <v>24</v>
      </c>
      <c r="E53" s="375"/>
      <c r="F53" s="376">
        <v>0</v>
      </c>
      <c r="G53" s="377"/>
      <c r="H53" s="378"/>
      <c r="I53" s="314"/>
      <c r="J53" s="299"/>
      <c r="K53" s="28"/>
      <c r="L53" s="28"/>
      <c r="M53" s="28"/>
      <c r="N53" s="28"/>
      <c r="O53" s="28"/>
      <c r="P53" s="28"/>
      <c r="Q53" s="28"/>
      <c r="R53" s="68"/>
      <c r="S53" s="68"/>
      <c r="T53" s="6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68"/>
      <c r="AH53" s="28"/>
      <c r="AI53" s="28"/>
      <c r="AJ53" s="28"/>
      <c r="AK53" s="28"/>
      <c r="AL53" s="28"/>
      <c r="AM53" s="28"/>
      <c r="AN53" s="28"/>
      <c r="AO53" s="28"/>
      <c r="AP53" s="28"/>
    </row>
    <row r="54" spans="1:42" ht="15" customHeight="1" x14ac:dyDescent="0.25">
      <c r="A54" s="28"/>
      <c r="B54" s="28"/>
      <c r="C54" s="28"/>
      <c r="D54" s="28"/>
      <c r="E54" s="28"/>
      <c r="I54" s="28"/>
      <c r="J54" s="28"/>
      <c r="K54" s="28"/>
      <c r="L54" s="28"/>
      <c r="M54" s="28"/>
      <c r="N54" s="28"/>
      <c r="O54" s="28"/>
      <c r="P54" s="28"/>
      <c r="Q54" s="28"/>
      <c r="R54" s="68"/>
      <c r="S54" s="68"/>
      <c r="T54" s="6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68"/>
      <c r="AH54" s="28"/>
      <c r="AI54" s="28"/>
      <c r="AJ54" s="28"/>
      <c r="AK54" s="28"/>
      <c r="AL54" s="28"/>
      <c r="AM54" s="28"/>
      <c r="AN54" s="28"/>
      <c r="AO54" s="28"/>
      <c r="AP54" s="28"/>
    </row>
    <row r="55" spans="1:42" ht="15.75" x14ac:dyDescent="0.25">
      <c r="A55" s="28"/>
      <c r="B55" s="28"/>
      <c r="C55" s="28"/>
      <c r="D55" s="193" t="s">
        <v>312</v>
      </c>
      <c r="E55" t="s">
        <v>26</v>
      </c>
      <c r="F55" t="s">
        <v>84</v>
      </c>
      <c r="G55" t="s">
        <v>242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68"/>
      <c r="S55" s="68"/>
      <c r="T55" s="6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68"/>
      <c r="AH55" s="28"/>
      <c r="AI55" s="28"/>
      <c r="AJ55" s="28"/>
      <c r="AK55" s="28"/>
      <c r="AL55" s="28"/>
      <c r="AM55" s="28"/>
      <c r="AN55" s="28"/>
      <c r="AO55" s="28"/>
      <c r="AP55" s="28"/>
    </row>
    <row r="56" spans="1:42" x14ac:dyDescent="0.25">
      <c r="A56" s="28"/>
      <c r="B56" s="28"/>
      <c r="C56" s="27"/>
      <c r="D56" t="s">
        <v>235</v>
      </c>
      <c r="E56" s="194"/>
      <c r="F56" s="194"/>
      <c r="H56" s="27"/>
      <c r="I56" s="28"/>
      <c r="J56" s="28"/>
      <c r="K56" s="28"/>
      <c r="L56" s="28"/>
      <c r="M56" s="28"/>
      <c r="N56" s="28"/>
      <c r="O56" s="28"/>
      <c r="P56" s="28"/>
      <c r="Q56" s="28"/>
      <c r="R56" s="68"/>
      <c r="S56" s="68"/>
      <c r="T56" s="6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68"/>
      <c r="AH56" s="28"/>
      <c r="AI56" s="28"/>
      <c r="AJ56" s="28"/>
      <c r="AK56" s="28"/>
      <c r="AL56" s="28"/>
      <c r="AM56" s="28"/>
      <c r="AN56" s="28"/>
      <c r="AO56" s="28"/>
      <c r="AP56" s="28"/>
    </row>
    <row r="57" spans="1:42" x14ac:dyDescent="0.25">
      <c r="A57" s="28"/>
      <c r="B57" s="28"/>
      <c r="C57" s="28"/>
      <c r="D57" t="s">
        <v>236</v>
      </c>
      <c r="E57" s="194"/>
      <c r="F57" s="194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68"/>
      <c r="S57" s="68"/>
      <c r="T57" s="6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68"/>
      <c r="AH57" s="28"/>
      <c r="AI57" s="28"/>
      <c r="AJ57" s="28"/>
      <c r="AK57" s="28"/>
      <c r="AL57" s="28"/>
      <c r="AM57" s="28"/>
      <c r="AN57" s="28"/>
      <c r="AO57" s="28"/>
      <c r="AP57" s="28"/>
    </row>
    <row r="58" spans="1:42" x14ac:dyDescent="0.25">
      <c r="A58" s="28"/>
      <c r="B58" s="28"/>
      <c r="C58" s="28"/>
      <c r="D58" t="s">
        <v>237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68"/>
      <c r="S58" s="68"/>
      <c r="T58" s="6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68"/>
      <c r="AH58" s="28"/>
      <c r="AI58" s="28"/>
      <c r="AJ58" s="28"/>
      <c r="AK58" s="28"/>
      <c r="AL58" s="28"/>
      <c r="AM58" s="28"/>
      <c r="AN58" s="28"/>
      <c r="AO58" s="28"/>
      <c r="AP58" s="28"/>
    </row>
    <row r="59" spans="1:42" x14ac:dyDescent="0.25">
      <c r="A59" s="28"/>
      <c r="B59" s="28"/>
      <c r="C59" s="28"/>
      <c r="D59" t="s">
        <v>238</v>
      </c>
      <c r="E59" s="194"/>
      <c r="F59" s="194"/>
      <c r="H59" s="28"/>
      <c r="I59" s="28"/>
      <c r="J59" s="28"/>
      <c r="K59" s="28"/>
      <c r="L59" s="28"/>
      <c r="M59" s="68"/>
      <c r="N59" s="68"/>
      <c r="O59" s="68"/>
      <c r="P59" s="68"/>
      <c r="Q59" s="68"/>
      <c r="R59" s="68"/>
      <c r="S59" s="68"/>
      <c r="T59" s="6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68"/>
      <c r="AH59" s="28"/>
      <c r="AI59" s="28"/>
      <c r="AJ59" s="28"/>
      <c r="AK59" s="28"/>
      <c r="AL59" s="28"/>
      <c r="AM59" s="28"/>
      <c r="AN59" s="28"/>
      <c r="AO59" s="28"/>
      <c r="AP59" s="28"/>
    </row>
    <row r="60" spans="1:42" x14ac:dyDescent="0.25">
      <c r="A60" s="28"/>
      <c r="B60" s="28"/>
      <c r="C60" s="28"/>
      <c r="D60" t="s">
        <v>239</v>
      </c>
      <c r="E60" s="194"/>
      <c r="F60" s="194"/>
      <c r="H60" s="28"/>
      <c r="I60" s="28"/>
      <c r="J60" s="28"/>
      <c r="K60" s="28"/>
      <c r="L60" s="28"/>
      <c r="M60" s="68"/>
      <c r="N60" s="68"/>
      <c r="O60" s="68"/>
      <c r="P60" s="68"/>
      <c r="Q60" s="68"/>
      <c r="R60" s="68"/>
      <c r="S60" s="68"/>
      <c r="T60" s="6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68"/>
      <c r="AH60" s="28"/>
      <c r="AI60" s="28"/>
      <c r="AJ60" s="28"/>
      <c r="AK60" s="28"/>
      <c r="AL60" s="28"/>
      <c r="AM60" s="28"/>
      <c r="AN60" s="28"/>
      <c r="AO60" s="28"/>
      <c r="AP60" s="28"/>
    </row>
    <row r="61" spans="1:42" x14ac:dyDescent="0.25">
      <c r="A61" s="28"/>
      <c r="B61" s="28"/>
      <c r="C61" s="28"/>
      <c r="D61" t="s">
        <v>240</v>
      </c>
      <c r="E61" s="194"/>
      <c r="F61" s="194"/>
      <c r="H61" s="28"/>
      <c r="I61" s="28"/>
      <c r="J61" s="28"/>
      <c r="K61" s="28"/>
      <c r="L61" s="28"/>
      <c r="M61" s="68"/>
      <c r="N61" s="68"/>
      <c r="O61" s="68"/>
      <c r="P61" s="68"/>
      <c r="Q61" s="68"/>
      <c r="R61" s="68"/>
      <c r="S61" s="68"/>
      <c r="T61" s="6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68"/>
      <c r="AH61" s="28"/>
      <c r="AI61" s="28"/>
      <c r="AJ61" s="28"/>
      <c r="AK61" s="28"/>
      <c r="AL61" s="28"/>
      <c r="AM61" s="28"/>
      <c r="AN61" s="28"/>
      <c r="AO61" s="28"/>
      <c r="AP61" s="28"/>
    </row>
    <row r="62" spans="1:42" x14ac:dyDescent="0.25">
      <c r="A62" s="28"/>
      <c r="B62" s="28"/>
      <c r="C62" s="28"/>
      <c r="D62" t="s">
        <v>241</v>
      </c>
      <c r="E62" s="194"/>
      <c r="F62" s="194"/>
      <c r="H62" s="28"/>
      <c r="I62" s="28"/>
      <c r="J62" s="28"/>
      <c r="K62" s="28"/>
      <c r="L62" s="28"/>
      <c r="M62" s="68"/>
      <c r="N62" s="68"/>
      <c r="O62" s="68"/>
      <c r="P62" s="68"/>
      <c r="Q62" s="68"/>
      <c r="R62" s="68"/>
      <c r="S62" s="68"/>
      <c r="T62" s="6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68"/>
      <c r="AH62" s="28"/>
      <c r="AI62" s="28"/>
      <c r="AJ62" s="28"/>
      <c r="AK62" s="28"/>
      <c r="AL62" s="28"/>
      <c r="AM62" s="28"/>
      <c r="AN62" s="28"/>
      <c r="AO62" s="28"/>
      <c r="AP62" s="28"/>
    </row>
    <row r="63" spans="1:42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68"/>
      <c r="N63" s="68"/>
      <c r="O63" s="68"/>
      <c r="P63" s="68"/>
      <c r="Q63" s="68"/>
      <c r="R63" s="68"/>
      <c r="S63" s="68"/>
      <c r="T63" s="6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68"/>
      <c r="AH63" s="28"/>
      <c r="AI63" s="28"/>
      <c r="AJ63" s="28"/>
      <c r="AK63" s="28"/>
      <c r="AL63" s="28"/>
      <c r="AM63" s="28"/>
      <c r="AN63" s="28"/>
      <c r="AO63" s="28"/>
      <c r="AP63" s="28"/>
    </row>
    <row r="64" spans="1:42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68"/>
      <c r="N64" s="68"/>
      <c r="O64" s="68"/>
      <c r="P64" s="68"/>
      <c r="Q64" s="68"/>
      <c r="R64" s="68"/>
      <c r="S64" s="68"/>
      <c r="T64" s="6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68"/>
      <c r="AH64" s="28"/>
      <c r="AI64" s="28"/>
      <c r="AJ64" s="28"/>
      <c r="AK64" s="28"/>
      <c r="AL64" s="28"/>
      <c r="AM64" s="28"/>
      <c r="AN64" s="28"/>
      <c r="AO64" s="28"/>
      <c r="AP64" s="28"/>
    </row>
    <row r="65" spans="1:42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68"/>
      <c r="N65" s="68"/>
      <c r="O65" s="68"/>
      <c r="P65" s="68"/>
      <c r="Q65" s="68"/>
      <c r="R65" s="68"/>
      <c r="S65" s="68"/>
      <c r="T65" s="6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68"/>
      <c r="AH65" s="28"/>
      <c r="AI65" s="28"/>
      <c r="AJ65" s="28"/>
      <c r="AK65" s="28"/>
      <c r="AL65" s="28"/>
      <c r="AM65" s="28"/>
      <c r="AN65" s="28"/>
      <c r="AO65" s="28"/>
      <c r="AP65" s="28"/>
    </row>
    <row r="66" spans="1:42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68"/>
      <c r="AH66" s="28"/>
      <c r="AI66" s="28"/>
      <c r="AJ66" s="28"/>
      <c r="AK66" s="28"/>
      <c r="AL66" s="28"/>
      <c r="AM66" s="28"/>
      <c r="AN66" s="28"/>
      <c r="AO66" s="28"/>
      <c r="AP66" s="28"/>
    </row>
    <row r="67" spans="1:42" x14ac:dyDescent="0.25">
      <c r="A67" s="28"/>
      <c r="B67" s="27"/>
      <c r="C67" s="28"/>
      <c r="D67" s="27"/>
      <c r="E67" s="27"/>
      <c r="F67" s="28"/>
      <c r="G67" s="27"/>
      <c r="H67" s="28"/>
      <c r="I67" s="27"/>
      <c r="J67" s="27"/>
      <c r="K67" s="27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68"/>
      <c r="AH67" s="28"/>
      <c r="AI67" s="28"/>
      <c r="AJ67" s="28"/>
      <c r="AK67" s="28"/>
      <c r="AL67" s="28"/>
      <c r="AM67" s="28"/>
      <c r="AN67" s="28"/>
      <c r="AO67" s="28"/>
      <c r="AP67" s="28"/>
    </row>
    <row r="68" spans="1:42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68"/>
      <c r="AH68" s="27"/>
      <c r="AI68" s="28"/>
      <c r="AJ68" s="28"/>
      <c r="AK68" s="27"/>
      <c r="AL68" s="27"/>
      <c r="AM68" s="28"/>
      <c r="AN68" s="28"/>
      <c r="AO68" s="27"/>
      <c r="AP68" s="28"/>
    </row>
    <row r="69" spans="1:42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</row>
    <row r="70" spans="1:42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</row>
    <row r="71" spans="1:42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</row>
    <row r="72" spans="1:42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</row>
    <row r="73" spans="1:42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</row>
    <row r="74" spans="1:42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</row>
    <row r="75" spans="1:42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</row>
    <row r="76" spans="1:42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</row>
    <row r="77" spans="1:42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</row>
    <row r="78" spans="1:42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7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</row>
    <row r="79" spans="1:42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</row>
    <row r="80" spans="1:42" x14ac:dyDescent="0.25">
      <c r="A80" s="27"/>
      <c r="B80" s="28"/>
      <c r="C80" s="27"/>
      <c r="D80" s="28"/>
      <c r="E80" s="28"/>
      <c r="F80" s="27"/>
      <c r="G80" s="28"/>
      <c r="H80" s="27"/>
      <c r="I80" s="28"/>
      <c r="J80" s="28"/>
      <c r="K80" s="28"/>
      <c r="L80" s="28"/>
      <c r="U80" s="27"/>
      <c r="V80" s="28"/>
      <c r="W80" s="27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</row>
    <row r="81" spans="1:42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U81" s="28"/>
      <c r="V81" s="28"/>
      <c r="W81" s="28"/>
      <c r="X81" s="28"/>
      <c r="Y81" s="28"/>
      <c r="Z81" s="28"/>
      <c r="AA81" s="27"/>
      <c r="AB81" s="28"/>
      <c r="AC81" s="27"/>
      <c r="AD81" s="28"/>
      <c r="AE81" s="28"/>
      <c r="AF81" s="28"/>
      <c r="AG81" s="27"/>
      <c r="AH81" s="28"/>
      <c r="AI81" s="27"/>
      <c r="AJ81" s="27"/>
      <c r="AK81" s="28"/>
      <c r="AL81" s="28"/>
      <c r="AM81" s="28"/>
      <c r="AN81" s="27"/>
      <c r="AO81" s="28"/>
      <c r="AP81" s="27"/>
    </row>
    <row r="82" spans="1:42" x14ac:dyDescent="0.25"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</row>
  </sheetData>
  <mergeCells count="195">
    <mergeCell ref="U9:AA10"/>
    <mergeCell ref="AA12:AA13"/>
    <mergeCell ref="AA14:AA15"/>
    <mergeCell ref="V12:X12"/>
    <mergeCell ref="R14:R15"/>
    <mergeCell ref="P20:Q20"/>
    <mergeCell ref="M12:N12"/>
    <mergeCell ref="R12:R13"/>
    <mergeCell ref="M13:N13"/>
    <mergeCell ref="U11:X11"/>
    <mergeCell ref="Y11:Z11"/>
    <mergeCell ref="Y12:Z12"/>
    <mergeCell ref="Y13:Z13"/>
    <mergeCell ref="Y14:Z14"/>
    <mergeCell ref="U12:U17"/>
    <mergeCell ref="AA16:AA17"/>
    <mergeCell ref="V16:X16"/>
    <mergeCell ref="Y16:Z16"/>
    <mergeCell ref="V13:X13"/>
    <mergeCell ref="V14:X14"/>
    <mergeCell ref="AA20:AA21"/>
    <mergeCell ref="Y15:Z15"/>
    <mergeCell ref="B9:B31"/>
    <mergeCell ref="B8:E8"/>
    <mergeCell ref="B5:C7"/>
    <mergeCell ref="M28:O28"/>
    <mergeCell ref="P28:Q28"/>
    <mergeCell ref="D18:E18"/>
    <mergeCell ref="D16:E16"/>
    <mergeCell ref="M14:N14"/>
    <mergeCell ref="M15:N15"/>
    <mergeCell ref="M23:O23"/>
    <mergeCell ref="P23:Q23"/>
    <mergeCell ref="M17:N17"/>
    <mergeCell ref="P21:Q21"/>
    <mergeCell ref="M20:O20"/>
    <mergeCell ref="C24:C31"/>
    <mergeCell ref="L9:R10"/>
    <mergeCell ref="D19:E19"/>
    <mergeCell ref="D20:E20"/>
    <mergeCell ref="I12:I14"/>
    <mergeCell ref="D13:E13"/>
    <mergeCell ref="D14:E14"/>
    <mergeCell ref="C15:C20"/>
    <mergeCell ref="D22:E22"/>
    <mergeCell ref="D30:E30"/>
    <mergeCell ref="B32:B53"/>
    <mergeCell ref="F53:H53"/>
    <mergeCell ref="B2:I3"/>
    <mergeCell ref="M11:N11"/>
    <mergeCell ref="L12:L28"/>
    <mergeCell ref="D5:G5"/>
    <mergeCell ref="I5:I7"/>
    <mergeCell ref="D6:G6"/>
    <mergeCell ref="D7:G7"/>
    <mergeCell ref="B4:I4"/>
    <mergeCell ref="C9:C11"/>
    <mergeCell ref="D9:E9"/>
    <mergeCell ref="I9:I11"/>
    <mergeCell ref="D10:E10"/>
    <mergeCell ref="D11:E11"/>
    <mergeCell ref="C21:C23"/>
    <mergeCell ref="D21:E21"/>
    <mergeCell ref="C12:C14"/>
    <mergeCell ref="D12:E12"/>
    <mergeCell ref="I24:I29"/>
    <mergeCell ref="L32:R33"/>
    <mergeCell ref="M34:N34"/>
    <mergeCell ref="F30:H30"/>
    <mergeCell ref="M27:O27"/>
    <mergeCell ref="R35:R36"/>
    <mergeCell ref="M24:N24"/>
    <mergeCell ref="M25:O25"/>
    <mergeCell ref="D23:E23"/>
    <mergeCell ref="D15:E15"/>
    <mergeCell ref="AA18:AA19"/>
    <mergeCell ref="V18:X18"/>
    <mergeCell ref="Y18:Z18"/>
    <mergeCell ref="M22:O22"/>
    <mergeCell ref="P22:Q22"/>
    <mergeCell ref="M18:N18"/>
    <mergeCell ref="M19:N19"/>
    <mergeCell ref="M21:O21"/>
    <mergeCell ref="V17:X17"/>
    <mergeCell ref="Y17:Z17"/>
    <mergeCell ref="M16:N16"/>
    <mergeCell ref="R18:R20"/>
    <mergeCell ref="R21:R22"/>
    <mergeCell ref="V15:X15"/>
    <mergeCell ref="V19:X19"/>
    <mergeCell ref="Y19:Z19"/>
    <mergeCell ref="D28:E28"/>
    <mergeCell ref="D29:E29"/>
    <mergeCell ref="AA22:AA23"/>
    <mergeCell ref="R39:R40"/>
    <mergeCell ref="M40:N40"/>
    <mergeCell ref="M41:N41"/>
    <mergeCell ref="R41:R43"/>
    <mergeCell ref="M42:N42"/>
    <mergeCell ref="M43:O43"/>
    <mergeCell ref="P43:Q43"/>
    <mergeCell ref="M38:N38"/>
    <mergeCell ref="M39:N39"/>
    <mergeCell ref="D46:E46"/>
    <mergeCell ref="M44:O44"/>
    <mergeCell ref="P44:Q44"/>
    <mergeCell ref="C46:C53"/>
    <mergeCell ref="D52:E52"/>
    <mergeCell ref="D53:E53"/>
    <mergeCell ref="M46:O46"/>
    <mergeCell ref="P46:Q46"/>
    <mergeCell ref="M50:N50"/>
    <mergeCell ref="D47:E47"/>
    <mergeCell ref="M47:O47"/>
    <mergeCell ref="P47:Q47"/>
    <mergeCell ref="I46:I51"/>
    <mergeCell ref="M48:O48"/>
    <mergeCell ref="P48:Q48"/>
    <mergeCell ref="M49:O49"/>
    <mergeCell ref="D48:E48"/>
    <mergeCell ref="D49:E49"/>
    <mergeCell ref="D50:E50"/>
    <mergeCell ref="D51:E51"/>
    <mergeCell ref="D45:E45"/>
    <mergeCell ref="L35:L50"/>
    <mergeCell ref="M35:N35"/>
    <mergeCell ref="D31:E31"/>
    <mergeCell ref="F28:H28"/>
    <mergeCell ref="F31:H31"/>
    <mergeCell ref="C44:C45"/>
    <mergeCell ref="D34:E34"/>
    <mergeCell ref="D33:E33"/>
    <mergeCell ref="D32:E32"/>
    <mergeCell ref="C35:C37"/>
    <mergeCell ref="D44:E44"/>
    <mergeCell ref="D43:E43"/>
    <mergeCell ref="C32:C34"/>
    <mergeCell ref="D40:E40"/>
    <mergeCell ref="D39:E39"/>
    <mergeCell ref="D38:E38"/>
    <mergeCell ref="C38:C43"/>
    <mergeCell ref="D37:E37"/>
    <mergeCell ref="D35:E35"/>
    <mergeCell ref="D36:E36"/>
    <mergeCell ref="D42:E42"/>
    <mergeCell ref="D41:E41"/>
    <mergeCell ref="F29:H29"/>
    <mergeCell ref="V22:X22"/>
    <mergeCell ref="Y22:Z22"/>
    <mergeCell ref="V21:X21"/>
    <mergeCell ref="Y21:Z21"/>
    <mergeCell ref="I15:I20"/>
    <mergeCell ref="I21:I23"/>
    <mergeCell ref="R16:R17"/>
    <mergeCell ref="F27:H27"/>
    <mergeCell ref="D24:E24"/>
    <mergeCell ref="D25:E25"/>
    <mergeCell ref="D26:E26"/>
    <mergeCell ref="D27:E27"/>
    <mergeCell ref="Y23:Z23"/>
    <mergeCell ref="U18:U23"/>
    <mergeCell ref="P27:Q27"/>
    <mergeCell ref="P26:Q26"/>
    <mergeCell ref="R24:R25"/>
    <mergeCell ref="R26:R27"/>
    <mergeCell ref="P25:Q25"/>
    <mergeCell ref="V20:X20"/>
    <mergeCell ref="Y20:Z20"/>
    <mergeCell ref="D17:E17"/>
    <mergeCell ref="V23:X23"/>
    <mergeCell ref="M26:O26"/>
    <mergeCell ref="M3:U6"/>
    <mergeCell ref="F24:H24"/>
    <mergeCell ref="F25:H25"/>
    <mergeCell ref="F26:H26"/>
    <mergeCell ref="I52:I53"/>
    <mergeCell ref="I32:I34"/>
    <mergeCell ref="I38:I43"/>
    <mergeCell ref="I44:I45"/>
    <mergeCell ref="F46:H46"/>
    <mergeCell ref="F47:H47"/>
    <mergeCell ref="F48:H48"/>
    <mergeCell ref="F49:H49"/>
    <mergeCell ref="F50:H50"/>
    <mergeCell ref="F51:H51"/>
    <mergeCell ref="F52:H52"/>
    <mergeCell ref="P49:Q49"/>
    <mergeCell ref="M45:N45"/>
    <mergeCell ref="R45:R46"/>
    <mergeCell ref="R47:R48"/>
    <mergeCell ref="I35:I37"/>
    <mergeCell ref="M36:N36"/>
    <mergeCell ref="M37:N37"/>
    <mergeCell ref="R37:R38"/>
    <mergeCell ref="I30:I31"/>
  </mergeCell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28"/>
  <sheetViews>
    <sheetView zoomScaleNormal="100" workbookViewId="0">
      <selection activeCell="Q18" sqref="Q18"/>
    </sheetView>
  </sheetViews>
  <sheetFormatPr defaultRowHeight="15" x14ac:dyDescent="0.25"/>
  <cols>
    <col min="1" max="1" width="5.140625" customWidth="1"/>
    <col min="2" max="2" width="3.85546875" customWidth="1"/>
    <col min="3" max="3" width="4" customWidth="1"/>
    <col min="4" max="4" width="15" customWidth="1"/>
    <col min="5" max="5" width="14" customWidth="1"/>
    <col min="7" max="8" width="9.140625" customWidth="1"/>
    <col min="9" max="9" width="6.5703125" customWidth="1"/>
    <col min="10" max="10" width="6.42578125" customWidth="1"/>
    <col min="11" max="11" width="3.42578125" customWidth="1"/>
    <col min="13" max="13" width="8" customWidth="1"/>
    <col min="14" max="14" width="10.7109375" customWidth="1"/>
    <col min="15" max="15" width="9.7109375" customWidth="1"/>
    <col min="16" max="16" width="8.28515625" bestFit="1" customWidth="1"/>
    <col min="17" max="17" width="9.28515625" bestFit="1" customWidth="1"/>
    <col min="18" max="18" width="8.28515625" bestFit="1" customWidth="1"/>
    <col min="19" max="19" width="9.28515625" customWidth="1"/>
    <col min="20" max="20" width="3.5703125" customWidth="1"/>
    <col min="22" max="22" width="4.140625" customWidth="1"/>
    <col min="28" max="28" width="8.5703125" bestFit="1" customWidth="1"/>
    <col min="30" max="30" width="9" customWidth="1"/>
    <col min="33" max="35" width="9.28515625" bestFit="1" customWidth="1"/>
    <col min="36" max="36" width="5.140625" customWidth="1"/>
    <col min="37" max="37" width="7.5703125" customWidth="1"/>
  </cols>
  <sheetData>
    <row r="1" spans="1:93" ht="15.75" thickBot="1" x14ac:dyDescent="0.3">
      <c r="A1" s="28"/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68"/>
      <c r="AN1" s="28"/>
      <c r="AO1" s="28"/>
      <c r="AP1" s="68"/>
      <c r="AQ1" s="6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</row>
    <row r="2" spans="1:93" x14ac:dyDescent="0.25">
      <c r="A2" s="27"/>
      <c r="B2" s="425" t="s">
        <v>87</v>
      </c>
      <c r="C2" s="426"/>
      <c r="D2" s="426"/>
      <c r="E2" s="426"/>
      <c r="F2" s="426"/>
      <c r="G2" s="426"/>
      <c r="H2" s="426"/>
      <c r="I2" s="427"/>
      <c r="J2" s="27"/>
      <c r="K2" s="68"/>
      <c r="L2" s="68"/>
      <c r="M2" s="68"/>
      <c r="N2" s="28"/>
      <c r="O2" s="28"/>
      <c r="P2" s="28"/>
      <c r="Q2" s="28"/>
      <c r="R2" s="167"/>
      <c r="S2" s="68"/>
      <c r="T2" s="27"/>
      <c r="U2" s="68"/>
      <c r="V2" s="68"/>
      <c r="W2" s="68"/>
      <c r="X2" s="68"/>
      <c r="Y2" s="68"/>
      <c r="Z2" s="6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68"/>
      <c r="AN2" s="28"/>
      <c r="AO2" s="28"/>
      <c r="AP2" s="68"/>
      <c r="AQ2" s="68"/>
      <c r="AR2" s="28"/>
      <c r="AS2" s="28"/>
      <c r="AT2" s="27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</row>
    <row r="3" spans="1:93" ht="15.75" thickBot="1" x14ac:dyDescent="0.3">
      <c r="A3" s="27"/>
      <c r="B3" s="428"/>
      <c r="C3" s="429"/>
      <c r="D3" s="429"/>
      <c r="E3" s="429"/>
      <c r="F3" s="429"/>
      <c r="G3" s="429"/>
      <c r="H3" s="429"/>
      <c r="I3" s="430"/>
      <c r="J3" s="27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28"/>
      <c r="AR3" s="28"/>
      <c r="AS3" s="28"/>
      <c r="AT3" s="27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</row>
    <row r="4" spans="1:93" ht="15.75" customHeight="1" x14ac:dyDescent="0.25">
      <c r="A4" s="27"/>
      <c r="B4" s="438" t="s">
        <v>310</v>
      </c>
      <c r="C4" s="439"/>
      <c r="D4" s="439"/>
      <c r="E4" s="439"/>
      <c r="F4" s="439"/>
      <c r="G4" s="439"/>
      <c r="H4" s="439"/>
      <c r="I4" s="440"/>
      <c r="J4" s="27"/>
      <c r="K4" s="554" t="s">
        <v>255</v>
      </c>
      <c r="L4" s="555"/>
      <c r="M4" s="555"/>
      <c r="N4" s="555"/>
      <c r="O4" s="555"/>
      <c r="P4" s="555"/>
      <c r="Q4" s="555"/>
      <c r="R4" s="555"/>
      <c r="S4" s="555"/>
      <c r="T4" s="555"/>
      <c r="U4" s="555"/>
      <c r="V4" s="555"/>
      <c r="W4" s="555"/>
      <c r="X4" s="555"/>
      <c r="Y4" s="556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28"/>
      <c r="AQ4" s="68"/>
      <c r="AR4" s="68"/>
      <c r="AS4" s="28"/>
      <c r="AT4" s="27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</row>
    <row r="5" spans="1:93" ht="15" customHeight="1" x14ac:dyDescent="0.25">
      <c r="A5" s="27"/>
      <c r="B5" s="548" t="s">
        <v>81</v>
      </c>
      <c r="C5" s="549"/>
      <c r="D5" s="436" t="s">
        <v>0</v>
      </c>
      <c r="E5" s="436"/>
      <c r="F5" s="436"/>
      <c r="G5" s="436"/>
      <c r="H5" s="3">
        <f>(-1*Rear_Tire_Longitudinal)+Wheel_Longitudinal_Offset</f>
        <v>1576.38</v>
      </c>
      <c r="I5" s="539" t="s">
        <v>1</v>
      </c>
      <c r="J5" s="27"/>
      <c r="K5" s="557"/>
      <c r="L5" s="558"/>
      <c r="M5" s="558"/>
      <c r="N5" s="558"/>
      <c r="O5" s="558"/>
      <c r="P5" s="558"/>
      <c r="Q5" s="558"/>
      <c r="R5" s="558"/>
      <c r="S5" s="558"/>
      <c r="T5" s="558"/>
      <c r="U5" s="558"/>
      <c r="V5" s="558"/>
      <c r="W5" s="558"/>
      <c r="X5" s="558"/>
      <c r="Y5" s="559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28"/>
      <c r="AT5" s="27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</row>
    <row r="6" spans="1:93" ht="15" customHeight="1" x14ac:dyDescent="0.25">
      <c r="A6" s="27"/>
      <c r="B6" s="550"/>
      <c r="C6" s="551"/>
      <c r="D6" s="436" t="s">
        <v>2</v>
      </c>
      <c r="E6" s="436"/>
      <c r="F6" s="436"/>
      <c r="G6" s="436"/>
      <c r="H6" s="3">
        <f>ABS(Halftrack_Front*2)</f>
        <v>1305.8</v>
      </c>
      <c r="I6" s="539"/>
      <c r="J6" s="28"/>
      <c r="K6" s="557"/>
      <c r="L6" s="558"/>
      <c r="M6" s="558"/>
      <c r="N6" s="558"/>
      <c r="O6" s="558"/>
      <c r="P6" s="558"/>
      <c r="Q6" s="558"/>
      <c r="R6" s="558"/>
      <c r="S6" s="558"/>
      <c r="T6" s="558"/>
      <c r="U6" s="558"/>
      <c r="V6" s="558"/>
      <c r="W6" s="558"/>
      <c r="X6" s="558"/>
      <c r="Y6" s="559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</row>
    <row r="7" spans="1:93" ht="15.75" customHeight="1" x14ac:dyDescent="0.25">
      <c r="A7" s="28"/>
      <c r="B7" s="550"/>
      <c r="C7" s="551"/>
      <c r="D7" s="436" t="s">
        <v>3</v>
      </c>
      <c r="E7" s="436"/>
      <c r="F7" s="436"/>
      <c r="G7" s="436"/>
      <c r="H7" s="69">
        <f>ABS(Halftrack_Rear*2)</f>
        <v>1232.78</v>
      </c>
      <c r="I7" s="539"/>
      <c r="J7" s="27"/>
      <c r="K7" s="557"/>
      <c r="L7" s="558"/>
      <c r="M7" s="558"/>
      <c r="N7" s="558"/>
      <c r="O7" s="558"/>
      <c r="P7" s="558"/>
      <c r="Q7" s="558"/>
      <c r="R7" s="558"/>
      <c r="S7" s="558"/>
      <c r="T7" s="558"/>
      <c r="U7" s="558"/>
      <c r="V7" s="558"/>
      <c r="W7" s="558"/>
      <c r="X7" s="558"/>
      <c r="Y7" s="559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28"/>
      <c r="AR7" s="28"/>
      <c r="AS7" s="27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</row>
    <row r="8" spans="1:93" ht="15" customHeight="1" thickBot="1" x14ac:dyDescent="0.3">
      <c r="A8" s="28"/>
      <c r="B8" s="550"/>
      <c r="C8" s="551"/>
      <c r="D8" s="498" t="s">
        <v>265</v>
      </c>
      <c r="E8" s="436"/>
      <c r="F8" s="436"/>
      <c r="G8" s="436"/>
      <c r="H8" s="3">
        <v>300</v>
      </c>
      <c r="I8" s="283" t="s">
        <v>100</v>
      </c>
      <c r="J8" s="27"/>
      <c r="K8" s="560"/>
      <c r="L8" s="561"/>
      <c r="M8" s="561"/>
      <c r="N8" s="561"/>
      <c r="O8" s="561"/>
      <c r="P8" s="561"/>
      <c r="Q8" s="561"/>
      <c r="R8" s="561"/>
      <c r="S8" s="561"/>
      <c r="T8" s="561"/>
      <c r="U8" s="561"/>
      <c r="V8" s="561"/>
      <c r="W8" s="561"/>
      <c r="X8" s="561"/>
      <c r="Y8" s="562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</row>
    <row r="9" spans="1:93" ht="15" customHeight="1" x14ac:dyDescent="0.25">
      <c r="A9" s="28"/>
      <c r="B9" s="550"/>
      <c r="C9" s="551"/>
      <c r="D9" s="498" t="s">
        <v>311</v>
      </c>
      <c r="E9" s="436"/>
      <c r="F9" s="436"/>
      <c r="G9" s="436"/>
      <c r="H9" s="3">
        <v>48</v>
      </c>
      <c r="I9" s="283" t="s">
        <v>206</v>
      </c>
      <c r="J9" s="27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</row>
    <row r="10" spans="1:93" ht="15" customHeight="1" thickBot="1" x14ac:dyDescent="0.3">
      <c r="A10" s="28"/>
      <c r="B10" s="550"/>
      <c r="C10" s="551"/>
      <c r="D10" s="498" t="s">
        <v>211</v>
      </c>
      <c r="E10" s="436"/>
      <c r="F10" s="436"/>
      <c r="G10" s="436"/>
      <c r="H10" s="69">
        <v>280</v>
      </c>
      <c r="I10" s="538" t="s">
        <v>1</v>
      </c>
      <c r="J10" s="27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7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</row>
    <row r="11" spans="1:93" x14ac:dyDescent="0.25">
      <c r="A11" s="28"/>
      <c r="B11" s="552"/>
      <c r="C11" s="553"/>
      <c r="D11" s="498" t="s">
        <v>205</v>
      </c>
      <c r="E11" s="436"/>
      <c r="F11" s="436"/>
      <c r="G11" s="436"/>
      <c r="H11" s="69">
        <v>0</v>
      </c>
      <c r="I11" s="538"/>
      <c r="J11" s="28"/>
      <c r="K11" s="542" t="s">
        <v>209</v>
      </c>
      <c r="L11" s="543"/>
      <c r="M11" s="543"/>
      <c r="N11" s="543"/>
      <c r="O11" s="543"/>
      <c r="P11" s="543"/>
      <c r="Q11" s="543"/>
      <c r="R11" s="543"/>
      <c r="S11" s="544"/>
      <c r="T11" s="27"/>
      <c r="U11" s="28"/>
      <c r="V11" s="542" t="s">
        <v>224</v>
      </c>
      <c r="W11" s="543"/>
      <c r="X11" s="543"/>
      <c r="Y11" s="543"/>
      <c r="Z11" s="543"/>
      <c r="AA11" s="543"/>
      <c r="AB11" s="543"/>
      <c r="AC11" s="543"/>
      <c r="AD11" s="544"/>
      <c r="AE11" s="27"/>
      <c r="AF11" s="542" t="s">
        <v>303</v>
      </c>
      <c r="AG11" s="543"/>
      <c r="AH11" s="543"/>
      <c r="AI11" s="543"/>
      <c r="AJ11" s="543"/>
      <c r="AK11" s="543"/>
      <c r="AL11" s="543"/>
      <c r="AM11" s="543"/>
      <c r="AN11" s="544"/>
      <c r="AO11" s="27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</row>
    <row r="12" spans="1:93" x14ac:dyDescent="0.25">
      <c r="A12" s="28"/>
      <c r="B12" s="567" t="s">
        <v>83</v>
      </c>
      <c r="C12" s="568"/>
      <c r="D12" s="568"/>
      <c r="E12" s="569"/>
      <c r="F12" s="282" t="s">
        <v>4</v>
      </c>
      <c r="G12" s="282" t="s">
        <v>5</v>
      </c>
      <c r="H12" s="282" t="s">
        <v>6</v>
      </c>
      <c r="I12" s="51"/>
      <c r="J12" s="27"/>
      <c r="K12" s="545"/>
      <c r="L12" s="546"/>
      <c r="M12" s="546"/>
      <c r="N12" s="546"/>
      <c r="O12" s="546"/>
      <c r="P12" s="546"/>
      <c r="Q12" s="546"/>
      <c r="R12" s="546"/>
      <c r="S12" s="547"/>
      <c r="T12" s="27"/>
      <c r="U12" s="28"/>
      <c r="V12" s="545"/>
      <c r="W12" s="546"/>
      <c r="X12" s="546"/>
      <c r="Y12" s="546"/>
      <c r="Z12" s="546"/>
      <c r="AA12" s="546"/>
      <c r="AB12" s="546"/>
      <c r="AC12" s="546"/>
      <c r="AD12" s="547"/>
      <c r="AE12" s="28"/>
      <c r="AF12" s="545"/>
      <c r="AG12" s="546"/>
      <c r="AH12" s="546"/>
      <c r="AI12" s="546"/>
      <c r="AJ12" s="546"/>
      <c r="AK12" s="546"/>
      <c r="AL12" s="546"/>
      <c r="AM12" s="546"/>
      <c r="AN12" s="547"/>
      <c r="AO12" s="27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</row>
    <row r="13" spans="1:93" ht="15" customHeight="1" x14ac:dyDescent="0.25">
      <c r="A13" s="28"/>
      <c r="B13" s="449" t="s">
        <v>26</v>
      </c>
      <c r="C13" s="571" t="s">
        <v>7</v>
      </c>
      <c r="D13" s="574" t="s">
        <v>8</v>
      </c>
      <c r="E13" s="575"/>
      <c r="F13" s="202">
        <f t="array" ref="F13:H27">'Suspension Points'!F9:H23</f>
        <v>610</v>
      </c>
      <c r="G13" s="202">
        <v>-215</v>
      </c>
      <c r="H13" s="202">
        <v>120</v>
      </c>
      <c r="I13" s="576" t="s">
        <v>1</v>
      </c>
      <c r="J13" s="27"/>
      <c r="K13" s="438"/>
      <c r="L13" s="439"/>
      <c r="M13" s="439"/>
      <c r="N13" s="439"/>
      <c r="O13" s="439"/>
      <c r="P13" s="439"/>
      <c r="Q13" s="223" t="s">
        <v>26</v>
      </c>
      <c r="R13" s="224" t="s">
        <v>84</v>
      </c>
      <c r="S13" s="215" t="s">
        <v>266</v>
      </c>
      <c r="T13" s="27"/>
      <c r="U13" s="28"/>
      <c r="V13" s="438"/>
      <c r="W13" s="439"/>
      <c r="X13" s="439"/>
      <c r="Y13" s="439"/>
      <c r="Z13" s="439"/>
      <c r="AA13" s="439"/>
      <c r="AB13" s="223" t="s">
        <v>26</v>
      </c>
      <c r="AC13" s="224" t="s">
        <v>84</v>
      </c>
      <c r="AD13" s="215" t="s">
        <v>266</v>
      </c>
      <c r="AE13" s="28"/>
      <c r="AF13" s="438"/>
      <c r="AG13" s="439"/>
      <c r="AH13" s="439"/>
      <c r="AI13" s="439"/>
      <c r="AJ13" s="439"/>
      <c r="AK13" s="439"/>
      <c r="AL13" s="223" t="s">
        <v>26</v>
      </c>
      <c r="AM13" s="224" t="s">
        <v>84</v>
      </c>
      <c r="AN13" s="220" t="s">
        <v>266</v>
      </c>
      <c r="AO13" s="27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</row>
    <row r="14" spans="1:93" ht="15" customHeight="1" x14ac:dyDescent="0.25">
      <c r="A14" s="28"/>
      <c r="B14" s="657"/>
      <c r="C14" s="572"/>
      <c r="D14" s="574" t="s">
        <v>9</v>
      </c>
      <c r="E14" s="575"/>
      <c r="F14" s="202">
        <v>970</v>
      </c>
      <c r="G14" s="202">
        <v>-215</v>
      </c>
      <c r="H14" s="202">
        <v>120</v>
      </c>
      <c r="I14" s="577"/>
      <c r="J14" s="27"/>
      <c r="K14" s="563" t="s">
        <v>81</v>
      </c>
      <c r="L14" s="498" t="s">
        <v>207</v>
      </c>
      <c r="M14" s="498"/>
      <c r="N14" s="498"/>
      <c r="O14" s="498"/>
      <c r="P14" s="498"/>
      <c r="Q14" s="540">
        <v>1.6</v>
      </c>
      <c r="R14" s="541"/>
      <c r="S14" s="217" t="s">
        <v>262</v>
      </c>
      <c r="T14" s="27"/>
      <c r="U14" s="28"/>
      <c r="V14" s="563" t="s">
        <v>81</v>
      </c>
      <c r="W14" s="498" t="s">
        <v>225</v>
      </c>
      <c r="X14" s="498"/>
      <c r="Y14" s="498"/>
      <c r="Z14" s="498"/>
      <c r="AA14" s="498"/>
      <c r="AB14" s="540"/>
      <c r="AC14" s="541"/>
      <c r="AD14" s="217" t="s">
        <v>262</v>
      </c>
      <c r="AE14" s="68"/>
      <c r="AF14" s="452" t="s">
        <v>81</v>
      </c>
      <c r="AG14" s="498" t="s">
        <v>226</v>
      </c>
      <c r="AH14" s="498"/>
      <c r="AI14" s="498"/>
      <c r="AJ14" s="498"/>
      <c r="AK14" s="498"/>
      <c r="AL14" s="181">
        <f>(((H9/100)*H8)/2)+AB16+Q16</f>
        <v>114.62931526662354</v>
      </c>
      <c r="AM14" s="181">
        <f>((((100-H9)/100)*H8)/2)+AC16+R16</f>
        <v>35.370684733376471</v>
      </c>
      <c r="AN14" s="221" t="s">
        <v>100</v>
      </c>
      <c r="AO14" s="27"/>
      <c r="AP14" s="27"/>
      <c r="AQ14" s="27"/>
      <c r="AR14" s="27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</row>
    <row r="15" spans="1:93" x14ac:dyDescent="0.25">
      <c r="A15" s="28"/>
      <c r="B15" s="657"/>
      <c r="C15" s="573"/>
      <c r="D15" s="574" t="s">
        <v>305</v>
      </c>
      <c r="E15" s="575"/>
      <c r="F15" s="202">
        <v>904.91300000000001</v>
      </c>
      <c r="G15" s="202">
        <v>-610.16499999999996</v>
      </c>
      <c r="H15" s="202">
        <v>134.929</v>
      </c>
      <c r="I15" s="578"/>
      <c r="J15" s="27"/>
      <c r="K15" s="564"/>
      <c r="L15" s="498" t="s">
        <v>208</v>
      </c>
      <c r="M15" s="498"/>
      <c r="N15" s="498"/>
      <c r="O15" s="498"/>
      <c r="P15" s="498"/>
      <c r="Q15" s="300">
        <v>1.6</v>
      </c>
      <c r="R15" s="300">
        <v>1.6</v>
      </c>
      <c r="S15" s="216"/>
      <c r="T15" s="27"/>
      <c r="U15" s="28"/>
      <c r="V15" s="564"/>
      <c r="W15" s="498" t="s">
        <v>208</v>
      </c>
      <c r="X15" s="498"/>
      <c r="Y15" s="498"/>
      <c r="Z15" s="498"/>
      <c r="AA15" s="498"/>
      <c r="AB15" s="178"/>
      <c r="AC15" s="178"/>
      <c r="AD15" s="216"/>
      <c r="AE15" s="68"/>
      <c r="AF15" s="452"/>
      <c r="AG15" s="720" t="s">
        <v>298</v>
      </c>
      <c r="AH15" s="720"/>
      <c r="AI15" s="720"/>
      <c r="AJ15" s="720"/>
      <c r="AK15" s="720"/>
      <c r="AL15" s="180">
        <f>AL14*9.81</f>
        <v>1124.513582765577</v>
      </c>
      <c r="AM15" s="180">
        <f>AM14*9.81</f>
        <v>346.98641723442319</v>
      </c>
      <c r="AN15" s="538" t="s">
        <v>212</v>
      </c>
      <c r="AO15" s="27"/>
      <c r="AP15" s="27"/>
      <c r="AQ15" s="27"/>
      <c r="AR15" s="27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</row>
    <row r="16" spans="1:93" x14ac:dyDescent="0.25">
      <c r="A16" s="27"/>
      <c r="B16" s="657"/>
      <c r="C16" s="579" t="s">
        <v>11</v>
      </c>
      <c r="D16" s="582" t="s">
        <v>8</v>
      </c>
      <c r="E16" s="583"/>
      <c r="F16" s="203">
        <v>622</v>
      </c>
      <c r="G16" s="203">
        <v>-287</v>
      </c>
      <c r="H16" s="203">
        <v>336</v>
      </c>
      <c r="I16" s="518" t="s">
        <v>1</v>
      </c>
      <c r="J16" s="28"/>
      <c r="K16" s="564"/>
      <c r="L16" s="498" t="s">
        <v>230</v>
      </c>
      <c r="M16" s="498"/>
      <c r="N16" s="498"/>
      <c r="O16" s="498"/>
      <c r="P16" s="498"/>
      <c r="Q16" s="180">
        <f>((H8*Q14*H10)/H5)/2</f>
        <v>42.629315266623529</v>
      </c>
      <c r="R16" s="180">
        <f>(((H8*Q14*H10)/H5)/2)*-1</f>
        <v>-42.629315266623529</v>
      </c>
      <c r="S16" s="538" t="s">
        <v>100</v>
      </c>
      <c r="T16" s="27"/>
      <c r="U16" s="28"/>
      <c r="V16" s="564"/>
      <c r="W16" s="498" t="s">
        <v>234</v>
      </c>
      <c r="X16" s="498"/>
      <c r="Y16" s="498"/>
      <c r="Z16" s="498"/>
      <c r="AA16" s="498"/>
      <c r="AB16" s="180">
        <f>((H8*AB14*H10)/H6)/2</f>
        <v>0</v>
      </c>
      <c r="AC16" s="180">
        <f>((H8*AB14*H10)/H7)/2</f>
        <v>0</v>
      </c>
      <c r="AD16" s="538" t="s">
        <v>100</v>
      </c>
      <c r="AE16" s="28"/>
      <c r="AF16" s="452"/>
      <c r="AG16" s="720" t="s">
        <v>233</v>
      </c>
      <c r="AH16" s="720"/>
      <c r="AI16" s="720"/>
      <c r="AJ16" s="720"/>
      <c r="AK16" s="720"/>
      <c r="AL16" s="180">
        <f>IF(AB14=0,0,AB15*AL15)</f>
        <v>0</v>
      </c>
      <c r="AM16" s="180">
        <f>IF(AB14=0,0,AC15*AM15)</f>
        <v>0</v>
      </c>
      <c r="AN16" s="538"/>
      <c r="AO16" s="27"/>
      <c r="AP16" s="27"/>
      <c r="AQ16" s="27"/>
      <c r="AR16" s="27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</row>
    <row r="17" spans="1:93" ht="15.75" thickBot="1" x14ac:dyDescent="0.3">
      <c r="A17" s="27"/>
      <c r="B17" s="657"/>
      <c r="C17" s="580"/>
      <c r="D17" s="582" t="s">
        <v>9</v>
      </c>
      <c r="E17" s="583"/>
      <c r="F17" s="203">
        <v>974</v>
      </c>
      <c r="G17" s="203">
        <v>-287</v>
      </c>
      <c r="H17" s="203">
        <v>336</v>
      </c>
      <c r="I17" s="584"/>
      <c r="J17" s="27"/>
      <c r="K17" s="564"/>
      <c r="L17" s="498" t="s">
        <v>301</v>
      </c>
      <c r="M17" s="498"/>
      <c r="N17" s="498"/>
      <c r="O17" s="498"/>
      <c r="P17" s="498"/>
      <c r="Q17" s="275">
        <f>(Q16)+((H9/100)*H8)/2</f>
        <v>114.62931526662354</v>
      </c>
      <c r="R17" s="275">
        <f>(R16)+(((100-H9)/100)*H8)/2</f>
        <v>35.370684733376471</v>
      </c>
      <c r="S17" s="539"/>
      <c r="T17" s="27"/>
      <c r="U17" s="68"/>
      <c r="V17" s="564"/>
      <c r="W17" s="498" t="s">
        <v>299</v>
      </c>
      <c r="X17" s="498"/>
      <c r="Y17" s="498"/>
      <c r="Z17" s="498"/>
      <c r="AA17" s="498"/>
      <c r="AB17" s="275">
        <f>(AB16)+((H9/100)*H8)/2</f>
        <v>72</v>
      </c>
      <c r="AC17" s="275">
        <f>(AC16)+(((100-H9)/100)*H8)/2</f>
        <v>78</v>
      </c>
      <c r="AD17" s="539"/>
      <c r="AE17" s="28"/>
      <c r="AF17" s="719"/>
      <c r="AG17" s="721" t="s">
        <v>232</v>
      </c>
      <c r="AH17" s="721"/>
      <c r="AI17" s="721"/>
      <c r="AJ17" s="721"/>
      <c r="AK17" s="721"/>
      <c r="AL17" s="274">
        <f>IF(Q14=0,0,Q15*AL15*-1)</f>
        <v>-1799.2217324249232</v>
      </c>
      <c r="AM17" s="274">
        <f>IF(Q14=0,0,R15*AM15*-1)</f>
        <v>-555.17826757507714</v>
      </c>
      <c r="AN17" s="722"/>
      <c r="AO17" s="27"/>
      <c r="AP17" s="27"/>
      <c r="AQ17" s="27"/>
      <c r="AR17" s="27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</row>
    <row r="18" spans="1:93" ht="15.75" customHeight="1" x14ac:dyDescent="0.25">
      <c r="A18" s="27"/>
      <c r="B18" s="657"/>
      <c r="C18" s="581"/>
      <c r="D18" s="582" t="s">
        <v>10</v>
      </c>
      <c r="E18" s="583"/>
      <c r="F18" s="203">
        <v>883.08699999999999</v>
      </c>
      <c r="G18" s="203">
        <v>-610.16200000000003</v>
      </c>
      <c r="H18" s="203">
        <v>384.35500000000002</v>
      </c>
      <c r="I18" s="519"/>
      <c r="J18" s="27"/>
      <c r="K18" s="564"/>
      <c r="L18" s="498" t="s">
        <v>302</v>
      </c>
      <c r="M18" s="566"/>
      <c r="N18" s="566"/>
      <c r="O18" s="566"/>
      <c r="P18" s="566"/>
      <c r="Q18" s="278">
        <f>Q17*9.81</f>
        <v>1124.513582765577</v>
      </c>
      <c r="R18" s="278">
        <f>R17*9.81</f>
        <v>346.98641723442319</v>
      </c>
      <c r="S18" s="538" t="s">
        <v>212</v>
      </c>
      <c r="T18" s="27"/>
      <c r="U18" s="28"/>
      <c r="V18" s="564"/>
      <c r="W18" s="498" t="s">
        <v>300</v>
      </c>
      <c r="X18" s="566"/>
      <c r="Y18" s="566"/>
      <c r="Z18" s="566"/>
      <c r="AA18" s="566"/>
      <c r="AB18" s="276">
        <f>AB17*9.81</f>
        <v>706.32</v>
      </c>
      <c r="AC18" s="276">
        <f>AC17*9.81</f>
        <v>765.18000000000006</v>
      </c>
      <c r="AD18" s="538" t="s">
        <v>212</v>
      </c>
      <c r="AE18" s="2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</row>
    <row r="19" spans="1:93" ht="15.75" customHeight="1" x14ac:dyDescent="0.25">
      <c r="A19" s="27"/>
      <c r="B19" s="657"/>
      <c r="C19" s="585" t="s">
        <v>243</v>
      </c>
      <c r="D19" s="588" t="s">
        <v>34</v>
      </c>
      <c r="E19" s="589"/>
      <c r="F19" s="204">
        <v>810.77</v>
      </c>
      <c r="G19" s="204">
        <v>-266.76</v>
      </c>
      <c r="H19" s="204">
        <v>122.39</v>
      </c>
      <c r="I19" s="609" t="s">
        <v>1</v>
      </c>
      <c r="J19" s="27"/>
      <c r="K19" s="564"/>
      <c r="L19" s="498" t="s">
        <v>232</v>
      </c>
      <c r="M19" s="566"/>
      <c r="N19" s="566"/>
      <c r="O19" s="566"/>
      <c r="P19" s="566"/>
      <c r="Q19" s="278">
        <f>IF(Q14=0,0,(Q18*Q15))*-1</f>
        <v>-1799.2217324249232</v>
      </c>
      <c r="R19" s="278">
        <f>IF(Q14=0,0,(R18*R15))*-1</f>
        <v>-555.17826757507714</v>
      </c>
      <c r="S19" s="538"/>
      <c r="T19" s="27"/>
      <c r="U19" s="28"/>
      <c r="V19" s="564"/>
      <c r="W19" s="566" t="s">
        <v>233</v>
      </c>
      <c r="X19" s="566"/>
      <c r="Y19" s="566"/>
      <c r="Z19" s="566"/>
      <c r="AA19" s="566"/>
      <c r="AB19" s="276">
        <f>IF(AB14=0,0,(AB18*AB15)*IF(AB14&lt;0,-1,1))</f>
        <v>0</v>
      </c>
      <c r="AC19" s="276">
        <f>IF(AB14=0,0,(AC18*AC15)*IF(AB14&lt;0,-1,1))</f>
        <v>0</v>
      </c>
      <c r="AD19" s="538"/>
      <c r="AE19" s="2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</row>
    <row r="20" spans="1:93" ht="15.75" customHeight="1" thickBot="1" x14ac:dyDescent="0.3">
      <c r="A20" s="27"/>
      <c r="B20" s="657"/>
      <c r="C20" s="586"/>
      <c r="D20" s="588" t="s">
        <v>35</v>
      </c>
      <c r="E20" s="589"/>
      <c r="F20" s="204">
        <v>930.99</v>
      </c>
      <c r="G20" s="204">
        <v>-155.74</v>
      </c>
      <c r="H20" s="204">
        <v>236.64</v>
      </c>
      <c r="I20" s="610"/>
      <c r="J20" s="27"/>
      <c r="K20" s="564"/>
      <c r="L20" s="498" t="s">
        <v>264</v>
      </c>
      <c r="M20" s="498"/>
      <c r="N20" s="498"/>
      <c r="O20" s="498"/>
      <c r="P20" s="498"/>
      <c r="Q20" s="69">
        <f>((F28/1000)/2)*Q19</f>
        <v>-468.42737803682877</v>
      </c>
      <c r="R20" s="69">
        <f>((F28/1000)/2)*R19</f>
        <v>-144.54066196317135</v>
      </c>
      <c r="S20" s="217" t="s">
        <v>223</v>
      </c>
      <c r="T20" s="27"/>
      <c r="U20" s="28"/>
      <c r="V20" s="565"/>
      <c r="W20" s="570" t="s">
        <v>263</v>
      </c>
      <c r="X20" s="570"/>
      <c r="Y20" s="570"/>
      <c r="Z20" s="570"/>
      <c r="AA20" s="570"/>
      <c r="AB20" s="277">
        <f>((F28/1000)/2)*AB19</f>
        <v>0</v>
      </c>
      <c r="AC20" s="277">
        <f>((F28/1000)/2)*AC19</f>
        <v>0</v>
      </c>
      <c r="AD20" s="218" t="s">
        <v>223</v>
      </c>
      <c r="AE20" s="2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</row>
    <row r="21" spans="1:93" ht="15" customHeight="1" x14ac:dyDescent="0.25">
      <c r="A21" s="28"/>
      <c r="B21" s="657"/>
      <c r="C21" s="586"/>
      <c r="D21" s="588" t="s">
        <v>36</v>
      </c>
      <c r="E21" s="589"/>
      <c r="F21" s="204">
        <v>895.95</v>
      </c>
      <c r="G21" s="204">
        <v>-267.63</v>
      </c>
      <c r="H21" s="204">
        <v>142.80000000000001</v>
      </c>
      <c r="I21" s="610"/>
      <c r="J21" s="28"/>
      <c r="K21" s="564"/>
      <c r="L21" s="498" t="s">
        <v>213</v>
      </c>
      <c r="M21" s="498"/>
      <c r="N21" s="498"/>
      <c r="O21" s="498"/>
      <c r="P21" s="498"/>
      <c r="Q21" s="275">
        <v>108.99</v>
      </c>
      <c r="R21" s="275">
        <v>91.8</v>
      </c>
      <c r="S21" s="217" t="s">
        <v>1</v>
      </c>
      <c r="T21" s="27"/>
      <c r="U21" s="28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</row>
    <row r="22" spans="1:93" ht="15" customHeight="1" thickBot="1" x14ac:dyDescent="0.3">
      <c r="A22" s="28"/>
      <c r="B22" s="657"/>
      <c r="C22" s="586"/>
      <c r="D22" s="588" t="s">
        <v>13</v>
      </c>
      <c r="E22" s="589"/>
      <c r="F22" s="204">
        <v>650</v>
      </c>
      <c r="G22" s="204">
        <v>-260</v>
      </c>
      <c r="H22" s="204">
        <v>285</v>
      </c>
      <c r="I22" s="610"/>
      <c r="J22" s="27"/>
      <c r="K22" s="565"/>
      <c r="L22" s="570" t="s">
        <v>210</v>
      </c>
      <c r="M22" s="570"/>
      <c r="N22" s="570"/>
      <c r="O22" s="570"/>
      <c r="P22" s="570"/>
      <c r="Q22" s="279">
        <f>Q20/(Q21/1000)</f>
        <v>-4297.8931831987229</v>
      </c>
      <c r="R22" s="279">
        <f>R20/(R21/1000)</f>
        <v>-1574.5170148493612</v>
      </c>
      <c r="S22" s="218" t="s">
        <v>212</v>
      </c>
      <c r="T22" s="27"/>
      <c r="U22" s="28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1"/>
      <c r="AH22" s="28"/>
      <c r="AI22" s="68"/>
      <c r="AJ22" s="28"/>
      <c r="AK22" s="28"/>
      <c r="AL22" s="28"/>
      <c r="AM22" s="28"/>
      <c r="AN22" s="27"/>
      <c r="AO22" s="28"/>
      <c r="AP22" s="68"/>
      <c r="AQ22" s="6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</row>
    <row r="23" spans="1:93" ht="15" customHeight="1" x14ac:dyDescent="0.25">
      <c r="A23" s="28"/>
      <c r="B23" s="657"/>
      <c r="C23" s="586"/>
      <c r="D23" s="588" t="s">
        <v>37</v>
      </c>
      <c r="E23" s="589"/>
      <c r="F23" s="204">
        <v>858.09</v>
      </c>
      <c r="G23" s="204">
        <v>-230.39</v>
      </c>
      <c r="H23" s="204">
        <v>129.53</v>
      </c>
      <c r="I23" s="610"/>
      <c r="J23" s="27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8"/>
      <c r="AH23" s="28"/>
      <c r="AI23" s="68"/>
      <c r="AJ23" s="28"/>
      <c r="AK23" s="28"/>
      <c r="AL23" s="68"/>
      <c r="AM23" s="28"/>
      <c r="AN23" s="27"/>
      <c r="AO23" s="28"/>
      <c r="AP23" s="68"/>
      <c r="AQ23" s="68"/>
      <c r="AR23" s="28"/>
      <c r="AS23" s="28"/>
      <c r="AT23" s="27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</row>
    <row r="24" spans="1:93" ht="15" customHeight="1" x14ac:dyDescent="0.25">
      <c r="A24" s="28"/>
      <c r="B24" s="657"/>
      <c r="C24" s="587"/>
      <c r="D24" s="588" t="s">
        <v>12</v>
      </c>
      <c r="E24" s="589"/>
      <c r="F24" s="204">
        <v>883.18311399000004</v>
      </c>
      <c r="G24" s="204">
        <v>-565.64</v>
      </c>
      <c r="H24" s="204">
        <v>354.17</v>
      </c>
      <c r="I24" s="611"/>
      <c r="J24" s="27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C24" s="28"/>
      <c r="AD24" s="28"/>
      <c r="AE24" s="28"/>
      <c r="AF24" s="28"/>
      <c r="AG24" s="28"/>
      <c r="AH24" s="68"/>
      <c r="AI24" s="28"/>
      <c r="AJ24" s="28"/>
      <c r="AK24" s="68"/>
      <c r="AL24" s="68"/>
      <c r="AM24" s="68"/>
      <c r="AN24" s="27"/>
      <c r="AO24" s="28"/>
      <c r="AP24" s="28"/>
      <c r="AQ24" s="28"/>
      <c r="AR24" s="28"/>
      <c r="AS24" s="28"/>
      <c r="AT24" s="27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</row>
    <row r="25" spans="1:93" ht="15.75" customHeight="1" thickBot="1" x14ac:dyDescent="0.3">
      <c r="A25" s="28"/>
      <c r="B25" s="657"/>
      <c r="C25" s="601" t="s">
        <v>14</v>
      </c>
      <c r="D25" s="604" t="s">
        <v>15</v>
      </c>
      <c r="E25" s="605"/>
      <c r="F25" s="205">
        <v>835.721</v>
      </c>
      <c r="G25" s="205">
        <v>-628.71100000000001</v>
      </c>
      <c r="H25" s="205">
        <v>168.28800000000001</v>
      </c>
      <c r="I25" s="606" t="s">
        <v>1</v>
      </c>
      <c r="J25" s="27"/>
      <c r="K25" s="28"/>
      <c r="L25" s="28"/>
      <c r="M25" s="28"/>
      <c r="N25" s="28"/>
      <c r="O25" s="28"/>
      <c r="P25" s="28"/>
      <c r="Q25" s="28"/>
      <c r="R25" s="28"/>
      <c r="S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68"/>
      <c r="AK25" s="68"/>
      <c r="AL25" s="28"/>
      <c r="AM25" s="68"/>
      <c r="AN25" s="68"/>
      <c r="AO25" s="28"/>
      <c r="AP25" s="28"/>
      <c r="AQ25" s="68"/>
      <c r="AR25" s="68"/>
      <c r="AS25" s="28"/>
      <c r="AT25" s="27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</row>
    <row r="26" spans="1:93" ht="15.75" customHeight="1" thickTop="1" x14ac:dyDescent="0.25">
      <c r="A26" s="28"/>
      <c r="B26" s="657"/>
      <c r="C26" s="602"/>
      <c r="D26" s="604" t="s">
        <v>16</v>
      </c>
      <c r="E26" s="605"/>
      <c r="F26" s="205">
        <v>737.96</v>
      </c>
      <c r="G26" s="205">
        <v>-197.67</v>
      </c>
      <c r="H26" s="205">
        <v>133.41999999999999</v>
      </c>
      <c r="I26" s="607"/>
      <c r="J26" s="28"/>
      <c r="K26" s="27"/>
      <c r="L26" s="612" t="s">
        <v>307</v>
      </c>
      <c r="M26" s="613"/>
      <c r="N26" s="613"/>
      <c r="O26" s="613"/>
      <c r="P26" s="613"/>
      <c r="Q26" s="613"/>
      <c r="R26" s="614"/>
      <c r="S26" s="28"/>
      <c r="T26" s="28"/>
      <c r="U26" s="28"/>
      <c r="V26" s="527" t="s">
        <v>220</v>
      </c>
      <c r="W26" s="528"/>
      <c r="X26" s="528"/>
      <c r="Y26" s="528"/>
      <c r="Z26" s="528"/>
      <c r="AA26" s="528"/>
      <c r="AB26" s="28"/>
      <c r="AC26" s="472" t="s">
        <v>221</v>
      </c>
      <c r="AD26" s="473"/>
      <c r="AE26" s="473"/>
      <c r="AF26" s="473"/>
      <c r="AG26" s="473"/>
      <c r="AH26" s="474"/>
      <c r="AI26" s="496" t="s">
        <v>222</v>
      </c>
      <c r="AJ26" s="234"/>
      <c r="AK26" s="504" t="s">
        <v>271</v>
      </c>
      <c r="AL26" s="505"/>
      <c r="AM26" s="28"/>
      <c r="AN26" s="28"/>
      <c r="AO26" s="28"/>
      <c r="AP26" s="68"/>
      <c r="AQ26" s="68"/>
      <c r="AR26" s="68"/>
      <c r="AS26" s="28"/>
      <c r="AT26" s="27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</row>
    <row r="27" spans="1:93" ht="15.75" customHeight="1" thickBot="1" x14ac:dyDescent="0.3">
      <c r="A27" s="28"/>
      <c r="B27" s="657"/>
      <c r="C27" s="603"/>
      <c r="D27" s="604" t="s">
        <v>17</v>
      </c>
      <c r="E27" s="605"/>
      <c r="F27" s="205">
        <v>737.96</v>
      </c>
      <c r="G27" s="205">
        <v>0</v>
      </c>
      <c r="H27" s="205">
        <v>133.41999999999999</v>
      </c>
      <c r="I27" s="608"/>
      <c r="J27" s="27"/>
      <c r="K27" s="27"/>
      <c r="L27" s="615"/>
      <c r="M27" s="530"/>
      <c r="N27" s="530"/>
      <c r="O27" s="530"/>
      <c r="P27" s="530"/>
      <c r="Q27" s="530"/>
      <c r="R27" s="616"/>
      <c r="S27" s="28"/>
      <c r="T27" s="28"/>
      <c r="U27" s="28"/>
      <c r="V27" s="529"/>
      <c r="W27" s="530"/>
      <c r="X27" s="530"/>
      <c r="Y27" s="530"/>
      <c r="Z27" s="530"/>
      <c r="AA27" s="530"/>
      <c r="AB27" s="28"/>
      <c r="AC27" s="475"/>
      <c r="AD27" s="476"/>
      <c r="AE27" s="476"/>
      <c r="AF27" s="476"/>
      <c r="AG27" s="476"/>
      <c r="AH27" s="477"/>
      <c r="AI27" s="497"/>
      <c r="AJ27" s="233"/>
      <c r="AK27" s="506"/>
      <c r="AL27" s="507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</row>
    <row r="28" spans="1:93" ht="15.75" customHeight="1" x14ac:dyDescent="0.25">
      <c r="A28" s="28"/>
      <c r="B28" s="657"/>
      <c r="C28" s="459" t="s">
        <v>68</v>
      </c>
      <c r="D28" s="600" t="s">
        <v>20</v>
      </c>
      <c r="E28" s="600"/>
      <c r="F28" s="662">
        <v>520.70000000000005</v>
      </c>
      <c r="G28" s="662"/>
      <c r="H28" s="662"/>
      <c r="I28" s="654" t="s">
        <v>1</v>
      </c>
      <c r="J28" s="27"/>
      <c r="K28" s="27"/>
      <c r="L28" s="617" t="s">
        <v>76</v>
      </c>
      <c r="M28" s="618"/>
      <c r="N28" s="618"/>
      <c r="O28" s="182">
        <f t="array" ref="O28:O33">MMULT(MINVERSE(AC28:AH33),AI28:AI33)</f>
        <v>4141.0728870722687</v>
      </c>
      <c r="P28" s="494" t="s">
        <v>212</v>
      </c>
      <c r="Q28" s="624" t="str">
        <f>IF(O28&gt;0, "Compression", "Tension")</f>
        <v>Compression</v>
      </c>
      <c r="R28" s="625"/>
      <c r="S28" s="28"/>
      <c r="T28" s="28"/>
      <c r="U28" s="28"/>
      <c r="V28" s="173"/>
      <c r="W28" s="174"/>
      <c r="X28" s="175"/>
      <c r="Y28" s="36" t="s">
        <v>4</v>
      </c>
      <c r="Z28" s="36" t="s">
        <v>5</v>
      </c>
      <c r="AA28" s="37" t="s">
        <v>6</v>
      </c>
      <c r="AB28" s="28"/>
      <c r="AC28" s="183">
        <f t="array" ref="AC28:AH28">TRANSPOSE(Y29:Y34)</f>
        <v>-0.59782836865274669</v>
      </c>
      <c r="AD28" s="184">
        <v>0.162405893428441</v>
      </c>
      <c r="AE28" s="184">
        <v>-0.62422734550126657</v>
      </c>
      <c r="AF28" s="184">
        <v>0.26804462704918236</v>
      </c>
      <c r="AG28" s="184">
        <v>0.22049957258406747</v>
      </c>
      <c r="AH28" s="185">
        <v>-6.2060479987349197E-2</v>
      </c>
      <c r="AI28" s="176">
        <f>AL17</f>
        <v>-1799.2217324249232</v>
      </c>
      <c r="AJ28" s="229" t="s">
        <v>219</v>
      </c>
      <c r="AK28" s="506"/>
      <c r="AL28" s="507"/>
      <c r="AM28" s="27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</row>
    <row r="29" spans="1:93" ht="15.75" customHeight="1" x14ac:dyDescent="0.25">
      <c r="A29" s="28"/>
      <c r="B29" s="657"/>
      <c r="C29" s="664"/>
      <c r="D29" s="600" t="s">
        <v>21</v>
      </c>
      <c r="E29" s="600"/>
      <c r="F29" s="662">
        <v>206</v>
      </c>
      <c r="G29" s="662"/>
      <c r="H29" s="662"/>
      <c r="I29" s="655"/>
      <c r="J29" s="27"/>
      <c r="K29" s="27"/>
      <c r="L29" s="488" t="s">
        <v>77</v>
      </c>
      <c r="M29" s="489"/>
      <c r="N29" s="489"/>
      <c r="O29" s="177">
        <v>-4480.9763196558342</v>
      </c>
      <c r="P29" s="495"/>
      <c r="Q29" s="490" t="str">
        <f t="shared" ref="Q29:Q33" si="0">IF(O29&gt;0, "Compression", "Tension")</f>
        <v>Tension</v>
      </c>
      <c r="R29" s="491"/>
      <c r="S29" s="28"/>
      <c r="T29" s="28"/>
      <c r="U29" s="28"/>
      <c r="V29" s="531" t="s">
        <v>257</v>
      </c>
      <c r="W29" s="532"/>
      <c r="X29" s="533"/>
      <c r="Y29" s="169">
        <f>(F$15-F13)/$Z$39*-1</f>
        <v>-0.59782836865274669</v>
      </c>
      <c r="Z29" s="169">
        <f>(G$15-G13)/$Z$39*-1</f>
        <v>0.80105267417395165</v>
      </c>
      <c r="AA29" s="169">
        <f>(H$15-H13)/$Z$39*-1</f>
        <v>-3.0263093575450574E-2</v>
      </c>
      <c r="AB29" s="28"/>
      <c r="AC29" s="186">
        <f t="array" ref="AC29:AH29">TRANSPOSE(Z29:Z34)</f>
        <v>0.80105267417395165</v>
      </c>
      <c r="AD29" s="187">
        <v>0.98602063202559487</v>
      </c>
      <c r="AE29" s="187">
        <v>0.77264114041250742</v>
      </c>
      <c r="AF29" s="187">
        <v>0.9527992450636088</v>
      </c>
      <c r="AG29" s="187">
        <v>0.97221137535631863</v>
      </c>
      <c r="AH29" s="188">
        <v>0.82914284468839705</v>
      </c>
      <c r="AI29" s="179">
        <f>AL16</f>
        <v>0</v>
      </c>
      <c r="AJ29" s="227" t="s">
        <v>214</v>
      </c>
      <c r="AK29" s="506"/>
      <c r="AL29" s="507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</row>
    <row r="30" spans="1:93" x14ac:dyDescent="0.25">
      <c r="A30" s="28"/>
      <c r="B30" s="657"/>
      <c r="C30" s="664"/>
      <c r="D30" s="619" t="s">
        <v>28</v>
      </c>
      <c r="E30" s="619"/>
      <c r="F30" s="287"/>
      <c r="G30" s="287"/>
      <c r="H30" s="287"/>
      <c r="I30" s="655"/>
      <c r="J30" s="27"/>
      <c r="K30" s="27"/>
      <c r="L30" s="488" t="s">
        <v>74</v>
      </c>
      <c r="M30" s="489"/>
      <c r="N30" s="489"/>
      <c r="O30" s="177">
        <v>-411.92016319261131</v>
      </c>
      <c r="P30" s="495"/>
      <c r="Q30" s="490" t="str">
        <f t="shared" si="0"/>
        <v>Tension</v>
      </c>
      <c r="R30" s="491"/>
      <c r="S30" s="28"/>
      <c r="T30" s="28"/>
      <c r="U30" s="28"/>
      <c r="V30" s="531" t="s">
        <v>256</v>
      </c>
      <c r="W30" s="532"/>
      <c r="X30" s="533"/>
      <c r="Y30" s="169">
        <f>(F$15-F14)/$Z$40*-1</f>
        <v>0.162405893428441</v>
      </c>
      <c r="Z30" s="169">
        <f>(G$15-G14)/$Z$40*-1</f>
        <v>0.98602063202559487</v>
      </c>
      <c r="AA30" s="169">
        <f>(H$15-H14)/$Z$40*-1</f>
        <v>-3.7251026825528853E-2</v>
      </c>
      <c r="AB30" s="28"/>
      <c r="AC30" s="186">
        <f t="array" ref="AC30:AH30">TRANSPOSE(AA29:AA34)</f>
        <v>-3.0263093575450574E-2</v>
      </c>
      <c r="AD30" s="187">
        <v>-3.7251026825528853E-2</v>
      </c>
      <c r="AE30" s="187">
        <v>-0.1156109392337181</v>
      </c>
      <c r="AF30" s="187">
        <v>-0.14256814692027781</v>
      </c>
      <c r="AG30" s="187">
        <v>-7.864464456031825E-2</v>
      </c>
      <c r="AH30" s="188">
        <v>-0.55558135311201051</v>
      </c>
      <c r="AI30" s="179">
        <f>AL15</f>
        <v>1124.513582765577</v>
      </c>
      <c r="AJ30" s="227" t="s">
        <v>215</v>
      </c>
      <c r="AK30" s="506"/>
      <c r="AL30" s="507"/>
      <c r="AM30" s="6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</row>
    <row r="31" spans="1:93" ht="15" customHeight="1" x14ac:dyDescent="0.25">
      <c r="A31" s="28"/>
      <c r="B31" s="657"/>
      <c r="C31" s="664"/>
      <c r="D31" s="600" t="s">
        <v>231</v>
      </c>
      <c r="E31" s="600"/>
      <c r="F31" s="285">
        <v>842.1</v>
      </c>
      <c r="G31" s="285">
        <f>-H6/2</f>
        <v>-652.9</v>
      </c>
      <c r="H31" s="285">
        <v>0</v>
      </c>
      <c r="I31" s="655"/>
      <c r="J31" s="28"/>
      <c r="K31" s="27"/>
      <c r="L31" s="488" t="s">
        <v>75</v>
      </c>
      <c r="M31" s="489"/>
      <c r="N31" s="489"/>
      <c r="O31" s="177">
        <v>2764.0575785179485</v>
      </c>
      <c r="P31" s="495"/>
      <c r="Q31" s="490" t="str">
        <f t="shared" si="0"/>
        <v>Compression</v>
      </c>
      <c r="R31" s="491"/>
      <c r="S31" s="28"/>
      <c r="T31" s="28"/>
      <c r="U31" s="28"/>
      <c r="V31" s="590" t="s">
        <v>258</v>
      </c>
      <c r="W31" s="591"/>
      <c r="X31" s="592"/>
      <c r="Y31" s="170">
        <f>(F$18-F16)/$Z$41*-1</f>
        <v>-0.62422734550126657</v>
      </c>
      <c r="Z31" s="170">
        <f>(G$18-G16)/$Z$41*-1</f>
        <v>0.77264114041250742</v>
      </c>
      <c r="AA31" s="170">
        <f>(H$18-H16)/$Z$41*-1</f>
        <v>-0.1156109392337181</v>
      </c>
      <c r="AB31" s="28"/>
      <c r="AC31" s="186">
        <f>(AC30*($G$15/1000)-AC29*($H$15/1000))</f>
        <v>-8.9619755782152311E-2</v>
      </c>
      <c r="AD31" s="187">
        <f>(AD30*($G$15/1000)-AD29*($H$15/1000))</f>
        <v>-0.11031350507558267</v>
      </c>
      <c r="AE31" s="187">
        <f>(AE30*($G$18/1000)-AE29*($H$18/1000))</f>
        <v>-0.22642708361852537</v>
      </c>
      <c r="AF31" s="187">
        <f>(AF30*($G$18/1000)-AF29*($H$18/1000))</f>
        <v>-0.27922348817525283</v>
      </c>
      <c r="AG31" s="187">
        <f>(AG30*(G25/1000)-AG29*(H25/1000))</f>
        <v>-0.1141667548098019</v>
      </c>
      <c r="AH31" s="188">
        <f>(AH30*(G24/1000)-AH29*(H24/1000))</f>
        <v>2.0601515270988024E-2</v>
      </c>
      <c r="AI31" s="179">
        <f>(AI30*(G31/1000))-(AI29*(H31/1000))</f>
        <v>-734.19491818764516</v>
      </c>
      <c r="AJ31" s="228" t="s">
        <v>216</v>
      </c>
      <c r="AK31" s="506"/>
      <c r="AL31" s="507"/>
      <c r="AM31" s="6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</row>
    <row r="32" spans="1:93" x14ac:dyDescent="0.25">
      <c r="A32" s="28"/>
      <c r="B32" s="657"/>
      <c r="C32" s="664"/>
      <c r="D32" s="619" t="s">
        <v>291</v>
      </c>
      <c r="E32" s="619"/>
      <c r="F32" s="285"/>
      <c r="G32" s="285"/>
      <c r="H32" s="285"/>
      <c r="I32" s="655"/>
      <c r="J32" s="27"/>
      <c r="K32" s="27"/>
      <c r="L32" s="488" t="s">
        <v>73</v>
      </c>
      <c r="M32" s="489"/>
      <c r="N32" s="489"/>
      <c r="O32" s="177">
        <v>1074.9916066318692</v>
      </c>
      <c r="P32" s="495"/>
      <c r="Q32" s="490" t="str">
        <f t="shared" si="0"/>
        <v>Compression</v>
      </c>
      <c r="R32" s="491"/>
      <c r="S32" s="28"/>
      <c r="T32" s="28"/>
      <c r="U32" s="28"/>
      <c r="V32" s="590" t="s">
        <v>259</v>
      </c>
      <c r="W32" s="591"/>
      <c r="X32" s="592"/>
      <c r="Y32" s="170">
        <f>(F$18-F17)/$Z$42*-1</f>
        <v>0.26804462704918236</v>
      </c>
      <c r="Z32" s="170">
        <f>(G$18-G17)/$Z$42*-1</f>
        <v>0.9527992450636088</v>
      </c>
      <c r="AA32" s="170">
        <f>(H$18-H17)/$Z$42*-1</f>
        <v>-0.14256814692027781</v>
      </c>
      <c r="AB32" s="68"/>
      <c r="AC32" s="186">
        <f>(AC28*($H$15/1000))-(AC30*($F$15/1000))</f>
        <v>-5.3278917157304748E-2</v>
      </c>
      <c r="AD32" s="187">
        <f>(AD28*($H$15/1000))-(AD30*($F$15/1000))</f>
        <v>5.5622203232175899E-2</v>
      </c>
      <c r="AE32" s="187">
        <f>(AE28*($H$18/1000))-(AE30*($F$18/1000))</f>
        <v>-0.13783038388505289</v>
      </c>
      <c r="AF32" s="187">
        <f>(AF28*($H$18/1000))-(AF30*($F$18/1000))</f>
        <v>0.22892436978887587</v>
      </c>
      <c r="AG32" s="187">
        <f>(AG28*(H25/1000))-(AG30*(F25/1000))</f>
        <v>0.10283241306762128</v>
      </c>
      <c r="AH32" s="188">
        <f>(AH28*(H24/1000))-(AH30*(F24/1000))</f>
        <v>0.46870010931912381</v>
      </c>
      <c r="AI32" s="179">
        <f>(AI28*(H31/1000))-(AI30*(F31/1000))</f>
        <v>-946.95288804689244</v>
      </c>
      <c r="AJ32" s="228" t="s">
        <v>217</v>
      </c>
      <c r="AK32" s="506"/>
      <c r="AL32" s="507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</row>
    <row r="33" spans="1:93" ht="15.75" thickBot="1" x14ac:dyDescent="0.3">
      <c r="A33" s="28"/>
      <c r="B33" s="658"/>
      <c r="C33" s="665"/>
      <c r="D33" s="663" t="s">
        <v>292</v>
      </c>
      <c r="E33" s="663"/>
      <c r="F33" s="272"/>
      <c r="G33" s="272"/>
      <c r="H33" s="272"/>
      <c r="I33" s="656"/>
      <c r="J33" s="27"/>
      <c r="K33" s="27"/>
      <c r="L33" s="488" t="s">
        <v>72</v>
      </c>
      <c r="M33" s="489"/>
      <c r="N33" s="489"/>
      <c r="O33" s="177">
        <v>-2724.8947508496913</v>
      </c>
      <c r="P33" s="495"/>
      <c r="Q33" s="490" t="str">
        <f t="shared" si="0"/>
        <v>Tension</v>
      </c>
      <c r="R33" s="491"/>
      <c r="S33" s="28"/>
      <c r="T33" s="28"/>
      <c r="U33" s="28"/>
      <c r="V33" s="534" t="s">
        <v>260</v>
      </c>
      <c r="W33" s="373"/>
      <c r="X33" s="327"/>
      <c r="Y33" s="171">
        <f>(F25-F26)/$Z$43</f>
        <v>0.22049957258406747</v>
      </c>
      <c r="Z33" s="171">
        <f>(G25-G26)/$Z$43*-1</f>
        <v>0.97221137535631863</v>
      </c>
      <c r="AA33" s="171">
        <f>(H25-H26)/$Z$43*-1</f>
        <v>-7.864464456031825E-2</v>
      </c>
      <c r="AB33" s="68"/>
      <c r="AC33" s="189">
        <f>(AC29*($F$15/1000))-(AC28*($G$15/1000))</f>
        <v>0.36010903198576999</v>
      </c>
      <c r="AD33" s="190">
        <f>(AD29*($F$15/1000))-(AD28*($G$15/1000))</f>
        <v>0.9913572801519418</v>
      </c>
      <c r="AE33" s="190">
        <f>(AE29*($F$18/1000))-(AE28*($G$18/1000))</f>
        <v>0.30142954117771609</v>
      </c>
      <c r="AF33" s="190">
        <f>(AF29*($F$18/1000))-(AF28*($G$18/1000))</f>
        <v>1.0049552726550701</v>
      </c>
      <c r="AG33" s="190">
        <f>(AG29*(F25/1000))-(AG28*(G25/1000))</f>
        <v>0.95112796960305968</v>
      </c>
      <c r="AH33" s="191">
        <f>(AH29*(F24/1000))-(AH28*(G24/1000))</f>
        <v>0.69718106961438131</v>
      </c>
      <c r="AI33" s="192">
        <f>(AI29*(F31/1000))-(AI28*(G31/1000))</f>
        <v>-1174.7118691002322</v>
      </c>
      <c r="AJ33" s="235" t="s">
        <v>218</v>
      </c>
      <c r="AK33" s="508"/>
      <c r="AL33" s="509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</row>
    <row r="34" spans="1:93" ht="15.75" thickBot="1" x14ac:dyDescent="0.3">
      <c r="A34" s="28"/>
      <c r="B34" s="659" t="s">
        <v>84</v>
      </c>
      <c r="C34" s="384" t="s">
        <v>7</v>
      </c>
      <c r="D34" s="620" t="s">
        <v>8</v>
      </c>
      <c r="E34" s="621"/>
      <c r="F34" s="197">
        <f t="array" ref="F34:H47">RearSuspensionPoints</f>
        <v>-710.16</v>
      </c>
      <c r="G34" s="197">
        <v>-231.13</v>
      </c>
      <c r="H34" s="197">
        <v>128.78</v>
      </c>
      <c r="I34" s="622" t="s">
        <v>1</v>
      </c>
      <c r="J34" s="27"/>
      <c r="K34" s="27"/>
      <c r="L34" s="594" t="s">
        <v>253</v>
      </c>
      <c r="M34" s="595"/>
      <c r="N34" s="595"/>
      <c r="O34" s="595"/>
      <c r="P34" s="595"/>
      <c r="Q34" s="595"/>
      <c r="R34" s="596"/>
      <c r="S34" s="28"/>
      <c r="T34" s="28"/>
      <c r="U34" s="28"/>
      <c r="V34" s="535" t="s">
        <v>251</v>
      </c>
      <c r="W34" s="536"/>
      <c r="X34" s="537"/>
      <c r="Y34" s="172">
        <f>(F24-F23)/$Z$44*-1</f>
        <v>-6.2060479987349197E-2</v>
      </c>
      <c r="Z34" s="172">
        <f>(G24-G23)/$Z$44*-1</f>
        <v>0.82914284468839705</v>
      </c>
      <c r="AA34" s="172">
        <f>(H24-H23)/$Z$44*-1</f>
        <v>-0.55558135311201051</v>
      </c>
      <c r="AB34" s="68"/>
      <c r="AC34" s="28"/>
      <c r="AD34" s="68"/>
      <c r="AE34" s="68"/>
      <c r="AF34" s="68"/>
      <c r="AG34" s="68"/>
      <c r="AH34" s="68"/>
      <c r="AI34" s="68"/>
      <c r="AJ34" s="68"/>
      <c r="AK34" s="28"/>
      <c r="AL34" s="68"/>
      <c r="AM34" s="68"/>
      <c r="AN34" s="6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</row>
    <row r="35" spans="1:93" ht="15.75" thickBot="1" x14ac:dyDescent="0.3">
      <c r="A35" s="28"/>
      <c r="B35" s="660"/>
      <c r="C35" s="385"/>
      <c r="D35" s="574" t="s">
        <v>9</v>
      </c>
      <c r="E35" s="575"/>
      <c r="F35" s="198">
        <v>-470.62</v>
      </c>
      <c r="G35" s="198">
        <v>-302.72000000000003</v>
      </c>
      <c r="H35" s="198">
        <v>133.81</v>
      </c>
      <c r="I35" s="623"/>
      <c r="J35" s="28"/>
      <c r="K35" s="27"/>
      <c r="L35" s="597"/>
      <c r="M35" s="598"/>
      <c r="N35" s="598"/>
      <c r="O35" s="598"/>
      <c r="P35" s="598"/>
      <c r="Q35" s="598"/>
      <c r="R35" s="599"/>
      <c r="S35" s="28"/>
      <c r="T35" s="28"/>
      <c r="U35" s="28"/>
      <c r="V35" s="28"/>
      <c r="W35" s="28"/>
      <c r="X35" s="28"/>
      <c r="Y35" s="28"/>
      <c r="Z35" s="28"/>
      <c r="AB35" s="68"/>
      <c r="AC35" s="28"/>
      <c r="AD35" s="68"/>
      <c r="AE35" s="68"/>
      <c r="AF35" s="68"/>
      <c r="AG35" s="68"/>
      <c r="AH35" s="68"/>
      <c r="AI35" s="68"/>
      <c r="AJ35" s="6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</row>
    <row r="36" spans="1:93" ht="15.75" customHeight="1" thickBot="1" x14ac:dyDescent="0.3">
      <c r="A36" s="28"/>
      <c r="B36" s="660"/>
      <c r="C36" s="385"/>
      <c r="D36" s="574" t="s">
        <v>305</v>
      </c>
      <c r="E36" s="575"/>
      <c r="F36" s="198">
        <v>-768.28</v>
      </c>
      <c r="G36" s="198">
        <v>-594.91</v>
      </c>
      <c r="H36" s="198">
        <v>173.37</v>
      </c>
      <c r="I36" s="623"/>
      <c r="J36" s="28"/>
      <c r="K36" s="27"/>
      <c r="L36" s="617" t="s">
        <v>76</v>
      </c>
      <c r="M36" s="618"/>
      <c r="N36" s="618"/>
      <c r="O36" s="182">
        <f t="array" ref="O36:O41">MMULT(MINVERSE(AC49:AH54),AI49:AI54)</f>
        <v>1133.5532480403067</v>
      </c>
      <c r="P36" s="494" t="s">
        <v>212</v>
      </c>
      <c r="Q36" s="624" t="str">
        <f t="shared" ref="Q36:Q41" si="1">IF(O36&gt;0, "Compression", "Tension")</f>
        <v>Compression</v>
      </c>
      <c r="R36" s="625"/>
      <c r="S36" s="28"/>
      <c r="T36" s="28"/>
      <c r="U36" s="28"/>
      <c r="V36" s="512" t="s">
        <v>227</v>
      </c>
      <c r="W36" s="513"/>
      <c r="X36" s="513"/>
      <c r="Y36" s="513"/>
      <c r="Z36" s="513"/>
      <c r="AA36" s="513"/>
      <c r="AB36" s="514"/>
      <c r="AC36" s="28"/>
      <c r="AD36" s="527" t="s">
        <v>254</v>
      </c>
      <c r="AE36" s="528"/>
      <c r="AF36" s="528"/>
      <c r="AG36" s="528"/>
      <c r="AH36" s="528"/>
      <c r="AI36" s="723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</row>
    <row r="37" spans="1:93" ht="15" customHeight="1" thickBot="1" x14ac:dyDescent="0.3">
      <c r="A37" s="68"/>
      <c r="B37" s="660"/>
      <c r="C37" s="382" t="s">
        <v>11</v>
      </c>
      <c r="D37" s="582" t="s">
        <v>8</v>
      </c>
      <c r="E37" s="583"/>
      <c r="F37" s="199">
        <v>-709.22</v>
      </c>
      <c r="G37" s="199">
        <v>-287.60000000000002</v>
      </c>
      <c r="H37" s="199">
        <v>298.79000000000002</v>
      </c>
      <c r="I37" s="593" t="s">
        <v>1</v>
      </c>
      <c r="J37" s="28"/>
      <c r="K37" s="27"/>
      <c r="L37" s="488" t="s">
        <v>77</v>
      </c>
      <c r="M37" s="489"/>
      <c r="N37" s="489"/>
      <c r="O37" s="177">
        <v>-1778.4860404819406</v>
      </c>
      <c r="P37" s="495"/>
      <c r="Q37" s="490" t="str">
        <f t="shared" si="1"/>
        <v>Tension</v>
      </c>
      <c r="R37" s="491"/>
      <c r="S37" s="28"/>
      <c r="T37" s="28"/>
      <c r="U37" s="28"/>
      <c r="V37" s="515"/>
      <c r="W37" s="516"/>
      <c r="X37" s="516"/>
      <c r="Y37" s="516"/>
      <c r="Z37" s="516"/>
      <c r="AA37" s="516"/>
      <c r="AB37" s="517"/>
      <c r="AC37" s="28"/>
      <c r="AD37" s="529"/>
      <c r="AE37" s="530"/>
      <c r="AF37" s="530"/>
      <c r="AG37" s="530"/>
      <c r="AH37" s="530"/>
      <c r="AI37" s="724"/>
      <c r="AJ37" s="28"/>
      <c r="AK37" s="28"/>
      <c r="AL37" s="28"/>
      <c r="AM37" s="527" t="s">
        <v>297</v>
      </c>
      <c r="AN37" s="528"/>
      <c r="AO37" s="528"/>
      <c r="AP37" s="528"/>
      <c r="AQ37" s="528"/>
      <c r="AR37" s="5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</row>
    <row r="38" spans="1:93" ht="15.75" customHeight="1" thickBot="1" x14ac:dyDescent="0.3">
      <c r="A38" s="68"/>
      <c r="B38" s="660"/>
      <c r="C38" s="382"/>
      <c r="D38" s="582" t="s">
        <v>9</v>
      </c>
      <c r="E38" s="583"/>
      <c r="F38" s="199">
        <v>-471.39</v>
      </c>
      <c r="G38" s="199">
        <v>-327.55</v>
      </c>
      <c r="H38" s="199">
        <v>307.42</v>
      </c>
      <c r="I38" s="593"/>
      <c r="J38" s="28"/>
      <c r="K38" s="27"/>
      <c r="L38" s="488" t="s">
        <v>74</v>
      </c>
      <c r="M38" s="489"/>
      <c r="N38" s="489"/>
      <c r="O38" s="177">
        <v>-14.287373222472951</v>
      </c>
      <c r="P38" s="495"/>
      <c r="Q38" s="490" t="str">
        <f t="shared" si="1"/>
        <v>Tension</v>
      </c>
      <c r="R38" s="491"/>
      <c r="S38" s="28"/>
      <c r="T38" s="28"/>
      <c r="U38" s="28"/>
      <c r="V38" s="633" t="s">
        <v>82</v>
      </c>
      <c r="W38" s="634"/>
      <c r="X38" s="634"/>
      <c r="Y38" s="634"/>
      <c r="Z38" s="634" t="s">
        <v>70</v>
      </c>
      <c r="AA38" s="634"/>
      <c r="AB38" s="63" t="s">
        <v>266</v>
      </c>
      <c r="AC38" s="28"/>
      <c r="AD38" s="725"/>
      <c r="AE38" s="726"/>
      <c r="AF38" s="727"/>
      <c r="AG38" s="213" t="s">
        <v>4</v>
      </c>
      <c r="AH38" s="213" t="s">
        <v>5</v>
      </c>
      <c r="AI38" s="214" t="s">
        <v>6</v>
      </c>
      <c r="AJ38" s="28"/>
      <c r="AK38" s="28"/>
      <c r="AL38" s="28"/>
      <c r="AM38" s="529"/>
      <c r="AN38" s="530"/>
      <c r="AO38" s="530"/>
      <c r="AP38" s="530"/>
      <c r="AQ38" s="530"/>
      <c r="AR38" s="530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</row>
    <row r="39" spans="1:93" ht="15.75" customHeight="1" x14ac:dyDescent="0.25">
      <c r="A39" s="68"/>
      <c r="B39" s="660"/>
      <c r="C39" s="382"/>
      <c r="D39" s="582" t="s">
        <v>10</v>
      </c>
      <c r="E39" s="583"/>
      <c r="F39" s="199">
        <v>-734.26</v>
      </c>
      <c r="G39" s="199">
        <v>-559.35</v>
      </c>
      <c r="H39" s="199">
        <v>351.42</v>
      </c>
      <c r="I39" s="593"/>
      <c r="J39" s="28"/>
      <c r="K39" s="27"/>
      <c r="L39" s="488" t="s">
        <v>75</v>
      </c>
      <c r="M39" s="489"/>
      <c r="N39" s="489"/>
      <c r="O39" s="177">
        <v>1135.335919886104</v>
      </c>
      <c r="P39" s="495"/>
      <c r="Q39" s="490" t="str">
        <f t="shared" si="1"/>
        <v>Compression</v>
      </c>
      <c r="R39" s="491"/>
      <c r="S39" s="28"/>
      <c r="T39" s="28"/>
      <c r="U39" s="28"/>
      <c r="V39" s="641" t="s">
        <v>26</v>
      </c>
      <c r="W39" s="333" t="s">
        <v>76</v>
      </c>
      <c r="X39" s="410"/>
      <c r="Y39" s="334"/>
      <c r="Z39" s="492">
        <f>SQRT(($F$15-F13)^2+($G$15-G13)^2+($H$15-H13)^2)</f>
        <v>493.30713539842498</v>
      </c>
      <c r="AA39" s="492"/>
      <c r="AB39" s="316" t="s">
        <v>1</v>
      </c>
      <c r="AC39" s="28"/>
      <c r="AD39" s="728" t="s">
        <v>76</v>
      </c>
      <c r="AE39" s="729"/>
      <c r="AF39" s="730"/>
      <c r="AG39" s="182">
        <f t="shared" ref="AG39:AI43" si="2">$O28*Y29</f>
        <v>-2475.6508485505342</v>
      </c>
      <c r="AH39" s="182">
        <f t="shared" si="2"/>
        <v>3317.2175101384873</v>
      </c>
      <c r="AI39" s="211">
        <f t="shared" si="2"/>
        <v>-125.32167628422934</v>
      </c>
      <c r="AJ39" s="28"/>
      <c r="AK39" s="28"/>
      <c r="AL39" s="28"/>
      <c r="AM39" s="673" t="s">
        <v>216</v>
      </c>
      <c r="AN39" s="674"/>
      <c r="AO39" s="675"/>
      <c r="AP39" s="679">
        <f>-(AI56*(H56*10^-3))+(AI57*((G56-G57)*10^-3))</f>
        <v>0</v>
      </c>
      <c r="AQ39" s="680"/>
      <c r="AR39" s="273" t="s">
        <v>223</v>
      </c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</row>
    <row r="40" spans="1:93" ht="15.75" customHeight="1" x14ac:dyDescent="0.25">
      <c r="A40" s="68"/>
      <c r="B40" s="660"/>
      <c r="C40" s="386" t="s">
        <v>243</v>
      </c>
      <c r="D40" s="369" t="s">
        <v>34</v>
      </c>
      <c r="E40" s="369"/>
      <c r="F40" s="200">
        <v>-548.14</v>
      </c>
      <c r="G40" s="200">
        <v>-275.91000000000003</v>
      </c>
      <c r="H40" s="200">
        <v>160.69</v>
      </c>
      <c r="I40" s="627" t="s">
        <v>1</v>
      </c>
      <c r="J40" s="28"/>
      <c r="K40" s="27"/>
      <c r="L40" s="488" t="s">
        <v>246</v>
      </c>
      <c r="M40" s="489"/>
      <c r="N40" s="489"/>
      <c r="O40" s="177">
        <v>-28.061443186814358</v>
      </c>
      <c r="P40" s="495"/>
      <c r="Q40" s="490" t="str">
        <f t="shared" si="1"/>
        <v>Tension</v>
      </c>
      <c r="R40" s="491"/>
      <c r="S40" s="28"/>
      <c r="T40" s="28"/>
      <c r="U40" s="28"/>
      <c r="V40" s="641"/>
      <c r="W40" s="333" t="s">
        <v>77</v>
      </c>
      <c r="X40" s="410"/>
      <c r="Y40" s="334"/>
      <c r="Z40" s="492">
        <f>SQRT(($F$15-F14)^2+($G$15-G14)^2+($H$15-H14)^2)</f>
        <v>400.76747601944942</v>
      </c>
      <c r="AA40" s="492"/>
      <c r="AB40" s="316"/>
      <c r="AC40" s="28"/>
      <c r="AD40" s="716" t="s">
        <v>77</v>
      </c>
      <c r="AE40" s="717"/>
      <c r="AF40" s="718"/>
      <c r="AG40" s="182">
        <f t="shared" si="2"/>
        <v>-727.73696262539318</v>
      </c>
      <c r="AH40" s="182">
        <f t="shared" si="2"/>
        <v>-4418.3351027987701</v>
      </c>
      <c r="AI40" s="211">
        <f t="shared" si="2"/>
        <v>166.92096908805902</v>
      </c>
      <c r="AJ40" s="28"/>
      <c r="AK40" s="28"/>
      <c r="AL40" s="28"/>
      <c r="AM40" s="676" t="s">
        <v>217</v>
      </c>
      <c r="AN40" s="677"/>
      <c r="AO40" s="678"/>
      <c r="AP40" s="681" t="s">
        <v>293</v>
      </c>
      <c r="AQ40" s="682"/>
      <c r="AR40" s="273" t="s">
        <v>223</v>
      </c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</row>
    <row r="41" spans="1:93" ht="15" customHeight="1" thickBot="1" x14ac:dyDescent="0.3">
      <c r="A41" s="68"/>
      <c r="B41" s="660"/>
      <c r="C41" s="386"/>
      <c r="D41" s="369" t="s">
        <v>35</v>
      </c>
      <c r="E41" s="369"/>
      <c r="F41" s="200">
        <v>-551.85</v>
      </c>
      <c r="G41" s="200">
        <v>-266</v>
      </c>
      <c r="H41" s="200">
        <v>171.78</v>
      </c>
      <c r="I41" s="627"/>
      <c r="J41" s="28"/>
      <c r="K41" s="27"/>
      <c r="L41" s="630" t="s">
        <v>72</v>
      </c>
      <c r="M41" s="631"/>
      <c r="N41" s="631"/>
      <c r="O41" s="222">
        <v>-839.03089609905544</v>
      </c>
      <c r="P41" s="632"/>
      <c r="Q41" s="628" t="str">
        <f t="shared" si="1"/>
        <v>Tension</v>
      </c>
      <c r="R41" s="629"/>
      <c r="S41" s="28"/>
      <c r="T41" s="28"/>
      <c r="U41" s="28"/>
      <c r="V41" s="641"/>
      <c r="W41" s="335" t="s">
        <v>74</v>
      </c>
      <c r="X41" s="345"/>
      <c r="Y41" s="336"/>
      <c r="Z41" s="493">
        <f>SQRT(($F$18-F16)^2+($G$18-G16)^2+($H$18-H16)^2)</f>
        <v>418.25626813952232</v>
      </c>
      <c r="AA41" s="493"/>
      <c r="AB41" s="332" t="s">
        <v>1</v>
      </c>
      <c r="AC41" s="28"/>
      <c r="AD41" s="716" t="s">
        <v>74</v>
      </c>
      <c r="AE41" s="717"/>
      <c r="AF41" s="718"/>
      <c r="AG41" s="182">
        <f t="shared" si="2"/>
        <v>257.13183002817232</v>
      </c>
      <c r="AH41" s="182">
        <f t="shared" si="2"/>
        <v>-318.26646464804537</v>
      </c>
      <c r="AI41" s="211">
        <f t="shared" si="2"/>
        <v>47.622476956004228</v>
      </c>
      <c r="AJ41" s="28"/>
      <c r="AK41" s="28"/>
      <c r="AL41" s="28"/>
      <c r="AM41" s="676" t="s">
        <v>218</v>
      </c>
      <c r="AN41" s="677"/>
      <c r="AO41" s="678"/>
      <c r="AP41" s="681">
        <f>AI55*((G56-G57)*10^-3)</f>
        <v>0</v>
      </c>
      <c r="AQ41" s="682"/>
      <c r="AR41" s="273" t="s">
        <v>223</v>
      </c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</row>
    <row r="42" spans="1:93" ht="15" customHeight="1" thickBot="1" x14ac:dyDescent="0.3">
      <c r="A42" s="28"/>
      <c r="B42" s="660"/>
      <c r="C42" s="386"/>
      <c r="D42" s="369" t="s">
        <v>36</v>
      </c>
      <c r="E42" s="369"/>
      <c r="F42" s="200">
        <v>-537.92999999999995</v>
      </c>
      <c r="G42" s="200">
        <v>-337.1</v>
      </c>
      <c r="H42" s="200">
        <v>218.81</v>
      </c>
      <c r="I42" s="627"/>
      <c r="J42" s="28"/>
      <c r="K42" s="27"/>
      <c r="L42" s="291"/>
      <c r="M42" s="280"/>
      <c r="N42" s="280"/>
      <c r="O42" s="280"/>
      <c r="P42" s="280"/>
      <c r="Q42" s="280"/>
      <c r="R42" s="288"/>
      <c r="S42" s="28"/>
      <c r="T42" s="28"/>
      <c r="U42" s="28"/>
      <c r="V42" s="641"/>
      <c r="W42" s="335" t="s">
        <v>75</v>
      </c>
      <c r="X42" s="345"/>
      <c r="Y42" s="336"/>
      <c r="Z42" s="493">
        <f>SQRT(($F$18-F17)^2+($G$18-G17)^2+($H$18-H17)^2)</f>
        <v>339.17113355649832</v>
      </c>
      <c r="AA42" s="493"/>
      <c r="AB42" s="332"/>
      <c r="AC42" s="28"/>
      <c r="AD42" s="524" t="s">
        <v>75</v>
      </c>
      <c r="AE42" s="525"/>
      <c r="AF42" s="526"/>
      <c r="AG42" s="182">
        <f t="shared" si="2"/>
        <v>740.89078277630961</v>
      </c>
      <c r="AH42" s="182">
        <f t="shared" si="2"/>
        <v>2633.5919741242478</v>
      </c>
      <c r="AI42" s="211">
        <f t="shared" si="2"/>
        <v>-394.06656695025418</v>
      </c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</row>
    <row r="43" spans="1:93" ht="15" customHeight="1" x14ac:dyDescent="0.25">
      <c r="A43" s="28"/>
      <c r="B43" s="660"/>
      <c r="C43" s="386"/>
      <c r="D43" s="369" t="s">
        <v>13</v>
      </c>
      <c r="E43" s="369"/>
      <c r="F43" s="200">
        <v>-337.01</v>
      </c>
      <c r="G43" s="200">
        <v>-349.68</v>
      </c>
      <c r="H43" s="200">
        <v>297.33999999999997</v>
      </c>
      <c r="I43" s="627"/>
      <c r="J43" s="28"/>
      <c r="K43" s="27"/>
      <c r="L43" s="635" t="s">
        <v>268</v>
      </c>
      <c r="M43" s="528"/>
      <c r="N43" s="528"/>
      <c r="O43" s="528"/>
      <c r="P43" s="528"/>
      <c r="Q43" s="528"/>
      <c r="R43" s="636"/>
      <c r="S43" s="28"/>
      <c r="T43" s="28"/>
      <c r="U43" s="28"/>
      <c r="V43" s="641"/>
      <c r="W43" s="340" t="s">
        <v>73</v>
      </c>
      <c r="X43" s="341"/>
      <c r="Y43" s="342"/>
      <c r="Z43" s="626">
        <f>SQRT(($F$25-F26)^2+($G$25-G26)^2+($H$25-H26)^2)</f>
        <v>443.3614036268832</v>
      </c>
      <c r="AA43" s="626"/>
      <c r="AB43" s="437" t="s">
        <v>1</v>
      </c>
      <c r="AC43" s="28"/>
      <c r="AD43" s="683" t="s">
        <v>246</v>
      </c>
      <c r="AE43" s="489"/>
      <c r="AF43" s="489"/>
      <c r="AG43" s="182">
        <f t="shared" si="2"/>
        <v>237.03518979378714</v>
      </c>
      <c r="AH43" s="182">
        <f t="shared" si="2"/>
        <v>1045.1190683800683</v>
      </c>
      <c r="AI43" s="211">
        <f t="shared" si="2"/>
        <v>-84.542332808888816</v>
      </c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</row>
    <row r="44" spans="1:93" ht="15.75" customHeight="1" thickBot="1" x14ac:dyDescent="0.3">
      <c r="A44" s="28"/>
      <c r="B44" s="660"/>
      <c r="C44" s="386"/>
      <c r="D44" s="369" t="s">
        <v>37</v>
      </c>
      <c r="E44" s="369"/>
      <c r="F44" s="200">
        <v>-601.09</v>
      </c>
      <c r="G44" s="200">
        <v>-289.8</v>
      </c>
      <c r="H44" s="200">
        <v>155.37</v>
      </c>
      <c r="I44" s="627"/>
      <c r="J44" s="28"/>
      <c r="K44" s="28"/>
      <c r="L44" s="615"/>
      <c r="M44" s="530"/>
      <c r="N44" s="530"/>
      <c r="O44" s="530"/>
      <c r="P44" s="530"/>
      <c r="Q44" s="530"/>
      <c r="R44" s="616"/>
      <c r="S44" s="28"/>
      <c r="T44" s="28"/>
      <c r="U44" s="28"/>
      <c r="V44" s="642"/>
      <c r="W44" s="370" t="s">
        <v>72</v>
      </c>
      <c r="X44" s="371"/>
      <c r="Y44" s="372"/>
      <c r="Z44" s="478">
        <f>SQRT(($F$24-F23)^2+($G$24-G23)^2+($H$24-H23)^2)</f>
        <v>404.33322454346381</v>
      </c>
      <c r="AA44" s="478"/>
      <c r="AB44" s="715"/>
      <c r="AC44" s="28"/>
      <c r="AD44" s="684" t="s">
        <v>72</v>
      </c>
      <c r="AE44" s="631"/>
      <c r="AF44" s="631"/>
      <c r="AG44" s="212">
        <f>$AH$68*Y34*-1</f>
        <v>465.45359990511901</v>
      </c>
      <c r="AH44" s="212">
        <f t="shared" ref="AH44:AI44" si="3">$AH$68*Z34*-1</f>
        <v>-6218.5713351629774</v>
      </c>
      <c r="AI44" s="212">
        <f t="shared" si="3"/>
        <v>4166.8601483400789</v>
      </c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</row>
    <row r="45" spans="1:93" ht="15.75" customHeight="1" x14ac:dyDescent="0.25">
      <c r="A45" s="28"/>
      <c r="B45" s="660"/>
      <c r="C45" s="386"/>
      <c r="D45" s="369" t="s">
        <v>12</v>
      </c>
      <c r="E45" s="369"/>
      <c r="F45" s="200">
        <v>-708.39</v>
      </c>
      <c r="G45" s="200">
        <v>-505.84</v>
      </c>
      <c r="H45" s="200">
        <v>312.32</v>
      </c>
      <c r="I45" s="627"/>
      <c r="J45" s="28"/>
      <c r="K45" s="28"/>
      <c r="L45" s="637"/>
      <c r="M45" s="638"/>
      <c r="N45" s="638"/>
      <c r="O45" s="284" t="s">
        <v>4</v>
      </c>
      <c r="P45" s="284" t="s">
        <v>5</v>
      </c>
      <c r="Q45" s="284" t="s">
        <v>6</v>
      </c>
      <c r="R45" s="289"/>
      <c r="S45" s="28"/>
      <c r="T45" s="28"/>
      <c r="U45" s="28"/>
      <c r="V45" s="68"/>
      <c r="W45" s="68"/>
      <c r="X45" s="68"/>
      <c r="Y45" s="68"/>
      <c r="Z45" s="6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</row>
    <row r="46" spans="1:93" ht="15.75" customHeight="1" thickBot="1" x14ac:dyDescent="0.3">
      <c r="A46" s="28"/>
      <c r="B46" s="660"/>
      <c r="C46" s="669" t="s">
        <v>246</v>
      </c>
      <c r="D46" s="383" t="s">
        <v>244</v>
      </c>
      <c r="E46" s="383"/>
      <c r="F46" s="201">
        <v>-658.28</v>
      </c>
      <c r="G46" s="201">
        <v>-594.52</v>
      </c>
      <c r="H46" s="201">
        <v>195.87</v>
      </c>
      <c r="I46" s="318" t="s">
        <v>1</v>
      </c>
      <c r="J46" s="28"/>
      <c r="K46" s="28"/>
      <c r="L46" s="488" t="s">
        <v>249</v>
      </c>
      <c r="M46" s="489"/>
      <c r="N46" s="489"/>
      <c r="O46" s="286">
        <f>(AG41+AG42)*-1</f>
        <v>-998.02261280448192</v>
      </c>
      <c r="P46" s="286">
        <f>(AH41+AH42)*-1</f>
        <v>-2315.3255094762026</v>
      </c>
      <c r="Q46" s="286">
        <f>(AI41+AI42)*-1</f>
        <v>346.44408999424996</v>
      </c>
      <c r="R46" s="481" t="s">
        <v>212</v>
      </c>
      <c r="S46" s="28"/>
      <c r="T46" s="28"/>
      <c r="U46" s="28"/>
      <c r="V46" s="68"/>
      <c r="W46" s="28"/>
      <c r="X46" s="28"/>
      <c r="Y46" s="28"/>
      <c r="Z46" s="68"/>
      <c r="AA46" s="28"/>
      <c r="AB46" s="28"/>
      <c r="AC46" s="28"/>
      <c r="AD46" s="68"/>
      <c r="AE46" s="68"/>
      <c r="AF46" s="68"/>
      <c r="AG46" s="6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</row>
    <row r="47" spans="1:93" ht="15.75" customHeight="1" x14ac:dyDescent="0.25">
      <c r="A47" s="28"/>
      <c r="B47" s="660"/>
      <c r="C47" s="669"/>
      <c r="D47" s="383" t="s">
        <v>245</v>
      </c>
      <c r="E47" s="383"/>
      <c r="F47" s="201">
        <v>-658.28</v>
      </c>
      <c r="G47" s="201">
        <v>-244.15</v>
      </c>
      <c r="H47" s="201">
        <v>150.61000000000001</v>
      </c>
      <c r="I47" s="318"/>
      <c r="J47" s="28"/>
      <c r="K47" s="28"/>
      <c r="L47" s="488" t="s">
        <v>250</v>
      </c>
      <c r="M47" s="489"/>
      <c r="N47" s="489"/>
      <c r="O47" s="286">
        <f>(AG39+AG40)*-1</f>
        <v>3203.3878111759273</v>
      </c>
      <c r="P47" s="286">
        <f>(AH39+AH40)*-1</f>
        <v>1101.1175926602828</v>
      </c>
      <c r="Q47" s="286">
        <f>(AI39+AI40)*-1</f>
        <v>-41.599292803829684</v>
      </c>
      <c r="R47" s="481"/>
      <c r="S47" s="28"/>
      <c r="T47" s="28"/>
      <c r="U47" s="28"/>
      <c r="V47" s="639" t="s">
        <v>229</v>
      </c>
      <c r="W47" s="595"/>
      <c r="X47" s="595"/>
      <c r="Y47" s="595"/>
      <c r="Z47" s="595"/>
      <c r="AA47" s="595"/>
      <c r="AB47" s="28"/>
      <c r="AC47" s="472" t="s">
        <v>228</v>
      </c>
      <c r="AD47" s="473"/>
      <c r="AE47" s="473"/>
      <c r="AF47" s="473"/>
      <c r="AG47" s="473"/>
      <c r="AH47" s="474"/>
      <c r="AI47" s="496" t="s">
        <v>222</v>
      </c>
      <c r="AJ47" s="510"/>
      <c r="AK47" s="504" t="s">
        <v>270</v>
      </c>
      <c r="AL47" s="505"/>
      <c r="AM47" s="28"/>
      <c r="AN47" s="28"/>
      <c r="AO47" s="28"/>
      <c r="AP47" s="68"/>
      <c r="AQ47" s="68"/>
      <c r="AR47" s="68"/>
      <c r="AS47" s="28"/>
      <c r="AT47" s="27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</row>
    <row r="48" spans="1:93" ht="15.75" customHeight="1" thickBot="1" x14ac:dyDescent="0.3">
      <c r="A48" s="28"/>
      <c r="B48" s="660"/>
      <c r="C48" s="393" t="s">
        <v>68</v>
      </c>
      <c r="D48" s="670" t="s">
        <v>20</v>
      </c>
      <c r="E48" s="670"/>
      <c r="F48" s="662">
        <v>520.70000000000005</v>
      </c>
      <c r="G48" s="662"/>
      <c r="H48" s="662"/>
      <c r="I48" s="654" t="s">
        <v>1</v>
      </c>
      <c r="J48" s="28"/>
      <c r="K48" s="28"/>
      <c r="L48" s="488" t="s">
        <v>306</v>
      </c>
      <c r="M48" s="489"/>
      <c r="N48" s="489"/>
      <c r="O48" s="286">
        <f t="shared" ref="O48:Q49" si="4">AG43*-1</f>
        <v>-237.03518979378714</v>
      </c>
      <c r="P48" s="286">
        <f t="shared" si="4"/>
        <v>-1045.1190683800683</v>
      </c>
      <c r="Q48" s="286">
        <f t="shared" si="4"/>
        <v>84.542332808888816</v>
      </c>
      <c r="R48" s="481"/>
      <c r="S48" s="28"/>
      <c r="T48" s="28"/>
      <c r="U48" s="28"/>
      <c r="V48" s="640"/>
      <c r="W48" s="598"/>
      <c r="X48" s="598"/>
      <c r="Y48" s="598"/>
      <c r="Z48" s="598"/>
      <c r="AA48" s="598"/>
      <c r="AB48" s="28"/>
      <c r="AC48" s="475"/>
      <c r="AD48" s="476"/>
      <c r="AE48" s="476"/>
      <c r="AF48" s="476"/>
      <c r="AG48" s="476"/>
      <c r="AH48" s="477"/>
      <c r="AI48" s="497"/>
      <c r="AJ48" s="511"/>
      <c r="AK48" s="506"/>
      <c r="AL48" s="507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</row>
    <row r="49" spans="1:93" ht="15.75" customHeight="1" x14ac:dyDescent="0.25">
      <c r="A49" s="28"/>
      <c r="B49" s="660"/>
      <c r="C49" s="393"/>
      <c r="D49" s="670" t="s">
        <v>21</v>
      </c>
      <c r="E49" s="670"/>
      <c r="F49" s="662">
        <v>206</v>
      </c>
      <c r="G49" s="662"/>
      <c r="H49" s="662"/>
      <c r="I49" s="655"/>
      <c r="J49" s="28"/>
      <c r="K49" s="28"/>
      <c r="L49" s="488" t="s">
        <v>251</v>
      </c>
      <c r="M49" s="489"/>
      <c r="N49" s="489"/>
      <c r="O49" s="286">
        <f t="shared" si="4"/>
        <v>-465.45359990511901</v>
      </c>
      <c r="P49" s="286">
        <f t="shared" si="4"/>
        <v>6218.5713351629774</v>
      </c>
      <c r="Q49" s="286">
        <f t="shared" si="4"/>
        <v>-4166.8601483400789</v>
      </c>
      <c r="R49" s="481"/>
      <c r="S49" s="28"/>
      <c r="T49" s="28"/>
      <c r="U49" s="28"/>
      <c r="V49" s="173"/>
      <c r="W49" s="174"/>
      <c r="X49" s="175"/>
      <c r="Y49" s="36" t="s">
        <v>4</v>
      </c>
      <c r="Z49" s="36" t="s">
        <v>5</v>
      </c>
      <c r="AA49" s="37" t="s">
        <v>6</v>
      </c>
      <c r="AB49" s="28"/>
      <c r="AC49" s="183">
        <f t="array" ref="AC49:AH49">TRANSPOSE(Y50:Y55)</f>
        <v>0.1566229278552107</v>
      </c>
      <c r="AD49" s="184">
        <v>0.71044525470064435</v>
      </c>
      <c r="AE49" s="184">
        <v>9.0094688735601919E-2</v>
      </c>
      <c r="AF49" s="184">
        <v>0.74419994335840611</v>
      </c>
      <c r="AG49" s="184">
        <v>0</v>
      </c>
      <c r="AH49" s="185">
        <v>0.37284853327134565</v>
      </c>
      <c r="AI49" s="226">
        <f>AM17</f>
        <v>-555.17826757507714</v>
      </c>
      <c r="AJ49" s="229" t="s">
        <v>219</v>
      </c>
      <c r="AK49" s="506"/>
      <c r="AL49" s="507"/>
      <c r="AM49" s="27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</row>
    <row r="50" spans="1:93" ht="15.75" customHeight="1" thickBot="1" x14ac:dyDescent="0.3">
      <c r="A50" s="28"/>
      <c r="B50" s="660"/>
      <c r="C50" s="393"/>
      <c r="D50" s="619" t="s">
        <v>28</v>
      </c>
      <c r="E50" s="619"/>
      <c r="F50" s="285">
        <v>-734.24</v>
      </c>
      <c r="G50" s="285">
        <v>-616.79999999999995</v>
      </c>
      <c r="H50" s="285">
        <v>261.01</v>
      </c>
      <c r="I50" s="655"/>
      <c r="J50" s="68"/>
      <c r="K50" s="28"/>
      <c r="L50" s="484" t="s">
        <v>210</v>
      </c>
      <c r="M50" s="485"/>
      <c r="N50" s="485"/>
      <c r="O50" s="666">
        <v>475</v>
      </c>
      <c r="P50" s="667"/>
      <c r="Q50" s="668"/>
      <c r="R50" s="293" t="s">
        <v>223</v>
      </c>
      <c r="S50" s="28"/>
      <c r="T50" s="28"/>
      <c r="U50" s="28"/>
      <c r="V50" s="531" t="s">
        <v>257</v>
      </c>
      <c r="W50" s="532"/>
      <c r="X50" s="533"/>
      <c r="Y50" s="169">
        <f>(F36-F34)/$Z$60*-1</f>
        <v>0.1566229278552107</v>
      </c>
      <c r="Z50" s="169">
        <f>(G36-G34)/$Z$60*-1</f>
        <v>0.98032155359890816</v>
      </c>
      <c r="AA50" s="169">
        <f>(H36-H34)/$Z$60*-1</f>
        <v>-0.12016201570997669</v>
      </c>
      <c r="AB50" s="28"/>
      <c r="AC50" s="186">
        <f t="array" ref="AC50:AH50">TRANSPOSE(Z50:Z55)</f>
        <v>0.98032155359890816</v>
      </c>
      <c r="AD50" s="187">
        <v>0.69738963572862078</v>
      </c>
      <c r="AE50" s="187">
        <v>0.97776484280750231</v>
      </c>
      <c r="AF50" s="187">
        <v>0.65623900357773246</v>
      </c>
      <c r="AG50" s="187">
        <v>-0.99175954590641135</v>
      </c>
      <c r="AH50" s="188">
        <v>0.75070081200318295</v>
      </c>
      <c r="AI50" s="179">
        <f>AM16</f>
        <v>0</v>
      </c>
      <c r="AJ50" s="230" t="s">
        <v>214</v>
      </c>
      <c r="AK50" s="506"/>
      <c r="AL50" s="507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</row>
    <row r="51" spans="1:93" x14ac:dyDescent="0.25">
      <c r="A51" s="68"/>
      <c r="B51" s="660"/>
      <c r="C51" s="393"/>
      <c r="D51" s="600" t="s">
        <v>231</v>
      </c>
      <c r="E51" s="600"/>
      <c r="F51" s="285">
        <v>-734.27</v>
      </c>
      <c r="G51" s="168">
        <f>-H7/2</f>
        <v>-616.39</v>
      </c>
      <c r="H51" s="168">
        <v>0</v>
      </c>
      <c r="I51" s="655"/>
      <c r="J51" s="68"/>
      <c r="K51" s="28"/>
      <c r="L51" s="594" t="s">
        <v>269</v>
      </c>
      <c r="M51" s="595"/>
      <c r="N51" s="595"/>
      <c r="O51" s="595"/>
      <c r="P51" s="595"/>
      <c r="Q51" s="595"/>
      <c r="R51" s="596"/>
      <c r="S51" s="28"/>
      <c r="T51" s="28"/>
      <c r="U51" s="28"/>
      <c r="V51" s="531" t="s">
        <v>256</v>
      </c>
      <c r="W51" s="532"/>
      <c r="X51" s="533"/>
      <c r="Y51" s="169">
        <f>(F36-F35)/$Z$61*-1</f>
        <v>0.71044525470064435</v>
      </c>
      <c r="Z51" s="169">
        <f>(G36-G35)/$Z$61*-1</f>
        <v>0.69738963572862078</v>
      </c>
      <c r="AA51" s="169">
        <f>(H36-H35)/$Z$61*-1</f>
        <v>-9.4420527702605311E-2</v>
      </c>
      <c r="AB51" s="28"/>
      <c r="AC51" s="186">
        <f t="array" ref="AC51:AH51">TRANSPOSE(AA50:AA55)</f>
        <v>-0.12016201570997669</v>
      </c>
      <c r="AD51" s="187">
        <v>-9.4420527702605311E-2</v>
      </c>
      <c r="AE51" s="187">
        <v>-0.18936435575697827</v>
      </c>
      <c r="AF51" s="187">
        <v>-0.12456650628740393</v>
      </c>
      <c r="AG51" s="187">
        <v>0.12811324327917392</v>
      </c>
      <c r="AH51" s="188">
        <v>-0.54537350696120901</v>
      </c>
      <c r="AI51" s="179">
        <f>AM15</f>
        <v>346.98641723442319</v>
      </c>
      <c r="AJ51" s="230" t="s">
        <v>215</v>
      </c>
      <c r="AK51" s="506"/>
      <c r="AL51" s="507"/>
      <c r="AM51" s="68"/>
      <c r="AN51" s="28"/>
      <c r="AO51" s="28"/>
      <c r="AP51" s="28"/>
      <c r="AQ51" s="28"/>
      <c r="AR51" s="28"/>
      <c r="AS51" s="28"/>
      <c r="AT51" s="6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</row>
    <row r="52" spans="1:93" ht="15.75" thickBot="1" x14ac:dyDescent="0.3">
      <c r="A52" s="68"/>
      <c r="B52" s="660"/>
      <c r="C52" s="393"/>
      <c r="D52" s="619" t="s">
        <v>291</v>
      </c>
      <c r="E52" s="619"/>
      <c r="F52" s="285">
        <v>-734.27</v>
      </c>
      <c r="G52" s="285">
        <v>-593.79999999999995</v>
      </c>
      <c r="H52" s="285">
        <v>260.72000000000003</v>
      </c>
      <c r="I52" s="655"/>
      <c r="J52" s="28"/>
      <c r="K52" s="28"/>
      <c r="L52" s="597"/>
      <c r="M52" s="598"/>
      <c r="N52" s="598"/>
      <c r="O52" s="598"/>
      <c r="P52" s="598"/>
      <c r="Q52" s="598"/>
      <c r="R52" s="599"/>
      <c r="S52" s="28"/>
      <c r="T52" s="28"/>
      <c r="U52" s="28"/>
      <c r="V52" s="590" t="s">
        <v>258</v>
      </c>
      <c r="W52" s="591"/>
      <c r="X52" s="592"/>
      <c r="Y52" s="170">
        <f>(F39-F37)/$Z$63*-1</f>
        <v>9.0094688735601919E-2</v>
      </c>
      <c r="Z52" s="170">
        <f>(G39-G37)/$Z$63*-1</f>
        <v>0.97776484280750231</v>
      </c>
      <c r="AA52" s="170">
        <f>(H39-H37)/$Z$63*-1</f>
        <v>-0.18936435575697827</v>
      </c>
      <c r="AB52" s="28"/>
      <c r="AC52" s="186">
        <f>(AC51*($G$36/1000)-AC50*($H$36/1000))</f>
        <v>-9.8472762981420478E-2</v>
      </c>
      <c r="AD52" s="187">
        <f>(AD51*($G$36/1000)-AD50*($H$36/1000))</f>
        <v>-6.4734725010714061E-2</v>
      </c>
      <c r="AE52" s="187">
        <f>(AE51*($G$39/1000)-AE50*($H$39/1000))</f>
        <v>-0.23768516866674666</v>
      </c>
      <c r="AF52" s="187">
        <f>(AF51*($G$39/1000)-AF50*($H$39/1000))</f>
        <v>-0.16093923534542737</v>
      </c>
      <c r="AG52" s="187">
        <f>(AG51*(G46/1000)-AG50*(H46/1000))</f>
        <v>0.11809005686235433</v>
      </c>
      <c r="AH52" s="188">
        <f>(AH51*(G45/1000)-AH50*(H45/1000))</f>
        <v>4.1412857156423843E-2</v>
      </c>
      <c r="AI52" s="179">
        <f>(AI51*(G51/1000))-(AI50*(H51/1000))</f>
        <v>-213.87895771912611</v>
      </c>
      <c r="AJ52" s="231" t="s">
        <v>216</v>
      </c>
      <c r="AK52" s="506"/>
      <c r="AL52" s="507"/>
      <c r="AM52" s="68"/>
      <c r="AN52" s="28"/>
      <c r="AO52" s="28"/>
      <c r="AP52" s="28"/>
      <c r="AQ52" s="28"/>
      <c r="AR52" s="28"/>
      <c r="AS52" s="28"/>
      <c r="AT52" s="6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</row>
    <row r="53" spans="1:93" ht="15.75" thickBot="1" x14ac:dyDescent="0.3">
      <c r="A53" s="68"/>
      <c r="B53" s="661"/>
      <c r="C53" s="394"/>
      <c r="D53" s="663" t="s">
        <v>292</v>
      </c>
      <c r="E53" s="663"/>
      <c r="F53" s="272">
        <f>F52</f>
        <v>-734.27</v>
      </c>
      <c r="G53" s="272">
        <v>-581.29999999999995</v>
      </c>
      <c r="H53" s="272">
        <v>226.72</v>
      </c>
      <c r="I53" s="656"/>
      <c r="J53" s="28"/>
      <c r="K53" s="28"/>
      <c r="L53" s="637"/>
      <c r="M53" s="638"/>
      <c r="N53" s="638"/>
      <c r="O53" s="284" t="s">
        <v>4</v>
      </c>
      <c r="P53" s="284" t="s">
        <v>5</v>
      </c>
      <c r="Q53" s="284" t="s">
        <v>6</v>
      </c>
      <c r="R53" s="289"/>
      <c r="S53" s="28"/>
      <c r="T53" s="28"/>
      <c r="U53" s="28"/>
      <c r="V53" s="590" t="s">
        <v>259</v>
      </c>
      <c r="W53" s="591"/>
      <c r="X53" s="592"/>
      <c r="Y53" s="170">
        <f>(F39-F38)/$Z$64*-1</f>
        <v>0.74419994335840611</v>
      </c>
      <c r="Z53" s="170">
        <f>(G39-G38)/$Z$64*-1</f>
        <v>0.65623900357773246</v>
      </c>
      <c r="AA53" s="170">
        <f>(H39-H38)/$Z$64*-1</f>
        <v>-0.12456650628740393</v>
      </c>
      <c r="AB53" s="68"/>
      <c r="AC53" s="186">
        <f>(AC49*($H$36/1000))-(AC51*($F$36/1000))</f>
        <v>-6.5164356427402995E-2</v>
      </c>
      <c r="AD53" s="187">
        <f>(AD49*($H$36/1000))-(AD51*($F$36/1000))</f>
        <v>5.0628490784093094E-2</v>
      </c>
      <c r="AE53" s="187">
        <f>(AE49*($H$39/1000))-(AE51*($F$39/1000))</f>
        <v>-0.10738159634265362</v>
      </c>
      <c r="AF53" s="187">
        <f>(AF49*($H$39/1000))-(AF51*($F$39/1000))</f>
        <v>0.17006254118842187</v>
      </c>
      <c r="AG53" s="187">
        <f>(AG49*(H46/1000))-(AG51*(F46/1000))</f>
        <v>8.4334385785814606E-2</v>
      </c>
      <c r="AH53" s="188">
        <f>(AH49*(H45/1000))-(AH51*(F45/1000))</f>
        <v>-0.26988908468494421</v>
      </c>
      <c r="AI53" s="179">
        <f>(AI49*(H51/1000))-(AI51*(F51/1000))</f>
        <v>254.78171658271989</v>
      </c>
      <c r="AJ53" s="231" t="s">
        <v>217</v>
      </c>
      <c r="AK53" s="506"/>
      <c r="AL53" s="507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</row>
    <row r="54" spans="1:93" ht="15.75" thickBot="1" x14ac:dyDescent="0.3">
      <c r="A54" s="68"/>
      <c r="B54" s="28"/>
      <c r="C54" s="68"/>
      <c r="D54" s="28"/>
      <c r="E54" s="28"/>
      <c r="F54" s="28"/>
      <c r="G54" s="28"/>
      <c r="H54" s="28"/>
      <c r="I54" s="28"/>
      <c r="J54" s="28"/>
      <c r="K54" s="28"/>
      <c r="L54" s="488" t="s">
        <v>249</v>
      </c>
      <c r="M54" s="489"/>
      <c r="N54" s="489"/>
      <c r="O54" s="286">
        <f>(AG62+AG63)*-1</f>
        <v>-843.62971082867443</v>
      </c>
      <c r="P54" s="286">
        <f>(AH62+AH63)*-1</f>
        <v>-731.08202155906179</v>
      </c>
      <c r="Q54" s="286">
        <f>(AI62+AI63)*-1</f>
        <v>138.71930977707478</v>
      </c>
      <c r="R54" s="481" t="s">
        <v>212</v>
      </c>
      <c r="S54" s="28"/>
      <c r="T54" s="28"/>
      <c r="U54" s="28"/>
      <c r="V54" s="534" t="s">
        <v>246</v>
      </c>
      <c r="W54" s="373"/>
      <c r="X54" s="327"/>
      <c r="Y54" s="171">
        <f>(F46-F47)/$Z$66*-1</f>
        <v>0</v>
      </c>
      <c r="Z54" s="171">
        <f>(G46-G47)/$Z$66</f>
        <v>-0.99175954590641135</v>
      </c>
      <c r="AA54" s="171">
        <f>(H46-H47)/$Z$66</f>
        <v>0.12811324327917392</v>
      </c>
      <c r="AB54" s="68"/>
      <c r="AC54" s="189">
        <f>(AC50*($F$36/1000))-(AC49*($G$36/1000))</f>
        <v>-0.65998489718862574</v>
      </c>
      <c r="AD54" s="190">
        <f>(AD50*($F$36/1000))-(AD49*($G$36/1000))</f>
        <v>-0.1131395228636245</v>
      </c>
      <c r="AE54" s="190">
        <f>(AE50*($F$39/1000))-(AE49*($G$39/1000))</f>
        <v>-0.66753914933557768</v>
      </c>
      <c r="AF54" s="190">
        <f>(AF50*($F$39/1000))-(AF49*($G$39/1000))</f>
        <v>-6.5581812449461374E-2</v>
      </c>
      <c r="AG54" s="190">
        <f>(AG50*(F46/1000))-(AG49*(G46/1000))</f>
        <v>0.65285547387927245</v>
      </c>
      <c r="AH54" s="191">
        <f>(AH50*(F45/1000))-(AH49*(G45/1000))</f>
        <v>-0.34318724614495721</v>
      </c>
      <c r="AI54" s="192">
        <f>(AI50*(F51/1000))-(AI49*(G51/1000))</f>
        <v>-342.20633235060177</v>
      </c>
      <c r="AJ54" s="232" t="s">
        <v>218</v>
      </c>
      <c r="AK54" s="508"/>
      <c r="AL54" s="509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</row>
    <row r="55" spans="1:93" ht="15.75" thickBot="1" x14ac:dyDescent="0.3">
      <c r="A55" s="68"/>
      <c r="B55" s="68"/>
      <c r="C55" s="28"/>
      <c r="D55" s="28"/>
      <c r="E55" s="28"/>
      <c r="F55" s="28"/>
      <c r="G55" s="643" t="s">
        <v>308</v>
      </c>
      <c r="H55" s="644"/>
      <c r="I55" s="645"/>
      <c r="J55" s="28"/>
      <c r="K55" s="28"/>
      <c r="L55" s="488" t="s">
        <v>250</v>
      </c>
      <c r="M55" s="489"/>
      <c r="N55" s="489"/>
      <c r="O55" s="286">
        <f>(AG60+AG61)*-1</f>
        <v>1085.9765394238761</v>
      </c>
      <c r="P55" s="286">
        <f>(AH60+AH61)*-1</f>
        <v>129.05105071417574</v>
      </c>
      <c r="Q55" s="286">
        <f>(AI60+AI61)*-1</f>
        <v>-31.715547254907449</v>
      </c>
      <c r="R55" s="481"/>
      <c r="S55" s="28"/>
      <c r="T55" s="28"/>
      <c r="U55" s="28"/>
      <c r="V55" s="535" t="s">
        <v>251</v>
      </c>
      <c r="W55" s="536"/>
      <c r="X55" s="537"/>
      <c r="Y55" s="172">
        <f>(F45-F44)/$Z$67*-1</f>
        <v>0.37284853327134565</v>
      </c>
      <c r="Z55" s="172">
        <f>(G45-G44)/$Z$67*-1</f>
        <v>0.75070081200318295</v>
      </c>
      <c r="AA55" s="172">
        <f>(H45-H44)/$Z$67*-1</f>
        <v>-0.54537350696120901</v>
      </c>
      <c r="AB55" s="68"/>
      <c r="AC55" s="28"/>
      <c r="AD55" s="68"/>
      <c r="AE55" s="68"/>
      <c r="AF55" s="68"/>
      <c r="AG55" s="68"/>
      <c r="AH55" s="68"/>
      <c r="AI55" s="68"/>
      <c r="AJ55" s="68"/>
      <c r="AK55" s="28"/>
      <c r="AL55" s="28"/>
      <c r="AM55" s="68"/>
      <c r="AN55" s="68"/>
      <c r="AO55" s="6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</row>
    <row r="56" spans="1:93" ht="15.75" thickBot="1" x14ac:dyDescent="0.3">
      <c r="A56" s="28"/>
      <c r="B56" s="68"/>
      <c r="C56" s="28"/>
      <c r="D56" s="68"/>
      <c r="E56" s="68"/>
      <c r="F56" s="68"/>
      <c r="G56" s="646"/>
      <c r="H56" s="647"/>
      <c r="I56" s="648"/>
      <c r="J56" s="28"/>
      <c r="K56" s="28"/>
      <c r="L56" s="488" t="s">
        <v>246</v>
      </c>
      <c r="M56" s="489"/>
      <c r="N56" s="489"/>
      <c r="O56" s="286">
        <f>(AG64)*-1</f>
        <v>0</v>
      </c>
      <c r="P56" s="286">
        <f>(AH64)*-1</f>
        <v>-27.83020415243357</v>
      </c>
      <c r="Q56" s="286">
        <f>(AI64)*-1</f>
        <v>3.5950424977570656</v>
      </c>
      <c r="R56" s="481"/>
      <c r="S56" s="28"/>
      <c r="T56" s="28"/>
      <c r="U56" s="28"/>
      <c r="V56" s="28"/>
      <c r="W56" s="28"/>
      <c r="X56" s="28"/>
      <c r="Y56" s="28"/>
      <c r="Z56" s="28"/>
      <c r="AB56" s="68"/>
      <c r="AC56" s="28"/>
      <c r="AD56" s="68"/>
      <c r="AE56" s="68"/>
      <c r="AF56" s="68"/>
      <c r="AG56" s="68"/>
      <c r="AH56" s="68"/>
      <c r="AI56" s="6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</row>
    <row r="57" spans="1:93" ht="15" customHeight="1" x14ac:dyDescent="0.25">
      <c r="A57" s="28"/>
      <c r="B57" s="28"/>
      <c r="C57" s="28"/>
      <c r="D57" s="68"/>
      <c r="E57" s="68"/>
      <c r="F57" s="68"/>
      <c r="G57" s="646"/>
      <c r="H57" s="647"/>
      <c r="I57" s="648"/>
      <c r="J57" s="28"/>
      <c r="K57" s="28"/>
      <c r="L57" s="488" t="s">
        <v>251</v>
      </c>
      <c r="M57" s="489"/>
      <c r="N57" s="489"/>
      <c r="O57" s="286">
        <f>AG65*-1</f>
        <v>2796.3639995350923</v>
      </c>
      <c r="P57" s="286">
        <f>AH65*-1</f>
        <v>5630.2560900238723</v>
      </c>
      <c r="Q57" s="286">
        <f>AI65*-1</f>
        <v>-4090.3013022090677</v>
      </c>
      <c r="R57" s="481"/>
      <c r="S57" s="28"/>
      <c r="T57" s="28"/>
      <c r="U57" s="28"/>
      <c r="V57" s="685" t="s">
        <v>71</v>
      </c>
      <c r="W57" s="686"/>
      <c r="X57" s="686"/>
      <c r="Y57" s="686"/>
      <c r="Z57" s="686"/>
      <c r="AA57" s="686"/>
      <c r="AB57" s="687"/>
      <c r="AC57" s="28"/>
      <c r="AD57" s="639" t="s">
        <v>252</v>
      </c>
      <c r="AE57" s="595"/>
      <c r="AF57" s="595"/>
      <c r="AG57" s="595"/>
      <c r="AH57" s="595"/>
      <c r="AI57" s="595"/>
      <c r="AJ57" s="693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</row>
    <row r="58" spans="1:93" ht="15.75" customHeight="1" thickBot="1" x14ac:dyDescent="0.3">
      <c r="A58" s="28"/>
      <c r="B58" s="28"/>
      <c r="C58" s="28"/>
      <c r="D58" s="28"/>
      <c r="E58" s="28"/>
      <c r="F58" s="28"/>
      <c r="G58" s="646"/>
      <c r="H58" s="647"/>
      <c r="I58" s="648"/>
      <c r="J58" s="28"/>
      <c r="K58" s="68"/>
      <c r="L58" s="630" t="s">
        <v>210</v>
      </c>
      <c r="M58" s="631"/>
      <c r="N58" s="631"/>
      <c r="O58" s="666">
        <v>475</v>
      </c>
      <c r="P58" s="667"/>
      <c r="Q58" s="668"/>
      <c r="R58" s="294" t="s">
        <v>223</v>
      </c>
      <c r="S58" s="28"/>
      <c r="T58" s="28"/>
      <c r="U58" s="28"/>
      <c r="V58" s="688"/>
      <c r="W58" s="689"/>
      <c r="X58" s="689"/>
      <c r="Y58" s="689"/>
      <c r="Z58" s="689"/>
      <c r="AA58" s="689"/>
      <c r="AB58" s="690"/>
      <c r="AC58" s="28"/>
      <c r="AD58" s="694"/>
      <c r="AE58" s="695"/>
      <c r="AF58" s="695"/>
      <c r="AG58" s="695"/>
      <c r="AH58" s="695"/>
      <c r="AI58" s="695"/>
      <c r="AJ58" s="696"/>
      <c r="AK58" s="28"/>
      <c r="AL58" s="28"/>
      <c r="AM58" s="27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</row>
    <row r="59" spans="1:93" ht="15.75" thickBot="1" x14ac:dyDescent="0.3">
      <c r="A59" s="28"/>
      <c r="B59" s="28"/>
      <c r="C59" s="68"/>
      <c r="D59" s="28"/>
      <c r="E59" s="28"/>
      <c r="F59" s="28"/>
      <c r="G59" s="646"/>
      <c r="H59" s="647"/>
      <c r="I59" s="648"/>
      <c r="J59" s="28"/>
      <c r="K59" s="68"/>
      <c r="L59" s="292"/>
      <c r="M59" s="281"/>
      <c r="N59" s="281"/>
      <c r="O59" s="281"/>
      <c r="P59" s="281"/>
      <c r="Q59" s="281"/>
      <c r="R59" s="290"/>
      <c r="S59" s="28"/>
      <c r="T59" s="28"/>
      <c r="U59" s="28"/>
      <c r="V59" s="633" t="s">
        <v>82</v>
      </c>
      <c r="W59" s="634"/>
      <c r="X59" s="634"/>
      <c r="Y59" s="634"/>
      <c r="Z59" s="634" t="s">
        <v>70</v>
      </c>
      <c r="AA59" s="634"/>
      <c r="AB59" s="210" t="s">
        <v>266</v>
      </c>
      <c r="AC59" s="28"/>
      <c r="AD59" s="450"/>
      <c r="AE59" s="451"/>
      <c r="AF59" s="451"/>
      <c r="AG59" s="219" t="s">
        <v>4</v>
      </c>
      <c r="AH59" s="219" t="s">
        <v>5</v>
      </c>
      <c r="AI59" s="219" t="s">
        <v>6</v>
      </c>
      <c r="AJ59" s="225"/>
      <c r="AK59" s="28"/>
      <c r="AL59" s="28"/>
      <c r="AM59" s="28"/>
      <c r="AN59" s="28"/>
      <c r="AO59" s="28"/>
      <c r="AP59" s="68"/>
      <c r="AQ59" s="28"/>
      <c r="AR59" s="68"/>
      <c r="AS59" s="6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</row>
    <row r="60" spans="1:93" ht="15" customHeight="1" x14ac:dyDescent="0.25">
      <c r="A60" s="28"/>
      <c r="B60" s="28"/>
      <c r="C60" s="28"/>
      <c r="D60" s="28"/>
      <c r="E60" s="28"/>
      <c r="F60" s="28"/>
      <c r="G60" s="646"/>
      <c r="H60" s="647"/>
      <c r="I60" s="648"/>
      <c r="J60" s="28"/>
      <c r="K60" s="28"/>
      <c r="L60" s="706" t="s">
        <v>295</v>
      </c>
      <c r="M60" s="707"/>
      <c r="N60" s="707"/>
      <c r="O60" s="707"/>
      <c r="P60" s="707"/>
      <c r="Q60" s="707"/>
      <c r="R60" s="708"/>
      <c r="S60" s="28"/>
      <c r="T60" s="28"/>
      <c r="U60" s="28"/>
      <c r="V60" s="357" t="s">
        <v>84</v>
      </c>
      <c r="W60" s="671" t="s">
        <v>76</v>
      </c>
      <c r="X60" s="671"/>
      <c r="Y60" s="671"/>
      <c r="Z60" s="492">
        <f>SQRT(($F$36-F34)^2+($G$36-G34)^2+($H$36-H34)^2)</f>
        <v>371.08232361566343</v>
      </c>
      <c r="AA60" s="492"/>
      <c r="AB60" s="576" t="s">
        <v>1</v>
      </c>
      <c r="AC60" s="28"/>
      <c r="AD60" s="683" t="s">
        <v>76</v>
      </c>
      <c r="AE60" s="489"/>
      <c r="AF60" s="489"/>
      <c r="AG60" s="177">
        <f t="shared" ref="AG60:AI63" si="5">$O36*Y50</f>
        <v>177.54042858785672</v>
      </c>
      <c r="AH60" s="177">
        <f t="shared" si="5"/>
        <v>1111.246681205962</v>
      </c>
      <c r="AI60" s="177">
        <f t="shared" si="5"/>
        <v>-136.21004319911444</v>
      </c>
      <c r="AJ60" s="691" t="s">
        <v>212</v>
      </c>
      <c r="AK60" s="28"/>
      <c r="AL60" s="28"/>
      <c r="AM60" s="28"/>
      <c r="AN60" s="28"/>
      <c r="AO60" s="28"/>
      <c r="AP60" s="68"/>
      <c r="AQ60" s="28"/>
      <c r="AR60" s="68"/>
      <c r="AS60" s="6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</row>
    <row r="61" spans="1:93" ht="15.75" customHeight="1" x14ac:dyDescent="0.25">
      <c r="A61" s="28"/>
      <c r="B61" s="28"/>
      <c r="C61" s="28"/>
      <c r="D61" s="28"/>
      <c r="E61" s="28"/>
      <c r="F61" s="28"/>
      <c r="G61" s="646"/>
      <c r="H61" s="647"/>
      <c r="I61" s="648"/>
      <c r="J61" s="28"/>
      <c r="K61" s="28"/>
      <c r="L61" s="709"/>
      <c r="M61" s="710"/>
      <c r="N61" s="710"/>
      <c r="O61" s="710"/>
      <c r="P61" s="710"/>
      <c r="Q61" s="710"/>
      <c r="R61" s="711"/>
      <c r="S61" s="28"/>
      <c r="T61" s="28"/>
      <c r="U61" s="28"/>
      <c r="V61" s="358"/>
      <c r="W61" s="671" t="s">
        <v>77</v>
      </c>
      <c r="X61" s="671"/>
      <c r="Y61" s="671"/>
      <c r="Z61" s="492">
        <f>SQRT(($F$36-F35)^2+($G$36-G35)^2+($H$36-H35)^2)</f>
        <v>418.9766882536544</v>
      </c>
      <c r="AA61" s="492"/>
      <c r="AB61" s="578"/>
      <c r="AC61" s="28"/>
      <c r="AD61" s="683" t="s">
        <v>77</v>
      </c>
      <c r="AE61" s="489"/>
      <c r="AF61" s="489"/>
      <c r="AG61" s="177">
        <f t="shared" si="5"/>
        <v>-1263.5169680117328</v>
      </c>
      <c r="AH61" s="177">
        <f t="shared" si="5"/>
        <v>-1240.2977319201377</v>
      </c>
      <c r="AI61" s="177">
        <f t="shared" si="5"/>
        <v>167.92559045402189</v>
      </c>
      <c r="AJ61" s="691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</row>
    <row r="62" spans="1:93" ht="15" customHeight="1" thickBot="1" x14ac:dyDescent="0.3">
      <c r="A62" s="28"/>
      <c r="B62" s="28"/>
      <c r="C62" s="28"/>
      <c r="D62" s="68"/>
      <c r="E62" s="28"/>
      <c r="F62" s="28"/>
      <c r="G62" s="646"/>
      <c r="H62" s="647"/>
      <c r="I62" s="648"/>
      <c r="J62" s="28"/>
      <c r="K62" s="28"/>
      <c r="L62" s="712"/>
      <c r="M62" s="713"/>
      <c r="N62" s="713"/>
      <c r="O62" s="713"/>
      <c r="P62" s="713"/>
      <c r="Q62" s="713"/>
      <c r="R62" s="714"/>
      <c r="S62" s="28"/>
      <c r="T62" s="28"/>
      <c r="U62" s="28"/>
      <c r="V62" s="358"/>
      <c r="W62" s="333" t="s">
        <v>267</v>
      </c>
      <c r="X62" s="410"/>
      <c r="Y62" s="334"/>
      <c r="Z62" s="522"/>
      <c r="AA62" s="523"/>
      <c r="AB62" s="238" t="s">
        <v>23</v>
      </c>
      <c r="AC62" s="28"/>
      <c r="AD62" s="683" t="s">
        <v>74</v>
      </c>
      <c r="AE62" s="489"/>
      <c r="AF62" s="489"/>
      <c r="AG62" s="177">
        <f t="shared" si="5"/>
        <v>-1.2872164433280742</v>
      </c>
      <c r="AH62" s="177">
        <f t="shared" si="5"/>
        <v>-13.969691233003383</v>
      </c>
      <c r="AI62" s="177">
        <f t="shared" si="5"/>
        <v>2.7055192257330929</v>
      </c>
      <c r="AJ62" s="691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</row>
    <row r="63" spans="1:93" ht="15" customHeight="1" x14ac:dyDescent="0.25">
      <c r="A63" s="28"/>
      <c r="B63" s="28"/>
      <c r="C63" s="28"/>
      <c r="D63" s="28"/>
      <c r="E63" s="28"/>
      <c r="F63" s="28"/>
      <c r="G63" s="646"/>
      <c r="H63" s="647"/>
      <c r="I63" s="648"/>
      <c r="J63" s="28"/>
      <c r="K63" s="28"/>
      <c r="L63" s="637"/>
      <c r="M63" s="638"/>
      <c r="N63" s="638"/>
      <c r="O63" s="284" t="s">
        <v>4</v>
      </c>
      <c r="P63" s="284" t="s">
        <v>5</v>
      </c>
      <c r="Q63" s="284" t="s">
        <v>6</v>
      </c>
      <c r="R63" s="289"/>
      <c r="S63" s="28"/>
      <c r="T63" s="28"/>
      <c r="U63" s="28"/>
      <c r="V63" s="358"/>
      <c r="W63" s="672" t="s">
        <v>74</v>
      </c>
      <c r="X63" s="672"/>
      <c r="Y63" s="672"/>
      <c r="Z63" s="493">
        <f>SQRT(($F$39-F37)^2+($G$39-G37)^2+($H$39-H37)^2)</f>
        <v>277.92981308236796</v>
      </c>
      <c r="AA63" s="493"/>
      <c r="AB63" s="518" t="s">
        <v>1</v>
      </c>
      <c r="AC63" s="28"/>
      <c r="AD63" s="683" t="s">
        <v>75</v>
      </c>
      <c r="AE63" s="489"/>
      <c r="AF63" s="489"/>
      <c r="AG63" s="177">
        <f t="shared" si="5"/>
        <v>844.91692727200245</v>
      </c>
      <c r="AH63" s="177">
        <f t="shared" si="5"/>
        <v>745.05171279206513</v>
      </c>
      <c r="AI63" s="177">
        <f t="shared" si="5"/>
        <v>-141.42482900280788</v>
      </c>
      <c r="AJ63" s="691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</row>
    <row r="64" spans="1:93" x14ac:dyDescent="0.25">
      <c r="A64" s="28"/>
      <c r="B64" s="28"/>
      <c r="C64" s="28"/>
      <c r="D64" s="28"/>
      <c r="E64" s="28"/>
      <c r="F64" s="167"/>
      <c r="G64" s="646"/>
      <c r="H64" s="647"/>
      <c r="I64" s="648"/>
      <c r="J64" s="28"/>
      <c r="K64" s="28"/>
      <c r="L64" s="488" t="s">
        <v>289</v>
      </c>
      <c r="M64" s="489"/>
      <c r="N64" s="489"/>
      <c r="O64" s="286">
        <f>AG70/((G46-G43)*10^-3)*-1</f>
        <v>0</v>
      </c>
      <c r="P64" s="286">
        <v>0</v>
      </c>
      <c r="Q64" s="286">
        <f>AG68/((G46-G43)*10^-3)</f>
        <v>0</v>
      </c>
      <c r="R64" s="481" t="s">
        <v>212</v>
      </c>
      <c r="S64" s="28"/>
      <c r="T64" s="28"/>
      <c r="U64" s="28"/>
      <c r="V64" s="358"/>
      <c r="W64" s="672" t="s">
        <v>75</v>
      </c>
      <c r="X64" s="672"/>
      <c r="Y64" s="672"/>
      <c r="Z64" s="493">
        <f>SQRT(($F$39-F38)^2+($G$39-G38)^2+($H$39-H38)^2)</f>
        <v>353.22496641658842</v>
      </c>
      <c r="AA64" s="493"/>
      <c r="AB64" s="519"/>
      <c r="AC64" s="28"/>
      <c r="AD64" s="683" t="s">
        <v>246</v>
      </c>
      <c r="AE64" s="489"/>
      <c r="AF64" s="489"/>
      <c r="AG64" s="177">
        <f>O40*Y54</f>
        <v>0</v>
      </c>
      <c r="AH64" s="177">
        <f>O40*Z54</f>
        <v>27.83020415243357</v>
      </c>
      <c r="AI64" s="177">
        <f>O40*AA54</f>
        <v>-3.5950424977570656</v>
      </c>
      <c r="AJ64" s="691"/>
      <c r="AK64" s="28"/>
      <c r="AL64" s="28"/>
      <c r="AM64" s="28"/>
      <c r="AN64" s="28"/>
      <c r="AO64" s="28"/>
      <c r="AP64" s="68"/>
      <c r="AQ64" s="6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</row>
    <row r="65" spans="1:93" ht="15.75" customHeight="1" thickBot="1" x14ac:dyDescent="0.3">
      <c r="A65" s="28"/>
      <c r="B65" s="28"/>
      <c r="C65" s="28"/>
      <c r="D65" s="28"/>
      <c r="E65" s="28"/>
      <c r="F65" s="28"/>
      <c r="G65" s="646"/>
      <c r="H65" s="647"/>
      <c r="I65" s="648"/>
      <c r="J65" s="28"/>
      <c r="K65" s="28"/>
      <c r="L65" s="488" t="s">
        <v>290</v>
      </c>
      <c r="M65" s="489"/>
      <c r="N65" s="489"/>
      <c r="O65" s="286">
        <f>AG70/((G46-G43)*10^-3)</f>
        <v>0</v>
      </c>
      <c r="P65" s="286">
        <v>0</v>
      </c>
      <c r="Q65" s="286">
        <f>AG68/((G43-G46)*10^-3)</f>
        <v>0</v>
      </c>
      <c r="R65" s="481"/>
      <c r="S65" s="28"/>
      <c r="T65" s="28"/>
      <c r="U65" s="28"/>
      <c r="V65" s="358"/>
      <c r="W65" s="335" t="s">
        <v>267</v>
      </c>
      <c r="X65" s="345"/>
      <c r="Y65" s="336"/>
      <c r="Z65" s="520"/>
      <c r="AA65" s="521"/>
      <c r="AB65" s="237" t="s">
        <v>23</v>
      </c>
      <c r="AC65" s="28"/>
      <c r="AD65" s="684" t="s">
        <v>72</v>
      </c>
      <c r="AE65" s="631"/>
      <c r="AF65" s="631"/>
      <c r="AG65" s="222">
        <f>$AH$68*Y55*-1</f>
        <v>-2796.3639995350923</v>
      </c>
      <c r="AH65" s="222">
        <f>$AH$68*Z55*-1</f>
        <v>-5630.2560900238723</v>
      </c>
      <c r="AI65" s="222">
        <f>$AH$68*AA55*-1</f>
        <v>4090.3013022090677</v>
      </c>
      <c r="AJ65" s="692"/>
      <c r="AK65" s="28"/>
      <c r="AL65" s="28"/>
      <c r="AM65" s="28"/>
      <c r="AN65" s="28"/>
      <c r="AO65" s="28"/>
      <c r="AP65" s="68"/>
      <c r="AQ65" s="68"/>
      <c r="AR65" s="28"/>
      <c r="AS65" s="28"/>
      <c r="AT65" s="27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</row>
    <row r="66" spans="1:93" ht="15.75" customHeight="1" thickBot="1" x14ac:dyDescent="0.3">
      <c r="A66" s="28"/>
      <c r="B66" s="28"/>
      <c r="C66" s="28"/>
      <c r="D66" s="28"/>
      <c r="E66" s="28"/>
      <c r="F66" s="28"/>
      <c r="G66" s="646"/>
      <c r="H66" s="647"/>
      <c r="I66" s="648"/>
      <c r="J66" s="28"/>
      <c r="K66" s="28"/>
      <c r="L66" s="484" t="s">
        <v>304</v>
      </c>
      <c r="M66" s="485"/>
      <c r="N66" s="485"/>
      <c r="O66" s="486">
        <f>SQRT(O64^2+P64^2+Q64^2)</f>
        <v>0</v>
      </c>
      <c r="P66" s="486"/>
      <c r="Q66" s="486"/>
      <c r="R66" s="487"/>
      <c r="S66" s="28"/>
      <c r="T66" s="28"/>
      <c r="U66" s="28"/>
      <c r="V66" s="358"/>
      <c r="W66" s="653" t="s">
        <v>246</v>
      </c>
      <c r="X66" s="653"/>
      <c r="Y66" s="653"/>
      <c r="Z66" s="626">
        <f>SQRT(($F$46-F47)^2+($G$46-G47)^2+($H$46-H47)^2)</f>
        <v>353.28119749004475</v>
      </c>
      <c r="AA66" s="626"/>
      <c r="AB66" s="216" t="s">
        <v>1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68"/>
      <c r="AM66" s="28"/>
      <c r="AN66" s="28"/>
      <c r="AO66" s="28"/>
      <c r="AP66" s="28"/>
      <c r="AQ66" s="28"/>
      <c r="AR66" s="28"/>
      <c r="AS66" s="28"/>
      <c r="AT66" s="27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</row>
    <row r="67" spans="1:93" ht="15.75" customHeight="1" thickBot="1" x14ac:dyDescent="0.3">
      <c r="A67" s="28"/>
      <c r="B67" s="28"/>
      <c r="C67" s="28"/>
      <c r="D67" s="28"/>
      <c r="E67" s="28"/>
      <c r="F67" s="28"/>
      <c r="G67" s="646"/>
      <c r="H67" s="647"/>
      <c r="I67" s="648"/>
      <c r="J67" s="28"/>
      <c r="K67" s="28"/>
      <c r="L67" s="697" t="s">
        <v>294</v>
      </c>
      <c r="M67" s="698"/>
      <c r="N67" s="698"/>
      <c r="O67" s="698"/>
      <c r="P67" s="698"/>
      <c r="Q67" s="698"/>
      <c r="R67" s="699"/>
      <c r="S67" s="28"/>
      <c r="T67" s="28"/>
      <c r="U67" s="28"/>
      <c r="V67" s="359"/>
      <c r="W67" s="652" t="s">
        <v>72</v>
      </c>
      <c r="X67" s="652"/>
      <c r="Y67" s="652"/>
      <c r="Z67" s="478">
        <f>SQRT(($F$45-F44)^2+($G$45-G44)^2+($H$45-H44)^2)</f>
        <v>287.78442296274477</v>
      </c>
      <c r="AA67" s="478"/>
      <c r="AB67" s="236" t="s">
        <v>1</v>
      </c>
      <c r="AC67" s="28"/>
      <c r="AD67" s="28"/>
      <c r="AE67" s="28"/>
      <c r="AF67" s="28"/>
      <c r="AG67" s="28"/>
      <c r="AH67" s="28"/>
      <c r="AI67" s="68"/>
      <c r="AJ67" s="28"/>
      <c r="AK67" s="68"/>
      <c r="AL67" s="68"/>
      <c r="AM67" s="28"/>
      <c r="AN67" s="28"/>
      <c r="AO67" s="28"/>
      <c r="AP67" s="28"/>
      <c r="AQ67" s="68"/>
      <c r="AR67" s="68"/>
      <c r="AS67" s="28"/>
      <c r="AT67" s="27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</row>
    <row r="68" spans="1:93" ht="16.5" customHeight="1" thickTop="1" thickBot="1" x14ac:dyDescent="0.3">
      <c r="A68" s="28"/>
      <c r="B68" s="68"/>
      <c r="C68" s="28"/>
      <c r="D68" s="28"/>
      <c r="E68" s="28"/>
      <c r="F68" s="28"/>
      <c r="G68" s="646"/>
      <c r="H68" s="647"/>
      <c r="I68" s="648"/>
      <c r="J68" s="28"/>
      <c r="K68" s="28"/>
      <c r="L68" s="700"/>
      <c r="M68" s="701"/>
      <c r="N68" s="701"/>
      <c r="O68" s="701"/>
      <c r="P68" s="701"/>
      <c r="Q68" s="701"/>
      <c r="R68" s="702"/>
      <c r="S68" s="28"/>
      <c r="T68" s="28"/>
      <c r="U68" s="28"/>
      <c r="V68" s="68"/>
      <c r="W68" s="68"/>
      <c r="X68" s="28"/>
      <c r="Y68" s="28"/>
      <c r="Z68" s="28"/>
      <c r="AA68" s="68"/>
      <c r="AB68" s="68"/>
      <c r="AC68" s="27"/>
      <c r="AD68" s="501" t="s">
        <v>288</v>
      </c>
      <c r="AE68" s="502"/>
      <c r="AF68" s="502"/>
      <c r="AG68" s="503"/>
      <c r="AH68" s="499">
        <v>7500</v>
      </c>
      <c r="AI68" s="500"/>
      <c r="AJ68" s="270" t="s">
        <v>212</v>
      </c>
      <c r="AK68" s="28"/>
      <c r="AL68" s="68"/>
      <c r="AM68" s="68"/>
      <c r="AN68" s="68"/>
      <c r="AO68" s="68"/>
      <c r="AP68" s="68"/>
      <c r="AQ68" s="68"/>
      <c r="AR68" s="68"/>
      <c r="AS68" s="28"/>
      <c r="AT68" s="27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</row>
    <row r="69" spans="1:93" ht="15.75" customHeight="1" thickTop="1" thickBot="1" x14ac:dyDescent="0.3">
      <c r="A69" s="28"/>
      <c r="B69" s="68"/>
      <c r="C69" s="28"/>
      <c r="D69" s="28"/>
      <c r="E69" s="28"/>
      <c r="F69" s="28"/>
      <c r="G69" s="646"/>
      <c r="H69" s="647"/>
      <c r="I69" s="648"/>
      <c r="J69" s="28"/>
      <c r="K69" s="28"/>
      <c r="L69" s="703"/>
      <c r="M69" s="704"/>
      <c r="N69" s="704"/>
      <c r="O69" s="704"/>
      <c r="P69" s="704"/>
      <c r="Q69" s="704"/>
      <c r="R69" s="705"/>
      <c r="S69" s="28"/>
      <c r="T69" s="28"/>
      <c r="U69" s="28"/>
      <c r="V69" s="28"/>
      <c r="W69" s="68"/>
      <c r="X69" s="68"/>
      <c r="Y69" s="68"/>
      <c r="Z69" s="28"/>
      <c r="AA69" s="68"/>
      <c r="AB69" s="68"/>
      <c r="AC69" s="68"/>
      <c r="AD69" s="68"/>
      <c r="AE69" s="28"/>
      <c r="AF69" s="28"/>
      <c r="AG69" s="28"/>
      <c r="AH69" s="28"/>
      <c r="AI69" s="28"/>
      <c r="AJ69" s="28"/>
      <c r="AK69" s="28"/>
      <c r="AL69" s="68"/>
      <c r="AM69" s="68"/>
      <c r="AN69" s="68"/>
      <c r="AO69" s="68"/>
      <c r="AP69" s="6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</row>
    <row r="70" spans="1:93" ht="15.75" thickBot="1" x14ac:dyDescent="0.3">
      <c r="A70" s="28"/>
      <c r="B70" s="68"/>
      <c r="C70" s="28"/>
      <c r="D70" s="28"/>
      <c r="E70" s="28"/>
      <c r="F70" s="28"/>
      <c r="G70" s="646"/>
      <c r="H70" s="647"/>
      <c r="I70" s="648"/>
      <c r="J70" s="28"/>
      <c r="K70" s="28"/>
      <c r="L70" s="637"/>
      <c r="M70" s="638"/>
      <c r="N70" s="638"/>
      <c r="O70" s="284" t="s">
        <v>4</v>
      </c>
      <c r="P70" s="284" t="s">
        <v>5</v>
      </c>
      <c r="Q70" s="284" t="s">
        <v>6</v>
      </c>
      <c r="R70" s="289"/>
      <c r="S70" s="28"/>
      <c r="T70" s="28"/>
      <c r="U70" s="28"/>
      <c r="V70" s="28"/>
      <c r="W70" s="28"/>
      <c r="X70" s="28"/>
      <c r="Y70" s="28"/>
      <c r="Z70" s="28"/>
      <c r="AA70" s="68"/>
      <c r="AB70" s="6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68"/>
      <c r="AN70" s="68"/>
      <c r="AO70" s="68"/>
      <c r="AP70" s="68"/>
      <c r="AQ70" s="28"/>
      <c r="AR70" s="28"/>
      <c r="AS70" s="27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</row>
    <row r="71" spans="1:93" ht="15" customHeight="1" x14ac:dyDescent="0.25">
      <c r="A71" s="28"/>
      <c r="B71" s="28"/>
      <c r="C71" s="28"/>
      <c r="D71" s="28"/>
      <c r="E71" s="28"/>
      <c r="F71" s="28"/>
      <c r="G71" s="646"/>
      <c r="H71" s="647"/>
      <c r="I71" s="648"/>
      <c r="J71" s="28"/>
      <c r="K71" s="28"/>
      <c r="L71" s="488" t="s">
        <v>289</v>
      </c>
      <c r="M71" s="489"/>
      <c r="N71" s="489"/>
      <c r="O71" s="286">
        <f>(AG75/((G53-G52)*10^-3)*-1)/2</f>
        <v>510.76400616907091</v>
      </c>
      <c r="P71" s="286">
        <v>0</v>
      </c>
      <c r="Q71" s="286">
        <f>(AG73/((G52-G53)*10^-3))/2</f>
        <v>319.22750385566928</v>
      </c>
      <c r="R71" s="481" t="s">
        <v>212</v>
      </c>
      <c r="S71" s="28"/>
      <c r="T71" s="28"/>
      <c r="U71" s="28"/>
      <c r="V71" s="28"/>
      <c r="W71" s="28"/>
      <c r="X71" s="28"/>
      <c r="Y71" s="28"/>
      <c r="Z71" s="28"/>
      <c r="AA71" s="68"/>
      <c r="AB71" s="68"/>
      <c r="AC71" s="28"/>
      <c r="AD71" s="639" t="s">
        <v>296</v>
      </c>
      <c r="AE71" s="595"/>
      <c r="AF71" s="595"/>
      <c r="AG71" s="595"/>
      <c r="AH71" s="595"/>
      <c r="AI71" s="595"/>
      <c r="AJ71" s="28"/>
      <c r="AK71" s="28"/>
      <c r="AL71" s="28"/>
      <c r="AM71" s="68"/>
      <c r="AN71" s="68"/>
      <c r="AO71" s="68"/>
      <c r="AP71" s="6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</row>
    <row r="72" spans="1:93" ht="15" customHeight="1" thickBot="1" x14ac:dyDescent="0.3">
      <c r="A72" s="28"/>
      <c r="B72" s="28"/>
      <c r="C72" s="28"/>
      <c r="D72" s="28"/>
      <c r="E72" s="28"/>
      <c r="F72" s="28"/>
      <c r="G72" s="646"/>
      <c r="H72" s="647"/>
      <c r="I72" s="648"/>
      <c r="J72" s="28"/>
      <c r="K72" s="28"/>
      <c r="L72" s="488" t="s">
        <v>290</v>
      </c>
      <c r="M72" s="489"/>
      <c r="N72" s="489"/>
      <c r="O72" s="286">
        <f>(AG75/((G53-G52)*10^-3))/2</f>
        <v>-510.76400616907091</v>
      </c>
      <c r="P72" s="286">
        <v>0</v>
      </c>
      <c r="Q72" s="286">
        <f>(AG73/((G53-G52)*10^-3))/2</f>
        <v>-319.22750385566928</v>
      </c>
      <c r="R72" s="481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640"/>
      <c r="AE72" s="598"/>
      <c r="AF72" s="598"/>
      <c r="AG72" s="598"/>
      <c r="AH72" s="598"/>
      <c r="AI72" s="598"/>
      <c r="AJ72" s="28"/>
      <c r="AK72" s="28"/>
      <c r="AL72" s="28"/>
      <c r="AM72" s="68"/>
      <c r="AN72" s="68"/>
      <c r="AO72" s="68"/>
      <c r="AP72" s="68"/>
      <c r="AQ72" s="6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</row>
    <row r="73" spans="1:93" ht="15.75" customHeight="1" thickBot="1" x14ac:dyDescent="0.3">
      <c r="A73" s="28"/>
      <c r="B73" s="28"/>
      <c r="C73" s="28"/>
      <c r="D73" s="28"/>
      <c r="E73" s="28"/>
      <c r="F73" s="28"/>
      <c r="G73" s="649"/>
      <c r="H73" s="650"/>
      <c r="I73" s="651"/>
      <c r="J73" s="28"/>
      <c r="K73" s="28"/>
      <c r="L73" s="479" t="s">
        <v>304</v>
      </c>
      <c r="M73" s="480"/>
      <c r="N73" s="480"/>
      <c r="O73" s="483">
        <f>SQRT(O71^2+P71^2+Q71^2)</f>
        <v>602.31724964158218</v>
      </c>
      <c r="P73" s="483"/>
      <c r="Q73" s="483"/>
      <c r="R73" s="482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673" t="s">
        <v>216</v>
      </c>
      <c r="AE73" s="674"/>
      <c r="AF73" s="675"/>
      <c r="AG73" s="679">
        <f>(AI50*(H52*10^-3))-(AI51*((G52-G50)*10^-3))</f>
        <v>-7.980687596391733</v>
      </c>
      <c r="AH73" s="680"/>
      <c r="AI73" s="273" t="s">
        <v>223</v>
      </c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</row>
    <row r="74" spans="1:93" ht="15.7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68"/>
      <c r="AD74" s="676" t="s">
        <v>217</v>
      </c>
      <c r="AE74" s="677"/>
      <c r="AF74" s="678"/>
      <c r="AG74" s="681" t="s">
        <v>293</v>
      </c>
      <c r="AH74" s="682"/>
      <c r="AI74" s="273" t="s">
        <v>223</v>
      </c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</row>
    <row r="75" spans="1:93" ht="15.7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68"/>
      <c r="Z75" s="28"/>
      <c r="AA75" s="68"/>
      <c r="AB75" s="28"/>
      <c r="AC75" s="28"/>
      <c r="AD75" s="676" t="s">
        <v>218</v>
      </c>
      <c r="AE75" s="677"/>
      <c r="AF75" s="678"/>
      <c r="AG75" s="681">
        <f>AI49*((G52-G50)*10^-3)</f>
        <v>-12.769100154226773</v>
      </c>
      <c r="AH75" s="682"/>
      <c r="AI75" s="273" t="s">
        <v>223</v>
      </c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</row>
    <row r="76" spans="1:93" ht="1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6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</row>
    <row r="77" spans="1:93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68"/>
      <c r="AO77" s="28"/>
      <c r="AP77" s="28"/>
      <c r="AQ77" s="68"/>
      <c r="AR77" s="6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</row>
    <row r="78" spans="1:93" ht="1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68"/>
      <c r="AO78" s="28"/>
      <c r="AP78" s="28"/>
      <c r="AQ78" s="68"/>
      <c r="AR78" s="6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</row>
    <row r="79" spans="1:93" ht="1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68"/>
      <c r="AN79" s="6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</row>
    <row r="80" spans="1:93" ht="15" customHeight="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</row>
    <row r="81" spans="1:93" ht="15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</row>
    <row r="82" spans="1:93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</row>
    <row r="83" spans="1:93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</row>
    <row r="84" spans="1:93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</row>
    <row r="85" spans="1:93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</row>
    <row r="86" spans="1:93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</row>
    <row r="87" spans="1:93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</row>
    <row r="88" spans="1:93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</row>
    <row r="89" spans="1:93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</row>
    <row r="90" spans="1:93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</row>
    <row r="91" spans="1:93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</row>
    <row r="92" spans="1:93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</row>
    <row r="93" spans="1:93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</row>
    <row r="94" spans="1:93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</row>
    <row r="95" spans="1:93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</row>
    <row r="96" spans="1:93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</row>
    <row r="97" spans="1:93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</row>
    <row r="98" spans="1:93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</row>
    <row r="99" spans="1:93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</row>
    <row r="100" spans="1:93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</row>
    <row r="101" spans="1:93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</row>
    <row r="102" spans="1:93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</row>
    <row r="103" spans="1:93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</row>
    <row r="104" spans="1:93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</row>
    <row r="105" spans="1:93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</row>
    <row r="106" spans="1:93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</row>
    <row r="107" spans="1:93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</row>
    <row r="108" spans="1:93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</row>
    <row r="109" spans="1:93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</row>
    <row r="110" spans="1:93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</row>
    <row r="111" spans="1:93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</row>
    <row r="112" spans="1:93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</row>
    <row r="113" spans="1:93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</row>
    <row r="114" spans="1:93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</row>
    <row r="115" spans="1:93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</row>
    <row r="116" spans="1:93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</row>
    <row r="117" spans="1:93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</row>
    <row r="118" spans="1:93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</row>
    <row r="119" spans="1:93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</row>
    <row r="120" spans="1:93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</row>
    <row r="121" spans="1:93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</row>
    <row r="122" spans="1:93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</row>
    <row r="123" spans="1:93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</row>
    <row r="124" spans="1:93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</row>
    <row r="125" spans="1:93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</row>
    <row r="126" spans="1:93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</row>
    <row r="127" spans="1:93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</row>
    <row r="128" spans="1:93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</row>
    <row r="129" spans="1:93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</row>
    <row r="130" spans="1:93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</row>
    <row r="131" spans="1:93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</row>
    <row r="132" spans="1:93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</row>
    <row r="133" spans="1:93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</row>
    <row r="134" spans="1:93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</row>
    <row r="135" spans="1:93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</row>
    <row r="136" spans="1:93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</row>
    <row r="137" spans="1:93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</row>
    <row r="138" spans="1:93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</row>
    <row r="139" spans="1:93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</row>
    <row r="140" spans="1:93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</row>
    <row r="141" spans="1:93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</row>
    <row r="142" spans="1:93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</row>
    <row r="143" spans="1:93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</row>
    <row r="144" spans="1:93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</row>
    <row r="145" spans="1:93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</row>
    <row r="146" spans="1:93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</row>
    <row r="147" spans="1:93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</row>
    <row r="148" spans="1:93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</row>
    <row r="149" spans="1:93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</row>
    <row r="150" spans="1:93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</row>
    <row r="151" spans="1:93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</row>
    <row r="152" spans="1:93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</row>
    <row r="153" spans="1:93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</row>
    <row r="154" spans="1:93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</row>
    <row r="155" spans="1:93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</row>
    <row r="156" spans="1:93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</row>
    <row r="157" spans="1:93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</row>
    <row r="158" spans="1:93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</row>
    <row r="159" spans="1:93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</row>
    <row r="160" spans="1:93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</row>
    <row r="161" spans="1:93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</row>
    <row r="162" spans="1:93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</row>
    <row r="163" spans="1:93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</row>
    <row r="164" spans="1:93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</row>
    <row r="165" spans="1:93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</row>
    <row r="166" spans="1:93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</row>
    <row r="167" spans="1:93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</row>
    <row r="168" spans="1:93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</row>
    <row r="169" spans="1:93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</row>
    <row r="170" spans="1:93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</row>
    <row r="171" spans="1:93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</row>
    <row r="172" spans="1:93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</row>
    <row r="173" spans="1:93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</row>
    <row r="174" spans="1:93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</row>
    <row r="175" spans="1:93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</row>
    <row r="176" spans="1:93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</row>
    <row r="177" spans="1:93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</row>
    <row r="178" spans="1:93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</row>
    <row r="179" spans="1:93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</row>
    <row r="180" spans="1:93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</row>
    <row r="181" spans="1:93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</row>
    <row r="182" spans="1:93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</row>
    <row r="183" spans="1:93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</row>
    <row r="184" spans="1:93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</row>
    <row r="185" spans="1:93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</row>
    <row r="186" spans="1:93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</row>
    <row r="187" spans="1:93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</row>
    <row r="188" spans="1:93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</row>
    <row r="189" spans="1:93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</row>
    <row r="190" spans="1:93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</row>
    <row r="191" spans="1:93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</row>
    <row r="192" spans="1:93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</row>
    <row r="193" spans="1:93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</row>
    <row r="194" spans="1:93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</row>
    <row r="195" spans="1:93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</row>
    <row r="196" spans="1:93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</row>
    <row r="197" spans="1:93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</row>
    <row r="198" spans="1:93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</row>
    <row r="199" spans="1:93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</row>
    <row r="200" spans="1:93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</row>
    <row r="201" spans="1:93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</row>
    <row r="202" spans="1:93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</row>
    <row r="203" spans="1:93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</row>
    <row r="204" spans="1:93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</row>
    <row r="205" spans="1:93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</row>
    <row r="206" spans="1:93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</row>
    <row r="207" spans="1:93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</row>
    <row r="208" spans="1:93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</row>
    <row r="209" spans="1:93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</row>
    <row r="210" spans="1:93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</row>
    <row r="211" spans="1:93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</row>
    <row r="212" spans="1:93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</row>
    <row r="213" spans="1:93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</row>
    <row r="214" spans="1:93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</row>
    <row r="215" spans="1:93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</row>
    <row r="216" spans="1:93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</row>
    <row r="217" spans="1:93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</row>
    <row r="218" spans="1:93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</row>
    <row r="219" spans="1:93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</row>
    <row r="220" spans="1:93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</row>
    <row r="221" spans="1:93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</row>
    <row r="222" spans="1:93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</row>
    <row r="223" spans="1:93" x14ac:dyDescent="0.25">
      <c r="C223" s="28"/>
      <c r="D223" s="28"/>
      <c r="E223" s="28"/>
      <c r="F223" s="28"/>
      <c r="G223" s="28"/>
      <c r="H223" s="28"/>
      <c r="I223" s="28"/>
      <c r="N223" s="28"/>
      <c r="O223" s="28"/>
      <c r="P223" s="28"/>
      <c r="Q223" s="28"/>
      <c r="R223" s="28"/>
      <c r="S223" s="28"/>
      <c r="T223" s="28"/>
      <c r="W223" s="28"/>
      <c r="X223" s="28"/>
      <c r="Y223" s="28"/>
      <c r="Z223" s="28"/>
      <c r="AA223" s="28"/>
      <c r="AB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</row>
    <row r="224" spans="1:93" x14ac:dyDescent="0.25">
      <c r="C224" s="28"/>
      <c r="D224" s="28"/>
      <c r="E224" s="28"/>
      <c r="F224" s="28"/>
      <c r="G224" s="28"/>
      <c r="H224" s="28"/>
      <c r="I224" s="28"/>
      <c r="N224" s="28"/>
      <c r="O224" s="28"/>
      <c r="P224" s="28"/>
      <c r="Q224" s="28"/>
      <c r="R224" s="28"/>
      <c r="S224" s="28"/>
      <c r="W224" s="28"/>
      <c r="X224" s="28"/>
      <c r="Y224" s="28"/>
      <c r="Z224" s="28"/>
      <c r="AA224" s="28"/>
      <c r="AB224" s="28"/>
    </row>
    <row r="225" spans="3:9" x14ac:dyDescent="0.25">
      <c r="C225" s="28"/>
      <c r="D225" s="28"/>
      <c r="E225" s="28"/>
      <c r="F225" s="28"/>
      <c r="G225" s="28"/>
      <c r="H225" s="28"/>
      <c r="I225" s="28"/>
    </row>
    <row r="226" spans="3:9" x14ac:dyDescent="0.25">
      <c r="D226" s="28"/>
      <c r="E226" s="28"/>
      <c r="F226" s="28"/>
      <c r="G226" s="28"/>
      <c r="H226" s="28"/>
    </row>
    <row r="227" spans="3:9" x14ac:dyDescent="0.25">
      <c r="D227" s="28"/>
      <c r="E227" s="28"/>
      <c r="F227" s="28"/>
      <c r="G227" s="28"/>
      <c r="H227" s="28"/>
    </row>
    <row r="228" spans="3:9" x14ac:dyDescent="0.25">
      <c r="D228" s="28"/>
      <c r="E228" s="28"/>
      <c r="F228" s="28"/>
      <c r="G228" s="28"/>
      <c r="H228" s="28"/>
    </row>
  </sheetData>
  <mergeCells count="273">
    <mergeCell ref="AF11:AN12"/>
    <mergeCell ref="AF14:AF17"/>
    <mergeCell ref="AG14:AK14"/>
    <mergeCell ref="AG15:AK15"/>
    <mergeCell ref="AG16:AK16"/>
    <mergeCell ref="AG17:AK17"/>
    <mergeCell ref="AN15:AN17"/>
    <mergeCell ref="AF13:AK13"/>
    <mergeCell ref="AM39:AO39"/>
    <mergeCell ref="AM37:AR38"/>
    <mergeCell ref="AD36:AI37"/>
    <mergeCell ref="AD38:AF38"/>
    <mergeCell ref="AP39:AQ39"/>
    <mergeCell ref="AD39:AF39"/>
    <mergeCell ref="AM40:AO40"/>
    <mergeCell ref="AP40:AQ40"/>
    <mergeCell ref="AM41:AO41"/>
    <mergeCell ref="AP41:AQ41"/>
    <mergeCell ref="AJ60:AJ65"/>
    <mergeCell ref="AD57:AJ58"/>
    <mergeCell ref="L67:R69"/>
    <mergeCell ref="L60:R62"/>
    <mergeCell ref="L63:N63"/>
    <mergeCell ref="L64:N64"/>
    <mergeCell ref="L65:N65"/>
    <mergeCell ref="AB43:AB44"/>
    <mergeCell ref="V59:Y59"/>
    <mergeCell ref="Z59:AA59"/>
    <mergeCell ref="V50:X50"/>
    <mergeCell ref="AD43:AF43"/>
    <mergeCell ref="AD44:AF44"/>
    <mergeCell ref="L46:N46"/>
    <mergeCell ref="AD40:AF40"/>
    <mergeCell ref="L47:N47"/>
    <mergeCell ref="AD41:AF41"/>
    <mergeCell ref="O58:Q58"/>
    <mergeCell ref="AB39:AB40"/>
    <mergeCell ref="AB41:AB42"/>
    <mergeCell ref="AD73:AF73"/>
    <mergeCell ref="AD74:AF74"/>
    <mergeCell ref="AD75:AF75"/>
    <mergeCell ref="AD71:AI72"/>
    <mergeCell ref="AG73:AH73"/>
    <mergeCell ref="AG75:AH75"/>
    <mergeCell ref="AG74:AH74"/>
    <mergeCell ref="D49:E49"/>
    <mergeCell ref="F49:H49"/>
    <mergeCell ref="D52:E52"/>
    <mergeCell ref="D53:E53"/>
    <mergeCell ref="AD62:AF62"/>
    <mergeCell ref="AD63:AF63"/>
    <mergeCell ref="AD65:AF65"/>
    <mergeCell ref="AD64:AF64"/>
    <mergeCell ref="AD59:AF59"/>
    <mergeCell ref="AD60:AF60"/>
    <mergeCell ref="AD61:AF61"/>
    <mergeCell ref="AB60:AB61"/>
    <mergeCell ref="Z63:AA63"/>
    <mergeCell ref="W64:Y64"/>
    <mergeCell ref="Z64:AA64"/>
    <mergeCell ref="L51:R52"/>
    <mergeCell ref="V57:AB58"/>
    <mergeCell ref="L57:N57"/>
    <mergeCell ref="L56:N56"/>
    <mergeCell ref="L58:N58"/>
    <mergeCell ref="W60:Y60"/>
    <mergeCell ref="Z60:AA60"/>
    <mergeCell ref="W61:Y61"/>
    <mergeCell ref="Z61:AA61"/>
    <mergeCell ref="W63:Y63"/>
    <mergeCell ref="R54:R57"/>
    <mergeCell ref="Z38:AA38"/>
    <mergeCell ref="W41:Y41"/>
    <mergeCell ref="C48:C53"/>
    <mergeCell ref="I48:I53"/>
    <mergeCell ref="L70:N70"/>
    <mergeCell ref="B13:B33"/>
    <mergeCell ref="B34:B53"/>
    <mergeCell ref="D32:E32"/>
    <mergeCell ref="D29:E29"/>
    <mergeCell ref="F28:H28"/>
    <mergeCell ref="F29:H29"/>
    <mergeCell ref="D33:E33"/>
    <mergeCell ref="C28:C33"/>
    <mergeCell ref="I28:I33"/>
    <mergeCell ref="O50:Q50"/>
    <mergeCell ref="C46:C47"/>
    <mergeCell ref="D46:E46"/>
    <mergeCell ref="I46:I47"/>
    <mergeCell ref="V51:X51"/>
    <mergeCell ref="D47:E47"/>
    <mergeCell ref="V52:X52"/>
    <mergeCell ref="D48:E48"/>
    <mergeCell ref="F48:H48"/>
    <mergeCell ref="V54:X54"/>
    <mergeCell ref="L45:N45"/>
    <mergeCell ref="D43:E43"/>
    <mergeCell ref="D44:E44"/>
    <mergeCell ref="D45:E45"/>
    <mergeCell ref="D50:E50"/>
    <mergeCell ref="V55:X55"/>
    <mergeCell ref="V47:AA48"/>
    <mergeCell ref="D51:E51"/>
    <mergeCell ref="L49:N49"/>
    <mergeCell ref="L50:N50"/>
    <mergeCell ref="R46:R49"/>
    <mergeCell ref="V53:X53"/>
    <mergeCell ref="V39:V44"/>
    <mergeCell ref="W39:Y39"/>
    <mergeCell ref="Z39:AA39"/>
    <mergeCell ref="G55:I73"/>
    <mergeCell ref="L72:N72"/>
    <mergeCell ref="W67:Y67"/>
    <mergeCell ref="Z67:AA67"/>
    <mergeCell ref="W66:Y66"/>
    <mergeCell ref="Z66:AA66"/>
    <mergeCell ref="L53:N53"/>
    <mergeCell ref="L54:N54"/>
    <mergeCell ref="L55:N55"/>
    <mergeCell ref="C34:C36"/>
    <mergeCell ref="D34:E34"/>
    <mergeCell ref="I34:I36"/>
    <mergeCell ref="L38:N38"/>
    <mergeCell ref="Q38:R38"/>
    <mergeCell ref="L36:N36"/>
    <mergeCell ref="Q28:R28"/>
    <mergeCell ref="C37:C39"/>
    <mergeCell ref="Z43:AA43"/>
    <mergeCell ref="C40:C45"/>
    <mergeCell ref="D40:E40"/>
    <mergeCell ref="I40:I45"/>
    <mergeCell ref="D41:E41"/>
    <mergeCell ref="D42:E42"/>
    <mergeCell ref="Q41:R41"/>
    <mergeCell ref="W42:Y42"/>
    <mergeCell ref="D38:E38"/>
    <mergeCell ref="W44:Y44"/>
    <mergeCell ref="L41:N41"/>
    <mergeCell ref="P36:P41"/>
    <mergeCell ref="Q36:R36"/>
    <mergeCell ref="V38:Y38"/>
    <mergeCell ref="Z42:AA42"/>
    <mergeCell ref="L43:R44"/>
    <mergeCell ref="L29:N29"/>
    <mergeCell ref="Q29:R29"/>
    <mergeCell ref="D23:E23"/>
    <mergeCell ref="L30:N30"/>
    <mergeCell ref="C25:C27"/>
    <mergeCell ref="D25:E25"/>
    <mergeCell ref="I25:I27"/>
    <mergeCell ref="AD18:AD19"/>
    <mergeCell ref="W19:AA19"/>
    <mergeCell ref="L22:P22"/>
    <mergeCell ref="D26:E26"/>
    <mergeCell ref="D27:E27"/>
    <mergeCell ref="D24:E24"/>
    <mergeCell ref="D19:E19"/>
    <mergeCell ref="I19:I24"/>
    <mergeCell ref="L26:R27"/>
    <mergeCell ref="D20:E20"/>
    <mergeCell ref="D21:E21"/>
    <mergeCell ref="L28:N28"/>
    <mergeCell ref="D30:E30"/>
    <mergeCell ref="D28:E28"/>
    <mergeCell ref="V31:X31"/>
    <mergeCell ref="L31:N31"/>
    <mergeCell ref="Q31:R31"/>
    <mergeCell ref="V32:X32"/>
    <mergeCell ref="D37:E37"/>
    <mergeCell ref="I37:I39"/>
    <mergeCell ref="L34:R35"/>
    <mergeCell ref="Q30:R30"/>
    <mergeCell ref="Q32:R32"/>
    <mergeCell ref="D39:E39"/>
    <mergeCell ref="D35:E35"/>
    <mergeCell ref="D36:E36"/>
    <mergeCell ref="L32:N32"/>
    <mergeCell ref="D31:E31"/>
    <mergeCell ref="B12:E12"/>
    <mergeCell ref="L20:P20"/>
    <mergeCell ref="W20:AA20"/>
    <mergeCell ref="L14:P14"/>
    <mergeCell ref="C13:C15"/>
    <mergeCell ref="D13:E13"/>
    <mergeCell ref="I13:I15"/>
    <mergeCell ref="L21:P21"/>
    <mergeCell ref="D14:E14"/>
    <mergeCell ref="D15:E15"/>
    <mergeCell ref="C16:C18"/>
    <mergeCell ref="D16:E16"/>
    <mergeCell ref="I16:I18"/>
    <mergeCell ref="D17:E17"/>
    <mergeCell ref="D18:E18"/>
    <mergeCell ref="L16:P16"/>
    <mergeCell ref="S16:S17"/>
    <mergeCell ref="W16:AA16"/>
    <mergeCell ref="L18:P18"/>
    <mergeCell ref="S18:S19"/>
    <mergeCell ref="W18:AA18"/>
    <mergeCell ref="C19:C24"/>
    <mergeCell ref="D22:E22"/>
    <mergeCell ref="D9:G9"/>
    <mergeCell ref="L17:P17"/>
    <mergeCell ref="W17:AA17"/>
    <mergeCell ref="D10:G10"/>
    <mergeCell ref="I10:I11"/>
    <mergeCell ref="Q14:R14"/>
    <mergeCell ref="AB14:AC14"/>
    <mergeCell ref="B2:I3"/>
    <mergeCell ref="K11:S12"/>
    <mergeCell ref="V11:AD12"/>
    <mergeCell ref="B4:I4"/>
    <mergeCell ref="B5:C11"/>
    <mergeCell ref="D5:G5"/>
    <mergeCell ref="I5:I7"/>
    <mergeCell ref="K13:P13"/>
    <mergeCell ref="V13:AA13"/>
    <mergeCell ref="D6:G6"/>
    <mergeCell ref="D7:G7"/>
    <mergeCell ref="D8:G8"/>
    <mergeCell ref="K4:Y8"/>
    <mergeCell ref="V14:V20"/>
    <mergeCell ref="K14:K22"/>
    <mergeCell ref="D11:G11"/>
    <mergeCell ref="L19:P19"/>
    <mergeCell ref="AI47:AI48"/>
    <mergeCell ref="W14:AA14"/>
    <mergeCell ref="L15:P15"/>
    <mergeCell ref="W15:AA15"/>
    <mergeCell ref="AH68:AI68"/>
    <mergeCell ref="AD68:AG68"/>
    <mergeCell ref="AK26:AL33"/>
    <mergeCell ref="AJ47:AJ48"/>
    <mergeCell ref="V36:AB37"/>
    <mergeCell ref="V60:V67"/>
    <mergeCell ref="AB63:AB64"/>
    <mergeCell ref="Z65:AA65"/>
    <mergeCell ref="W62:Y62"/>
    <mergeCell ref="W65:Y65"/>
    <mergeCell ref="Z62:AA62"/>
    <mergeCell ref="AD42:AF42"/>
    <mergeCell ref="AK47:AL54"/>
    <mergeCell ref="V26:AA27"/>
    <mergeCell ref="AI26:AI27"/>
    <mergeCell ref="V29:X29"/>
    <mergeCell ref="V30:X30"/>
    <mergeCell ref="V33:X33"/>
    <mergeCell ref="V34:X34"/>
    <mergeCell ref="AD16:AD17"/>
    <mergeCell ref="AC47:AH48"/>
    <mergeCell ref="AC26:AH27"/>
    <mergeCell ref="Z44:AA44"/>
    <mergeCell ref="L73:N73"/>
    <mergeCell ref="R71:R73"/>
    <mergeCell ref="O73:Q73"/>
    <mergeCell ref="L66:N66"/>
    <mergeCell ref="O66:Q66"/>
    <mergeCell ref="R64:R66"/>
    <mergeCell ref="L48:N48"/>
    <mergeCell ref="L33:N33"/>
    <mergeCell ref="Q33:R33"/>
    <mergeCell ref="L37:N37"/>
    <mergeCell ref="Q37:R37"/>
    <mergeCell ref="Q40:R40"/>
    <mergeCell ref="W43:Y43"/>
    <mergeCell ref="L39:N39"/>
    <mergeCell ref="Q39:R39"/>
    <mergeCell ref="W40:Y40"/>
    <mergeCell ref="Z40:AA40"/>
    <mergeCell ref="L40:N40"/>
    <mergeCell ref="Z41:AA41"/>
    <mergeCell ref="L71:N71"/>
    <mergeCell ref="P28:P33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8"/>
  <sheetViews>
    <sheetView workbookViewId="0">
      <selection activeCell="H11" sqref="H11"/>
    </sheetView>
  </sheetViews>
  <sheetFormatPr defaultRowHeight="15" x14ac:dyDescent="0.25"/>
  <cols>
    <col min="1" max="1" width="15" style="239" customWidth="1"/>
    <col min="2" max="2" width="8.28515625" style="239" bestFit="1" customWidth="1"/>
    <col min="3" max="3" width="9.7109375" style="239" bestFit="1" customWidth="1"/>
    <col min="4" max="4" width="6.85546875" style="239" bestFit="1" customWidth="1"/>
    <col min="5" max="5" width="9.7109375" style="239" bestFit="1" customWidth="1"/>
    <col min="6" max="6" width="17.85546875" style="239" bestFit="1" customWidth="1"/>
    <col min="7" max="7" width="16.85546875" style="239" bestFit="1" customWidth="1"/>
    <col min="8" max="8" width="8.5703125" style="239" bestFit="1" customWidth="1"/>
    <col min="9" max="9" width="7.5703125" style="239" bestFit="1" customWidth="1"/>
    <col min="10" max="10" width="13.140625" style="239" bestFit="1" customWidth="1"/>
    <col min="11" max="11" width="9.140625" style="239"/>
    <col min="12" max="13" width="12.5703125" style="239" bestFit="1" customWidth="1"/>
    <col min="14" max="16384" width="9.140625" style="239"/>
  </cols>
  <sheetData>
    <row r="1" spans="2:14" ht="15" customHeight="1" thickBot="1" x14ac:dyDescent="0.3"/>
    <row r="2" spans="2:14" ht="15" customHeight="1" x14ac:dyDescent="0.25">
      <c r="B2" s="731" t="s">
        <v>272</v>
      </c>
      <c r="C2" s="732"/>
      <c r="F2" s="749" t="s">
        <v>273</v>
      </c>
      <c r="G2" s="750"/>
      <c r="H2" s="750"/>
      <c r="I2" s="750"/>
      <c r="J2" s="751"/>
      <c r="K2" s="240"/>
      <c r="N2" s="240"/>
    </row>
    <row r="3" spans="2:14" ht="15.75" customHeight="1" thickBot="1" x14ac:dyDescent="0.3">
      <c r="B3" s="733"/>
      <c r="C3" s="734"/>
      <c r="F3" s="752"/>
      <c r="G3" s="753"/>
      <c r="H3" s="753"/>
      <c r="I3" s="753"/>
      <c r="J3" s="754"/>
    </row>
    <row r="4" spans="2:14" ht="15.75" customHeight="1" thickBot="1" x14ac:dyDescent="0.3">
      <c r="B4" s="735"/>
      <c r="C4" s="736"/>
      <c r="F4" s="755"/>
      <c r="G4" s="756"/>
      <c r="H4" s="756"/>
      <c r="I4" s="756"/>
      <c r="J4" s="757"/>
      <c r="L4" s="737" t="s">
        <v>274</v>
      </c>
      <c r="M4" s="738"/>
      <c r="N4" s="739"/>
    </row>
    <row r="5" spans="2:14" ht="15.75" thickBot="1" x14ac:dyDescent="0.3">
      <c r="B5" s="241" t="s">
        <v>275</v>
      </c>
      <c r="C5" s="242" t="s">
        <v>276</v>
      </c>
      <c r="F5" s="243" t="s">
        <v>277</v>
      </c>
      <c r="G5" s="244" t="s">
        <v>278</v>
      </c>
      <c r="H5" s="244" t="s">
        <v>279</v>
      </c>
      <c r="I5" s="244" t="s">
        <v>280</v>
      </c>
      <c r="J5" s="245" t="s">
        <v>281</v>
      </c>
      <c r="L5" s="740"/>
      <c r="M5" s="741"/>
      <c r="N5" s="742"/>
    </row>
    <row r="6" spans="2:14" x14ac:dyDescent="0.25">
      <c r="B6" s="246">
        <v>600</v>
      </c>
      <c r="C6" s="247">
        <f t="shared" ref="C6:C18" si="0">B6*$L$13</f>
        <v>105.07610100000001</v>
      </c>
      <c r="F6" s="260">
        <f t="shared" ref="F6:F18" si="1">C6*$M$10</f>
        <v>3152.2830300000001</v>
      </c>
      <c r="G6" s="261">
        <f t="shared" ref="G6:G18" si="2">($M$6/$M$7)*F6</f>
        <v>4871.7101372727275</v>
      </c>
      <c r="H6" s="261">
        <f t="shared" ref="H6:H18" si="3">F6*SIN($M$9*PI()/180)+G6*COS($M$8*PI()/180)</f>
        <v>4948.4003900589669</v>
      </c>
      <c r="I6" s="261">
        <f t="shared" ref="I6:I18" si="4">G6*SIN($M$8*PI()/180)-F6*COS($M$9*PI()/180)</f>
        <v>3668.5619422555192</v>
      </c>
      <c r="J6" s="262">
        <f t="shared" ref="J6:J12" si="5">SQRT(H6^2+I6^2)</f>
        <v>6159.9523654409313</v>
      </c>
      <c r="L6" s="248" t="s">
        <v>282</v>
      </c>
      <c r="M6" s="249">
        <v>85</v>
      </c>
      <c r="N6" s="250" t="s">
        <v>1</v>
      </c>
    </row>
    <row r="7" spans="2:14" x14ac:dyDescent="0.25">
      <c r="B7" s="251">
        <v>550</v>
      </c>
      <c r="C7" s="252">
        <f t="shared" si="0"/>
        <v>96.319759250000004</v>
      </c>
      <c r="F7" s="263">
        <f t="shared" si="1"/>
        <v>2889.5927775</v>
      </c>
      <c r="G7" s="264">
        <f t="shared" si="2"/>
        <v>4465.7342925000003</v>
      </c>
      <c r="H7" s="264">
        <f t="shared" si="3"/>
        <v>4536.0336908873851</v>
      </c>
      <c r="I7" s="264">
        <f t="shared" si="4"/>
        <v>3362.8484470675594</v>
      </c>
      <c r="J7" s="265">
        <f t="shared" si="5"/>
        <v>5646.6230016541858</v>
      </c>
      <c r="L7" s="248" t="s">
        <v>283</v>
      </c>
      <c r="M7" s="249">
        <v>55</v>
      </c>
      <c r="N7" s="250" t="s">
        <v>1</v>
      </c>
    </row>
    <row r="8" spans="2:14" x14ac:dyDescent="0.25">
      <c r="B8" s="251">
        <v>500</v>
      </c>
      <c r="C8" s="252">
        <f t="shared" si="0"/>
        <v>87.5634175</v>
      </c>
      <c r="F8" s="263">
        <f t="shared" si="1"/>
        <v>2626.902525</v>
      </c>
      <c r="G8" s="264">
        <f t="shared" si="2"/>
        <v>4059.7584477272726</v>
      </c>
      <c r="H8" s="264">
        <f t="shared" si="3"/>
        <v>4123.6669917158051</v>
      </c>
      <c r="I8" s="264">
        <f t="shared" si="4"/>
        <v>3057.1349518795987</v>
      </c>
      <c r="J8" s="265">
        <f t="shared" si="5"/>
        <v>5133.2936378674422</v>
      </c>
      <c r="L8" s="248" t="s">
        <v>284</v>
      </c>
      <c r="M8" s="249">
        <v>67</v>
      </c>
      <c r="N8" s="250" t="s">
        <v>23</v>
      </c>
    </row>
    <row r="9" spans="2:14" x14ac:dyDescent="0.25">
      <c r="B9" s="251">
        <v>450</v>
      </c>
      <c r="C9" s="252">
        <f t="shared" si="0"/>
        <v>78.80707575000001</v>
      </c>
      <c r="F9" s="263">
        <f t="shared" si="1"/>
        <v>2364.2122725000004</v>
      </c>
      <c r="G9" s="264">
        <f t="shared" si="2"/>
        <v>3653.7826029545458</v>
      </c>
      <c r="H9" s="264">
        <f t="shared" si="3"/>
        <v>3711.3002925442252</v>
      </c>
      <c r="I9" s="264">
        <f t="shared" si="4"/>
        <v>2751.4214566916389</v>
      </c>
      <c r="J9" s="266">
        <f t="shared" si="5"/>
        <v>4619.9642740806976</v>
      </c>
      <c r="L9" s="248" t="s">
        <v>285</v>
      </c>
      <c r="M9" s="249">
        <v>75</v>
      </c>
      <c r="N9" s="250" t="s">
        <v>23</v>
      </c>
    </row>
    <row r="10" spans="2:14" ht="15.75" thickBot="1" x14ac:dyDescent="0.3">
      <c r="B10" s="251">
        <v>400</v>
      </c>
      <c r="C10" s="252">
        <f t="shared" si="0"/>
        <v>70.050734000000006</v>
      </c>
      <c r="F10" s="263">
        <f t="shared" si="1"/>
        <v>2101.5220200000003</v>
      </c>
      <c r="G10" s="264">
        <f t="shared" si="2"/>
        <v>3247.8067581818186</v>
      </c>
      <c r="H10" s="264">
        <f t="shared" si="3"/>
        <v>3298.9335933726447</v>
      </c>
      <c r="I10" s="264">
        <f t="shared" si="4"/>
        <v>2445.7079615036791</v>
      </c>
      <c r="J10" s="265">
        <f t="shared" si="5"/>
        <v>4106.6349102939539</v>
      </c>
      <c r="L10" s="253" t="s">
        <v>286</v>
      </c>
      <c r="M10" s="254">
        <v>30</v>
      </c>
      <c r="N10" s="255" t="s">
        <v>1</v>
      </c>
    </row>
    <row r="11" spans="2:14" ht="15.75" thickBot="1" x14ac:dyDescent="0.3">
      <c r="B11" s="251">
        <v>350</v>
      </c>
      <c r="C11" s="252">
        <f t="shared" si="0"/>
        <v>61.294392250000001</v>
      </c>
      <c r="E11" s="256"/>
      <c r="F11" s="263">
        <f t="shared" si="1"/>
        <v>1838.8317675000001</v>
      </c>
      <c r="G11" s="264">
        <f t="shared" si="2"/>
        <v>2841.830913409091</v>
      </c>
      <c r="H11" s="264">
        <f t="shared" si="3"/>
        <v>2886.5668942010634</v>
      </c>
      <c r="I11" s="264">
        <f t="shared" si="4"/>
        <v>2139.9944663157194</v>
      </c>
      <c r="J11" s="265">
        <f t="shared" si="5"/>
        <v>3593.3055465072093</v>
      </c>
    </row>
    <row r="12" spans="2:14" ht="15.75" thickBot="1" x14ac:dyDescent="0.3">
      <c r="B12" s="251">
        <v>300</v>
      </c>
      <c r="C12" s="252">
        <f t="shared" si="0"/>
        <v>52.538050500000004</v>
      </c>
      <c r="D12" s="256"/>
      <c r="E12" s="256"/>
      <c r="F12" s="263">
        <f t="shared" si="1"/>
        <v>1576.141515</v>
      </c>
      <c r="G12" s="264">
        <f t="shared" si="2"/>
        <v>2435.8550686363637</v>
      </c>
      <c r="H12" s="264">
        <f t="shared" si="3"/>
        <v>2474.2001950294834</v>
      </c>
      <c r="I12" s="264">
        <f t="shared" si="4"/>
        <v>1834.2809711277596</v>
      </c>
      <c r="J12" s="265">
        <f t="shared" si="5"/>
        <v>3079.9761827204657</v>
      </c>
      <c r="L12" s="743" t="s">
        <v>287</v>
      </c>
      <c r="M12" s="744"/>
      <c r="N12" s="745"/>
    </row>
    <row r="13" spans="2:14" ht="15.75" thickBot="1" x14ac:dyDescent="0.3">
      <c r="B13" s="251">
        <v>250</v>
      </c>
      <c r="C13" s="252">
        <f t="shared" si="0"/>
        <v>43.78170875</v>
      </c>
      <c r="F13" s="263">
        <f t="shared" si="1"/>
        <v>1313.4512625</v>
      </c>
      <c r="G13" s="264">
        <f t="shared" si="2"/>
        <v>2029.8792238636363</v>
      </c>
      <c r="H13" s="264">
        <f t="shared" si="3"/>
        <v>2061.8334958579026</v>
      </c>
      <c r="I13" s="264">
        <f t="shared" si="4"/>
        <v>1528.5674759397994</v>
      </c>
      <c r="J13" s="265">
        <f t="shared" ref="J13:J18" si="6">SQRT(H13^2+I13^2)</f>
        <v>2566.6468189337211</v>
      </c>
      <c r="L13" s="746">
        <v>0.17512683500000001</v>
      </c>
      <c r="M13" s="747"/>
      <c r="N13" s="748"/>
    </row>
    <row r="14" spans="2:14" x14ac:dyDescent="0.25">
      <c r="B14" s="251">
        <v>200</v>
      </c>
      <c r="C14" s="252">
        <f t="shared" si="0"/>
        <v>35.025367000000003</v>
      </c>
      <c r="F14" s="263">
        <f t="shared" si="1"/>
        <v>1050.7610100000002</v>
      </c>
      <c r="G14" s="264">
        <f t="shared" si="2"/>
        <v>1623.9033790909093</v>
      </c>
      <c r="H14" s="264">
        <f t="shared" si="3"/>
        <v>1649.4667966863224</v>
      </c>
      <c r="I14" s="264">
        <f t="shared" si="4"/>
        <v>1222.8539807518396</v>
      </c>
      <c r="J14" s="265">
        <f t="shared" si="6"/>
        <v>2053.317455146977</v>
      </c>
    </row>
    <row r="15" spans="2:14" x14ac:dyDescent="0.25">
      <c r="B15" s="251">
        <v>150</v>
      </c>
      <c r="C15" s="252">
        <f t="shared" si="0"/>
        <v>26.269025250000002</v>
      </c>
      <c r="F15" s="263">
        <f t="shared" si="1"/>
        <v>788.07075750000001</v>
      </c>
      <c r="G15" s="264">
        <f t="shared" si="2"/>
        <v>1217.9275343181819</v>
      </c>
      <c r="H15" s="264">
        <f t="shared" si="3"/>
        <v>1237.1000975147417</v>
      </c>
      <c r="I15" s="264">
        <f t="shared" si="4"/>
        <v>917.14048556387979</v>
      </c>
      <c r="J15" s="265">
        <f t="shared" si="6"/>
        <v>1539.9880913602328</v>
      </c>
    </row>
    <row r="16" spans="2:14" x14ac:dyDescent="0.25">
      <c r="B16" s="251">
        <v>100</v>
      </c>
      <c r="C16" s="252">
        <f t="shared" si="0"/>
        <v>17.512683500000001</v>
      </c>
      <c r="F16" s="263">
        <f t="shared" si="1"/>
        <v>525.38050500000008</v>
      </c>
      <c r="G16" s="264">
        <f t="shared" si="2"/>
        <v>811.95168954545466</v>
      </c>
      <c r="H16" s="264">
        <f t="shared" si="3"/>
        <v>824.73339834316118</v>
      </c>
      <c r="I16" s="264">
        <f t="shared" si="4"/>
        <v>611.42699037591979</v>
      </c>
      <c r="J16" s="265">
        <f t="shared" si="6"/>
        <v>1026.6587275734885</v>
      </c>
    </row>
    <row r="17" spans="2:10" x14ac:dyDescent="0.25">
      <c r="B17" s="251">
        <v>50</v>
      </c>
      <c r="C17" s="252">
        <f t="shared" si="0"/>
        <v>8.7563417500000007</v>
      </c>
      <c r="F17" s="263">
        <f t="shared" si="1"/>
        <v>262.69025250000004</v>
      </c>
      <c r="G17" s="264">
        <f t="shared" si="2"/>
        <v>405.97584477272733</v>
      </c>
      <c r="H17" s="264">
        <f t="shared" si="3"/>
        <v>412.36669917158059</v>
      </c>
      <c r="I17" s="264">
        <f t="shared" si="4"/>
        <v>305.71349518795989</v>
      </c>
      <c r="J17" s="265">
        <f t="shared" si="6"/>
        <v>513.32936378674424</v>
      </c>
    </row>
    <row r="18" spans="2:10" ht="15.75" thickBot="1" x14ac:dyDescent="0.3">
      <c r="B18" s="257">
        <v>0</v>
      </c>
      <c r="C18" s="258">
        <f t="shared" si="0"/>
        <v>0</v>
      </c>
      <c r="F18" s="267">
        <f t="shared" si="1"/>
        <v>0</v>
      </c>
      <c r="G18" s="268">
        <f t="shared" si="2"/>
        <v>0</v>
      </c>
      <c r="H18" s="268">
        <f t="shared" si="3"/>
        <v>0</v>
      </c>
      <c r="I18" s="268">
        <f t="shared" si="4"/>
        <v>0</v>
      </c>
      <c r="J18" s="269">
        <f t="shared" si="6"/>
        <v>0</v>
      </c>
    </row>
  </sheetData>
  <mergeCells count="5">
    <mergeCell ref="B2:C4"/>
    <mergeCell ref="L4:N5"/>
    <mergeCell ref="L12:N12"/>
    <mergeCell ref="L13:N13"/>
    <mergeCell ref="F2:J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21"/>
  <sheetViews>
    <sheetView tabSelected="1" topLeftCell="A25" zoomScale="80" zoomScaleNormal="80" workbookViewId="0">
      <selection activeCell="M53" sqref="M53"/>
    </sheetView>
  </sheetViews>
  <sheetFormatPr defaultColWidth="9.140625" defaultRowHeight="15" x14ac:dyDescent="0.25"/>
  <cols>
    <col min="1" max="1" width="3.5703125" style="74" customWidth="1"/>
    <col min="2" max="2" width="38.140625" customWidth="1"/>
    <col min="3" max="3" width="6.5703125" customWidth="1"/>
    <col min="4" max="4" width="8.7109375" customWidth="1"/>
    <col min="5" max="5" width="9.28515625" customWidth="1"/>
    <col min="6" max="6" width="2.42578125" style="28" customWidth="1"/>
    <col min="7" max="7" width="3.85546875" customWidth="1"/>
    <col min="8" max="9" width="18.42578125" customWidth="1"/>
    <col min="10" max="10" width="8.28515625" customWidth="1"/>
    <col min="11" max="11" width="11" customWidth="1"/>
    <col min="12" max="12" width="4" style="28" customWidth="1"/>
    <col min="13" max="13" width="30.85546875" customWidth="1"/>
    <col min="14" max="14" width="13.42578125" customWidth="1"/>
    <col min="15" max="15" width="9" customWidth="1"/>
    <col min="16" max="16" width="9.28515625" customWidth="1"/>
    <col min="17" max="18" width="3.7109375" customWidth="1"/>
    <col min="19" max="19" width="14.28515625" customWidth="1"/>
    <col min="20" max="20" width="9.42578125" customWidth="1"/>
    <col min="21" max="21" width="7.5703125" customWidth="1"/>
    <col min="22" max="22" width="5.28515625" customWidth="1"/>
    <col min="23" max="23" width="3.85546875" style="28" customWidth="1"/>
    <col min="24" max="29" width="9.140625" style="28"/>
  </cols>
  <sheetData>
    <row r="1" spans="1:23" ht="19.5" thickBot="1" x14ac:dyDescent="0.35">
      <c r="B1" s="28"/>
      <c r="C1" s="28"/>
      <c r="D1" s="28"/>
      <c r="E1" s="28"/>
      <c r="G1" s="28"/>
      <c r="H1" s="28"/>
      <c r="I1" s="28"/>
      <c r="J1" s="28"/>
      <c r="K1" s="28"/>
      <c r="M1" s="888" t="s">
        <v>204</v>
      </c>
      <c r="N1" s="889"/>
      <c r="O1" s="889"/>
      <c r="P1" s="889"/>
      <c r="Q1" s="889"/>
      <c r="R1" s="889"/>
      <c r="S1" s="889"/>
      <c r="T1" s="889"/>
      <c r="U1" s="889"/>
      <c r="V1" s="890"/>
    </row>
    <row r="2" spans="1:23" ht="18.75" customHeight="1" thickBot="1" x14ac:dyDescent="0.35">
      <c r="A2" s="805" t="s">
        <v>203</v>
      </c>
      <c r="B2" s="805"/>
      <c r="C2" s="805"/>
      <c r="D2" s="805"/>
      <c r="E2" s="805"/>
      <c r="G2" s="28"/>
      <c r="H2" s="805" t="s">
        <v>202</v>
      </c>
      <c r="I2" s="805"/>
      <c r="J2" s="805"/>
      <c r="K2" s="805"/>
      <c r="M2" s="884" t="s">
        <v>131</v>
      </c>
      <c r="N2" s="885"/>
      <c r="O2" s="885"/>
      <c r="P2" s="886"/>
      <c r="Q2" s="28"/>
      <c r="R2" s="884" t="s">
        <v>315</v>
      </c>
      <c r="S2" s="885"/>
      <c r="T2" s="885"/>
      <c r="U2" s="885"/>
      <c r="V2" s="886"/>
      <c r="W2" s="165"/>
    </row>
    <row r="3" spans="1:23" ht="15" customHeight="1" x14ac:dyDescent="0.25">
      <c r="A3" s="441" t="s">
        <v>81</v>
      </c>
      <c r="B3" s="869" t="s">
        <v>201</v>
      </c>
      <c r="C3" s="869"/>
      <c r="D3" s="131">
        <f>'Suspension Points'!H5</f>
        <v>1576.38</v>
      </c>
      <c r="E3" s="814" t="s">
        <v>1</v>
      </c>
      <c r="G3" s="758" t="s">
        <v>131</v>
      </c>
      <c r="H3" s="880" t="s">
        <v>200</v>
      </c>
      <c r="I3" s="817"/>
      <c r="J3" s="126">
        <f>(D14*9.81*1*O20/1000)/O7</f>
        <v>0.78392278346701683</v>
      </c>
      <c r="K3" s="164" t="s">
        <v>136</v>
      </c>
      <c r="M3" s="827" t="s">
        <v>146</v>
      </c>
      <c r="N3" s="828"/>
      <c r="O3" s="130">
        <f>O4/O7</f>
        <v>-1.5678455669340337</v>
      </c>
      <c r="P3" s="129" t="s">
        <v>145</v>
      </c>
      <c r="Q3" s="28"/>
      <c r="R3" s="770" t="s">
        <v>144</v>
      </c>
      <c r="S3" s="882" t="s">
        <v>26</v>
      </c>
      <c r="T3" s="882"/>
      <c r="U3" s="882"/>
      <c r="V3" s="883"/>
    </row>
    <row r="4" spans="1:23" ht="15" customHeight="1" x14ac:dyDescent="0.25">
      <c r="A4" s="441"/>
      <c r="B4" s="869" t="s">
        <v>2</v>
      </c>
      <c r="C4" s="869"/>
      <c r="D4" s="120">
        <v>1200</v>
      </c>
      <c r="E4" s="887"/>
      <c r="G4" s="759"/>
      <c r="H4" s="767" t="s">
        <v>199</v>
      </c>
      <c r="I4" s="767"/>
      <c r="J4" s="126">
        <f>J3*D42</f>
        <v>-1.5678455669340337</v>
      </c>
      <c r="K4" s="164" t="s">
        <v>198</v>
      </c>
      <c r="M4" s="766" t="s">
        <v>140</v>
      </c>
      <c r="N4" s="767"/>
      <c r="O4" s="116">
        <f>D14*9.81*D42*O20/1000</f>
        <v>-1165.8521928711202</v>
      </c>
      <c r="P4" s="115" t="s">
        <v>139</v>
      </c>
      <c r="Q4" s="28"/>
      <c r="R4" s="771"/>
      <c r="S4" s="762" t="s">
        <v>101</v>
      </c>
      <c r="T4" s="762"/>
      <c r="U4" s="99">
        <f>U8+U12+U16</f>
        <v>-55.449811038714898</v>
      </c>
      <c r="V4" s="98" t="s">
        <v>100</v>
      </c>
    </row>
    <row r="5" spans="1:23" ht="15" customHeight="1" x14ac:dyDescent="0.25">
      <c r="A5" s="441"/>
      <c r="B5" s="869" t="s">
        <v>197</v>
      </c>
      <c r="C5" s="869"/>
      <c r="D5" s="120">
        <f>Rear_Track</f>
        <v>-1232.78</v>
      </c>
      <c r="E5" s="815"/>
      <c r="G5" s="776" t="s">
        <v>196</v>
      </c>
      <c r="H5" s="760" t="s">
        <v>195</v>
      </c>
      <c r="I5" s="760"/>
      <c r="J5" s="160">
        <f>1/(2*PI())*SQRT((D24*1000)/D8)</f>
        <v>28.034774749400423</v>
      </c>
      <c r="K5" s="159" t="s">
        <v>170</v>
      </c>
      <c r="M5" s="766" t="s">
        <v>137</v>
      </c>
      <c r="N5" s="767"/>
      <c r="O5" s="126">
        <f>O3/LatAccel</f>
        <v>0.78392278346701683</v>
      </c>
      <c r="P5" s="163" t="s">
        <v>136</v>
      </c>
      <c r="Q5" s="28"/>
      <c r="R5" s="771"/>
      <c r="S5" s="764" t="s">
        <v>84</v>
      </c>
      <c r="T5" s="764"/>
      <c r="U5" s="764"/>
      <c r="V5" s="765"/>
    </row>
    <row r="6" spans="1:23" ht="15" customHeight="1" x14ac:dyDescent="0.25">
      <c r="A6" s="813" t="s">
        <v>194</v>
      </c>
      <c r="B6" s="868" t="s">
        <v>193</v>
      </c>
      <c r="C6" s="868"/>
      <c r="D6" s="141">
        <v>299</v>
      </c>
      <c r="E6" s="112" t="s">
        <v>100</v>
      </c>
      <c r="G6" s="776"/>
      <c r="H6" s="760" t="s">
        <v>192</v>
      </c>
      <c r="I6" s="760"/>
      <c r="J6" s="160">
        <f>1/(2*PI())*SQRT((D25*1000)/D9)</f>
        <v>27.766955364172773</v>
      </c>
      <c r="K6" s="159" t="s">
        <v>170</v>
      </c>
      <c r="M6" s="892"/>
      <c r="N6" s="893"/>
      <c r="O6" s="893"/>
      <c r="P6" s="894"/>
      <c r="Q6" s="28"/>
      <c r="R6" s="771"/>
      <c r="S6" s="763" t="s">
        <v>101</v>
      </c>
      <c r="T6" s="763"/>
      <c r="U6" s="111">
        <f>U10+U14+U18</f>
        <v>60.305518221858009</v>
      </c>
      <c r="V6" s="110" t="s">
        <v>100</v>
      </c>
    </row>
    <row r="7" spans="1:23" ht="15" customHeight="1" x14ac:dyDescent="0.25">
      <c r="A7" s="813"/>
      <c r="B7" s="868" t="s">
        <v>191</v>
      </c>
      <c r="C7" s="868"/>
      <c r="D7" s="141">
        <v>48</v>
      </c>
      <c r="E7" s="112" t="s">
        <v>118</v>
      </c>
      <c r="G7" s="776"/>
      <c r="H7" s="760" t="s">
        <v>190</v>
      </c>
      <c r="I7" s="760"/>
      <c r="J7" s="160">
        <f>2*SQRT(D24*1000*D8)/1000</f>
        <v>4.314561391381516</v>
      </c>
      <c r="K7" s="159" t="s">
        <v>173</v>
      </c>
      <c r="M7" s="899" t="s">
        <v>133</v>
      </c>
      <c r="N7" s="900"/>
      <c r="O7" s="162">
        <f>O10+O13</f>
        <v>743.60142188683619</v>
      </c>
      <c r="P7" s="161" t="s">
        <v>97</v>
      </c>
      <c r="Q7" s="28"/>
      <c r="R7" s="771" t="s">
        <v>132</v>
      </c>
      <c r="S7" s="882" t="s">
        <v>26</v>
      </c>
      <c r="T7" s="882"/>
      <c r="U7" s="882"/>
      <c r="V7" s="883"/>
    </row>
    <row r="8" spans="1:23" ht="15" customHeight="1" x14ac:dyDescent="0.25">
      <c r="A8" s="813"/>
      <c r="B8" s="868" t="s">
        <v>189</v>
      </c>
      <c r="C8" s="868"/>
      <c r="D8" s="141">
        <v>12.247</v>
      </c>
      <c r="E8" s="112" t="s">
        <v>100</v>
      </c>
      <c r="G8" s="776"/>
      <c r="H8" s="760" t="s">
        <v>188</v>
      </c>
      <c r="I8" s="760"/>
      <c r="J8" s="160">
        <f>2*SQRT(D25*1000*D9)/1000</f>
        <v>4.70008510561245</v>
      </c>
      <c r="K8" s="159" t="s">
        <v>173</v>
      </c>
      <c r="M8" s="766" t="s">
        <v>112</v>
      </c>
      <c r="N8" s="117" t="s">
        <v>128</v>
      </c>
      <c r="O8" s="116">
        <f>((FrontTrack/1000)^2*TAN(RADIANS(1))*(FrontWheelRate_NoTire*1000))/2</f>
        <v>314.19116870791652</v>
      </c>
      <c r="P8" s="115" t="s">
        <v>97</v>
      </c>
      <c r="Q8" s="28"/>
      <c r="R8" s="771"/>
      <c r="S8" s="762" t="s">
        <v>101</v>
      </c>
      <c r="T8" s="762"/>
      <c r="U8" s="99">
        <f>NSM_Fr*2*LatAccel*NSMCG_Fr/FrontTrack</f>
        <v>-10.716125</v>
      </c>
      <c r="V8" s="98" t="s">
        <v>100</v>
      </c>
    </row>
    <row r="9" spans="1:23" ht="15" customHeight="1" x14ac:dyDescent="0.25">
      <c r="A9" s="813"/>
      <c r="B9" s="868" t="s">
        <v>187</v>
      </c>
      <c r="C9" s="868"/>
      <c r="D9" s="141">
        <v>13.47</v>
      </c>
      <c r="E9" s="112" t="s">
        <v>100</v>
      </c>
      <c r="G9" s="776"/>
      <c r="H9" s="879" t="s">
        <v>186</v>
      </c>
      <c r="I9" s="879"/>
      <c r="J9" s="158">
        <f>1/(2*PI())*SQRT(((D20*1000)/D26^2)/((D14*D15/100)/2))</f>
        <v>3.2620019352674654</v>
      </c>
      <c r="K9" s="157" t="s">
        <v>170</v>
      </c>
      <c r="M9" s="766"/>
      <c r="N9" s="117" t="s">
        <v>125</v>
      </c>
      <c r="O9" s="116">
        <f>((RearTrack/1000)^2*TAN(RADIANS(1))*RearWheelRate_NoTire*1000)/2</f>
        <v>429.41025317891967</v>
      </c>
      <c r="P9" s="115" t="s">
        <v>97</v>
      </c>
      <c r="Q9" s="28"/>
      <c r="R9" s="771"/>
      <c r="S9" s="764" t="s">
        <v>84</v>
      </c>
      <c r="T9" s="764"/>
      <c r="U9" s="764"/>
      <c r="V9" s="765"/>
    </row>
    <row r="10" spans="1:23" ht="15" customHeight="1" x14ac:dyDescent="0.25">
      <c r="A10" s="813"/>
      <c r="B10" s="873" t="s">
        <v>185</v>
      </c>
      <c r="C10" s="873"/>
      <c r="D10" s="149">
        <f>D8/(D9+D8)*100</f>
        <v>47.622195434926319</v>
      </c>
      <c r="E10" s="143" t="s">
        <v>118</v>
      </c>
      <c r="G10" s="776"/>
      <c r="H10" s="879" t="s">
        <v>184</v>
      </c>
      <c r="I10" s="879"/>
      <c r="J10" s="158">
        <f>1/(2*PI())*SQRT(((D21*1000)/D27^2)/((D14*(100-D15)/100)/2))</f>
        <v>3.5720774788980769</v>
      </c>
      <c r="K10" s="157" t="s">
        <v>170</v>
      </c>
      <c r="M10" s="766"/>
      <c r="N10" s="117" t="s">
        <v>98</v>
      </c>
      <c r="O10" s="116">
        <f>O8+O9</f>
        <v>743.60142188683619</v>
      </c>
      <c r="P10" s="115" t="s">
        <v>97</v>
      </c>
      <c r="Q10" s="28"/>
      <c r="R10" s="771"/>
      <c r="S10" s="763" t="s">
        <v>101</v>
      </c>
      <c r="T10" s="763"/>
      <c r="U10" s="111">
        <f>NSM_Rr*2*LatAccel*NSMCG_Rr/RearTrack</f>
        <v>11.47284998134298</v>
      </c>
      <c r="V10" s="110" t="s">
        <v>100</v>
      </c>
    </row>
    <row r="11" spans="1:23" ht="15" customHeight="1" x14ac:dyDescent="0.25">
      <c r="A11" s="813"/>
      <c r="B11" s="868" t="s">
        <v>183</v>
      </c>
      <c r="C11" s="868"/>
      <c r="D11" s="155">
        <v>285</v>
      </c>
      <c r="E11" s="876" t="s">
        <v>1</v>
      </c>
      <c r="G11" s="776"/>
      <c r="H11" s="761" t="s">
        <v>182</v>
      </c>
      <c r="I11" s="761"/>
      <c r="J11" s="156">
        <f>2*SQRT(FrontWheelRate_NoTire*1000*SM*(SM_WD/100)/2)/1000</f>
        <v>2.4395286429964296</v>
      </c>
      <c r="K11" s="147" t="s">
        <v>173</v>
      </c>
      <c r="M11" s="804" t="s">
        <v>112</v>
      </c>
      <c r="N11" s="107" t="s">
        <v>121</v>
      </c>
      <c r="O11" s="106">
        <f>IF(E22="N.m/deg",ARBStiffness_Fr/ARBMR_Fr^2,(ARBStiffness_Fr*1000*(FrontTrack/1000)^2*TAN(RADIANS(1)))/ARBMR_Fr^2)</f>
        <v>0</v>
      </c>
      <c r="P11" s="105" t="s">
        <v>97</v>
      </c>
      <c r="Q11" s="28"/>
      <c r="R11" s="771" t="s">
        <v>120</v>
      </c>
      <c r="S11" s="882" t="s">
        <v>26</v>
      </c>
      <c r="T11" s="882"/>
      <c r="U11" s="882"/>
      <c r="V11" s="883"/>
    </row>
    <row r="12" spans="1:23" ht="15" customHeight="1" x14ac:dyDescent="0.25">
      <c r="A12" s="813"/>
      <c r="B12" s="868" t="s">
        <v>181</v>
      </c>
      <c r="C12" s="868"/>
      <c r="D12" s="155">
        <v>262.5</v>
      </c>
      <c r="E12" s="877"/>
      <c r="G12" s="776"/>
      <c r="H12" s="761" t="s">
        <v>180</v>
      </c>
      <c r="I12" s="761"/>
      <c r="J12" s="156">
        <f>2*SQRT(RearWheelRate_NoTire*1000*SM*((100-SM_WD)/100)/2)/1000</f>
        <v>2.884954938989515</v>
      </c>
      <c r="K12" s="147" t="s">
        <v>173</v>
      </c>
      <c r="M12" s="804"/>
      <c r="N12" s="107" t="s">
        <v>117</v>
      </c>
      <c r="O12" s="106">
        <f>IF(E22="N.m/deg",ARBStiffness_Rr/ARBMR_Rr^2,(ARBStiffness_Rr*1000*(RearTrack/1000)^2*TAN(RADIANS(1)))/ARBMR_Rr^2)</f>
        <v>0</v>
      </c>
      <c r="P12" s="105" t="s">
        <v>97</v>
      </c>
      <c r="Q12" s="28"/>
      <c r="R12" s="771"/>
      <c r="S12" s="762" t="s">
        <v>101</v>
      </c>
      <c r="T12" s="762"/>
      <c r="U12" s="99">
        <f>(SM*LatAccel*DeltaZ*(AR_FrontSpring+AR_FrontARB)/AR_Total)/FrontTrack</f>
        <v>-41.845330532494891</v>
      </c>
      <c r="V12" s="98" t="s">
        <v>100</v>
      </c>
    </row>
    <row r="13" spans="1:23" ht="15" customHeight="1" thickBot="1" x14ac:dyDescent="0.3">
      <c r="A13" s="813"/>
      <c r="B13" s="868" t="s">
        <v>179</v>
      </c>
      <c r="C13" s="868"/>
      <c r="D13" s="155">
        <v>262.5</v>
      </c>
      <c r="E13" s="878"/>
      <c r="G13" s="776"/>
      <c r="H13" s="761" t="s">
        <v>178</v>
      </c>
      <c r="I13" s="761"/>
      <c r="J13" s="151">
        <f>J11*0.7</f>
        <v>1.7076700500975006</v>
      </c>
      <c r="K13" s="147" t="s">
        <v>173</v>
      </c>
      <c r="M13" s="881"/>
      <c r="N13" s="154" t="s">
        <v>98</v>
      </c>
      <c r="O13" s="153">
        <f>O11+O12</f>
        <v>0</v>
      </c>
      <c r="P13" s="152" t="s">
        <v>97</v>
      </c>
      <c r="Q13" s="28"/>
      <c r="R13" s="771"/>
      <c r="S13" s="764" t="s">
        <v>84</v>
      </c>
      <c r="T13" s="764"/>
      <c r="U13" s="764"/>
      <c r="V13" s="765"/>
    </row>
    <row r="14" spans="1:23" ht="15" customHeight="1" thickBot="1" x14ac:dyDescent="0.3">
      <c r="A14" s="813"/>
      <c r="B14" s="873" t="e">
        <f>(B4/(B5+B4))</f>
        <v>#VALUE!</v>
      </c>
      <c r="C14" s="873"/>
      <c r="D14" s="149">
        <f>D6-2*D8-2*D9</f>
        <v>247.56599999999997</v>
      </c>
      <c r="E14" s="143" t="s">
        <v>100</v>
      </c>
      <c r="G14" s="776"/>
      <c r="H14" s="761" t="s">
        <v>177</v>
      </c>
      <c r="I14" s="761"/>
      <c r="J14" s="151">
        <f>J12*0.7</f>
        <v>2.0194684572926604</v>
      </c>
      <c r="K14" s="147" t="s">
        <v>173</v>
      </c>
      <c r="M14" s="150"/>
      <c r="N14" s="150"/>
      <c r="O14" s="150"/>
      <c r="P14" s="150"/>
      <c r="Q14" s="28"/>
      <c r="R14" s="771"/>
      <c r="S14" s="763" t="s">
        <v>101</v>
      </c>
      <c r="T14" s="763"/>
      <c r="U14" s="111">
        <f>(SM*LatAccel*DeltaZ*(AR_RearSpring+AR_RearARB)/AR_Total)/RearTrack</f>
        <v>55.669985094278779</v>
      </c>
      <c r="V14" s="110" t="s">
        <v>100</v>
      </c>
    </row>
    <row r="15" spans="1:23" ht="15" customHeight="1" thickBot="1" x14ac:dyDescent="0.3">
      <c r="A15" s="813"/>
      <c r="B15" s="874" t="s">
        <v>314</v>
      </c>
      <c r="C15" s="875"/>
      <c r="D15" s="149">
        <f>(D6*D7/100-D8*2)/D14*100</f>
        <v>48.078492200059792</v>
      </c>
      <c r="E15" s="143" t="s">
        <v>118</v>
      </c>
      <c r="G15" s="776"/>
      <c r="H15" s="761" t="s">
        <v>176</v>
      </c>
      <c r="I15" s="761"/>
      <c r="J15" s="148">
        <f>J13*SpringMR_Fr</f>
        <v>1.7076700500975006</v>
      </c>
      <c r="K15" s="147" t="s">
        <v>173</v>
      </c>
      <c r="M15" s="895" t="s">
        <v>94</v>
      </c>
      <c r="N15" s="896"/>
      <c r="O15" s="896"/>
      <c r="P15" s="897"/>
      <c r="Q15" s="28"/>
      <c r="R15" s="771" t="s">
        <v>107</v>
      </c>
      <c r="S15" s="882" t="s">
        <v>26</v>
      </c>
      <c r="T15" s="882"/>
      <c r="U15" s="882"/>
      <c r="V15" s="883"/>
    </row>
    <row r="16" spans="1:23" ht="15" customHeight="1" x14ac:dyDescent="0.25">
      <c r="A16" s="813"/>
      <c r="B16" s="873" t="s">
        <v>175</v>
      </c>
      <c r="C16" s="143" t="s">
        <v>4</v>
      </c>
      <c r="D16" s="142">
        <f>(100-D7)/100*D3</f>
        <v>819.71760000000006</v>
      </c>
      <c r="E16" s="861" t="s">
        <v>1</v>
      </c>
      <c r="G16" s="776"/>
      <c r="H16" s="761" t="s">
        <v>174</v>
      </c>
      <c r="I16" s="761"/>
      <c r="J16" s="148">
        <f>J14*SpringMR_Rr</f>
        <v>2.0194684572926604</v>
      </c>
      <c r="K16" s="147" t="s">
        <v>173</v>
      </c>
      <c r="M16" s="768" t="s">
        <v>172</v>
      </c>
      <c r="N16" s="769"/>
      <c r="O16" s="146">
        <f>D20/D26^2</f>
        <v>25</v>
      </c>
      <c r="P16" s="95" t="s">
        <v>90</v>
      </c>
      <c r="Q16" s="28"/>
      <c r="R16" s="771"/>
      <c r="S16" s="762" t="s">
        <v>101</v>
      </c>
      <c r="T16" s="762"/>
      <c r="U16" s="99">
        <f>SM*(SM_WD/100)*LatAccel*RC_Fr/FrontTrack</f>
        <v>-2.8883555062200061</v>
      </c>
      <c r="V16" s="98" t="s">
        <v>100</v>
      </c>
    </row>
    <row r="17" spans="1:22" ht="15" customHeight="1" x14ac:dyDescent="0.25">
      <c r="A17" s="813"/>
      <c r="B17" s="873"/>
      <c r="C17" s="143" t="s">
        <v>5</v>
      </c>
      <c r="D17" s="142">
        <v>0</v>
      </c>
      <c r="E17" s="862"/>
      <c r="G17" s="776"/>
      <c r="H17" s="850" t="s">
        <v>171</v>
      </c>
      <c r="I17" s="851"/>
      <c r="J17" s="132">
        <f>1/(2*PI())*SQRT((O7*180/PI())/O21)</f>
        <v>2.2442869920410251</v>
      </c>
      <c r="K17" s="145" t="s">
        <v>170</v>
      </c>
      <c r="M17" s="801" t="s">
        <v>169</v>
      </c>
      <c r="N17" s="853"/>
      <c r="O17" s="144">
        <f>D21/D27^2</f>
        <v>32.375</v>
      </c>
      <c r="P17" s="91" t="s">
        <v>90</v>
      </c>
      <c r="Q17" s="28"/>
      <c r="R17" s="771"/>
      <c r="S17" s="764" t="s">
        <v>84</v>
      </c>
      <c r="T17" s="764"/>
      <c r="U17" s="764"/>
      <c r="V17" s="765"/>
    </row>
    <row r="18" spans="1:22" ht="15" customHeight="1" thickBot="1" x14ac:dyDescent="0.3">
      <c r="A18" s="813"/>
      <c r="B18" s="873"/>
      <c r="C18" s="143" t="s">
        <v>6</v>
      </c>
      <c r="D18" s="142">
        <v>230</v>
      </c>
      <c r="E18" s="863"/>
      <c r="G18" s="758" t="s">
        <v>168</v>
      </c>
      <c r="H18" s="767" t="s">
        <v>159</v>
      </c>
      <c r="I18" s="767"/>
      <c r="J18" s="126">
        <f>(O8+O11)/O7*100</f>
        <v>42.252631512010637</v>
      </c>
      <c r="K18" s="858" t="s">
        <v>167</v>
      </c>
      <c r="M18" s="898" t="s">
        <v>166</v>
      </c>
      <c r="N18" s="869"/>
      <c r="O18" s="139">
        <f>D18-D30</f>
        <v>215.44004416067074</v>
      </c>
      <c r="P18" s="71" t="s">
        <v>1</v>
      </c>
      <c r="Q18" s="28"/>
      <c r="R18" s="772"/>
      <c r="S18" s="901" t="s">
        <v>101</v>
      </c>
      <c r="T18" s="901"/>
      <c r="U18" s="90">
        <f>(SM*(100-SM_WD)/100)*LatAccel*RC_Rr/RearTrack</f>
        <v>-6.8373168537637525</v>
      </c>
      <c r="V18" s="89" t="s">
        <v>100</v>
      </c>
    </row>
    <row r="19" spans="1:22" ht="15" customHeight="1" x14ac:dyDescent="0.25">
      <c r="A19" s="813"/>
      <c r="B19" s="868" t="s">
        <v>165</v>
      </c>
      <c r="C19" s="868"/>
      <c r="D19" s="141">
        <v>200</v>
      </c>
      <c r="E19" s="112" t="s">
        <v>156</v>
      </c>
      <c r="G19" s="759"/>
      <c r="H19" s="767" t="s">
        <v>154</v>
      </c>
      <c r="I19" s="767"/>
      <c r="J19" s="140"/>
      <c r="K19" s="859"/>
      <c r="M19" s="891" t="s">
        <v>164</v>
      </c>
      <c r="N19" s="799"/>
      <c r="O19" s="139">
        <f>D18-D31</f>
        <v>262.78709923363499</v>
      </c>
      <c r="P19" s="71" t="s">
        <v>1</v>
      </c>
      <c r="Q19" s="28"/>
      <c r="R19" s="86"/>
      <c r="S19" s="28"/>
      <c r="T19" s="28"/>
      <c r="U19" s="28"/>
      <c r="V19" s="28"/>
    </row>
    <row r="20" spans="1:22" ht="15" customHeight="1" x14ac:dyDescent="0.25">
      <c r="A20" s="809" t="s">
        <v>163</v>
      </c>
      <c r="B20" s="872" t="s">
        <v>162</v>
      </c>
      <c r="C20" s="872"/>
      <c r="D20" s="137">
        <v>25</v>
      </c>
      <c r="E20" s="864" t="s">
        <v>90</v>
      </c>
      <c r="G20" s="759"/>
      <c r="H20" s="767" t="s">
        <v>151</v>
      </c>
      <c r="I20" s="767"/>
      <c r="J20" s="126">
        <f>O39/O41*100</f>
        <v>42.552663765417407</v>
      </c>
      <c r="K20" s="860"/>
      <c r="M20" s="891" t="s">
        <v>161</v>
      </c>
      <c r="N20" s="799"/>
      <c r="O20" s="138">
        <f>D18-(((D31-D30)/D3*((100-D15)/100*D3))+D30)</f>
        <v>240.02334905342187</v>
      </c>
      <c r="P20" s="71" t="s">
        <v>1</v>
      </c>
      <c r="Q20" s="28"/>
      <c r="R20" s="86"/>
      <c r="S20" s="29"/>
      <c r="T20" s="27"/>
      <c r="U20" s="28"/>
      <c r="V20" s="28"/>
    </row>
    <row r="21" spans="1:22" ht="15" customHeight="1" thickBot="1" x14ac:dyDescent="0.3">
      <c r="A21" s="809"/>
      <c r="B21" s="872" t="s">
        <v>160</v>
      </c>
      <c r="C21" s="872"/>
      <c r="D21" s="137">
        <f>185*0.175</f>
        <v>32.375</v>
      </c>
      <c r="E21" s="865"/>
      <c r="G21" s="759"/>
      <c r="H21" s="853" t="s">
        <v>159</v>
      </c>
      <c r="I21" s="853"/>
      <c r="J21" s="132">
        <f>U12/(U12+U14)*100</f>
        <v>-302.68626492968451</v>
      </c>
      <c r="K21" s="855" t="s">
        <v>158</v>
      </c>
      <c r="M21" s="825" t="s">
        <v>157</v>
      </c>
      <c r="N21" s="826"/>
      <c r="O21" s="136">
        <f>D19+D14*(O20/1000)^2</f>
        <v>214.26257634221213</v>
      </c>
      <c r="P21" s="135" t="s">
        <v>156</v>
      </c>
      <c r="Q21" s="28"/>
      <c r="R21" s="86"/>
      <c r="S21" s="29"/>
      <c r="T21" s="28"/>
      <c r="U21" s="28"/>
      <c r="V21" s="28"/>
    </row>
    <row r="22" spans="1:22" ht="15" customHeight="1" thickBot="1" x14ac:dyDescent="0.3">
      <c r="A22" s="809"/>
      <c r="B22" s="870" t="s">
        <v>155</v>
      </c>
      <c r="C22" s="871"/>
      <c r="D22" s="134">
        <v>0</v>
      </c>
      <c r="E22" s="866" t="s">
        <v>90</v>
      </c>
      <c r="F22" s="133" t="s">
        <v>90</v>
      </c>
      <c r="G22" s="759"/>
      <c r="H22" s="853" t="s">
        <v>154</v>
      </c>
      <c r="I22" s="853"/>
      <c r="J22" s="132">
        <f>(U8+U12+U16)/(U4+U6)*100</f>
        <v>-1141.951294575842</v>
      </c>
      <c r="K22" s="856"/>
      <c r="M22" s="28"/>
      <c r="N22" s="28"/>
      <c r="O22" s="28"/>
      <c r="P22" s="28"/>
      <c r="Q22" s="28"/>
      <c r="R22" s="86"/>
      <c r="S22" s="29"/>
      <c r="T22" s="28"/>
      <c r="U22" s="28"/>
      <c r="V22" s="28"/>
    </row>
    <row r="23" spans="1:22" ht="18.75" customHeight="1" thickBot="1" x14ac:dyDescent="0.3">
      <c r="A23" s="809"/>
      <c r="B23" s="870" t="s">
        <v>153</v>
      </c>
      <c r="C23" s="871"/>
      <c r="D23" s="134">
        <v>0</v>
      </c>
      <c r="E23" s="867"/>
      <c r="F23" s="133" t="s">
        <v>152</v>
      </c>
      <c r="G23" s="773"/>
      <c r="H23" s="853" t="s">
        <v>151</v>
      </c>
      <c r="I23" s="853"/>
      <c r="J23" s="132">
        <f>(U30+U34+U38)/(U26+U28)*100</f>
        <v>-1305.7546589577255</v>
      </c>
      <c r="K23" s="857"/>
      <c r="M23" s="832" t="s">
        <v>150</v>
      </c>
      <c r="N23" s="833"/>
      <c r="O23" s="833"/>
      <c r="P23" s="833"/>
      <c r="Q23" s="833"/>
      <c r="R23" s="833"/>
      <c r="S23" s="833"/>
      <c r="T23" s="833"/>
      <c r="U23" s="833"/>
      <c r="V23" s="834"/>
    </row>
    <row r="24" spans="1:22" ht="17.25" customHeight="1" thickBot="1" x14ac:dyDescent="0.3">
      <c r="A24" s="809"/>
      <c r="B24" s="854" t="s">
        <v>149</v>
      </c>
      <c r="C24" s="854"/>
      <c r="D24" s="131">
        <v>380</v>
      </c>
      <c r="E24" s="814" t="s">
        <v>90</v>
      </c>
      <c r="G24" s="125"/>
      <c r="J24" s="28"/>
      <c r="K24" s="28"/>
      <c r="M24" s="829" t="s">
        <v>131</v>
      </c>
      <c r="N24" s="830"/>
      <c r="O24" s="830"/>
      <c r="P24" s="831"/>
      <c r="Q24" s="28"/>
      <c r="R24" s="838" t="s">
        <v>315</v>
      </c>
      <c r="S24" s="839"/>
      <c r="T24" s="839"/>
      <c r="U24" s="839"/>
      <c r="V24" s="840"/>
    </row>
    <row r="25" spans="1:22" ht="15" customHeight="1" thickBot="1" x14ac:dyDescent="0.3">
      <c r="A25" s="809"/>
      <c r="B25" s="854" t="s">
        <v>148</v>
      </c>
      <c r="C25" s="854"/>
      <c r="D25" s="131">
        <v>410</v>
      </c>
      <c r="E25" s="815"/>
      <c r="G25" s="125"/>
      <c r="H25" s="777" t="s">
        <v>147</v>
      </c>
      <c r="I25" s="778"/>
      <c r="J25" s="31"/>
      <c r="K25" s="128"/>
      <c r="M25" s="827" t="s">
        <v>146</v>
      </c>
      <c r="N25" s="828"/>
      <c r="O25" s="130">
        <f>(O26/O29)</f>
        <v>-1.6828588793829105</v>
      </c>
      <c r="P25" s="129" t="s">
        <v>145</v>
      </c>
      <c r="Q25" s="28"/>
      <c r="R25" s="784" t="s">
        <v>144</v>
      </c>
      <c r="S25" s="835" t="s">
        <v>26</v>
      </c>
      <c r="T25" s="836"/>
      <c r="U25" s="836"/>
      <c r="V25" s="837"/>
    </row>
    <row r="26" spans="1:22" ht="15" customHeight="1" thickBot="1" x14ac:dyDescent="0.3">
      <c r="A26" s="810" t="s">
        <v>143</v>
      </c>
      <c r="B26" s="852" t="s">
        <v>142</v>
      </c>
      <c r="C26" s="852"/>
      <c r="D26" s="124">
        <v>1</v>
      </c>
      <c r="E26" s="818" t="s">
        <v>141</v>
      </c>
      <c r="G26" s="125"/>
      <c r="H26" s="774" t="s">
        <v>126</v>
      </c>
      <c r="I26" s="775"/>
      <c r="J26" s="31"/>
      <c r="K26" s="128"/>
      <c r="M26" s="816" t="s">
        <v>140</v>
      </c>
      <c r="N26" s="817"/>
      <c r="O26" s="116">
        <f>D14*9.81*D42*O20/1000</f>
        <v>-1165.8521928711202</v>
      </c>
      <c r="P26" s="127" t="s">
        <v>139</v>
      </c>
      <c r="Q26" s="28"/>
      <c r="R26" s="785"/>
      <c r="S26" s="782" t="s">
        <v>101</v>
      </c>
      <c r="T26" s="783"/>
      <c r="U26" s="99">
        <f>U30+U34+U38</f>
        <v>-55.746951083368607</v>
      </c>
      <c r="V26" s="98" t="s">
        <v>100</v>
      </c>
    </row>
    <row r="27" spans="1:22" ht="15" customHeight="1" x14ac:dyDescent="0.25">
      <c r="A27" s="810"/>
      <c r="B27" s="852" t="s">
        <v>138</v>
      </c>
      <c r="C27" s="852"/>
      <c r="D27" s="124">
        <v>1</v>
      </c>
      <c r="E27" s="819"/>
      <c r="G27" s="125"/>
      <c r="H27" s="119">
        <f>TotalMass*WD/100*0.5+DF*DF_Dist/100/2-U4</f>
        <v>127.2098110387149</v>
      </c>
      <c r="I27" s="118">
        <f>TotalMass*WD/100*0.5+DF*DF_Dist/100/2+U4</f>
        <v>16.310188961285107</v>
      </c>
      <c r="J27" s="31"/>
      <c r="K27" s="30"/>
      <c r="M27" s="816" t="s">
        <v>137</v>
      </c>
      <c r="N27" s="817"/>
      <c r="O27" s="126">
        <f>O25/LatAccel</f>
        <v>0.84142943969145523</v>
      </c>
      <c r="P27" s="115" t="s">
        <v>136</v>
      </c>
      <c r="Q27" s="28"/>
      <c r="R27" s="785"/>
      <c r="S27" s="789" t="s">
        <v>84</v>
      </c>
      <c r="T27" s="790"/>
      <c r="U27" s="790"/>
      <c r="V27" s="791"/>
    </row>
    <row r="28" spans="1:22" ht="15" customHeight="1" thickBot="1" x14ac:dyDescent="0.3">
      <c r="A28" s="810"/>
      <c r="B28" s="852" t="s">
        <v>135</v>
      </c>
      <c r="C28" s="852"/>
      <c r="D28" s="124">
        <v>1</v>
      </c>
      <c r="E28" s="818" t="str">
        <f>IF(E22="N.m/deg","deg/deg","mm/mm")</f>
        <v>mm/mm</v>
      </c>
      <c r="F28" s="123"/>
      <c r="G28" s="125"/>
      <c r="H28" s="114">
        <f>TotalMass*(100-WD)/100*0.5+DF*(100-DF_Dist)/100/2-U6</f>
        <v>17.434481778141986</v>
      </c>
      <c r="I28" s="113">
        <f>TotalMass*(100-WD)/100*0.5+DF*(100-DF_Dist)/100/2+U6</f>
        <v>138.045518221858</v>
      </c>
      <c r="J28" s="31"/>
      <c r="K28" s="30"/>
      <c r="M28" s="820"/>
      <c r="N28" s="821"/>
      <c r="O28" s="821"/>
      <c r="P28" s="822"/>
      <c r="Q28" s="28"/>
      <c r="R28" s="786"/>
      <c r="S28" s="787" t="s">
        <v>101</v>
      </c>
      <c r="T28" s="788"/>
      <c r="U28" s="111">
        <f>U32+U36+U40</f>
        <v>60.016279222535786</v>
      </c>
      <c r="V28" s="110" t="s">
        <v>100</v>
      </c>
    </row>
    <row r="29" spans="1:22" ht="15" customHeight="1" thickBot="1" x14ac:dyDescent="0.3">
      <c r="A29" s="810"/>
      <c r="B29" s="852" t="s">
        <v>134</v>
      </c>
      <c r="C29" s="852"/>
      <c r="D29" s="124">
        <v>1</v>
      </c>
      <c r="E29" s="819"/>
      <c r="F29" s="123"/>
      <c r="G29" s="86"/>
      <c r="H29" s="30"/>
      <c r="I29" s="30"/>
      <c r="J29" s="28"/>
      <c r="K29" s="28"/>
      <c r="M29" s="848" t="s">
        <v>133</v>
      </c>
      <c r="N29" s="849"/>
      <c r="O29" s="122">
        <f>O41</f>
        <v>692.78072401330996</v>
      </c>
      <c r="P29" s="121" t="s">
        <v>97</v>
      </c>
      <c r="Q29" s="28"/>
      <c r="R29" s="792" t="s">
        <v>132</v>
      </c>
      <c r="S29" s="779" t="s">
        <v>26</v>
      </c>
      <c r="T29" s="780"/>
      <c r="U29" s="780"/>
      <c r="V29" s="781"/>
    </row>
    <row r="30" spans="1:22" ht="15" customHeight="1" thickBot="1" x14ac:dyDescent="0.3">
      <c r="A30" s="811" t="s">
        <v>131</v>
      </c>
      <c r="B30" s="798" t="s">
        <v>130</v>
      </c>
      <c r="C30" s="799"/>
      <c r="D30" s="120">
        <f>'Suspension Points'!Q19</f>
        <v>14.559955839329252</v>
      </c>
      <c r="E30" s="814" t="s">
        <v>1</v>
      </c>
      <c r="G30" s="28"/>
      <c r="H30" s="777" t="s">
        <v>129</v>
      </c>
      <c r="I30" s="778"/>
      <c r="J30" s="27"/>
      <c r="K30" s="28"/>
      <c r="M30" s="766" t="s">
        <v>112</v>
      </c>
      <c r="N30" s="117" t="s">
        <v>128</v>
      </c>
      <c r="O30" s="116">
        <f>((FrontTrack/1000)^2*TAN(RADIANS(1))*(FrontWheelRate_NoTire*1000))/2</f>
        <v>314.19116870791652</v>
      </c>
      <c r="P30" s="115" t="s">
        <v>97</v>
      </c>
      <c r="Q30" s="28"/>
      <c r="R30" s="785"/>
      <c r="S30" s="782" t="s">
        <v>101</v>
      </c>
      <c r="T30" s="783"/>
      <c r="U30" s="99">
        <f>NSM_Fr*2*LatAccel*NSMCG_Fr/FrontTrack</f>
        <v>-10.716125</v>
      </c>
      <c r="V30" s="98" t="s">
        <v>100</v>
      </c>
    </row>
    <row r="31" spans="1:22" ht="15" customHeight="1" thickBot="1" x14ac:dyDescent="0.3">
      <c r="A31" s="812"/>
      <c r="B31" s="798" t="s">
        <v>127</v>
      </c>
      <c r="C31" s="799"/>
      <c r="D31" s="166">
        <f>'Suspension Points'!Q42</f>
        <v>-32.787099233634983</v>
      </c>
      <c r="E31" s="815"/>
      <c r="G31" s="28"/>
      <c r="H31" s="806" t="s">
        <v>126</v>
      </c>
      <c r="I31" s="807"/>
      <c r="J31" s="27"/>
      <c r="K31" s="28"/>
      <c r="M31" s="766"/>
      <c r="N31" s="117" t="s">
        <v>125</v>
      </c>
      <c r="O31" s="116">
        <f>((RearTrack/1000)^2*TAN(RADIANS(1))*RearWheelRate_NoTire*1000)/2</f>
        <v>429.41025317891967</v>
      </c>
      <c r="P31" s="115" t="s">
        <v>97</v>
      </c>
      <c r="Q31" s="28"/>
      <c r="R31" s="785"/>
      <c r="S31" s="789" t="s">
        <v>84</v>
      </c>
      <c r="T31" s="790"/>
      <c r="U31" s="790"/>
      <c r="V31" s="791"/>
    </row>
    <row r="32" spans="1:22" x14ac:dyDescent="0.25">
      <c r="G32" s="28"/>
      <c r="H32" s="119">
        <f>TotalMass*WD/100*0.5+DF*DF_Dist/100/2-U26</f>
        <v>127.50695108336862</v>
      </c>
      <c r="I32" s="118">
        <f>TotalMass*WD/100*0.5+DF*DF_Dist/100/2+U26</f>
        <v>16.013048916631398</v>
      </c>
      <c r="J32" s="28"/>
      <c r="K32" s="29"/>
      <c r="M32" s="766"/>
      <c r="N32" s="117" t="s">
        <v>98</v>
      </c>
      <c r="O32" s="116">
        <f>O30+O31</f>
        <v>743.60142188683619</v>
      </c>
      <c r="P32" s="115" t="s">
        <v>97</v>
      </c>
      <c r="Q32" s="28"/>
      <c r="R32" s="786"/>
      <c r="S32" s="787" t="s">
        <v>101</v>
      </c>
      <c r="T32" s="788"/>
      <c r="U32" s="111">
        <f>NSM_Rr*2*LatAccel*NSMCG_Rr/RearTrack</f>
        <v>11.47284998134298</v>
      </c>
      <c r="V32" s="110" t="s">
        <v>100</v>
      </c>
    </row>
    <row r="33" spans="1:22" ht="15.75" customHeight="1" thickBot="1" x14ac:dyDescent="0.3">
      <c r="A33" s="813" t="s">
        <v>124</v>
      </c>
      <c r="B33" s="803" t="s">
        <v>123</v>
      </c>
      <c r="C33" s="803"/>
      <c r="D33" s="109">
        <v>0</v>
      </c>
      <c r="E33" s="108" t="s">
        <v>122</v>
      </c>
      <c r="G33" s="28"/>
      <c r="H33" s="114">
        <f>TotalMass*(100-WD)/100*0.5+DF*(100-DF_Dist)/100/2-U28</f>
        <v>17.723720777464209</v>
      </c>
      <c r="I33" s="113">
        <f>TotalMass*(100-WD)/100*0.5+DF*(100-DF_Dist)/100/2+U28</f>
        <v>137.7562792225358</v>
      </c>
      <c r="J33" s="28"/>
      <c r="K33" s="29"/>
      <c r="M33" s="804" t="s">
        <v>112</v>
      </c>
      <c r="N33" s="107" t="s">
        <v>121</v>
      </c>
      <c r="O33" s="106">
        <f>IF(E22="N.m/deg",ARBStiffness_Fr/ARBMR_Fr^2,(ARBStiffness_Fr*1000*(FrontTrack/1000)^2*TAN(RADIANS(1)))/ARBMR_Fr^2)</f>
        <v>0</v>
      </c>
      <c r="P33" s="105" t="s">
        <v>97</v>
      </c>
      <c r="Q33" s="28"/>
      <c r="R33" s="792" t="s">
        <v>120</v>
      </c>
      <c r="S33" s="779" t="s">
        <v>26</v>
      </c>
      <c r="T33" s="780"/>
      <c r="U33" s="780"/>
      <c r="V33" s="781"/>
    </row>
    <row r="34" spans="1:22" x14ac:dyDescent="0.25">
      <c r="A34" s="813"/>
      <c r="B34" s="803" t="s">
        <v>119</v>
      </c>
      <c r="C34" s="803"/>
      <c r="D34" s="109">
        <v>0</v>
      </c>
      <c r="E34" s="112" t="s">
        <v>118</v>
      </c>
      <c r="G34" s="28"/>
      <c r="H34" s="28"/>
      <c r="I34" s="28"/>
      <c r="J34" s="28"/>
      <c r="K34" s="28"/>
      <c r="M34" s="804"/>
      <c r="N34" s="107" t="s">
        <v>117</v>
      </c>
      <c r="O34" s="106">
        <f>IF(E22="N.m/deg",ARBStiffness_Rr/ARBMR_Rr^2,(ARBStiffness_Rr*1000*(RearTrack/1000)^2*TAN(RADIANS(1)))/ARBMR_Rr^2)</f>
        <v>0</v>
      </c>
      <c r="P34" s="105" t="s">
        <v>97</v>
      </c>
      <c r="Q34" s="28"/>
      <c r="R34" s="785"/>
      <c r="S34" s="782" t="s">
        <v>101</v>
      </c>
      <c r="T34" s="783"/>
      <c r="U34" s="99">
        <f>(SM*LatAccel*DeltaZ*(AR_FrontAxleAndTire/ARTotal_Tire))/FrontTrack</f>
        <v>-42.1424705771486</v>
      </c>
      <c r="V34" s="98" t="s">
        <v>100</v>
      </c>
    </row>
    <row r="35" spans="1:22" ht="17.25" x14ac:dyDescent="0.25">
      <c r="A35" s="813"/>
      <c r="B35" s="803" t="s">
        <v>116</v>
      </c>
      <c r="C35" s="803"/>
      <c r="D35" s="109">
        <v>1.2255</v>
      </c>
      <c r="E35" s="108" t="s">
        <v>115</v>
      </c>
      <c r="G35" s="28"/>
      <c r="H35" s="28"/>
      <c r="I35" s="28"/>
      <c r="J35" s="28"/>
      <c r="K35" s="27"/>
      <c r="M35" s="804"/>
      <c r="N35" s="107" t="s">
        <v>98</v>
      </c>
      <c r="O35" s="106">
        <f>O33+O34</f>
        <v>0</v>
      </c>
      <c r="P35" s="105" t="s">
        <v>97</v>
      </c>
      <c r="Q35" s="28"/>
      <c r="R35" s="785"/>
      <c r="S35" s="789" t="s">
        <v>84</v>
      </c>
      <c r="T35" s="790"/>
      <c r="U35" s="790"/>
      <c r="V35" s="791"/>
    </row>
    <row r="36" spans="1:22" ht="17.25" x14ac:dyDescent="0.25">
      <c r="A36" s="813"/>
      <c r="B36" s="803" t="s">
        <v>114</v>
      </c>
      <c r="C36" s="803"/>
      <c r="D36" s="109">
        <v>1.75</v>
      </c>
      <c r="E36" s="108" t="s">
        <v>113</v>
      </c>
      <c r="G36" s="28"/>
      <c r="H36" s="94"/>
      <c r="I36" s="94"/>
      <c r="J36" s="27"/>
      <c r="K36" s="27"/>
      <c r="M36" s="804" t="s">
        <v>112</v>
      </c>
      <c r="N36" s="107" t="s">
        <v>111</v>
      </c>
      <c r="O36" s="106">
        <f>((FrontTrack/1000)^2*TAN(RADIANS(1))*TireStiffness_Fr*1000)/2</f>
        <v>4775.7057643603312</v>
      </c>
      <c r="P36" s="105" t="s">
        <v>97</v>
      </c>
      <c r="Q36" s="28"/>
      <c r="R36" s="786"/>
      <c r="S36" s="787" t="s">
        <v>101</v>
      </c>
      <c r="T36" s="788"/>
      <c r="U36" s="111">
        <f>(SM*LatAccel*DeltaZ*(AR_RearAxleAndTire/ARTotal_Tire))/RearTrack</f>
        <v>55.380746094956557</v>
      </c>
      <c r="V36" s="110" t="s">
        <v>100</v>
      </c>
    </row>
    <row r="37" spans="1:22" ht="15.75" x14ac:dyDescent="0.25">
      <c r="A37" s="813"/>
      <c r="B37" s="803" t="s">
        <v>110</v>
      </c>
      <c r="C37" s="803"/>
      <c r="D37" s="109">
        <f>52*3.6</f>
        <v>187.20000000000002</v>
      </c>
      <c r="E37" s="108" t="s">
        <v>109</v>
      </c>
      <c r="G37" s="28"/>
      <c r="H37" s="94"/>
      <c r="I37" s="94"/>
      <c r="J37" s="28"/>
      <c r="K37" s="27"/>
      <c r="M37" s="804"/>
      <c r="N37" s="107" t="s">
        <v>108</v>
      </c>
      <c r="O37" s="106">
        <f>((RearTrack/1000)^2*TAN(RADIANS(1))*TireStiffness_Rr*1000)/2</f>
        <v>5438.0912371693303</v>
      </c>
      <c r="P37" s="105" t="s">
        <v>97</v>
      </c>
      <c r="Q37" s="28"/>
      <c r="R37" s="793" t="s">
        <v>107</v>
      </c>
      <c r="S37" s="779" t="s">
        <v>26</v>
      </c>
      <c r="T37" s="780"/>
      <c r="U37" s="780"/>
      <c r="V37" s="781"/>
    </row>
    <row r="38" spans="1:22" ht="15" customHeight="1" thickBot="1" x14ac:dyDescent="0.3">
      <c r="A38" s="813"/>
      <c r="B38" s="823" t="s">
        <v>106</v>
      </c>
      <c r="C38" s="824"/>
      <c r="D38" s="104">
        <f>0.5*Ro*S*Cz*(Speed/3.6)^2/9.81</f>
        <v>0</v>
      </c>
      <c r="E38" s="103" t="s">
        <v>105</v>
      </c>
      <c r="G38" s="28"/>
      <c r="H38" s="28"/>
      <c r="I38" s="28"/>
      <c r="J38" s="28"/>
      <c r="K38" s="27"/>
      <c r="M38" s="847"/>
      <c r="N38" s="102" t="s">
        <v>98</v>
      </c>
      <c r="O38" s="101">
        <f>O36+O37</f>
        <v>10213.797001529661</v>
      </c>
      <c r="P38" s="100" t="s">
        <v>97</v>
      </c>
      <c r="Q38" s="28"/>
      <c r="R38" s="794"/>
      <c r="S38" s="782" t="s">
        <v>101</v>
      </c>
      <c r="T38" s="783"/>
      <c r="U38" s="99">
        <f>SM*(SM_WD/100)*LatAccel*RC_Fr/FrontTrack</f>
        <v>-2.8883555062200061</v>
      </c>
      <c r="V38" s="98" t="s">
        <v>100</v>
      </c>
    </row>
    <row r="39" spans="1:22" ht="15" customHeight="1" x14ac:dyDescent="0.25">
      <c r="G39" s="28"/>
      <c r="H39" s="94"/>
      <c r="I39" s="94"/>
      <c r="J39" s="28"/>
      <c r="K39" s="27"/>
      <c r="M39" s="800" t="s">
        <v>104</v>
      </c>
      <c r="N39" s="97" t="s">
        <v>103</v>
      </c>
      <c r="O39" s="96">
        <f>((O30+O33)*O36)/((O30+O33)+O36)</f>
        <v>294.79665212100809</v>
      </c>
      <c r="P39" s="95" t="s">
        <v>97</v>
      </c>
      <c r="Q39" s="28"/>
      <c r="R39" s="794"/>
      <c r="S39" s="789" t="s">
        <v>84</v>
      </c>
      <c r="T39" s="790"/>
      <c r="U39" s="790"/>
      <c r="V39" s="791"/>
    </row>
    <row r="40" spans="1:22" ht="15" customHeight="1" thickBot="1" x14ac:dyDescent="0.3">
      <c r="G40" s="28"/>
      <c r="H40" s="94"/>
      <c r="I40" s="94"/>
      <c r="J40" s="28"/>
      <c r="K40" s="28"/>
      <c r="M40" s="801"/>
      <c r="N40" s="93" t="s">
        <v>102</v>
      </c>
      <c r="O40" s="92">
        <f>((O31+O34)*O37)/((O31+O34)+O37)</f>
        <v>397.98407189230193</v>
      </c>
      <c r="P40" s="91" t="s">
        <v>97</v>
      </c>
      <c r="Q40" s="28"/>
      <c r="R40" s="795"/>
      <c r="S40" s="796" t="s">
        <v>101</v>
      </c>
      <c r="T40" s="797"/>
      <c r="U40" s="90">
        <f>(SM*(100-SM_WD)/100)*LatAccel*RC_Rr/RearTrack</f>
        <v>-6.8373168537637525</v>
      </c>
      <c r="V40" s="89" t="s">
        <v>100</v>
      </c>
    </row>
    <row r="41" spans="1:22" ht="18" customHeight="1" thickBot="1" x14ac:dyDescent="0.35">
      <c r="A41" s="805" t="s">
        <v>99</v>
      </c>
      <c r="B41" s="805"/>
      <c r="C41" s="805"/>
      <c r="D41" s="805"/>
      <c r="E41" s="805"/>
      <c r="G41" s="28"/>
      <c r="H41" s="28"/>
      <c r="I41" s="28"/>
      <c r="J41" s="28"/>
      <c r="K41" s="28"/>
      <c r="M41" s="802"/>
      <c r="N41" s="88" t="s">
        <v>98</v>
      </c>
      <c r="O41" s="87">
        <f>O39+O40</f>
        <v>692.78072401330996</v>
      </c>
      <c r="P41" s="77" t="s">
        <v>97</v>
      </c>
      <c r="Q41" s="28"/>
      <c r="R41" s="86"/>
      <c r="S41" s="28"/>
      <c r="T41" s="28"/>
      <c r="U41" s="28"/>
      <c r="V41" s="28"/>
    </row>
    <row r="42" spans="1:22" ht="15" customHeight="1" thickBot="1" x14ac:dyDescent="0.3">
      <c r="A42" s="808" t="s">
        <v>96</v>
      </c>
      <c r="B42" s="808"/>
      <c r="C42" s="808"/>
      <c r="D42" s="85">
        <v>-2</v>
      </c>
      <c r="E42" s="84" t="s">
        <v>95</v>
      </c>
      <c r="G42" s="28"/>
      <c r="H42" s="82"/>
      <c r="I42" s="82"/>
      <c r="J42" s="28"/>
      <c r="K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2" ht="19.5" thickBot="1" x14ac:dyDescent="0.3">
      <c r="A43" s="83"/>
      <c r="B43" s="28"/>
      <c r="C43" s="28"/>
      <c r="D43" s="28"/>
      <c r="E43" s="28"/>
      <c r="G43" s="28"/>
      <c r="H43" s="82"/>
      <c r="I43" s="82"/>
      <c r="J43" s="28"/>
      <c r="K43" s="28"/>
      <c r="M43" s="838" t="s">
        <v>94</v>
      </c>
      <c r="N43" s="839"/>
      <c r="O43" s="839"/>
      <c r="P43" s="840"/>
      <c r="Q43" s="28"/>
      <c r="R43" s="28"/>
      <c r="S43" s="81"/>
      <c r="T43" s="28"/>
      <c r="U43" s="28"/>
      <c r="V43" s="28"/>
    </row>
    <row r="44" spans="1:22" ht="18.75" x14ac:dyDescent="0.3">
      <c r="A44" s="842" t="s">
        <v>93</v>
      </c>
      <c r="B44" s="842"/>
      <c r="C44" s="842"/>
      <c r="D44" s="842"/>
      <c r="E44" s="842"/>
      <c r="G44" s="28"/>
      <c r="H44" s="28"/>
      <c r="I44" s="28"/>
      <c r="J44" s="28"/>
      <c r="K44" s="28"/>
      <c r="M44" s="843" t="s">
        <v>92</v>
      </c>
      <c r="N44" s="844"/>
      <c r="O44" s="80">
        <f>((D20/D26^2)*D24)/((D20/D26^2)+D24)</f>
        <v>23.456790123456791</v>
      </c>
      <c r="P44" s="79" t="s">
        <v>90</v>
      </c>
      <c r="Q44" s="28"/>
      <c r="R44" s="28"/>
      <c r="S44" s="28"/>
      <c r="T44" s="28"/>
      <c r="U44" s="28"/>
      <c r="V44" s="28"/>
    </row>
    <row r="45" spans="1:22" ht="15.75" thickBot="1" x14ac:dyDescent="0.3">
      <c r="A45" s="841" t="str">
        <f>IF(OR(H33&lt;0,H32&lt;0,I32&lt;0,I33&lt;0),"One wheel is is the air! Calculations are false!","")</f>
        <v/>
      </c>
      <c r="B45" s="841"/>
      <c r="C45" s="841"/>
      <c r="D45" s="841"/>
      <c r="E45" s="841"/>
      <c r="G45" s="28"/>
      <c r="H45" s="28"/>
      <c r="I45" s="28"/>
      <c r="J45" s="28"/>
      <c r="K45" s="28"/>
      <c r="M45" s="845" t="s">
        <v>91</v>
      </c>
      <c r="N45" s="846"/>
      <c r="O45" s="78">
        <f>((D21/D27^2)*D25)/((D21/D27^2)+D25)</f>
        <v>30.005651313930489</v>
      </c>
      <c r="P45" s="77" t="s">
        <v>90</v>
      </c>
      <c r="Q45" s="28"/>
      <c r="R45" s="28"/>
      <c r="S45" s="28"/>
      <c r="T45" s="28"/>
      <c r="U45" s="28"/>
      <c r="V45" s="28"/>
    </row>
    <row r="46" spans="1:22" x14ac:dyDescent="0.25">
      <c r="A46" s="841"/>
      <c r="B46" s="841"/>
      <c r="C46" s="841"/>
      <c r="D46" s="841"/>
      <c r="E46" s="841"/>
      <c r="G46" s="28"/>
      <c r="H46" s="28"/>
      <c r="I46" s="28"/>
      <c r="J46" s="28"/>
      <c r="K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2" x14ac:dyDescent="0.25">
      <c r="B47" s="28"/>
      <c r="C47" s="28"/>
      <c r="D47" s="28"/>
      <c r="E47" s="28"/>
      <c r="G47" s="28"/>
      <c r="H47" s="28"/>
      <c r="I47" s="28"/>
      <c r="J47" s="28"/>
      <c r="K47" s="28"/>
      <c r="M47" s="28"/>
      <c r="N47" s="28"/>
      <c r="O47" s="28"/>
      <c r="P47" s="28"/>
      <c r="Q47" s="28"/>
      <c r="R47" s="28"/>
      <c r="S47" s="29"/>
      <c r="T47" s="28"/>
      <c r="U47" s="28"/>
      <c r="V47" s="28"/>
    </row>
    <row r="48" spans="1:22" x14ac:dyDescent="0.25">
      <c r="B48" s="28"/>
      <c r="C48" s="28"/>
      <c r="D48" s="28"/>
      <c r="E48" s="28"/>
      <c r="G48" s="28"/>
      <c r="H48" s="28"/>
      <c r="I48" s="28"/>
      <c r="J48" s="28"/>
      <c r="K48" s="28"/>
      <c r="M48" s="28"/>
      <c r="N48" s="28"/>
      <c r="O48" s="29"/>
      <c r="P48" s="28"/>
      <c r="Q48" s="28"/>
      <c r="R48" s="28"/>
      <c r="S48" s="28"/>
      <c r="T48" s="28"/>
      <c r="U48" s="28"/>
      <c r="V48" s="28"/>
    </row>
    <row r="49" spans="2:22" x14ac:dyDescent="0.25">
      <c r="B49" s="28"/>
      <c r="C49" s="28"/>
      <c r="D49" s="28"/>
      <c r="E49" s="28"/>
      <c r="G49" s="28"/>
      <c r="H49" s="28"/>
      <c r="I49" s="28"/>
      <c r="J49" s="28"/>
      <c r="K49" s="28"/>
      <c r="M49" s="28"/>
      <c r="N49" s="28"/>
      <c r="O49" s="29"/>
      <c r="P49" s="28"/>
      <c r="Q49" s="28"/>
      <c r="R49" s="28"/>
      <c r="S49" s="28"/>
      <c r="T49" s="28"/>
      <c r="U49" s="28"/>
      <c r="V49" s="28"/>
    </row>
    <row r="50" spans="2:22" x14ac:dyDescent="0.25">
      <c r="B50" s="28"/>
      <c r="C50" s="28"/>
      <c r="D50" s="28"/>
      <c r="E50" s="28"/>
      <c r="G50" s="28"/>
      <c r="H50" s="28"/>
      <c r="I50" s="28"/>
      <c r="J50" s="28"/>
      <c r="K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2:22" x14ac:dyDescent="0.25">
      <c r="B51" s="28"/>
      <c r="C51" s="28"/>
      <c r="D51" s="28"/>
      <c r="E51" s="28"/>
      <c r="G51" s="28"/>
      <c r="H51" s="28"/>
      <c r="I51" s="28"/>
      <c r="J51" s="28"/>
      <c r="K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2:22" x14ac:dyDescent="0.25">
      <c r="B52" s="28"/>
      <c r="C52" s="28"/>
      <c r="D52" s="28"/>
      <c r="E52" s="28"/>
      <c r="G52" s="76"/>
      <c r="H52" s="28"/>
      <c r="I52" s="28"/>
      <c r="J52" s="28"/>
      <c r="K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2:22" x14ac:dyDescent="0.25">
      <c r="B53" s="28"/>
      <c r="C53" s="28"/>
      <c r="D53" s="28"/>
      <c r="E53" s="28"/>
      <c r="G53" s="76"/>
      <c r="H53" s="28"/>
      <c r="I53" s="28"/>
      <c r="J53" s="28"/>
      <c r="K53" s="28"/>
      <c r="M53" s="28" t="s">
        <v>316</v>
      </c>
      <c r="N53" s="28"/>
      <c r="O53" s="28"/>
      <c r="P53" s="28"/>
      <c r="Q53" s="28"/>
      <c r="R53" s="28"/>
      <c r="S53" s="28"/>
      <c r="T53" s="28"/>
      <c r="U53" s="28"/>
      <c r="V53" s="28"/>
    </row>
    <row r="54" spans="2:22" x14ac:dyDescent="0.25">
      <c r="B54" s="28"/>
      <c r="C54" s="28"/>
      <c r="D54" s="28"/>
      <c r="E54" s="28"/>
      <c r="G54" s="28"/>
      <c r="H54" s="28"/>
      <c r="I54" s="28"/>
      <c r="J54" s="28"/>
      <c r="K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2:22" x14ac:dyDescent="0.25">
      <c r="B55" s="28"/>
      <c r="C55" s="28"/>
      <c r="D55" s="28"/>
      <c r="E55" s="28"/>
      <c r="G55" s="28"/>
      <c r="H55" s="28"/>
      <c r="I55" s="28"/>
      <c r="J55" s="28"/>
      <c r="K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2:22" x14ac:dyDescent="0.25">
      <c r="B56" s="28"/>
      <c r="C56" s="28"/>
      <c r="D56" s="28"/>
      <c r="E56" s="28"/>
      <c r="G56" s="28"/>
      <c r="H56" s="28"/>
      <c r="I56" s="28"/>
      <c r="J56" s="28"/>
      <c r="K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2:22" x14ac:dyDescent="0.25">
      <c r="B57" s="28"/>
      <c r="C57" s="28"/>
      <c r="D57" s="28"/>
      <c r="E57" s="28"/>
      <c r="G57" s="28"/>
      <c r="H57" s="28"/>
      <c r="I57" s="28"/>
      <c r="J57" s="28"/>
      <c r="K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2:22" x14ac:dyDescent="0.25">
      <c r="B58" s="28"/>
      <c r="C58" s="28"/>
      <c r="D58" s="28"/>
      <c r="E58" s="28"/>
      <c r="G58" s="28"/>
      <c r="H58" s="28"/>
      <c r="I58" s="28"/>
      <c r="J58" s="28"/>
      <c r="K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2:22" x14ac:dyDescent="0.25">
      <c r="B59" s="28"/>
      <c r="C59" s="28"/>
      <c r="D59" s="28"/>
      <c r="E59" s="28"/>
      <c r="G59" s="28"/>
      <c r="H59" s="28"/>
      <c r="I59" s="28"/>
      <c r="J59" s="28"/>
      <c r="K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2:22" x14ac:dyDescent="0.25">
      <c r="B60" s="28"/>
      <c r="C60" s="28"/>
      <c r="D60" s="28"/>
      <c r="E60" s="28"/>
      <c r="G60" s="28"/>
      <c r="H60" s="28"/>
      <c r="I60" s="28"/>
      <c r="J60" s="28"/>
      <c r="K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2:22" x14ac:dyDescent="0.25">
      <c r="B61" s="28"/>
      <c r="C61" s="28"/>
      <c r="D61" s="28"/>
      <c r="E61" s="28"/>
      <c r="G61" s="28"/>
      <c r="H61" s="28"/>
      <c r="I61" s="28"/>
      <c r="J61" s="28"/>
      <c r="K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2:22" x14ac:dyDescent="0.25">
      <c r="B62" s="28"/>
      <c r="C62" s="28"/>
      <c r="D62" s="28"/>
      <c r="E62" s="28"/>
      <c r="G62" s="28"/>
      <c r="H62" s="28"/>
      <c r="I62" s="28"/>
      <c r="J62" s="28"/>
      <c r="K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2:22" x14ac:dyDescent="0.25">
      <c r="B63" s="28"/>
      <c r="C63" s="28"/>
      <c r="D63" s="28"/>
      <c r="E63" s="28"/>
      <c r="G63" s="28"/>
      <c r="H63" s="28"/>
      <c r="I63" s="28"/>
      <c r="J63" s="28"/>
      <c r="K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2:22" x14ac:dyDescent="0.25">
      <c r="B64" s="28"/>
      <c r="C64" s="28"/>
      <c r="D64" s="28"/>
      <c r="E64" s="28"/>
      <c r="G64" s="28"/>
      <c r="H64" s="28"/>
      <c r="I64" s="28"/>
      <c r="J64" s="28"/>
      <c r="K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2:22" x14ac:dyDescent="0.25">
      <c r="B65" s="28"/>
      <c r="C65" s="28"/>
      <c r="D65" s="28"/>
      <c r="E65" s="28"/>
      <c r="G65" s="28"/>
      <c r="H65" s="28"/>
      <c r="I65" s="28"/>
      <c r="J65" s="28"/>
      <c r="K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2:22" x14ac:dyDescent="0.25">
      <c r="B66" s="28"/>
      <c r="C66" s="28"/>
      <c r="D66" s="28"/>
      <c r="E66" s="28"/>
      <c r="G66" s="28"/>
      <c r="H66" s="28"/>
      <c r="I66" s="28"/>
      <c r="J66" s="28"/>
      <c r="K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2:22" x14ac:dyDescent="0.25">
      <c r="B67" s="28"/>
      <c r="C67" s="28"/>
      <c r="D67" s="28"/>
      <c r="E67" s="28"/>
      <c r="G67" s="28"/>
      <c r="H67" s="28"/>
      <c r="I67" s="28"/>
      <c r="J67" s="28"/>
      <c r="K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2:22" ht="15" customHeight="1" x14ac:dyDescent="0.25">
      <c r="B68" s="28"/>
      <c r="C68" s="28"/>
      <c r="D68" s="28"/>
      <c r="E68" s="28"/>
      <c r="G68" s="28"/>
      <c r="H68" s="28"/>
      <c r="I68" s="28"/>
      <c r="J68" s="28"/>
      <c r="K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2:22" x14ac:dyDescent="0.25">
      <c r="B69" s="28"/>
      <c r="C69" s="28"/>
      <c r="D69" s="28"/>
      <c r="E69" s="28"/>
      <c r="G69" s="28"/>
      <c r="H69" s="28"/>
      <c r="I69" s="28"/>
      <c r="J69" s="28"/>
      <c r="K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2:22" x14ac:dyDescent="0.25">
      <c r="B70" s="28"/>
      <c r="C70" s="28"/>
      <c r="D70" s="28"/>
      <c r="E70" s="28"/>
      <c r="G70" s="28"/>
      <c r="H70" s="28"/>
      <c r="I70" s="28"/>
      <c r="J70" s="28"/>
      <c r="K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2:22" x14ac:dyDescent="0.25">
      <c r="B71" s="28"/>
      <c r="C71" s="28"/>
      <c r="D71" s="28"/>
      <c r="E71" s="28"/>
      <c r="G71" s="28"/>
      <c r="H71" s="28"/>
      <c r="I71" s="28"/>
      <c r="J71" s="28"/>
      <c r="K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2:22" x14ac:dyDescent="0.25">
      <c r="B72" s="28"/>
      <c r="C72" s="28"/>
      <c r="D72" s="28"/>
      <c r="E72" s="28"/>
      <c r="G72" s="28"/>
      <c r="H72" s="28"/>
      <c r="I72" s="28"/>
      <c r="J72" s="28"/>
      <c r="K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2:22" x14ac:dyDescent="0.25">
      <c r="B73" s="28"/>
      <c r="C73" s="28"/>
      <c r="D73" s="28"/>
      <c r="E73" s="28"/>
      <c r="G73" s="28"/>
      <c r="H73" s="28"/>
      <c r="I73" s="28"/>
      <c r="J73" s="28"/>
      <c r="K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2:22" x14ac:dyDescent="0.25">
      <c r="B74" s="28"/>
      <c r="C74" s="28"/>
      <c r="D74" s="28"/>
      <c r="E74" s="28"/>
      <c r="G74" s="28"/>
      <c r="H74" s="28"/>
      <c r="I74" s="28"/>
      <c r="J74" s="28"/>
      <c r="K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2:22" x14ac:dyDescent="0.25">
      <c r="B75" s="28"/>
      <c r="C75" s="28"/>
      <c r="D75" s="28"/>
      <c r="E75" s="28"/>
      <c r="G75" s="28"/>
      <c r="H75" s="28"/>
      <c r="I75" s="28"/>
      <c r="J75" s="28"/>
      <c r="K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2:22" x14ac:dyDescent="0.25">
      <c r="B76" s="28"/>
      <c r="C76" s="28"/>
      <c r="D76" s="28"/>
      <c r="E76" s="28"/>
      <c r="G76" s="28"/>
      <c r="H76" s="28"/>
      <c r="I76" s="28"/>
      <c r="J76" s="28"/>
      <c r="K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2:22" x14ac:dyDescent="0.25">
      <c r="B77" s="28"/>
      <c r="C77" s="28"/>
      <c r="D77" s="28"/>
      <c r="E77" s="28"/>
      <c r="G77" s="28"/>
      <c r="H77" s="28"/>
      <c r="I77" s="28"/>
      <c r="J77" s="28"/>
      <c r="K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2:22" x14ac:dyDescent="0.25">
      <c r="B78" s="28"/>
      <c r="C78" s="28"/>
      <c r="D78" s="28"/>
      <c r="E78" s="28"/>
      <c r="G78" s="28"/>
      <c r="H78" s="28"/>
      <c r="I78" s="28"/>
      <c r="J78" s="28"/>
      <c r="K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2:22" x14ac:dyDescent="0.25">
      <c r="B79" s="28"/>
      <c r="C79" s="28"/>
      <c r="D79" s="28"/>
      <c r="E79" s="28"/>
      <c r="G79" s="28"/>
      <c r="H79" s="28"/>
      <c r="I79" s="28"/>
      <c r="J79" s="28"/>
      <c r="K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2:22" x14ac:dyDescent="0.25">
      <c r="B80" s="28"/>
      <c r="C80" s="28"/>
      <c r="D80" s="28"/>
      <c r="E80" s="28"/>
      <c r="G80" s="28"/>
      <c r="H80" s="28"/>
      <c r="I80" s="28"/>
      <c r="J80" s="28"/>
      <c r="K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2:22" x14ac:dyDescent="0.25">
      <c r="B81" s="28"/>
      <c r="C81" s="28"/>
      <c r="D81" s="28"/>
      <c r="E81" s="28"/>
      <c r="G81" s="28"/>
      <c r="H81" s="28"/>
      <c r="I81" s="28"/>
      <c r="J81" s="28"/>
      <c r="K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2:22" x14ac:dyDescent="0.25">
      <c r="B82" s="28"/>
      <c r="C82" s="28"/>
      <c r="D82" s="28"/>
      <c r="E82" s="28"/>
      <c r="G82" s="28"/>
      <c r="H82" s="28"/>
      <c r="I82" s="28"/>
      <c r="J82" s="28"/>
      <c r="K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2:22" x14ac:dyDescent="0.25">
      <c r="B83" s="28"/>
      <c r="C83" s="28"/>
      <c r="D83" s="28"/>
      <c r="E83" s="28"/>
      <c r="G83" s="28"/>
      <c r="H83" s="28"/>
      <c r="I83" s="28"/>
      <c r="J83" s="28"/>
      <c r="K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2:22" x14ac:dyDescent="0.25">
      <c r="B84" s="28"/>
      <c r="C84" s="28"/>
      <c r="D84" s="28"/>
      <c r="E84" s="28"/>
      <c r="G84" s="28"/>
      <c r="H84" s="28"/>
      <c r="I84" s="28"/>
      <c r="J84" s="28"/>
      <c r="K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2:22" x14ac:dyDescent="0.25">
      <c r="B85" s="28"/>
      <c r="C85" s="28"/>
      <c r="D85" s="28"/>
      <c r="E85" s="28"/>
      <c r="G85" s="28"/>
      <c r="H85" s="28"/>
      <c r="I85" s="28"/>
      <c r="J85" s="28"/>
      <c r="K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2:22" x14ac:dyDescent="0.25">
      <c r="B86" s="28"/>
      <c r="C86" s="28"/>
      <c r="D86" s="28"/>
      <c r="E86" s="28"/>
      <c r="G86" s="28"/>
      <c r="H86" s="28"/>
      <c r="I86" s="28"/>
      <c r="J86" s="28"/>
      <c r="K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2:22" x14ac:dyDescent="0.25">
      <c r="B87" s="28"/>
      <c r="C87" s="28"/>
      <c r="D87" s="28"/>
      <c r="E87" s="28"/>
      <c r="G87" s="28"/>
      <c r="H87" s="28"/>
      <c r="I87" s="28"/>
      <c r="J87" s="28"/>
      <c r="K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2:22" x14ac:dyDescent="0.25">
      <c r="B88" s="28"/>
      <c r="C88" s="28"/>
      <c r="D88" s="28"/>
      <c r="E88" s="28"/>
      <c r="G88" s="28"/>
      <c r="H88" s="28"/>
      <c r="I88" s="28"/>
      <c r="J88" s="28"/>
      <c r="K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2:22" x14ac:dyDescent="0.25">
      <c r="B89" s="28"/>
      <c r="C89" s="28"/>
      <c r="D89" s="28"/>
      <c r="E89" s="28"/>
      <c r="G89" s="28"/>
      <c r="H89" s="28"/>
      <c r="I89" s="28"/>
      <c r="J89" s="28"/>
      <c r="K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2:22" x14ac:dyDescent="0.25">
      <c r="B90" s="28"/>
      <c r="C90" s="28"/>
      <c r="D90" s="28"/>
      <c r="E90" s="28"/>
      <c r="G90" s="28"/>
      <c r="H90" s="28"/>
      <c r="I90" s="28"/>
      <c r="J90" s="28"/>
      <c r="K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2:22" x14ac:dyDescent="0.25">
      <c r="B91" s="28"/>
      <c r="C91" s="28"/>
      <c r="D91" s="28"/>
      <c r="E91" s="28"/>
      <c r="G91" s="28"/>
      <c r="H91" s="28"/>
      <c r="I91" s="28"/>
      <c r="J91" s="28"/>
      <c r="K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2:22" x14ac:dyDescent="0.25">
      <c r="B92" s="28"/>
      <c r="C92" s="28"/>
      <c r="D92" s="28"/>
      <c r="E92" s="28"/>
      <c r="G92" s="28"/>
      <c r="H92" s="28"/>
      <c r="I92" s="28"/>
      <c r="J92" s="28"/>
      <c r="K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2:22" x14ac:dyDescent="0.25">
      <c r="B93" s="28"/>
      <c r="C93" s="28"/>
      <c r="D93" s="28"/>
      <c r="E93" s="28"/>
      <c r="G93" s="28"/>
      <c r="H93" s="28"/>
      <c r="I93" s="28"/>
      <c r="J93" s="28"/>
      <c r="K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2:22" x14ac:dyDescent="0.25">
      <c r="B94" s="28"/>
      <c r="C94" s="28"/>
      <c r="D94" s="28"/>
      <c r="E94" s="28"/>
      <c r="G94" s="28"/>
      <c r="H94" s="28"/>
      <c r="I94" s="28"/>
      <c r="J94" s="28"/>
      <c r="K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2:22" x14ac:dyDescent="0.25">
      <c r="G95" s="28"/>
      <c r="H95" s="28"/>
      <c r="I95" s="28"/>
      <c r="J95" s="28"/>
      <c r="K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2:22" x14ac:dyDescent="0.25">
      <c r="G96" s="28"/>
      <c r="H96" s="28"/>
      <c r="I96" s="28"/>
      <c r="J96" s="28"/>
      <c r="K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7:22" x14ac:dyDescent="0.25">
      <c r="G97" s="28"/>
      <c r="H97" s="28"/>
      <c r="I97" s="28"/>
      <c r="J97" s="28"/>
      <c r="K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7:22" x14ac:dyDescent="0.25">
      <c r="G98" s="28"/>
      <c r="H98" s="28"/>
      <c r="I98" s="28"/>
      <c r="J98" s="28"/>
      <c r="K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7:22" x14ac:dyDescent="0.25">
      <c r="G99" s="28"/>
      <c r="J99" s="28"/>
      <c r="K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7:22" x14ac:dyDescent="0.25">
      <c r="G100" s="28"/>
      <c r="J100" s="28"/>
      <c r="K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7:22" x14ac:dyDescent="0.25">
      <c r="G101" s="28"/>
      <c r="J101" s="28"/>
      <c r="K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7:22" x14ac:dyDescent="0.25">
      <c r="G102" s="28"/>
      <c r="J102" s="28"/>
      <c r="K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7:22" x14ac:dyDescent="0.25">
      <c r="G103" s="28"/>
      <c r="J103" s="28"/>
      <c r="K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7:22" x14ac:dyDescent="0.25">
      <c r="G104" s="28"/>
      <c r="J104" s="28"/>
      <c r="K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7:22" x14ac:dyDescent="0.25">
      <c r="G105" s="28"/>
      <c r="J105" s="28"/>
      <c r="K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7:22" x14ac:dyDescent="0.25">
      <c r="G106" s="28"/>
      <c r="J106" s="28"/>
      <c r="K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7:22" x14ac:dyDescent="0.25">
      <c r="G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7:22" x14ac:dyDescent="0.25">
      <c r="G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7:22" x14ac:dyDescent="0.25">
      <c r="G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7:22" x14ac:dyDescent="0.25">
      <c r="G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7:22" x14ac:dyDescent="0.25"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7:22" x14ac:dyDescent="0.25"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3:22" x14ac:dyDescent="0.25"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3:22" x14ac:dyDescent="0.25"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3:22" x14ac:dyDescent="0.25"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3:22" x14ac:dyDescent="0.25"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3:22" x14ac:dyDescent="0.25"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3:22" x14ac:dyDescent="0.25"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3:22" x14ac:dyDescent="0.25"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3:22" x14ac:dyDescent="0.25">
      <c r="C120" s="75"/>
    </row>
    <row r="121" spans="3:22" x14ac:dyDescent="0.25">
      <c r="C121" s="75"/>
    </row>
  </sheetData>
  <mergeCells count="156">
    <mergeCell ref="M1:V1"/>
    <mergeCell ref="M20:N20"/>
    <mergeCell ref="S12:T12"/>
    <mergeCell ref="M2:P2"/>
    <mergeCell ref="M6:P6"/>
    <mergeCell ref="M19:N19"/>
    <mergeCell ref="M15:P15"/>
    <mergeCell ref="M18:N18"/>
    <mergeCell ref="M8:M10"/>
    <mergeCell ref="M7:N7"/>
    <mergeCell ref="S18:T18"/>
    <mergeCell ref="H2:K2"/>
    <mergeCell ref="A2:E2"/>
    <mergeCell ref="H9:I9"/>
    <mergeCell ref="H10:I10"/>
    <mergeCell ref="H3:I3"/>
    <mergeCell ref="H4:I4"/>
    <mergeCell ref="M11:M13"/>
    <mergeCell ref="S15:V15"/>
    <mergeCell ref="S13:V13"/>
    <mergeCell ref="S14:T14"/>
    <mergeCell ref="R2:V2"/>
    <mergeCell ref="S7:V7"/>
    <mergeCell ref="S9:V9"/>
    <mergeCell ref="S11:V11"/>
    <mergeCell ref="S10:T10"/>
    <mergeCell ref="A3:A5"/>
    <mergeCell ref="E3:E5"/>
    <mergeCell ref="A6:A19"/>
    <mergeCell ref="S8:T8"/>
    <mergeCell ref="M3:N3"/>
    <mergeCell ref="M4:N4"/>
    <mergeCell ref="S3:V3"/>
    <mergeCell ref="S5:V5"/>
    <mergeCell ref="H13:I13"/>
    <mergeCell ref="E16:E18"/>
    <mergeCell ref="E20:E21"/>
    <mergeCell ref="E22:E23"/>
    <mergeCell ref="B19:C19"/>
    <mergeCell ref="B3:C3"/>
    <mergeCell ref="B4:C4"/>
    <mergeCell ref="B5:C5"/>
    <mergeCell ref="B22:C22"/>
    <mergeCell ref="B23:C23"/>
    <mergeCell ref="B21:C21"/>
    <mergeCell ref="B20:C20"/>
    <mergeCell ref="B10:C10"/>
    <mergeCell ref="B15:C15"/>
    <mergeCell ref="B16:B18"/>
    <mergeCell ref="E11:E13"/>
    <mergeCell ref="B12:C12"/>
    <mergeCell ref="B8:C8"/>
    <mergeCell ref="B9:C9"/>
    <mergeCell ref="B11:C11"/>
    <mergeCell ref="B13:C13"/>
    <mergeCell ref="B6:C6"/>
    <mergeCell ref="B7:C7"/>
    <mergeCell ref="B14:C14"/>
    <mergeCell ref="A45:E46"/>
    <mergeCell ref="A44:E44"/>
    <mergeCell ref="E24:E25"/>
    <mergeCell ref="M43:P43"/>
    <mergeCell ref="M44:N44"/>
    <mergeCell ref="M45:N45"/>
    <mergeCell ref="M36:M38"/>
    <mergeCell ref="M29:N29"/>
    <mergeCell ref="H17:I17"/>
    <mergeCell ref="B28:C28"/>
    <mergeCell ref="B27:C27"/>
    <mergeCell ref="B29:C29"/>
    <mergeCell ref="H21:I21"/>
    <mergeCell ref="H22:I22"/>
    <mergeCell ref="H23:I23"/>
    <mergeCell ref="B26:C26"/>
    <mergeCell ref="B25:C25"/>
    <mergeCell ref="B24:C24"/>
    <mergeCell ref="K21:K23"/>
    <mergeCell ref="K18:K20"/>
    <mergeCell ref="H18:I18"/>
    <mergeCell ref="H19:I19"/>
    <mergeCell ref="H20:I20"/>
    <mergeCell ref="M17:N17"/>
    <mergeCell ref="A42:C42"/>
    <mergeCell ref="A20:A25"/>
    <mergeCell ref="A26:A29"/>
    <mergeCell ref="A30:A31"/>
    <mergeCell ref="H30:I30"/>
    <mergeCell ref="A33:A38"/>
    <mergeCell ref="E30:E31"/>
    <mergeCell ref="M26:N26"/>
    <mergeCell ref="E26:E27"/>
    <mergeCell ref="E28:E29"/>
    <mergeCell ref="M28:P28"/>
    <mergeCell ref="B36:C36"/>
    <mergeCell ref="B37:C37"/>
    <mergeCell ref="B34:C34"/>
    <mergeCell ref="B38:C38"/>
    <mergeCell ref="M21:N21"/>
    <mergeCell ref="M25:N25"/>
    <mergeCell ref="M24:P24"/>
    <mergeCell ref="M23:V23"/>
    <mergeCell ref="S25:V25"/>
    <mergeCell ref="R24:V24"/>
    <mergeCell ref="M30:M32"/>
    <mergeCell ref="M27:N27"/>
    <mergeCell ref="S32:T32"/>
    <mergeCell ref="S35:V35"/>
    <mergeCell ref="S36:T36"/>
    <mergeCell ref="S37:V37"/>
    <mergeCell ref="S38:T38"/>
    <mergeCell ref="R33:R36"/>
    <mergeCell ref="R37:R40"/>
    <mergeCell ref="S39:V39"/>
    <mergeCell ref="S40:T40"/>
    <mergeCell ref="B30:C30"/>
    <mergeCell ref="B31:C31"/>
    <mergeCell ref="M39:M41"/>
    <mergeCell ref="B33:C33"/>
    <mergeCell ref="B35:C35"/>
    <mergeCell ref="M33:M35"/>
    <mergeCell ref="A41:E41"/>
    <mergeCell ref="R29:R32"/>
    <mergeCell ref="S31:V31"/>
    <mergeCell ref="S30:T30"/>
    <mergeCell ref="S29:V29"/>
    <mergeCell ref="H31:I31"/>
    <mergeCell ref="H26:I26"/>
    <mergeCell ref="H15:I15"/>
    <mergeCell ref="H16:I16"/>
    <mergeCell ref="G5:G17"/>
    <mergeCell ref="H25:I25"/>
    <mergeCell ref="H5:I5"/>
    <mergeCell ref="S33:V33"/>
    <mergeCell ref="S34:T34"/>
    <mergeCell ref="S26:T26"/>
    <mergeCell ref="R25:R28"/>
    <mergeCell ref="S28:T28"/>
    <mergeCell ref="S27:V27"/>
    <mergeCell ref="G3:G4"/>
    <mergeCell ref="H7:I7"/>
    <mergeCell ref="H8:I8"/>
    <mergeCell ref="H11:I11"/>
    <mergeCell ref="H12:I12"/>
    <mergeCell ref="S4:T4"/>
    <mergeCell ref="S6:T6"/>
    <mergeCell ref="S17:V17"/>
    <mergeCell ref="S16:T16"/>
    <mergeCell ref="M5:N5"/>
    <mergeCell ref="H6:I6"/>
    <mergeCell ref="M16:N16"/>
    <mergeCell ref="R3:R6"/>
    <mergeCell ref="R7:R10"/>
    <mergeCell ref="R11:R14"/>
    <mergeCell ref="R15:R18"/>
    <mergeCell ref="H14:I14"/>
    <mergeCell ref="G18:G23"/>
  </mergeCells>
  <dataValidations disablePrompts="1" count="1">
    <dataValidation type="list" allowBlank="1" showInputMessage="1" showErrorMessage="1" sqref="E22" xr:uid="{00000000-0002-0000-0400-000000000000}">
      <formula1>$F$22:$F$23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72"/>
  <sheetViews>
    <sheetView zoomScaleNormal="100" workbookViewId="0">
      <selection activeCell="L35" sqref="L35"/>
    </sheetView>
  </sheetViews>
  <sheetFormatPr defaultRowHeight="15" x14ac:dyDescent="0.25"/>
  <cols>
    <col min="2" max="2" width="6.28515625" customWidth="1"/>
    <col min="4" max="4" width="15.7109375" customWidth="1"/>
    <col min="8" max="8" width="7.7109375" customWidth="1"/>
    <col min="9" max="9" width="4.5703125" customWidth="1"/>
  </cols>
  <sheetData>
    <row r="1" spans="1:55" x14ac:dyDescent="0.25">
      <c r="A1" s="27"/>
      <c r="B1" s="921" t="s">
        <v>62</v>
      </c>
      <c r="C1" s="921"/>
      <c r="D1" s="921"/>
      <c r="E1" s="921"/>
      <c r="F1" s="921"/>
      <c r="G1" s="921"/>
      <c r="H1" s="921"/>
      <c r="I1" s="921"/>
      <c r="J1" s="921"/>
      <c r="K1" s="921"/>
      <c r="L1" s="921"/>
      <c r="M1" s="921"/>
      <c r="N1" s="921"/>
      <c r="O1" s="921"/>
      <c r="P1" s="921"/>
      <c r="Q1" s="921"/>
      <c r="R1" s="921"/>
      <c r="S1" s="921"/>
      <c r="T1" s="921"/>
      <c r="U1" s="921"/>
      <c r="V1" s="921"/>
      <c r="W1" s="28"/>
      <c r="X1" s="28"/>
      <c r="Y1" s="28"/>
      <c r="Z1" s="28"/>
      <c r="AA1" s="28"/>
      <c r="AB1" s="30"/>
      <c r="AC1" s="31"/>
      <c r="AD1" s="30"/>
      <c r="AE1" s="31"/>
      <c r="AF1" s="30"/>
      <c r="AG1" s="30"/>
      <c r="AH1" s="31"/>
      <c r="AI1" s="30"/>
      <c r="AJ1" s="31"/>
      <c r="AK1" s="30"/>
      <c r="AL1" s="30"/>
      <c r="AM1" s="27"/>
      <c r="AN1" s="27"/>
      <c r="AO1" s="28"/>
      <c r="AP1" s="30"/>
      <c r="AQ1" s="31"/>
      <c r="AR1" s="30"/>
      <c r="AS1" s="27"/>
      <c r="AT1" s="28"/>
      <c r="AU1" s="27"/>
      <c r="AV1" s="27"/>
      <c r="AW1" s="30"/>
      <c r="AX1" s="31"/>
      <c r="AY1" s="30"/>
      <c r="AZ1" s="30"/>
      <c r="BA1" s="27"/>
      <c r="BB1" s="27"/>
      <c r="BC1" s="28"/>
    </row>
    <row r="2" spans="1:55" ht="15.75" customHeight="1" x14ac:dyDescent="0.25">
      <c r="A2" s="28"/>
      <c r="B2" s="921"/>
      <c r="C2" s="921"/>
      <c r="D2" s="921"/>
      <c r="E2" s="921"/>
      <c r="F2" s="921"/>
      <c r="G2" s="921"/>
      <c r="H2" s="921"/>
      <c r="I2" s="921"/>
      <c r="J2" s="921"/>
      <c r="K2" s="921"/>
      <c r="L2" s="921"/>
      <c r="M2" s="921"/>
      <c r="N2" s="921"/>
      <c r="O2" s="921"/>
      <c r="P2" s="921"/>
      <c r="Q2" s="921"/>
      <c r="R2" s="921"/>
      <c r="S2" s="921"/>
      <c r="T2" s="921"/>
      <c r="U2" s="921"/>
      <c r="V2" s="921"/>
      <c r="W2" s="28"/>
      <c r="X2" s="27"/>
      <c r="Y2" s="28"/>
      <c r="Z2" s="28"/>
      <c r="AA2" s="27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N2" s="30"/>
      <c r="AO2" s="31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B2" s="30"/>
      <c r="BC2" s="31"/>
    </row>
    <row r="3" spans="1:55" ht="16.5" customHeight="1" thickBot="1" x14ac:dyDescent="0.3">
      <c r="A3" s="31"/>
      <c r="B3" s="27"/>
      <c r="C3" s="31"/>
      <c r="D3" s="30"/>
      <c r="E3" s="27"/>
      <c r="F3" s="30"/>
      <c r="G3" s="27"/>
      <c r="I3" s="28"/>
      <c r="J3" s="28"/>
      <c r="K3" s="28"/>
      <c r="L3" s="28"/>
      <c r="M3" s="28"/>
      <c r="N3" s="30"/>
      <c r="O3" s="31"/>
      <c r="P3" s="27"/>
      <c r="Q3" s="27"/>
      <c r="R3" s="28"/>
      <c r="S3" s="28"/>
      <c r="T3" s="27"/>
      <c r="U3" s="31"/>
      <c r="V3" s="30"/>
      <c r="W3" s="27"/>
      <c r="X3" s="30"/>
      <c r="Y3" s="27"/>
      <c r="AA3" s="28"/>
      <c r="AB3" s="28"/>
      <c r="AC3" s="28"/>
      <c r="AD3" s="28"/>
      <c r="AE3" s="28"/>
      <c r="AF3" s="30"/>
      <c r="AG3" s="31"/>
      <c r="AH3" s="27"/>
      <c r="AI3" s="27"/>
      <c r="AJ3" s="28"/>
      <c r="AK3" s="28"/>
      <c r="AL3" s="30"/>
      <c r="AM3" s="31"/>
      <c r="AN3" s="30"/>
      <c r="AO3" s="31"/>
      <c r="AP3" s="30"/>
      <c r="AQ3" s="27"/>
      <c r="AR3" s="27"/>
      <c r="AS3" s="28"/>
      <c r="AT3" s="30"/>
      <c r="AU3" s="30"/>
      <c r="AV3" s="27"/>
      <c r="AW3" s="27"/>
      <c r="AX3" s="28"/>
      <c r="AY3" s="30"/>
      <c r="AZ3" s="30"/>
      <c r="BA3" s="31"/>
      <c r="BB3" s="30"/>
      <c r="BC3" s="31"/>
    </row>
    <row r="4" spans="1:55" ht="15" customHeight="1" x14ac:dyDescent="0.25">
      <c r="A4" s="28"/>
      <c r="B4" s="918" t="s">
        <v>61</v>
      </c>
      <c r="C4" s="919"/>
      <c r="D4" s="919"/>
      <c r="E4" s="36" t="s">
        <v>4</v>
      </c>
      <c r="F4" s="36" t="s">
        <v>5</v>
      </c>
      <c r="G4" s="37" t="s">
        <v>6</v>
      </c>
      <c r="H4" s="30"/>
      <c r="I4" s="27"/>
      <c r="J4" s="28"/>
      <c r="K4" s="28"/>
      <c r="L4" s="28"/>
      <c r="M4" s="28"/>
      <c r="N4" s="28"/>
      <c r="O4" s="28"/>
      <c r="P4" s="30"/>
      <c r="Q4" s="30"/>
      <c r="R4" s="28"/>
      <c r="S4" s="27"/>
      <c r="T4" s="28"/>
      <c r="U4" s="28"/>
      <c r="V4" s="27"/>
      <c r="W4" s="29"/>
      <c r="X4" s="28"/>
      <c r="Y4" s="28"/>
      <c r="Z4" s="30"/>
      <c r="AA4" s="31"/>
      <c r="AB4" s="28"/>
      <c r="AD4" s="30"/>
      <c r="AE4" s="31"/>
      <c r="AF4" s="30"/>
      <c r="AG4" s="28"/>
      <c r="AI4" s="30"/>
      <c r="AJ4" s="31"/>
      <c r="AK4" s="30"/>
      <c r="AL4" s="28"/>
      <c r="AM4" s="28"/>
      <c r="AN4" s="28"/>
      <c r="AO4" s="28"/>
      <c r="AP4" s="28"/>
      <c r="AR4" s="30"/>
      <c r="AS4" s="31"/>
      <c r="AT4" s="30"/>
      <c r="AU4" s="28"/>
      <c r="AW4" s="30"/>
      <c r="AX4" s="31"/>
      <c r="AY4" s="30"/>
      <c r="AZ4" s="28"/>
      <c r="BA4" s="28"/>
      <c r="BB4" s="28"/>
      <c r="BC4" s="28"/>
    </row>
    <row r="5" spans="1:55" x14ac:dyDescent="0.25">
      <c r="A5" s="30"/>
      <c r="B5" s="38" t="s">
        <v>59</v>
      </c>
      <c r="C5" s="920" t="s">
        <v>33</v>
      </c>
      <c r="D5" s="920"/>
      <c r="E5" s="24">
        <f>[0]!Wheel_Longitudinal_Offset</f>
        <v>842.1</v>
      </c>
      <c r="F5" s="20"/>
      <c r="G5" s="39"/>
      <c r="H5" s="48" t="s">
        <v>58</v>
      </c>
      <c r="I5" s="27"/>
      <c r="J5" s="31"/>
      <c r="K5" s="30"/>
      <c r="L5" s="27"/>
      <c r="M5" s="30"/>
      <c r="N5" s="27"/>
      <c r="P5" s="28"/>
      <c r="Q5" s="28"/>
      <c r="R5" s="28"/>
      <c r="S5" s="28"/>
      <c r="T5" s="28"/>
      <c r="U5" s="30"/>
      <c r="V5" s="31"/>
      <c r="W5" s="27"/>
      <c r="X5" s="27"/>
      <c r="Y5" s="28"/>
      <c r="Z5" s="28"/>
      <c r="AA5" s="28"/>
      <c r="AB5" s="29"/>
      <c r="AC5" s="28"/>
      <c r="AD5" s="29"/>
      <c r="AE5" s="27"/>
      <c r="AF5" s="29"/>
      <c r="AG5" s="28"/>
      <c r="AH5" s="29"/>
      <c r="AI5" s="28"/>
      <c r="AJ5" s="28"/>
      <c r="AK5" s="27"/>
      <c r="AL5" s="28"/>
      <c r="AM5" s="28"/>
      <c r="AN5" s="28"/>
      <c r="AO5" s="27"/>
      <c r="AP5" s="29"/>
      <c r="AQ5" s="28"/>
      <c r="AR5" s="29"/>
      <c r="AS5" s="27"/>
      <c r="AT5" s="29"/>
      <c r="AU5" s="28"/>
      <c r="AV5" s="29"/>
      <c r="AW5" s="28"/>
      <c r="AX5" s="28"/>
      <c r="AY5" s="27"/>
      <c r="AZ5" s="28"/>
      <c r="BA5" s="28"/>
      <c r="BB5" s="28"/>
      <c r="BC5" s="27"/>
    </row>
    <row r="6" spans="1:55" ht="15" customHeight="1" thickBot="1" x14ac:dyDescent="0.3">
      <c r="A6" s="30"/>
      <c r="B6" s="912" t="s">
        <v>7</v>
      </c>
      <c r="C6" s="914" t="s">
        <v>8</v>
      </c>
      <c r="D6" s="914"/>
      <c r="E6" s="4">
        <f t="array" ref="E6:G8">'Suspension Points'!$F$9:$H$11</f>
        <v>610</v>
      </c>
      <c r="F6" s="4">
        <v>-215</v>
      </c>
      <c r="G6" s="40">
        <v>120</v>
      </c>
      <c r="H6" s="35" t="s">
        <v>56</v>
      </c>
      <c r="I6" s="28"/>
      <c r="J6" s="905" t="s">
        <v>57</v>
      </c>
      <c r="K6" s="905"/>
      <c r="L6" s="905"/>
      <c r="M6" s="28"/>
      <c r="O6" s="31"/>
      <c r="Q6" s="28"/>
      <c r="R6" s="29"/>
      <c r="S6" s="28"/>
      <c r="T6" s="28"/>
      <c r="U6" s="30"/>
      <c r="V6" s="31"/>
      <c r="W6" s="28"/>
      <c r="X6" s="28"/>
      <c r="Y6" s="29"/>
      <c r="Z6" s="30"/>
      <c r="AA6" s="27"/>
      <c r="AB6" s="29"/>
      <c r="AC6" s="28"/>
      <c r="AD6" s="29"/>
      <c r="AE6" s="28"/>
      <c r="AF6" s="28"/>
      <c r="AG6" s="28"/>
      <c r="AH6" s="29"/>
      <c r="AI6" s="28"/>
      <c r="AJ6" s="28"/>
      <c r="AK6" s="27"/>
      <c r="AL6" s="28"/>
      <c r="AM6" s="28"/>
      <c r="AN6" s="28"/>
      <c r="AO6" s="27"/>
      <c r="AP6" s="29"/>
      <c r="AQ6" s="28"/>
      <c r="AR6" s="29"/>
      <c r="AS6" s="28"/>
      <c r="AT6" s="28"/>
      <c r="AU6" s="28"/>
      <c r="AV6" s="29"/>
      <c r="AW6" s="28"/>
      <c r="AX6" s="28"/>
      <c r="AY6" s="27"/>
      <c r="AZ6" s="28"/>
      <c r="BA6" s="28"/>
      <c r="BB6" s="28"/>
      <c r="BC6" s="27"/>
    </row>
    <row r="7" spans="1:55" ht="15" customHeight="1" x14ac:dyDescent="0.25">
      <c r="A7" s="28"/>
      <c r="B7" s="912"/>
      <c r="C7" s="914" t="s">
        <v>9</v>
      </c>
      <c r="D7" s="914"/>
      <c r="E7" s="4">
        <v>970</v>
      </c>
      <c r="F7" s="4">
        <v>-215</v>
      </c>
      <c r="G7" s="40">
        <v>120</v>
      </c>
      <c r="H7" s="35" t="s">
        <v>55</v>
      </c>
      <c r="I7" s="30"/>
      <c r="J7" s="19">
        <f>E7-E6</f>
        <v>360</v>
      </c>
      <c r="K7" s="18">
        <f>E9-E$5</f>
        <v>0</v>
      </c>
      <c r="L7" s="54">
        <f>E10-E$5</f>
        <v>0</v>
      </c>
      <c r="M7" s="57">
        <f>E7-E$5</f>
        <v>127.89999999999998</v>
      </c>
      <c r="N7" s="28"/>
      <c r="O7" s="21">
        <f t="array" ref="O7:O9">MMULT((MINVERSE(Lower_Inv)),M7:M9)</f>
        <v>0.35527777777777775</v>
      </c>
      <c r="P7" s="28" t="s">
        <v>46</v>
      </c>
      <c r="Q7" s="28"/>
      <c r="R7" s="27"/>
      <c r="S7" s="27"/>
      <c r="T7" s="28"/>
      <c r="U7" s="28"/>
      <c r="V7" s="28"/>
      <c r="W7" s="30"/>
      <c r="X7" s="31"/>
      <c r="Y7" s="30"/>
      <c r="Z7" s="28"/>
      <c r="AB7" s="28"/>
      <c r="AC7" s="28"/>
      <c r="AD7" s="28"/>
      <c r="AE7" s="28"/>
      <c r="AF7" s="28"/>
      <c r="AG7" s="28"/>
      <c r="AH7" s="28"/>
      <c r="AI7" s="28"/>
      <c r="AJ7" s="29"/>
      <c r="AK7" s="28"/>
      <c r="AL7" s="29"/>
      <c r="AM7" s="27"/>
      <c r="AN7" s="29"/>
      <c r="AO7" s="28"/>
      <c r="AP7" s="28"/>
      <c r="AQ7" s="28"/>
      <c r="AR7" s="28"/>
      <c r="AS7" s="28"/>
      <c r="AT7" s="28"/>
      <c r="AU7" s="28"/>
      <c r="AV7" s="28"/>
      <c r="AW7" s="28"/>
      <c r="AX7" s="29"/>
      <c r="AY7" s="28"/>
      <c r="AZ7" s="29"/>
      <c r="BA7" s="27"/>
      <c r="BB7" s="29"/>
      <c r="BC7" s="28"/>
    </row>
    <row r="8" spans="1:55" x14ac:dyDescent="0.25">
      <c r="A8" s="30"/>
      <c r="B8" s="912"/>
      <c r="C8" s="914" t="s">
        <v>10</v>
      </c>
      <c r="D8" s="914"/>
      <c r="E8" s="25">
        <v>904.91300000000001</v>
      </c>
      <c r="F8" s="4">
        <v>-610.16499999999996</v>
      </c>
      <c r="G8" s="40">
        <v>134.929</v>
      </c>
      <c r="H8" s="35" t="s">
        <v>54</v>
      </c>
      <c r="I8" s="28"/>
      <c r="J8" s="17">
        <f>F7-F6</f>
        <v>0</v>
      </c>
      <c r="K8" s="16">
        <f>F9-F8</f>
        <v>355.16499999999996</v>
      </c>
      <c r="L8" s="55">
        <f>F10-F8</f>
        <v>355.16499999999996</v>
      </c>
      <c r="M8" s="58">
        <f>F7-F8</f>
        <v>395.16499999999996</v>
      </c>
      <c r="N8" s="28"/>
      <c r="O8" s="22">
        <v>0.57732884715554744</v>
      </c>
      <c r="P8" s="33" t="s">
        <v>44</v>
      </c>
      <c r="Q8" s="28"/>
      <c r="R8" s="27"/>
      <c r="S8" s="28"/>
      <c r="T8" s="28"/>
      <c r="U8" s="28"/>
      <c r="V8" s="28"/>
      <c r="W8" s="30"/>
      <c r="X8" s="31"/>
      <c r="Y8" s="30"/>
      <c r="Z8" s="31"/>
      <c r="AA8" s="30"/>
      <c r="AB8" s="27"/>
      <c r="AC8" s="28"/>
      <c r="AD8" s="27"/>
      <c r="AE8" s="28"/>
      <c r="AF8" s="28"/>
      <c r="AG8" s="28"/>
      <c r="AH8" s="27"/>
      <c r="AI8" s="28"/>
      <c r="AJ8" s="29"/>
      <c r="AK8" s="28"/>
      <c r="AL8" s="29"/>
      <c r="AM8" s="28"/>
      <c r="AN8" s="28"/>
      <c r="AO8" s="28"/>
      <c r="AP8" s="27"/>
      <c r="AQ8" s="28"/>
      <c r="AR8" s="27"/>
      <c r="AS8" s="28"/>
      <c r="AT8" s="28"/>
      <c r="AU8" s="28"/>
      <c r="AV8" s="27"/>
      <c r="AW8" s="28"/>
      <c r="AX8" s="29"/>
      <c r="AY8" s="28"/>
      <c r="AZ8" s="29"/>
      <c r="BA8" s="28"/>
      <c r="BB8" s="28"/>
      <c r="BC8" s="28"/>
    </row>
    <row r="9" spans="1:55" ht="15" customHeight="1" thickBot="1" x14ac:dyDescent="0.3">
      <c r="A9" s="28"/>
      <c r="B9" s="912"/>
      <c r="C9" s="915" t="s">
        <v>53</v>
      </c>
      <c r="D9" s="914"/>
      <c r="E9" s="13">
        <f>$E$5</f>
        <v>842.1</v>
      </c>
      <c r="F9" s="11">
        <f>F7-40</f>
        <v>-255</v>
      </c>
      <c r="G9" s="41">
        <f>G7+40</f>
        <v>160</v>
      </c>
      <c r="H9" s="35" t="s">
        <v>52</v>
      </c>
      <c r="I9" s="29"/>
      <c r="J9" s="15">
        <f>G7-G6</f>
        <v>0</v>
      </c>
      <c r="K9" s="14">
        <f>G9-G8</f>
        <v>25.070999999999998</v>
      </c>
      <c r="L9" s="56">
        <f>G10-G8</f>
        <v>-54.929000000000002</v>
      </c>
      <c r="M9" s="59">
        <f>G7-G8</f>
        <v>-14.929000000000002</v>
      </c>
      <c r="N9" s="31"/>
      <c r="O9" s="23">
        <v>0.5352948629510228</v>
      </c>
      <c r="P9" s="33" t="s">
        <v>42</v>
      </c>
      <c r="Q9" s="30"/>
      <c r="R9" s="28"/>
      <c r="S9" s="28"/>
      <c r="T9" s="28"/>
      <c r="U9" s="28"/>
      <c r="V9" s="28"/>
      <c r="W9" s="28"/>
      <c r="X9" s="28"/>
      <c r="Y9" s="28"/>
      <c r="Z9" s="28"/>
      <c r="AA9" s="28"/>
      <c r="AB9" s="30"/>
      <c r="AC9" s="31"/>
      <c r="AD9" s="30"/>
      <c r="AE9" s="28"/>
      <c r="AF9" s="29"/>
      <c r="AG9" s="30"/>
      <c r="AH9" s="31"/>
      <c r="AI9" s="30"/>
      <c r="AJ9" s="27"/>
      <c r="AK9" s="28"/>
      <c r="AL9" s="27"/>
      <c r="AM9" s="27"/>
      <c r="AN9" s="28"/>
      <c r="AO9" s="28"/>
      <c r="AP9" s="30"/>
      <c r="AQ9" s="31"/>
      <c r="AR9" s="30"/>
      <c r="AS9" s="31"/>
      <c r="AT9" s="28"/>
      <c r="AV9" s="30"/>
      <c r="AW9" s="30"/>
      <c r="AX9" s="28"/>
      <c r="AY9" s="29"/>
      <c r="AZ9" s="28"/>
      <c r="BA9" s="28"/>
      <c r="BB9" s="28"/>
      <c r="BC9" s="28"/>
    </row>
    <row r="10" spans="1:55" ht="15.75" thickBot="1" x14ac:dyDescent="0.3">
      <c r="A10" s="27"/>
      <c r="B10" s="912"/>
      <c r="C10" s="916" t="s">
        <v>51</v>
      </c>
      <c r="D10" s="917"/>
      <c r="E10" s="12">
        <f>$E$5</f>
        <v>842.1</v>
      </c>
      <c r="F10" s="10">
        <f>F7-40</f>
        <v>-255</v>
      </c>
      <c r="G10" s="43">
        <f>G7-40</f>
        <v>80</v>
      </c>
      <c r="H10" s="35" t="s">
        <v>50</v>
      </c>
      <c r="I10" s="30"/>
      <c r="J10" s="28"/>
      <c r="K10" s="28"/>
      <c r="L10" s="28"/>
      <c r="M10" s="28"/>
      <c r="N10" s="28"/>
      <c r="O10" s="27"/>
      <c r="P10" s="28"/>
      <c r="Q10" s="30"/>
      <c r="R10" s="27"/>
      <c r="S10" s="28"/>
      <c r="T10" s="27"/>
      <c r="U10" s="28"/>
      <c r="V10" s="28"/>
      <c r="W10" s="30"/>
      <c r="X10" s="27"/>
      <c r="Y10" s="27"/>
      <c r="Z10" s="28"/>
      <c r="AA10" s="30"/>
      <c r="AB10" s="30"/>
      <c r="AC10" s="31"/>
      <c r="AD10" s="30"/>
      <c r="AE10" s="31"/>
      <c r="AF10" s="30"/>
      <c r="AG10" s="30"/>
      <c r="AH10" s="31"/>
      <c r="AI10" s="30"/>
      <c r="AJ10" s="31"/>
      <c r="AK10" s="30"/>
      <c r="AL10" s="30"/>
      <c r="AM10" s="27"/>
      <c r="AN10" s="27"/>
      <c r="AO10" s="28"/>
      <c r="AP10" s="30"/>
      <c r="AQ10" s="31"/>
      <c r="AR10" s="30"/>
      <c r="AS10" s="27"/>
      <c r="AT10" s="28"/>
      <c r="AU10" s="27"/>
      <c r="AV10" s="27"/>
      <c r="AW10" s="30"/>
      <c r="AX10" s="31"/>
      <c r="AY10" s="30"/>
      <c r="AZ10" s="30"/>
      <c r="BA10" s="27"/>
      <c r="BB10" s="27"/>
      <c r="BC10" s="28"/>
    </row>
    <row r="11" spans="1:55" ht="15.75" thickBot="1" x14ac:dyDescent="0.3">
      <c r="A11" s="28"/>
      <c r="B11" s="913"/>
      <c r="C11" s="910" t="s">
        <v>49</v>
      </c>
      <c r="D11" s="911"/>
      <c r="E11" s="46">
        <f t="array" ref="E11:G11">TRANSPOSE((TRANSPOSE(lLa))+((TRANSPOSE(lLb))-(TRANSPOSE(lLa)))*Lower_t)</f>
        <v>842.1</v>
      </c>
      <c r="F11" s="46">
        <v>-215</v>
      </c>
      <c r="G11" s="47">
        <v>120</v>
      </c>
      <c r="H11" s="30"/>
      <c r="I11" s="30"/>
      <c r="J11" s="31"/>
      <c r="K11" s="27"/>
      <c r="L11" s="28"/>
      <c r="M11" s="27"/>
      <c r="N11" s="28"/>
      <c r="O11" s="28"/>
      <c r="P11" s="28"/>
      <c r="Q11" s="28"/>
      <c r="R11" s="27"/>
      <c r="S11" s="28"/>
      <c r="T11" s="28"/>
      <c r="U11" s="28"/>
      <c r="V11" s="30"/>
      <c r="W11" s="28"/>
      <c r="Y11" s="30"/>
      <c r="Z11" s="31"/>
      <c r="AA11" s="30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N11" s="30"/>
      <c r="AO11" s="31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B11" s="30"/>
      <c r="BC11" s="31"/>
    </row>
    <row r="12" spans="1:55" ht="15" customHeight="1" thickBot="1" x14ac:dyDescent="0.3">
      <c r="A12" s="30"/>
      <c r="B12" s="902" t="s">
        <v>11</v>
      </c>
      <c r="C12" s="904" t="s">
        <v>8</v>
      </c>
      <c r="D12" s="904"/>
      <c r="E12" s="44">
        <f t="array" ref="E12:G14">'Suspension Points'!$F$12:$H$14</f>
        <v>622</v>
      </c>
      <c r="F12" s="44">
        <v>-287</v>
      </c>
      <c r="G12" s="45">
        <v>336</v>
      </c>
      <c r="H12" s="35" t="s">
        <v>47</v>
      </c>
      <c r="I12" s="28"/>
      <c r="J12" s="905" t="s">
        <v>48</v>
      </c>
      <c r="K12" s="905"/>
      <c r="L12" s="905"/>
      <c r="M12" s="28"/>
      <c r="N12" s="31"/>
      <c r="O12" s="27"/>
      <c r="P12" s="28"/>
      <c r="Q12" s="28"/>
      <c r="R12" s="28"/>
      <c r="S12" s="29"/>
      <c r="T12" s="28"/>
      <c r="U12" s="28"/>
      <c r="V12" s="30"/>
      <c r="W12" s="28"/>
      <c r="X12" s="29"/>
      <c r="Y12" s="28"/>
      <c r="Z12" s="28"/>
      <c r="AA12" s="28"/>
      <c r="AB12" s="30"/>
      <c r="AC12" s="27"/>
      <c r="AD12" s="27"/>
      <c r="AE12" s="28"/>
      <c r="AF12" s="30"/>
      <c r="AG12" s="30"/>
      <c r="AH12" s="27"/>
      <c r="AI12" s="27"/>
      <c r="AJ12" s="28"/>
      <c r="AK12" s="30"/>
      <c r="AL12" s="30"/>
      <c r="AM12" s="31"/>
      <c r="AN12" s="30"/>
      <c r="AO12" s="31"/>
      <c r="AP12" s="30"/>
      <c r="AQ12" s="27"/>
      <c r="AR12" s="27"/>
      <c r="AS12" s="28"/>
      <c r="AT12" s="30"/>
      <c r="AU12" s="30"/>
      <c r="AV12" s="27"/>
      <c r="AW12" s="27"/>
      <c r="AX12" s="28"/>
      <c r="AY12" s="30"/>
      <c r="AZ12" s="30"/>
      <c r="BA12" s="31"/>
      <c r="BB12" s="30"/>
      <c r="BC12" s="31"/>
    </row>
    <row r="13" spans="1:55" x14ac:dyDescent="0.25">
      <c r="A13" s="30"/>
      <c r="B13" s="902"/>
      <c r="C13" s="906" t="s">
        <v>9</v>
      </c>
      <c r="D13" s="906"/>
      <c r="E13" s="9">
        <v>974</v>
      </c>
      <c r="F13" s="9">
        <v>-287</v>
      </c>
      <c r="G13" s="42">
        <v>336</v>
      </c>
      <c r="H13" s="35" t="s">
        <v>45</v>
      </c>
      <c r="I13" s="27"/>
      <c r="J13" s="19">
        <f>E13-E12</f>
        <v>352</v>
      </c>
      <c r="K13" s="18">
        <f>E15-E$5</f>
        <v>0</v>
      </c>
      <c r="L13" s="54">
        <f>E16-E$5</f>
        <v>0</v>
      </c>
      <c r="M13" s="57">
        <f>E13-E$5</f>
        <v>131.89999999999998</v>
      </c>
      <c r="N13" s="27"/>
      <c r="O13" s="21">
        <f t="array" ref="O13:O15">MMULT((MINVERSE(Upper_Inv)),M13:M15)</f>
        <v>0.37471590909090902</v>
      </c>
      <c r="P13" s="28" t="s">
        <v>46</v>
      </c>
      <c r="Q13" s="28"/>
      <c r="R13" s="28"/>
      <c r="S13" s="27"/>
      <c r="T13" s="27"/>
      <c r="U13" s="28"/>
      <c r="V13" s="28"/>
      <c r="W13" s="31"/>
      <c r="X13" s="30"/>
      <c r="Y13" s="30"/>
      <c r="Z13" s="27"/>
      <c r="AA13" s="27"/>
      <c r="AB13" s="28"/>
      <c r="AD13" s="30"/>
      <c r="AE13" s="31"/>
      <c r="AF13" s="30"/>
      <c r="AG13" s="28"/>
      <c r="AI13" s="30"/>
      <c r="AJ13" s="31"/>
      <c r="AK13" s="30"/>
      <c r="AL13" s="28"/>
      <c r="AM13" s="28"/>
      <c r="AN13" s="28"/>
      <c r="AO13" s="28"/>
      <c r="AP13" s="28"/>
      <c r="AR13" s="30"/>
      <c r="AS13" s="31"/>
      <c r="AT13" s="30"/>
      <c r="AU13" s="28"/>
      <c r="AW13" s="30"/>
      <c r="AX13" s="31"/>
      <c r="AY13" s="30"/>
      <c r="AZ13" s="28"/>
      <c r="BA13" s="28"/>
      <c r="BB13" s="28"/>
      <c r="BC13" s="28"/>
    </row>
    <row r="14" spans="1:55" x14ac:dyDescent="0.25">
      <c r="A14" s="28"/>
      <c r="B14" s="902"/>
      <c r="C14" s="906" t="s">
        <v>10</v>
      </c>
      <c r="D14" s="906"/>
      <c r="E14" s="25">
        <v>883.08699999999999</v>
      </c>
      <c r="F14" s="9">
        <v>-610.16200000000003</v>
      </c>
      <c r="G14" s="42">
        <v>384.35500000000002</v>
      </c>
      <c r="H14" s="35" t="s">
        <v>43</v>
      </c>
      <c r="I14" s="30"/>
      <c r="J14" s="17">
        <f>F13-F12</f>
        <v>0</v>
      </c>
      <c r="K14" s="16">
        <f>F15-F14</f>
        <v>283.16200000000003</v>
      </c>
      <c r="L14" s="55">
        <f>F16-F14</f>
        <v>283.16200000000003</v>
      </c>
      <c r="M14" s="58">
        <f>F13-F14</f>
        <v>323.16200000000003</v>
      </c>
      <c r="N14" s="28"/>
      <c r="O14" s="22">
        <v>0.65601493138203548</v>
      </c>
      <c r="P14" s="33" t="s">
        <v>44</v>
      </c>
      <c r="Q14" s="28"/>
      <c r="R14" s="31"/>
      <c r="S14" s="28"/>
      <c r="T14" s="28"/>
      <c r="U14" s="29"/>
      <c r="V14" s="30"/>
      <c r="W14" s="28"/>
      <c r="X14" s="28"/>
      <c r="Y14" s="28"/>
      <c r="AA14" s="30"/>
      <c r="AB14" s="29"/>
      <c r="AC14" s="28"/>
      <c r="AD14" s="29"/>
      <c r="AE14" s="27"/>
      <c r="AF14" s="29"/>
      <c r="AG14" s="28"/>
      <c r="AH14" s="29"/>
      <c r="AI14" s="28"/>
      <c r="AJ14" s="28"/>
      <c r="AK14" s="27"/>
      <c r="AL14" s="28"/>
      <c r="AM14" s="28"/>
      <c r="AN14" s="28"/>
      <c r="AO14" s="27"/>
      <c r="AP14" s="29"/>
      <c r="AQ14" s="28"/>
      <c r="AR14" s="29"/>
      <c r="AS14" s="27"/>
      <c r="AT14" s="29"/>
      <c r="AU14" s="28"/>
      <c r="AV14" s="29"/>
      <c r="AW14" s="28"/>
      <c r="AX14" s="28"/>
      <c r="AY14" s="27"/>
      <c r="AZ14" s="28"/>
      <c r="BA14" s="28"/>
      <c r="BB14" s="28"/>
      <c r="BC14" s="27"/>
    </row>
    <row r="15" spans="1:55" ht="15.75" thickBot="1" x14ac:dyDescent="0.3">
      <c r="A15" s="30"/>
      <c r="B15" s="902"/>
      <c r="C15" s="907" t="s">
        <v>41</v>
      </c>
      <c r="D15" s="906"/>
      <c r="E15" s="13">
        <f>$E$5</f>
        <v>842.1</v>
      </c>
      <c r="F15" s="11">
        <f>F13-40</f>
        <v>-327</v>
      </c>
      <c r="G15" s="41">
        <f>G13+40</f>
        <v>376</v>
      </c>
      <c r="H15" s="35" t="s">
        <v>40</v>
      </c>
      <c r="I15" s="28"/>
      <c r="J15" s="15">
        <f>G13-G12</f>
        <v>0</v>
      </c>
      <c r="K15" s="14">
        <f>G15-G14</f>
        <v>-8.3550000000000182</v>
      </c>
      <c r="L15" s="56">
        <f>G16-G14</f>
        <v>-88.355000000000018</v>
      </c>
      <c r="M15" s="59">
        <f>G13-G14</f>
        <v>-48.355000000000018</v>
      </c>
      <c r="N15" s="28"/>
      <c r="O15" s="23">
        <v>0.48524696110353793</v>
      </c>
      <c r="P15" s="32" t="s">
        <v>42</v>
      </c>
      <c r="Q15" s="28"/>
      <c r="R15" s="28"/>
      <c r="S15" s="30"/>
      <c r="T15" s="31"/>
      <c r="U15" s="30"/>
      <c r="V15" s="28"/>
      <c r="W15" s="28"/>
      <c r="X15" s="28"/>
      <c r="Y15" s="28"/>
      <c r="Z15" s="28"/>
      <c r="AA15" s="30"/>
      <c r="AB15" s="29"/>
      <c r="AC15" s="28"/>
      <c r="AD15" s="29"/>
      <c r="AE15" s="28"/>
      <c r="AF15" s="28"/>
      <c r="AG15" s="28"/>
      <c r="AH15" s="29"/>
      <c r="AI15" s="28"/>
      <c r="AJ15" s="28"/>
      <c r="AK15" s="27"/>
      <c r="AL15" s="28"/>
      <c r="AM15" s="28"/>
      <c r="AN15" s="28"/>
      <c r="AO15" s="27"/>
      <c r="AP15" s="29"/>
      <c r="AQ15" s="28"/>
      <c r="AR15" s="29"/>
      <c r="AS15" s="28"/>
      <c r="AT15" s="28"/>
      <c r="AU15" s="28"/>
      <c r="AV15" s="29"/>
      <c r="AW15" s="28"/>
      <c r="AX15" s="28"/>
      <c r="AY15" s="27"/>
      <c r="AZ15" s="28"/>
      <c r="BA15" s="28"/>
      <c r="BB15" s="28"/>
      <c r="BC15" s="27"/>
    </row>
    <row r="16" spans="1:55" ht="15.75" thickBot="1" x14ac:dyDescent="0.3">
      <c r="A16" s="28"/>
      <c r="B16" s="902"/>
      <c r="C16" s="908" t="s">
        <v>39</v>
      </c>
      <c r="D16" s="909"/>
      <c r="E16" s="12">
        <f>$E$5</f>
        <v>842.1</v>
      </c>
      <c r="F16" s="10">
        <f>F13-40</f>
        <v>-327</v>
      </c>
      <c r="G16" s="43">
        <f>G13-40</f>
        <v>296</v>
      </c>
      <c r="H16" s="35" t="s">
        <v>38</v>
      </c>
      <c r="I16" s="29"/>
      <c r="J16" s="28"/>
      <c r="K16" s="29"/>
      <c r="L16" s="28"/>
      <c r="M16" s="28"/>
      <c r="N16" s="28"/>
      <c r="O16" s="28"/>
      <c r="P16" s="28"/>
      <c r="Q16" s="28"/>
      <c r="R16" s="28"/>
      <c r="S16" s="30"/>
      <c r="T16" s="31"/>
      <c r="U16" s="30"/>
      <c r="V16" s="31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9"/>
      <c r="AK16" s="28"/>
      <c r="AL16" s="29"/>
      <c r="AM16" s="27"/>
      <c r="AN16" s="29"/>
      <c r="AO16" s="28"/>
      <c r="AP16" s="28"/>
      <c r="AQ16" s="28"/>
      <c r="AR16" s="28"/>
      <c r="AS16" s="28"/>
      <c r="AT16" s="28"/>
      <c r="AU16" s="28"/>
      <c r="AV16" s="28"/>
      <c r="AW16" s="28"/>
      <c r="AX16" s="29"/>
      <c r="AY16" s="28"/>
      <c r="AZ16" s="29"/>
      <c r="BA16" s="27"/>
      <c r="BB16" s="29"/>
      <c r="BC16" s="28"/>
    </row>
    <row r="17" spans="1:55" ht="15.75" thickBot="1" x14ac:dyDescent="0.3">
      <c r="A17" s="29"/>
      <c r="B17" s="903"/>
      <c r="C17" s="910" t="s">
        <v>60</v>
      </c>
      <c r="D17" s="911"/>
      <c r="E17" s="46">
        <f t="array" ref="E17:G17">TRANSPOSE((TRANSPOSE(uLa))+((TRANSPOSE(uLb))-(TRANSPOSE(uLa)))*Upper_t)</f>
        <v>842.1</v>
      </c>
      <c r="F17" s="46">
        <v>-287</v>
      </c>
      <c r="G17" s="47">
        <v>336</v>
      </c>
      <c r="H17" s="28"/>
      <c r="I17" s="30"/>
      <c r="J17" s="28"/>
      <c r="K17" s="30"/>
      <c r="L17" s="28"/>
      <c r="M17" s="28"/>
      <c r="N17" s="27"/>
      <c r="O17" s="27"/>
      <c r="P17" s="30"/>
      <c r="Q17" s="30"/>
      <c r="R17" s="27"/>
      <c r="S17" s="28"/>
      <c r="T17" s="28"/>
      <c r="U17" s="28"/>
      <c r="V17" s="28"/>
      <c r="W17" s="27"/>
      <c r="X17" s="28"/>
      <c r="Y17" s="28"/>
      <c r="Z17" s="27"/>
      <c r="AA17" s="28"/>
      <c r="AB17" s="27"/>
      <c r="AC17" s="28"/>
      <c r="AD17" s="27"/>
      <c r="AE17" s="28"/>
      <c r="AF17" s="28"/>
      <c r="AG17" s="28"/>
      <c r="AH17" s="27"/>
      <c r="AI17" s="28"/>
      <c r="AJ17" s="29"/>
      <c r="AK17" s="28"/>
      <c r="AL17" s="29"/>
      <c r="AM17" s="28"/>
      <c r="AN17" s="28"/>
      <c r="AO17" s="28"/>
      <c r="AP17" s="27"/>
      <c r="AQ17" s="28"/>
      <c r="AR17" s="27"/>
      <c r="AS17" s="28"/>
      <c r="AT17" s="28"/>
      <c r="AU17" s="28"/>
      <c r="AV17" s="27"/>
      <c r="AW17" s="28"/>
      <c r="AX17" s="29"/>
      <c r="AY17" s="28"/>
      <c r="AZ17" s="29"/>
      <c r="BA17" s="28"/>
      <c r="BB17" s="28"/>
      <c r="BC17" s="28"/>
    </row>
    <row r="18" spans="1:55" ht="15.75" thickBot="1" x14ac:dyDescent="0.3">
      <c r="A18" s="29"/>
      <c r="B18" s="28"/>
      <c r="C18" s="29"/>
      <c r="D18" s="28"/>
      <c r="E18" s="28"/>
      <c r="F18" s="28"/>
      <c r="G18" s="29"/>
      <c r="H18" s="28"/>
      <c r="I18" s="27"/>
      <c r="J18" s="28"/>
      <c r="K18" s="28"/>
      <c r="L18" s="28"/>
      <c r="M18" s="30"/>
      <c r="N18" s="30"/>
      <c r="O18" s="27"/>
      <c r="P18" s="28"/>
      <c r="Q18" s="28"/>
      <c r="R18" s="28"/>
      <c r="S18" s="28"/>
      <c r="T18" s="27"/>
      <c r="U18" s="27"/>
      <c r="V18" s="28"/>
      <c r="W18" s="28"/>
      <c r="X18" s="28"/>
      <c r="Y18" s="30"/>
      <c r="Z18" s="31"/>
      <c r="AA18" s="28"/>
      <c r="AB18" s="30"/>
      <c r="AC18" s="31"/>
      <c r="AD18" s="30"/>
      <c r="AE18" s="28"/>
      <c r="AF18" s="29"/>
      <c r="AG18" s="30"/>
      <c r="AH18" s="31"/>
      <c r="AI18" s="30"/>
      <c r="AJ18" s="27"/>
      <c r="AK18" s="28"/>
      <c r="AL18" s="27"/>
      <c r="AM18" s="27"/>
      <c r="AN18" s="28"/>
      <c r="AO18" s="28"/>
      <c r="AP18" s="30"/>
      <c r="AQ18" s="31"/>
      <c r="AR18" s="30"/>
      <c r="AS18" s="31"/>
      <c r="AT18" s="28"/>
      <c r="AV18" s="30"/>
      <c r="AW18" s="30"/>
      <c r="AX18" s="28"/>
      <c r="AY18" s="29"/>
      <c r="AZ18" s="28"/>
      <c r="BA18" s="28"/>
      <c r="BB18" s="28"/>
      <c r="BC18" s="28"/>
    </row>
    <row r="19" spans="1:55" ht="15.75" x14ac:dyDescent="0.25">
      <c r="A19" s="28"/>
      <c r="B19" s="918" t="s">
        <v>86</v>
      </c>
      <c r="C19" s="919"/>
      <c r="D19" s="919"/>
      <c r="E19" s="36" t="s">
        <v>4</v>
      </c>
      <c r="F19" s="36" t="s">
        <v>5</v>
      </c>
      <c r="G19" s="37" t="s">
        <v>6</v>
      </c>
      <c r="H19" s="30"/>
      <c r="I19" s="27"/>
      <c r="J19" s="28"/>
      <c r="K19" s="28"/>
      <c r="L19" s="28"/>
      <c r="M19" s="28"/>
      <c r="N19" s="28"/>
      <c r="O19" s="28"/>
      <c r="P19" s="30"/>
      <c r="Q19" s="30"/>
      <c r="R19" s="27"/>
      <c r="S19" s="28"/>
      <c r="T19" s="28"/>
      <c r="U19" s="30"/>
      <c r="V19" s="31"/>
      <c r="W19" s="28"/>
      <c r="X19" s="28"/>
      <c r="Y19" s="30"/>
      <c r="Z19" s="31"/>
      <c r="AA19" s="29"/>
      <c r="AB19" s="30"/>
      <c r="AC19" s="31"/>
      <c r="AD19" s="30"/>
      <c r="AE19" s="31"/>
      <c r="AF19" s="30"/>
      <c r="AG19" s="30"/>
      <c r="AH19" s="31"/>
      <c r="AI19" s="30"/>
      <c r="AJ19" s="31"/>
      <c r="AK19" s="30"/>
      <c r="AL19" s="30"/>
      <c r="AM19" s="27"/>
      <c r="AN19" s="27"/>
      <c r="AO19" s="28"/>
      <c r="AP19" s="30"/>
      <c r="AQ19" s="31"/>
      <c r="AR19" s="30"/>
      <c r="AS19" s="27"/>
      <c r="AT19" s="28"/>
      <c r="AU19" s="27"/>
      <c r="AV19" s="27"/>
      <c r="AW19" s="30"/>
      <c r="AX19" s="31"/>
      <c r="AY19" s="30"/>
      <c r="AZ19" s="30"/>
      <c r="BA19" s="27"/>
      <c r="BB19" s="27"/>
      <c r="BC19" s="28"/>
    </row>
    <row r="20" spans="1:55" x14ac:dyDescent="0.25">
      <c r="A20" s="27"/>
      <c r="B20" s="38" t="s">
        <v>59</v>
      </c>
      <c r="C20" s="920" t="s">
        <v>33</v>
      </c>
      <c r="D20" s="920"/>
      <c r="E20" s="24">
        <f>Rear_Tire_Longitudinal</f>
        <v>-734.28</v>
      </c>
      <c r="F20" s="20"/>
      <c r="G20" s="39"/>
      <c r="H20" s="48" t="s">
        <v>58</v>
      </c>
      <c r="I20" s="27"/>
      <c r="J20" s="31"/>
      <c r="K20" s="30"/>
      <c r="L20" s="27"/>
      <c r="M20" s="30"/>
      <c r="N20" s="27"/>
      <c r="P20" s="28"/>
      <c r="Q20" s="30"/>
      <c r="R20" s="27"/>
      <c r="S20" s="31"/>
      <c r="T20" s="28"/>
      <c r="U20" s="28"/>
      <c r="V20" s="28"/>
      <c r="W20" s="27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N20" s="30"/>
      <c r="AO20" s="31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B20" s="30"/>
      <c r="BC20" s="31"/>
    </row>
    <row r="21" spans="1:55" ht="15.75" thickBot="1" x14ac:dyDescent="0.3">
      <c r="A21" s="27"/>
      <c r="B21" s="912" t="s">
        <v>7</v>
      </c>
      <c r="C21" s="914" t="s">
        <v>8</v>
      </c>
      <c r="D21" s="914"/>
      <c r="E21" s="4">
        <f t="array" ref="E21:G23">Rear_Lower_Points</f>
        <v>-710.16</v>
      </c>
      <c r="F21" s="4">
        <v>-231.13</v>
      </c>
      <c r="G21" s="40">
        <v>128.78</v>
      </c>
      <c r="H21" s="35" t="s">
        <v>56</v>
      </c>
      <c r="I21" s="28"/>
      <c r="J21" s="905" t="s">
        <v>57</v>
      </c>
      <c r="K21" s="905"/>
      <c r="L21" s="905"/>
      <c r="M21" s="28"/>
      <c r="O21" s="31"/>
      <c r="Q21" s="29"/>
      <c r="R21" s="28"/>
      <c r="S21" s="28"/>
      <c r="T21" s="27"/>
      <c r="U21" s="30"/>
      <c r="V21" s="27"/>
      <c r="W21" s="28"/>
      <c r="X21" s="28"/>
      <c r="Y21" s="28"/>
      <c r="Z21" s="28"/>
      <c r="AA21" s="28"/>
      <c r="AB21" s="30"/>
      <c r="AC21" s="27"/>
      <c r="AD21" s="27"/>
      <c r="AE21" s="28"/>
      <c r="AF21" s="30"/>
      <c r="AG21" s="30"/>
      <c r="AH21" s="27"/>
      <c r="AI21" s="27"/>
      <c r="AJ21" s="28"/>
      <c r="AK21" s="30"/>
      <c r="AL21" s="30"/>
      <c r="AM21" s="31"/>
      <c r="AN21" s="30"/>
      <c r="AO21" s="31"/>
      <c r="AP21" s="30"/>
      <c r="AQ21" s="27"/>
      <c r="AR21" s="27"/>
      <c r="AS21" s="28"/>
      <c r="AT21" s="30"/>
      <c r="AU21" s="30"/>
      <c r="AV21" s="27"/>
      <c r="AW21" s="27"/>
      <c r="AX21" s="28"/>
      <c r="AY21" s="30"/>
      <c r="AZ21" s="30"/>
      <c r="BA21" s="31"/>
      <c r="BB21" s="30"/>
      <c r="BC21" s="31"/>
    </row>
    <row r="22" spans="1:55" ht="15" customHeight="1" x14ac:dyDescent="0.25">
      <c r="A22" s="27"/>
      <c r="B22" s="912"/>
      <c r="C22" s="914" t="s">
        <v>9</v>
      </c>
      <c r="D22" s="914"/>
      <c r="E22" s="4">
        <v>-470.62</v>
      </c>
      <c r="F22" s="4">
        <v>-302.72000000000003</v>
      </c>
      <c r="G22" s="40">
        <v>133.81</v>
      </c>
      <c r="H22" s="35" t="s">
        <v>55</v>
      </c>
      <c r="I22" s="30"/>
      <c r="J22" s="19">
        <f>E22-E21</f>
        <v>239.53999999999996</v>
      </c>
      <c r="K22" s="18">
        <f>E24-E$20</f>
        <v>0</v>
      </c>
      <c r="L22" s="54">
        <f>E25-E$20</f>
        <v>0</v>
      </c>
      <c r="M22" s="57">
        <f>E22-E$20</f>
        <v>263.65999999999997</v>
      </c>
      <c r="N22" s="28"/>
      <c r="O22" s="21">
        <f t="array" ref="O22:O24">MMULT((MINVERSE(Rear_Lower_Inv)),M22:M24)</f>
        <v>1.1006929949069049</v>
      </c>
      <c r="P22" s="28" t="s">
        <v>46</v>
      </c>
      <c r="Q22" s="30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D22" s="30"/>
      <c r="AE22" s="31"/>
      <c r="AF22" s="30"/>
      <c r="AG22" s="28"/>
      <c r="AI22" s="30"/>
      <c r="AJ22" s="31"/>
      <c r="AK22" s="30"/>
      <c r="AL22" s="28"/>
      <c r="AM22" s="28"/>
      <c r="AN22" s="28"/>
      <c r="AO22" s="28"/>
      <c r="AP22" s="28"/>
      <c r="AR22" s="30"/>
      <c r="AS22" s="31"/>
      <c r="AT22" s="30"/>
      <c r="AU22" s="28"/>
      <c r="AW22" s="30"/>
      <c r="AX22" s="31"/>
      <c r="AY22" s="30"/>
      <c r="AZ22" s="28"/>
      <c r="BA22" s="28"/>
      <c r="BB22" s="28"/>
      <c r="BC22" s="28"/>
    </row>
    <row r="23" spans="1:55" x14ac:dyDescent="0.25">
      <c r="A23" s="28"/>
      <c r="B23" s="912"/>
      <c r="C23" s="914" t="s">
        <v>10</v>
      </c>
      <c r="D23" s="914"/>
      <c r="E23" s="25">
        <v>-768.28</v>
      </c>
      <c r="F23" s="4">
        <v>-594.91</v>
      </c>
      <c r="G23" s="40">
        <v>173.37</v>
      </c>
      <c r="H23" s="35" t="s">
        <v>54</v>
      </c>
      <c r="I23" s="28"/>
      <c r="J23" s="17">
        <f>F22-F21</f>
        <v>-71.590000000000032</v>
      </c>
      <c r="K23" s="16">
        <f>F24-F23</f>
        <v>252.18999999999994</v>
      </c>
      <c r="L23" s="55">
        <f>F25-F23</f>
        <v>252.18999999999994</v>
      </c>
      <c r="M23" s="58">
        <f>F22-F23</f>
        <v>292.18999999999994</v>
      </c>
      <c r="N23" s="28"/>
      <c r="O23" s="22">
        <v>0.89927094583692024</v>
      </c>
      <c r="P23" s="33" t="s">
        <v>44</v>
      </c>
      <c r="Q23" s="30"/>
      <c r="R23" s="31"/>
      <c r="S23" s="27"/>
      <c r="T23" s="28"/>
      <c r="U23" s="30"/>
      <c r="V23" s="27"/>
      <c r="W23" s="28"/>
      <c r="X23" s="27"/>
      <c r="Y23" s="28"/>
      <c r="Z23" s="28"/>
      <c r="AA23" s="27"/>
      <c r="AB23" s="29"/>
      <c r="AC23" s="28"/>
      <c r="AD23" s="29"/>
      <c r="AE23" s="27"/>
      <c r="AF23" s="29"/>
      <c r="AG23" s="28"/>
      <c r="AH23" s="29"/>
      <c r="AI23" s="28"/>
      <c r="AJ23" s="28"/>
      <c r="AK23" s="27"/>
      <c r="AL23" s="28"/>
      <c r="AM23" s="28"/>
      <c r="AN23" s="28"/>
      <c r="AO23" s="27"/>
      <c r="AP23" s="29"/>
      <c r="AQ23" s="28"/>
      <c r="AR23" s="29"/>
      <c r="AS23" s="27"/>
      <c r="AT23" s="29"/>
      <c r="AU23" s="28"/>
      <c r="AV23" s="29"/>
      <c r="AW23" s="28"/>
      <c r="AX23" s="28"/>
      <c r="AY23" s="27"/>
      <c r="AZ23" s="28"/>
      <c r="BA23" s="28"/>
      <c r="BB23" s="28"/>
      <c r="BC23" s="27"/>
    </row>
    <row r="24" spans="1:55" ht="15.75" thickBot="1" x14ac:dyDescent="0.3">
      <c r="A24" s="31"/>
      <c r="B24" s="912"/>
      <c r="C24" s="915" t="s">
        <v>53</v>
      </c>
      <c r="D24" s="914"/>
      <c r="E24" s="13">
        <f>$E$20</f>
        <v>-734.28</v>
      </c>
      <c r="F24" s="11">
        <f>F22-40</f>
        <v>-342.72</v>
      </c>
      <c r="G24" s="41">
        <f>G22+40</f>
        <v>173.81</v>
      </c>
      <c r="H24" s="35" t="s">
        <v>52</v>
      </c>
      <c r="I24" s="29"/>
      <c r="J24" s="15">
        <f>G22-G21</f>
        <v>5.0300000000000011</v>
      </c>
      <c r="K24" s="14">
        <f>G24-G23</f>
        <v>0.43999999999999773</v>
      </c>
      <c r="L24" s="56">
        <f>G25-G23</f>
        <v>-79.56</v>
      </c>
      <c r="M24" s="59">
        <f>G22-G23</f>
        <v>-39.56</v>
      </c>
      <c r="N24" s="31"/>
      <c r="O24" s="23">
        <v>0.57179694545688764</v>
      </c>
      <c r="P24" s="33" t="s">
        <v>42</v>
      </c>
      <c r="Q24" s="29"/>
      <c r="R24" s="28"/>
      <c r="S24" s="30"/>
      <c r="T24" s="31"/>
      <c r="U24" s="30"/>
      <c r="V24" s="27"/>
      <c r="W24" s="28"/>
      <c r="X24" s="28"/>
      <c r="Y24" s="28"/>
      <c r="Z24" s="30"/>
      <c r="AA24" s="31"/>
      <c r="AB24" s="29"/>
      <c r="AC24" s="28"/>
      <c r="AD24" s="29"/>
      <c r="AE24" s="28"/>
      <c r="AF24" s="28"/>
      <c r="AG24" s="28"/>
      <c r="AH24" s="29"/>
      <c r="AI24" s="28"/>
      <c r="AJ24" s="28"/>
      <c r="AK24" s="27"/>
      <c r="AL24" s="28"/>
      <c r="AM24" s="28"/>
      <c r="AN24" s="28"/>
      <c r="AO24" s="27"/>
      <c r="AP24" s="29"/>
      <c r="AQ24" s="28"/>
      <c r="AR24" s="29"/>
      <c r="AS24" s="28"/>
      <c r="AT24" s="28"/>
      <c r="AU24" s="28"/>
      <c r="AV24" s="29"/>
      <c r="AW24" s="28"/>
      <c r="AX24" s="28"/>
      <c r="AY24" s="27"/>
      <c r="AZ24" s="28"/>
      <c r="BA24" s="28"/>
      <c r="BB24" s="28"/>
      <c r="BC24" s="27"/>
    </row>
    <row r="25" spans="1:55" ht="15.75" thickBot="1" x14ac:dyDescent="0.3">
      <c r="A25" s="28"/>
      <c r="B25" s="912"/>
      <c r="C25" s="916" t="s">
        <v>51</v>
      </c>
      <c r="D25" s="917"/>
      <c r="E25" s="12">
        <f>$E$20</f>
        <v>-734.28</v>
      </c>
      <c r="F25" s="10">
        <f>F22-40</f>
        <v>-342.72</v>
      </c>
      <c r="G25" s="43">
        <f>G22-40</f>
        <v>93.81</v>
      </c>
      <c r="H25" s="35" t="s">
        <v>50</v>
      </c>
      <c r="I25" s="30"/>
      <c r="J25" s="28"/>
      <c r="K25" s="28"/>
      <c r="L25" s="28"/>
      <c r="M25" s="28"/>
      <c r="N25" s="28"/>
      <c r="O25" s="27"/>
      <c r="P25" s="28"/>
      <c r="Q25" s="29"/>
      <c r="R25" s="28"/>
      <c r="S25" s="28"/>
      <c r="T25" s="28"/>
      <c r="U25" s="29"/>
      <c r="V25" s="28"/>
      <c r="W25" s="29"/>
      <c r="X25" s="28"/>
      <c r="Y25" s="28"/>
      <c r="Z25" s="30"/>
      <c r="AA25" s="31"/>
      <c r="AB25" s="28"/>
      <c r="AC25" s="28"/>
      <c r="AD25" s="28"/>
      <c r="AE25" s="28"/>
      <c r="AF25" s="28"/>
      <c r="AG25" s="28"/>
      <c r="AH25" s="28"/>
      <c r="AI25" s="28"/>
      <c r="AJ25" s="29"/>
      <c r="AK25" s="28"/>
      <c r="AL25" s="29"/>
      <c r="AM25" s="27"/>
      <c r="AN25" s="29"/>
      <c r="AO25" s="28"/>
      <c r="AP25" s="28"/>
      <c r="AQ25" s="28"/>
      <c r="AR25" s="28"/>
      <c r="AS25" s="28"/>
      <c r="AT25" s="28"/>
      <c r="AU25" s="28"/>
      <c r="AV25" s="28"/>
      <c r="AW25" s="28"/>
      <c r="AX25" s="29"/>
      <c r="AY25" s="28"/>
      <c r="AZ25" s="29"/>
      <c r="BA25" s="27"/>
      <c r="BB25" s="29"/>
      <c r="BC25" s="28"/>
    </row>
    <row r="26" spans="1:55" ht="15.75" thickBot="1" x14ac:dyDescent="0.3">
      <c r="A26" s="30"/>
      <c r="B26" s="913"/>
      <c r="C26" s="910" t="s">
        <v>49</v>
      </c>
      <c r="D26" s="911"/>
      <c r="E26" s="46">
        <f t="array" ref="E26:G26">TRANSPOSE((TRANSPOSE(RlLa))+((TRANSPOSE(RlLb))-(TRANSPOSE(RlLa)))*Rear_Lower_t)</f>
        <v>-734.28</v>
      </c>
      <c r="F26" s="46">
        <v>-223.92138849461469</v>
      </c>
      <c r="G26" s="47">
        <v>128.27351423561828</v>
      </c>
      <c r="H26" s="30"/>
      <c r="I26" s="30"/>
      <c r="J26" s="31"/>
      <c r="K26" s="27"/>
      <c r="L26" s="28"/>
      <c r="M26" s="27"/>
      <c r="N26" s="28"/>
      <c r="O26" s="28"/>
      <c r="P26" s="28"/>
      <c r="Q26" s="30"/>
      <c r="R26" s="28"/>
      <c r="S26" s="30"/>
      <c r="T26" s="31"/>
      <c r="U26" s="30"/>
      <c r="V26" s="28"/>
      <c r="W26" s="27"/>
      <c r="X26" s="27"/>
      <c r="Y26" s="28"/>
      <c r="Z26" s="28"/>
      <c r="AA26" s="28"/>
      <c r="AB26" s="27"/>
      <c r="AC26" s="28"/>
      <c r="AD26" s="27"/>
      <c r="AE26" s="28"/>
      <c r="AF26" s="28"/>
      <c r="AG26" s="28"/>
      <c r="AH26" s="27"/>
      <c r="AI26" s="28"/>
      <c r="AJ26" s="29"/>
      <c r="AK26" s="28"/>
      <c r="AL26" s="29"/>
      <c r="AM26" s="28"/>
      <c r="AN26" s="28"/>
      <c r="AO26" s="28"/>
      <c r="AP26" s="27"/>
      <c r="AQ26" s="28"/>
      <c r="AR26" s="27"/>
      <c r="AS26" s="28"/>
      <c r="AT26" s="28"/>
      <c r="AU26" s="28"/>
      <c r="AV26" s="27"/>
      <c r="AW26" s="28"/>
      <c r="AX26" s="29"/>
      <c r="AY26" s="28"/>
      <c r="AZ26" s="29"/>
      <c r="BA26" s="28"/>
      <c r="BB26" s="28"/>
      <c r="BC26" s="28"/>
    </row>
    <row r="27" spans="1:55" ht="15.75" thickBot="1" x14ac:dyDescent="0.3">
      <c r="A27" s="30"/>
      <c r="B27" s="902" t="s">
        <v>11</v>
      </c>
      <c r="C27" s="904" t="s">
        <v>8</v>
      </c>
      <c r="D27" s="904"/>
      <c r="E27" s="44">
        <f t="array" ref="E27:G29">Rear_Upper_Points</f>
        <v>-709.22</v>
      </c>
      <c r="F27" s="44">
        <v>-287.60000000000002</v>
      </c>
      <c r="G27" s="45">
        <v>298.79000000000002</v>
      </c>
      <c r="H27" s="35" t="s">
        <v>47</v>
      </c>
      <c r="I27" s="28"/>
      <c r="J27" s="905" t="s">
        <v>48</v>
      </c>
      <c r="K27" s="905"/>
      <c r="L27" s="905"/>
      <c r="M27" s="28"/>
      <c r="N27" s="31"/>
      <c r="O27" s="27"/>
      <c r="P27" s="28"/>
      <c r="Q27" s="30"/>
      <c r="R27" s="31"/>
      <c r="S27" s="30"/>
      <c r="T27" s="31"/>
      <c r="U27" s="30"/>
      <c r="V27" s="31"/>
      <c r="W27" s="28"/>
      <c r="X27" s="28"/>
      <c r="Y27" s="29"/>
      <c r="Z27" s="30"/>
      <c r="AA27" s="27"/>
      <c r="AB27" s="30"/>
      <c r="AC27" s="31"/>
      <c r="AD27" s="30"/>
      <c r="AE27" s="28"/>
      <c r="AF27" s="29"/>
      <c r="AG27" s="30"/>
      <c r="AH27" s="31"/>
      <c r="AI27" s="30"/>
      <c r="AJ27" s="27"/>
      <c r="AK27" s="28"/>
      <c r="AL27" s="27"/>
      <c r="AM27" s="27"/>
      <c r="AN27" s="28"/>
      <c r="AO27" s="28"/>
      <c r="AP27" s="30"/>
      <c r="AQ27" s="31"/>
      <c r="AR27" s="30"/>
      <c r="AS27" s="31"/>
      <c r="AT27" s="28"/>
      <c r="AV27" s="30"/>
      <c r="AW27" s="30"/>
      <c r="AX27" s="28"/>
      <c r="AY27" s="29"/>
      <c r="AZ27" s="28"/>
      <c r="BA27" s="28"/>
      <c r="BB27" s="28"/>
      <c r="BC27" s="28"/>
    </row>
    <row r="28" spans="1:55" x14ac:dyDescent="0.25">
      <c r="A28" s="28"/>
      <c r="B28" s="902"/>
      <c r="C28" s="906" t="s">
        <v>9</v>
      </c>
      <c r="D28" s="906"/>
      <c r="E28" s="9">
        <v>-471.39</v>
      </c>
      <c r="F28" s="9">
        <v>-327.55</v>
      </c>
      <c r="G28" s="42">
        <v>307.42</v>
      </c>
      <c r="H28" s="35" t="s">
        <v>45</v>
      </c>
      <c r="I28" s="27"/>
      <c r="J28" s="19">
        <f>E28-E27</f>
        <v>237.83000000000004</v>
      </c>
      <c r="K28" s="18">
        <f>E30-E$20</f>
        <v>0</v>
      </c>
      <c r="L28" s="54">
        <f>E31-E$20</f>
        <v>0</v>
      </c>
      <c r="M28" s="57">
        <f>E28-E$20</f>
        <v>262.89</v>
      </c>
      <c r="N28" s="27"/>
      <c r="O28" s="21">
        <f t="array" ref="O28:O30">MMULT((MINVERSE(Rear_Upper_Inv)),M28:M30)</f>
        <v>1.1053693814909806</v>
      </c>
      <c r="P28" s="28" t="s">
        <v>46</v>
      </c>
      <c r="Q28" s="28"/>
      <c r="R28" s="28"/>
      <c r="S28" s="28"/>
      <c r="T28" s="28"/>
      <c r="U28" s="29"/>
      <c r="V28" s="28"/>
      <c r="W28" s="30"/>
      <c r="X28" s="31"/>
      <c r="Y28" s="30"/>
      <c r="Z28" s="28"/>
      <c r="AB28" s="30"/>
      <c r="AC28" s="31"/>
      <c r="AD28" s="30"/>
      <c r="AE28" s="31"/>
      <c r="AF28" s="30"/>
      <c r="AG28" s="30"/>
      <c r="AH28" s="31"/>
      <c r="AI28" s="30"/>
      <c r="AJ28" s="31"/>
      <c r="AK28" s="30"/>
      <c r="AL28" s="30"/>
      <c r="AM28" s="27"/>
      <c r="AN28" s="27"/>
      <c r="AO28" s="28"/>
      <c r="AP28" s="30"/>
      <c r="AQ28" s="31"/>
      <c r="AR28" s="30"/>
      <c r="AS28" s="27"/>
      <c r="AT28" s="28"/>
      <c r="AU28" s="27"/>
      <c r="AV28" s="27"/>
      <c r="AW28" s="30"/>
      <c r="AX28" s="31"/>
      <c r="AY28" s="30"/>
      <c r="AZ28" s="30"/>
      <c r="BA28" s="27"/>
      <c r="BB28" s="27"/>
      <c r="BC28" s="28"/>
    </row>
    <row r="29" spans="1:55" x14ac:dyDescent="0.25">
      <c r="A29" s="30"/>
      <c r="B29" s="902"/>
      <c r="C29" s="906" t="s">
        <v>10</v>
      </c>
      <c r="D29" s="906"/>
      <c r="E29" s="25">
        <v>-734.26</v>
      </c>
      <c r="F29" s="9">
        <v>-559.35</v>
      </c>
      <c r="G29" s="42">
        <v>351.42</v>
      </c>
      <c r="H29" s="35" t="s">
        <v>43</v>
      </c>
      <c r="I29" s="30"/>
      <c r="J29" s="17">
        <f>F28-F27</f>
        <v>-39.949999999999989</v>
      </c>
      <c r="K29" s="16">
        <f>F30-F29</f>
        <v>191.8</v>
      </c>
      <c r="L29" s="55">
        <f>F31-F29</f>
        <v>191.8</v>
      </c>
      <c r="M29" s="58">
        <f>F28-F29</f>
        <v>231.8</v>
      </c>
      <c r="N29" s="28"/>
      <c r="O29" s="22">
        <v>0.84148550492730667</v>
      </c>
      <c r="P29" s="33" t="s">
        <v>44</v>
      </c>
      <c r="Q29" s="27"/>
      <c r="R29" s="28"/>
      <c r="S29" s="30"/>
      <c r="T29" s="31"/>
      <c r="U29" s="30"/>
      <c r="V29" s="28"/>
      <c r="W29" s="30"/>
      <c r="X29" s="31"/>
      <c r="Y29" s="30"/>
      <c r="Z29" s="31"/>
      <c r="AA29" s="30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N29" s="30"/>
      <c r="AO29" s="31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B29" s="30"/>
      <c r="BC29" s="31"/>
    </row>
    <row r="30" spans="1:55" ht="15.75" thickBot="1" x14ac:dyDescent="0.3">
      <c r="A30" s="28"/>
      <c r="B30" s="902"/>
      <c r="C30" s="907" t="s">
        <v>41</v>
      </c>
      <c r="D30" s="906"/>
      <c r="E30" s="13">
        <f>$E$20</f>
        <v>-734.28</v>
      </c>
      <c r="F30" s="11">
        <f>F28-40</f>
        <v>-367.55</v>
      </c>
      <c r="G30" s="41">
        <f>G28+40</f>
        <v>347.42</v>
      </c>
      <c r="H30" s="35" t="s">
        <v>40</v>
      </c>
      <c r="I30" s="28"/>
      <c r="J30" s="15">
        <f>G28-G27</f>
        <v>8.6299999999999955</v>
      </c>
      <c r="K30" s="14">
        <f>G30-G29</f>
        <v>-4</v>
      </c>
      <c r="L30" s="56">
        <f>G31-G29</f>
        <v>-84</v>
      </c>
      <c r="M30" s="59">
        <f>G28-G29</f>
        <v>-44</v>
      </c>
      <c r="N30" s="28"/>
      <c r="O30" s="23">
        <v>0.59730233026854684</v>
      </c>
      <c r="P30" s="32" t="s">
        <v>42</v>
      </c>
      <c r="Q30" s="30"/>
      <c r="R30" s="31"/>
      <c r="S30" s="30"/>
      <c r="T30" s="31"/>
      <c r="U30" s="30"/>
      <c r="V30" s="31"/>
      <c r="W30" s="28"/>
      <c r="X30" s="28"/>
      <c r="Y30" s="28"/>
      <c r="Z30" s="28"/>
      <c r="AA30" s="28"/>
      <c r="AB30" s="30"/>
      <c r="AC30" s="27"/>
      <c r="AD30" s="27"/>
      <c r="AE30" s="28"/>
      <c r="AF30" s="30"/>
      <c r="AG30" s="30"/>
      <c r="AH30" s="27"/>
      <c r="AI30" s="27"/>
      <c r="AJ30" s="28"/>
      <c r="AK30" s="30"/>
      <c r="AL30" s="30"/>
      <c r="AM30" s="31"/>
      <c r="AN30" s="30"/>
      <c r="AO30" s="31"/>
      <c r="AP30" s="30"/>
      <c r="AQ30" s="27"/>
      <c r="AR30" s="27"/>
      <c r="AS30" s="28"/>
      <c r="AT30" s="30"/>
      <c r="AU30" s="30"/>
      <c r="AV30" s="27"/>
      <c r="AW30" s="27"/>
      <c r="AX30" s="28"/>
      <c r="AY30" s="30"/>
      <c r="AZ30" s="30"/>
      <c r="BA30" s="31"/>
      <c r="BB30" s="30"/>
      <c r="BC30" s="31"/>
    </row>
    <row r="31" spans="1:55" ht="15.75" thickBot="1" x14ac:dyDescent="0.3">
      <c r="A31" s="27"/>
      <c r="B31" s="902"/>
      <c r="C31" s="908" t="s">
        <v>39</v>
      </c>
      <c r="D31" s="909"/>
      <c r="E31" s="12">
        <f>$E$20</f>
        <v>-734.28</v>
      </c>
      <c r="F31" s="10">
        <f>F28-40</f>
        <v>-367.55</v>
      </c>
      <c r="G31" s="43">
        <f>G28-40</f>
        <v>267.42</v>
      </c>
      <c r="H31" s="35" t="s">
        <v>38</v>
      </c>
      <c r="I31" s="29"/>
      <c r="J31" s="28"/>
      <c r="K31" s="29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30"/>
      <c r="X31" s="27"/>
      <c r="Y31" s="27"/>
      <c r="Z31" s="28"/>
      <c r="AA31" s="30"/>
      <c r="AB31" s="28"/>
      <c r="AD31" s="30"/>
      <c r="AE31" s="31"/>
      <c r="AF31" s="30"/>
      <c r="AG31" s="28"/>
      <c r="AI31" s="30"/>
      <c r="AJ31" s="31"/>
      <c r="AK31" s="30"/>
      <c r="AL31" s="28"/>
      <c r="AM31" s="28"/>
      <c r="AN31" s="28"/>
      <c r="AO31" s="28"/>
      <c r="AP31" s="28"/>
      <c r="AR31" s="30"/>
      <c r="AS31" s="31"/>
      <c r="AT31" s="30"/>
      <c r="AU31" s="28"/>
      <c r="AW31" s="30"/>
      <c r="AX31" s="31"/>
      <c r="AY31" s="30"/>
      <c r="AZ31" s="28"/>
      <c r="BA31" s="28"/>
      <c r="BB31" s="28"/>
      <c r="BC31" s="28"/>
    </row>
    <row r="32" spans="1:55" ht="15.75" thickBot="1" x14ac:dyDescent="0.3">
      <c r="A32" s="28"/>
      <c r="B32" s="903"/>
      <c r="C32" s="910" t="s">
        <v>60</v>
      </c>
      <c r="D32" s="911"/>
      <c r="E32" s="46">
        <f t="array" ref="E32:G32">TRANSPOSE((TRANSPOSE(RuLa))+((TRANSPOSE(RuLb))-(TRANSPOSE(RuLa)))*Rear_Upper_t)</f>
        <v>-734.28</v>
      </c>
      <c r="F32" s="46">
        <v>-283.39049320943536</v>
      </c>
      <c r="G32" s="47">
        <v>297.88066223773285</v>
      </c>
      <c r="H32" s="28"/>
      <c r="I32" s="30"/>
      <c r="J32" s="28"/>
      <c r="K32" s="30"/>
      <c r="L32" s="28"/>
      <c r="M32" s="28"/>
      <c r="N32" s="27"/>
      <c r="O32" s="27"/>
      <c r="P32" s="30"/>
      <c r="Q32" s="29"/>
      <c r="R32" s="28"/>
      <c r="S32" s="30"/>
      <c r="T32" s="27"/>
      <c r="U32" s="27"/>
      <c r="V32" s="29"/>
      <c r="W32" s="28"/>
      <c r="Y32" s="30"/>
      <c r="Z32" s="31"/>
      <c r="AA32" s="30"/>
      <c r="AB32" s="29"/>
      <c r="AC32" s="28"/>
      <c r="AD32" s="29"/>
      <c r="AE32" s="27"/>
      <c r="AF32" s="29"/>
      <c r="AG32" s="28"/>
      <c r="AH32" s="29"/>
      <c r="AI32" s="28"/>
      <c r="AJ32" s="28"/>
      <c r="AK32" s="27"/>
      <c r="AL32" s="28"/>
      <c r="AM32" s="28"/>
      <c r="AN32" s="28"/>
      <c r="AO32" s="27"/>
      <c r="AP32" s="29"/>
      <c r="AQ32" s="28"/>
      <c r="AR32" s="29"/>
      <c r="AS32" s="27"/>
      <c r="AT32" s="29"/>
      <c r="AU32" s="28"/>
      <c r="AV32" s="29"/>
      <c r="AW32" s="28"/>
      <c r="AX32" s="28"/>
      <c r="AY32" s="27"/>
      <c r="AZ32" s="28"/>
      <c r="BA32" s="28"/>
      <c r="BB32" s="28"/>
      <c r="BC32" s="27"/>
    </row>
    <row r="33" spans="1:55" x14ac:dyDescent="0.25">
      <c r="A33" s="30"/>
      <c r="B33" s="31"/>
      <c r="C33" s="30"/>
      <c r="D33" s="28"/>
      <c r="E33" s="29"/>
      <c r="F33" s="30"/>
      <c r="G33" s="31"/>
      <c r="H33" s="30"/>
      <c r="I33" s="27"/>
      <c r="J33" s="28"/>
      <c r="K33" s="27"/>
      <c r="L33" s="27"/>
      <c r="M33" s="28"/>
      <c r="N33" s="28"/>
      <c r="O33" s="30"/>
      <c r="P33" s="31"/>
      <c r="Q33" s="30"/>
      <c r="R33" s="31"/>
      <c r="S33" s="28"/>
      <c r="U33" s="30"/>
      <c r="V33" s="30"/>
      <c r="W33" s="28"/>
      <c r="X33" s="29"/>
      <c r="Y33" s="28"/>
      <c r="Z33" s="28"/>
      <c r="AA33" s="28"/>
      <c r="AB33" s="29"/>
      <c r="AC33" s="28"/>
      <c r="AD33" s="29"/>
      <c r="AE33" s="28"/>
      <c r="AF33" s="28"/>
      <c r="AG33" s="28"/>
      <c r="AH33" s="29"/>
      <c r="AI33" s="28"/>
      <c r="AJ33" s="28"/>
      <c r="AK33" s="27"/>
      <c r="AL33" s="28"/>
      <c r="AM33" s="28"/>
      <c r="AN33" s="28"/>
      <c r="AO33" s="27"/>
      <c r="AP33" s="29"/>
      <c r="AQ33" s="28"/>
      <c r="AR33" s="29"/>
      <c r="AS33" s="28"/>
      <c r="AT33" s="28"/>
      <c r="AU33" s="28"/>
      <c r="AV33" s="29"/>
      <c r="AW33" s="28"/>
      <c r="AX33" s="28"/>
      <c r="AY33" s="27"/>
      <c r="AZ33" s="28"/>
      <c r="BA33" s="28"/>
      <c r="BB33" s="28"/>
      <c r="BC33" s="27"/>
    </row>
    <row r="34" spans="1:55" x14ac:dyDescent="0.25">
      <c r="A34" s="30"/>
      <c r="B34" s="31"/>
      <c r="C34" s="30"/>
      <c r="D34" s="31"/>
      <c r="E34" s="30"/>
      <c r="F34" s="30"/>
      <c r="G34" s="31"/>
      <c r="H34" s="30"/>
      <c r="I34" s="31"/>
      <c r="J34" s="30"/>
      <c r="K34" s="30"/>
      <c r="L34" s="27"/>
      <c r="M34" s="27"/>
      <c r="N34" s="28"/>
      <c r="O34" s="30"/>
      <c r="P34" s="31"/>
      <c r="Q34" s="30"/>
      <c r="R34" s="27"/>
      <c r="S34" s="28"/>
      <c r="T34" s="27"/>
      <c r="U34" s="27"/>
      <c r="V34" s="30"/>
      <c r="W34" s="31"/>
      <c r="X34" s="30"/>
      <c r="Y34" s="30"/>
      <c r="Z34" s="27"/>
      <c r="AA34" s="27"/>
      <c r="AB34" s="28"/>
      <c r="AC34" s="28"/>
      <c r="AD34" s="28"/>
      <c r="AE34" s="28"/>
      <c r="AF34" s="28"/>
      <c r="AG34" s="28"/>
      <c r="AH34" s="28"/>
      <c r="AI34" s="28"/>
      <c r="AJ34" s="29"/>
      <c r="AK34" s="28"/>
      <c r="AL34" s="29"/>
      <c r="AM34" s="27"/>
      <c r="AN34" s="29"/>
      <c r="AO34" s="28"/>
      <c r="AP34" s="28"/>
      <c r="AQ34" s="28"/>
      <c r="AR34" s="28"/>
      <c r="AS34" s="28"/>
      <c r="AT34" s="28"/>
      <c r="AU34" s="28"/>
      <c r="AV34" s="28"/>
      <c r="AW34" s="28"/>
      <c r="AX34" s="29"/>
      <c r="AY34" s="28"/>
      <c r="AZ34" s="29"/>
      <c r="BA34" s="27"/>
      <c r="BB34" s="29"/>
      <c r="BC34" s="28"/>
    </row>
    <row r="35" spans="1:5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M35" s="30"/>
      <c r="N35" s="31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AA35" s="30"/>
      <c r="AB35" s="27"/>
      <c r="AC35" s="28"/>
      <c r="AD35" s="27"/>
      <c r="AE35" s="28"/>
      <c r="AF35" s="28"/>
      <c r="AG35" s="28"/>
      <c r="AH35" s="27"/>
      <c r="AI35" s="28"/>
      <c r="AJ35" s="29"/>
      <c r="AK35" s="28"/>
      <c r="AL35" s="29"/>
      <c r="AM35" s="28"/>
      <c r="AN35" s="28"/>
      <c r="AO35" s="28"/>
      <c r="AP35" s="27"/>
      <c r="AQ35" s="28"/>
      <c r="AR35" s="27"/>
      <c r="AS35" s="28"/>
      <c r="AT35" s="28"/>
      <c r="AU35" s="28"/>
      <c r="AV35" s="27"/>
      <c r="AW35" s="28"/>
      <c r="AX35" s="29"/>
      <c r="AY35" s="28"/>
      <c r="AZ35" s="29"/>
      <c r="BA35" s="28"/>
      <c r="BB35" s="28"/>
      <c r="BC35" s="28"/>
    </row>
    <row r="36" spans="1:55" x14ac:dyDescent="0.25">
      <c r="A36" s="30"/>
      <c r="B36" s="27"/>
      <c r="C36" s="27"/>
      <c r="D36" s="28"/>
      <c r="E36" s="30"/>
      <c r="F36" s="30"/>
      <c r="G36" s="27"/>
      <c r="H36" s="27"/>
      <c r="I36" s="28"/>
      <c r="J36" s="30"/>
      <c r="K36" s="30"/>
      <c r="L36" s="31"/>
      <c r="M36" s="30"/>
      <c r="N36" s="31"/>
      <c r="O36" s="30"/>
      <c r="P36" s="27"/>
      <c r="Q36" s="27"/>
      <c r="R36" s="28"/>
      <c r="S36" s="30"/>
      <c r="T36" s="30"/>
      <c r="U36" s="27"/>
      <c r="V36" s="27"/>
      <c r="W36" s="28"/>
      <c r="X36" s="30"/>
      <c r="Y36" s="30"/>
      <c r="Z36" s="31"/>
      <c r="AA36" s="30"/>
      <c r="AB36" s="27"/>
      <c r="AC36" s="27"/>
      <c r="AD36" s="27"/>
      <c r="AE36" s="31"/>
      <c r="AF36" s="27"/>
      <c r="AG36" s="27"/>
      <c r="AH36" s="27"/>
      <c r="AI36" s="27"/>
      <c r="AJ36" s="28"/>
      <c r="AK36" s="28"/>
      <c r="AL36" s="28"/>
      <c r="AM36" s="28"/>
      <c r="AN36" s="28"/>
      <c r="AO36" s="28"/>
      <c r="AP36" s="27"/>
      <c r="AQ36" s="27"/>
      <c r="AR36" s="27"/>
      <c r="AS36" s="31"/>
      <c r="AT36" s="27"/>
      <c r="AU36" s="27"/>
      <c r="AV36" s="27"/>
      <c r="AW36" s="27"/>
      <c r="AX36" s="28"/>
      <c r="AY36" s="28"/>
      <c r="AZ36" s="28"/>
      <c r="BA36" s="28"/>
      <c r="BB36" s="28"/>
      <c r="BC36" s="28"/>
    </row>
    <row r="37" spans="1:55" x14ac:dyDescent="0.25">
      <c r="A37" s="28"/>
      <c r="C37" s="30"/>
      <c r="D37" s="31"/>
      <c r="E37" s="30"/>
      <c r="F37" s="28"/>
      <c r="H37" s="30"/>
      <c r="I37" s="31"/>
      <c r="J37" s="30"/>
      <c r="K37" s="28"/>
      <c r="L37" s="28"/>
      <c r="M37" s="28"/>
      <c r="N37" s="28"/>
      <c r="O37" s="28"/>
      <c r="Q37" s="30"/>
      <c r="R37" s="31"/>
      <c r="S37" s="30"/>
      <c r="T37" s="28"/>
      <c r="V37" s="30"/>
      <c r="W37" s="31"/>
      <c r="X37" s="30"/>
      <c r="Y37" s="28"/>
      <c r="Z37" s="28"/>
      <c r="AA37" s="28"/>
      <c r="AB37" s="30"/>
      <c r="AC37" s="31"/>
      <c r="AD37" s="30"/>
      <c r="AE37" s="31"/>
      <c r="AF37" s="30"/>
      <c r="AG37" s="30"/>
      <c r="AH37" s="31"/>
      <c r="AI37" s="30"/>
      <c r="AJ37" s="31"/>
      <c r="AK37" s="30"/>
      <c r="AL37" s="30"/>
      <c r="AM37" s="27"/>
      <c r="AN37" s="27"/>
      <c r="AO37" s="28"/>
      <c r="AP37" s="30"/>
      <c r="AQ37" s="31"/>
      <c r="AR37" s="30"/>
      <c r="AS37" s="27"/>
      <c r="AT37" s="28"/>
      <c r="AU37" s="27"/>
      <c r="AV37" s="27"/>
      <c r="AW37" s="30"/>
      <c r="AX37" s="31"/>
      <c r="AY37" s="30"/>
      <c r="AZ37" s="30"/>
      <c r="BA37" s="27"/>
      <c r="BB37" s="27"/>
      <c r="BC37" s="28"/>
    </row>
    <row r="38" spans="1:55" x14ac:dyDescent="0.25">
      <c r="A38" s="29"/>
      <c r="B38" s="28"/>
      <c r="C38" s="29"/>
      <c r="D38" s="27"/>
      <c r="E38" s="29"/>
      <c r="F38" s="28"/>
      <c r="G38" s="29"/>
      <c r="H38" s="28"/>
      <c r="I38" s="28"/>
      <c r="J38" s="27"/>
      <c r="K38" s="28"/>
      <c r="L38" s="28"/>
      <c r="M38" s="28"/>
      <c r="N38" s="27"/>
      <c r="O38" s="29"/>
      <c r="P38" s="28"/>
      <c r="Q38" s="29"/>
      <c r="R38" s="27"/>
      <c r="S38" s="29"/>
      <c r="T38" s="28"/>
      <c r="U38" s="29"/>
      <c r="V38" s="28"/>
      <c r="W38" s="28"/>
      <c r="X38" s="27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N38" s="30"/>
      <c r="AO38" s="31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B38" s="30"/>
      <c r="BC38" s="31"/>
    </row>
    <row r="39" spans="1:55" x14ac:dyDescent="0.25">
      <c r="A39" s="29"/>
      <c r="B39" s="28"/>
      <c r="C39" s="29"/>
      <c r="D39" s="28"/>
      <c r="E39" s="28"/>
      <c r="F39" s="28"/>
      <c r="G39" s="29"/>
      <c r="H39" s="28"/>
      <c r="I39" s="28"/>
      <c r="J39" s="27"/>
      <c r="K39" s="28"/>
      <c r="L39" s="28"/>
      <c r="M39" s="28"/>
      <c r="N39" s="27"/>
      <c r="O39" s="29"/>
      <c r="P39" s="28"/>
      <c r="Q39" s="29"/>
      <c r="R39" s="28"/>
      <c r="S39" s="28"/>
      <c r="T39" s="28"/>
      <c r="U39" s="29"/>
      <c r="V39" s="28"/>
      <c r="W39" s="28"/>
      <c r="X39" s="27"/>
      <c r="Y39" s="28"/>
      <c r="Z39" s="28"/>
      <c r="AA39" s="28"/>
      <c r="AB39" s="30"/>
      <c r="AC39" s="27"/>
      <c r="AD39" s="27"/>
      <c r="AE39" s="28"/>
      <c r="AF39" s="30"/>
      <c r="AG39" s="30"/>
      <c r="AH39" s="27"/>
      <c r="AI39" s="27"/>
      <c r="AJ39" s="28"/>
      <c r="AK39" s="30"/>
      <c r="AL39" s="30"/>
      <c r="AM39" s="31"/>
      <c r="AN39" s="30"/>
      <c r="AO39" s="31"/>
      <c r="AP39" s="30"/>
      <c r="AQ39" s="27"/>
      <c r="AR39" s="27"/>
      <c r="AS39" s="28"/>
      <c r="AT39" s="30"/>
      <c r="AU39" s="30"/>
      <c r="AV39" s="27"/>
      <c r="AW39" s="27"/>
      <c r="AX39" s="28"/>
      <c r="AY39" s="30"/>
      <c r="AZ39" s="30"/>
      <c r="BA39" s="31"/>
      <c r="BB39" s="30"/>
      <c r="BC39" s="31"/>
    </row>
    <row r="40" spans="1:55" x14ac:dyDescent="0.25">
      <c r="A40" s="28"/>
      <c r="B40" s="28"/>
      <c r="C40" s="28"/>
      <c r="D40" s="28"/>
      <c r="E40" s="28"/>
      <c r="F40" s="28"/>
      <c r="G40" s="28"/>
      <c r="H40" s="28"/>
      <c r="I40" s="29"/>
      <c r="J40" s="28"/>
      <c r="K40" s="29"/>
      <c r="L40" s="27"/>
      <c r="M40" s="29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28"/>
      <c r="Y40" s="29"/>
      <c r="Z40" s="27"/>
      <c r="AA40" s="29"/>
      <c r="AB40" s="28"/>
      <c r="AD40" s="30"/>
      <c r="AE40" s="31"/>
      <c r="AF40" s="30"/>
      <c r="AG40" s="28"/>
      <c r="AI40" s="30"/>
      <c r="AJ40" s="31"/>
      <c r="AK40" s="30"/>
      <c r="AL40" s="28"/>
      <c r="AM40" s="28"/>
      <c r="AN40" s="28"/>
      <c r="AO40" s="28"/>
      <c r="AP40" s="28"/>
      <c r="AR40" s="30"/>
      <c r="AS40" s="31"/>
      <c r="AT40" s="30"/>
      <c r="AU40" s="28"/>
      <c r="AW40" s="30"/>
      <c r="AX40" s="31"/>
      <c r="AY40" s="30"/>
      <c r="AZ40" s="28"/>
      <c r="BA40" s="28"/>
      <c r="BB40" s="28"/>
      <c r="BC40" s="28"/>
    </row>
    <row r="41" spans="1:55" x14ac:dyDescent="0.25">
      <c r="A41" s="27"/>
      <c r="B41" s="28"/>
      <c r="C41" s="27"/>
      <c r="D41" s="28"/>
      <c r="E41" s="28"/>
      <c r="F41" s="28"/>
      <c r="G41" s="27"/>
      <c r="H41" s="28"/>
      <c r="I41" s="29"/>
      <c r="J41" s="28"/>
      <c r="K41" s="29"/>
      <c r="L41" s="28"/>
      <c r="M41" s="28"/>
      <c r="N41" s="28"/>
      <c r="O41" s="27"/>
      <c r="P41" s="28"/>
      <c r="Q41" s="27"/>
      <c r="R41" s="28"/>
      <c r="S41" s="28"/>
      <c r="T41" s="28"/>
      <c r="U41" s="27"/>
      <c r="V41" s="28"/>
      <c r="W41" s="29"/>
      <c r="X41" s="28"/>
      <c r="Y41" s="29"/>
      <c r="Z41" s="28"/>
      <c r="AA41" s="28"/>
      <c r="AB41" s="29"/>
      <c r="AC41" s="28"/>
      <c r="AD41" s="29"/>
      <c r="AE41" s="27"/>
      <c r="AF41" s="29"/>
      <c r="AG41" s="28"/>
      <c r="AH41" s="29"/>
      <c r="AI41" s="28"/>
      <c r="AJ41" s="28"/>
      <c r="AK41" s="27"/>
      <c r="AL41" s="28"/>
      <c r="AM41" s="28"/>
      <c r="AN41" s="28"/>
      <c r="AO41" s="27"/>
      <c r="AP41" s="29"/>
      <c r="AQ41" s="28"/>
      <c r="AR41" s="29"/>
      <c r="AS41" s="27"/>
      <c r="AT41" s="29"/>
      <c r="AU41" s="28"/>
      <c r="AV41" s="29"/>
      <c r="AW41" s="28"/>
      <c r="AX41" s="28"/>
      <c r="AY41" s="27"/>
      <c r="AZ41" s="28"/>
      <c r="BA41" s="28"/>
      <c r="BB41" s="28"/>
      <c r="BC41" s="27"/>
    </row>
    <row r="42" spans="1:55" x14ac:dyDescent="0.25">
      <c r="A42" s="30"/>
      <c r="B42" s="31"/>
      <c r="C42" s="30"/>
      <c r="D42" s="28"/>
      <c r="E42" s="29"/>
      <c r="F42" s="30"/>
      <c r="G42" s="31"/>
      <c r="H42" s="30"/>
      <c r="I42" s="27"/>
      <c r="J42" s="28"/>
      <c r="K42" s="27"/>
      <c r="L42" s="27"/>
      <c r="M42" s="28"/>
      <c r="N42" s="28"/>
      <c r="O42" s="30"/>
      <c r="P42" s="31"/>
      <c r="Q42" s="30"/>
      <c r="R42" s="31"/>
      <c r="S42" s="28"/>
      <c r="U42" s="30"/>
      <c r="V42" s="30"/>
      <c r="W42" s="28"/>
      <c r="X42" s="29"/>
      <c r="Y42" s="28"/>
      <c r="Z42" s="28"/>
      <c r="AA42" s="28"/>
      <c r="AB42" s="29"/>
      <c r="AC42" s="28"/>
      <c r="AD42" s="29"/>
      <c r="AE42" s="28"/>
      <c r="AF42" s="28"/>
      <c r="AG42" s="28"/>
      <c r="AH42" s="29"/>
      <c r="AI42" s="28"/>
      <c r="AJ42" s="28"/>
      <c r="AK42" s="27"/>
      <c r="AL42" s="28"/>
      <c r="AM42" s="28"/>
      <c r="AN42" s="28"/>
      <c r="AO42" s="27"/>
      <c r="AP42" s="29"/>
      <c r="AQ42" s="28"/>
      <c r="AR42" s="29"/>
      <c r="AS42" s="28"/>
      <c r="AT42" s="28"/>
      <c r="AU42" s="28"/>
      <c r="AV42" s="29"/>
      <c r="AW42" s="28"/>
      <c r="AX42" s="28"/>
      <c r="AY42" s="27"/>
      <c r="AZ42" s="28"/>
      <c r="BA42" s="28"/>
      <c r="BB42" s="28"/>
      <c r="BC42" s="27"/>
    </row>
    <row r="43" spans="1:55" x14ac:dyDescent="0.25">
      <c r="A43" s="30"/>
      <c r="B43" s="31"/>
      <c r="C43" s="30"/>
      <c r="D43" s="28"/>
      <c r="E43" s="28"/>
      <c r="F43" s="28"/>
      <c r="G43" s="29"/>
      <c r="H43" s="28"/>
      <c r="I43" s="28"/>
      <c r="J43" s="27"/>
      <c r="K43" s="28"/>
      <c r="L43" s="28"/>
      <c r="M43" s="28"/>
      <c r="N43" s="27"/>
      <c r="O43" s="29"/>
      <c r="P43" s="28"/>
      <c r="Q43" s="29"/>
      <c r="R43" s="28"/>
      <c r="S43" s="28"/>
      <c r="T43" s="28"/>
      <c r="U43" s="29"/>
      <c r="V43" s="28"/>
      <c r="W43" s="28"/>
      <c r="X43" s="27"/>
      <c r="Y43" s="28"/>
      <c r="Z43" s="27"/>
      <c r="AA43" s="27"/>
      <c r="AB43" s="28"/>
      <c r="AC43" s="28"/>
      <c r="AD43" s="28"/>
      <c r="AE43" s="28"/>
      <c r="AF43" s="28"/>
      <c r="AG43" s="28"/>
      <c r="AH43" s="28"/>
      <c r="AI43" s="28"/>
      <c r="AJ43" s="29"/>
      <c r="AK43" s="28"/>
      <c r="AL43" s="29"/>
      <c r="AM43" s="27"/>
      <c r="AN43" s="29"/>
      <c r="AO43" s="28"/>
      <c r="AP43" s="28"/>
      <c r="AQ43" s="28"/>
      <c r="AR43" s="28"/>
      <c r="AS43" s="28"/>
      <c r="AT43" s="28"/>
      <c r="AU43" s="28"/>
      <c r="AV43" s="28"/>
      <c r="AW43" s="28"/>
      <c r="AX43" s="29"/>
      <c r="AY43" s="28"/>
      <c r="AZ43" s="29"/>
      <c r="BA43" s="27"/>
      <c r="BB43" s="29"/>
      <c r="BC43" s="28"/>
    </row>
    <row r="44" spans="1:55" x14ac:dyDescent="0.25">
      <c r="A44" s="28"/>
      <c r="B44" s="28"/>
      <c r="C44" s="28"/>
      <c r="D44" s="28"/>
      <c r="E44" s="28"/>
      <c r="F44" s="28"/>
      <c r="G44" s="28"/>
      <c r="H44" s="28"/>
      <c r="I44" s="29"/>
      <c r="J44" s="28"/>
      <c r="K44" s="29"/>
      <c r="L44" s="27"/>
      <c r="M44" s="29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8"/>
      <c r="Y44" s="29"/>
      <c r="AA44" s="30"/>
      <c r="AB44" s="27"/>
      <c r="AC44" s="28"/>
      <c r="AD44" s="27"/>
      <c r="AE44" s="28"/>
      <c r="AF44" s="28"/>
      <c r="AG44" s="28"/>
      <c r="AH44" s="27"/>
      <c r="AI44" s="28"/>
      <c r="AJ44" s="29"/>
      <c r="AK44" s="28"/>
      <c r="AL44" s="29"/>
      <c r="AM44" s="28"/>
      <c r="AN44" s="28"/>
      <c r="AO44" s="28"/>
      <c r="AP44" s="27"/>
      <c r="AQ44" s="28"/>
      <c r="AR44" s="27"/>
      <c r="AS44" s="28"/>
      <c r="AT44" s="28"/>
      <c r="AU44" s="28"/>
      <c r="AV44" s="27"/>
      <c r="AW44" s="28"/>
      <c r="AX44" s="29"/>
      <c r="AY44" s="28"/>
      <c r="AZ44" s="29"/>
      <c r="BA44" s="28"/>
      <c r="BB44" s="28"/>
      <c r="BC44" s="28"/>
    </row>
    <row r="45" spans="1:55" x14ac:dyDescent="0.25">
      <c r="A45" s="30"/>
      <c r="B45" s="27"/>
      <c r="C45" s="27"/>
      <c r="D45" s="28"/>
      <c r="E45" s="28"/>
      <c r="F45" s="28"/>
      <c r="G45" s="27"/>
      <c r="H45" s="28"/>
      <c r="I45" s="29"/>
      <c r="J45" s="28"/>
      <c r="K45" s="29"/>
      <c r="L45" s="28"/>
      <c r="M45" s="28"/>
      <c r="N45" s="28"/>
      <c r="O45" s="27"/>
      <c r="P45" s="28"/>
      <c r="Q45" s="27"/>
      <c r="R45" s="28"/>
      <c r="S45" s="28"/>
      <c r="T45" s="28"/>
      <c r="U45" s="27"/>
      <c r="V45" s="28"/>
      <c r="W45" s="29"/>
      <c r="X45" s="28"/>
      <c r="Y45" s="29"/>
      <c r="Z45" s="31"/>
      <c r="AA45" s="30"/>
      <c r="AB45" s="30"/>
      <c r="AC45" s="31"/>
      <c r="AD45" s="30"/>
      <c r="AE45" s="28"/>
      <c r="AF45" s="29"/>
      <c r="AG45" s="30"/>
      <c r="AH45" s="31"/>
      <c r="AI45" s="30"/>
      <c r="AJ45" s="27"/>
      <c r="AK45" s="28"/>
      <c r="AL45" s="27"/>
      <c r="AM45" s="27"/>
      <c r="AN45" s="28"/>
      <c r="AO45" s="28"/>
      <c r="AP45" s="30"/>
      <c r="AQ45" s="31"/>
      <c r="AR45" s="30"/>
      <c r="AS45" s="31"/>
      <c r="AT45" s="28"/>
      <c r="AV45" s="30"/>
      <c r="AW45" s="30"/>
      <c r="AX45" s="28"/>
      <c r="AY45" s="29"/>
      <c r="AZ45" s="28"/>
      <c r="BA45" s="28"/>
      <c r="BB45" s="28"/>
      <c r="BC45" s="28"/>
    </row>
    <row r="46" spans="1:55" x14ac:dyDescent="0.25">
      <c r="A46" s="28"/>
      <c r="C46" s="30"/>
      <c r="D46" s="28"/>
      <c r="E46" s="29"/>
      <c r="F46" s="30"/>
      <c r="G46" s="31"/>
      <c r="H46" s="30"/>
      <c r="I46" s="27"/>
      <c r="J46" s="28"/>
      <c r="K46" s="27"/>
      <c r="L46" s="27"/>
      <c r="M46" s="28"/>
      <c r="N46" s="28"/>
      <c r="O46" s="30"/>
      <c r="P46" s="31"/>
      <c r="Q46" s="30"/>
      <c r="R46" s="31"/>
      <c r="S46" s="28"/>
      <c r="U46" s="30"/>
      <c r="V46" s="30"/>
      <c r="W46" s="28"/>
      <c r="X46" s="29"/>
      <c r="Y46" s="28"/>
      <c r="Z46" s="28"/>
      <c r="AA46" s="28"/>
      <c r="AB46" s="30"/>
      <c r="AC46" s="31"/>
      <c r="AD46" s="30"/>
      <c r="AE46" s="31"/>
      <c r="AF46" s="30"/>
      <c r="AG46" s="30"/>
      <c r="AH46" s="31"/>
      <c r="AI46" s="30"/>
      <c r="AJ46" s="31"/>
      <c r="AK46" s="30"/>
      <c r="AL46" s="30"/>
      <c r="AM46" s="27"/>
      <c r="AN46" s="27"/>
      <c r="AO46" s="28"/>
      <c r="AP46" s="30"/>
      <c r="AQ46" s="31"/>
      <c r="AR46" s="30"/>
      <c r="AS46" s="27"/>
      <c r="AT46" s="28"/>
      <c r="AU46" s="27"/>
      <c r="AV46" s="27"/>
      <c r="AW46" s="30"/>
      <c r="AX46" s="31"/>
      <c r="AY46" s="30"/>
      <c r="AZ46" s="30"/>
      <c r="BA46" s="27"/>
      <c r="BB46" s="27"/>
      <c r="BC46" s="28"/>
    </row>
    <row r="47" spans="1:55" x14ac:dyDescent="0.25">
      <c r="A47" s="29"/>
      <c r="B47" s="28"/>
      <c r="C47" s="29"/>
      <c r="D47" s="31"/>
      <c r="E47" s="30"/>
      <c r="F47" s="30"/>
      <c r="G47" s="31"/>
      <c r="H47" s="30"/>
      <c r="I47" s="31"/>
      <c r="J47" s="30"/>
      <c r="K47" s="30"/>
      <c r="L47" s="27"/>
      <c r="M47" s="27"/>
      <c r="N47" s="28"/>
      <c r="O47" s="30"/>
      <c r="P47" s="31"/>
      <c r="Q47" s="30"/>
      <c r="R47" s="27"/>
      <c r="S47" s="28"/>
      <c r="T47" s="27"/>
      <c r="U47" s="27"/>
      <c r="V47" s="30"/>
      <c r="W47" s="31"/>
      <c r="X47" s="30"/>
      <c r="Y47" s="30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N47" s="30"/>
      <c r="AO47" s="31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B47" s="30"/>
      <c r="BC47" s="31"/>
    </row>
    <row r="48" spans="1:55" x14ac:dyDescent="0.25">
      <c r="A48" s="29"/>
      <c r="B48" s="28"/>
      <c r="C48" s="29"/>
      <c r="D48" s="28"/>
      <c r="E48" s="28"/>
      <c r="F48" s="28"/>
      <c r="G48" s="28"/>
      <c r="H48" s="28"/>
      <c r="I48" s="28"/>
      <c r="J48" s="28"/>
      <c r="K48" s="28"/>
      <c r="M48" s="30"/>
      <c r="N48" s="31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30"/>
      <c r="AC48" s="27"/>
      <c r="AD48" s="27"/>
      <c r="AE48" s="28"/>
      <c r="AF48" s="30"/>
      <c r="AG48" s="30"/>
      <c r="AH48" s="27"/>
      <c r="AI48" s="27"/>
      <c r="AJ48" s="28"/>
      <c r="AK48" s="30"/>
      <c r="AL48" s="30"/>
      <c r="AM48" s="31"/>
      <c r="AN48" s="30"/>
      <c r="AO48" s="31"/>
      <c r="AP48" s="30"/>
      <c r="AQ48" s="27"/>
      <c r="AR48" s="27"/>
      <c r="AS48" s="28"/>
      <c r="AT48" s="30"/>
      <c r="AU48" s="30"/>
      <c r="AV48" s="27"/>
      <c r="AW48" s="27"/>
      <c r="AX48" s="28"/>
      <c r="AY48" s="30"/>
      <c r="AZ48" s="30"/>
      <c r="BA48" s="31"/>
      <c r="BB48" s="30"/>
      <c r="BC48" s="31"/>
    </row>
    <row r="49" spans="1:55" x14ac:dyDescent="0.25">
      <c r="A49" s="28"/>
      <c r="B49" s="28"/>
      <c r="C49" s="28"/>
      <c r="D49" s="28"/>
      <c r="E49" s="30"/>
      <c r="F49" s="30"/>
      <c r="G49" s="27"/>
      <c r="H49" s="27"/>
      <c r="I49" s="28"/>
      <c r="J49" s="30"/>
      <c r="K49" s="30"/>
      <c r="L49" s="31"/>
      <c r="M49" s="30"/>
      <c r="N49" s="31"/>
      <c r="O49" s="30"/>
      <c r="P49" s="27"/>
      <c r="Q49" s="27"/>
      <c r="R49" s="28"/>
      <c r="S49" s="30"/>
      <c r="T49" s="30"/>
      <c r="U49" s="27"/>
      <c r="V49" s="27"/>
      <c r="W49" s="28"/>
      <c r="X49" s="30"/>
      <c r="Y49" s="30"/>
      <c r="Z49" s="27"/>
      <c r="AA49" s="29"/>
      <c r="AB49" s="28"/>
      <c r="AD49" s="30"/>
      <c r="AE49" s="31"/>
      <c r="AF49" s="30"/>
      <c r="AG49" s="28"/>
      <c r="AI49" s="30"/>
      <c r="AJ49" s="31"/>
      <c r="AK49" s="30"/>
      <c r="AL49" s="28"/>
      <c r="AM49" s="28"/>
      <c r="AN49" s="28"/>
      <c r="AO49" s="28"/>
      <c r="AP49" s="28"/>
      <c r="AR49" s="30"/>
      <c r="AS49" s="31"/>
      <c r="AT49" s="30"/>
      <c r="AU49" s="28"/>
      <c r="AW49" s="30"/>
      <c r="AX49" s="31"/>
      <c r="AY49" s="30"/>
      <c r="AZ49" s="28"/>
      <c r="BA49" s="28"/>
      <c r="BB49" s="28"/>
      <c r="BC49" s="28"/>
    </row>
    <row r="50" spans="1:55" x14ac:dyDescent="0.25">
      <c r="A50" s="27"/>
      <c r="B50" s="28"/>
      <c r="C50" s="27"/>
      <c r="D50" s="28"/>
      <c r="E50" s="28"/>
      <c r="F50" s="28"/>
      <c r="G50" s="27"/>
      <c r="H50" s="28"/>
      <c r="I50" s="29"/>
      <c r="J50" s="28"/>
      <c r="K50" s="29"/>
      <c r="L50" s="28"/>
      <c r="M50" s="28"/>
      <c r="N50" s="28"/>
      <c r="O50" s="27"/>
      <c r="P50" s="28"/>
      <c r="Q50" s="27"/>
      <c r="R50" s="28"/>
      <c r="S50" s="28"/>
      <c r="T50" s="28"/>
      <c r="U50" s="27"/>
      <c r="V50" s="28"/>
      <c r="W50" s="29"/>
      <c r="X50" s="28"/>
      <c r="Y50" s="29"/>
      <c r="Z50" s="28"/>
      <c r="AA50" s="28"/>
      <c r="AB50" s="29"/>
      <c r="AC50" s="28"/>
      <c r="AD50" s="29"/>
      <c r="AE50" s="27"/>
      <c r="AF50" s="29"/>
      <c r="AG50" s="28"/>
      <c r="AH50" s="29"/>
      <c r="AI50" s="28"/>
      <c r="AJ50" s="28"/>
      <c r="AK50" s="27"/>
      <c r="AL50" s="28"/>
      <c r="AM50" s="28"/>
      <c r="AN50" s="28"/>
      <c r="AO50" s="27"/>
      <c r="AP50" s="29"/>
      <c r="AQ50" s="28"/>
      <c r="AR50" s="29"/>
      <c r="AS50" s="27"/>
      <c r="AT50" s="29"/>
      <c r="AU50" s="28"/>
      <c r="AV50" s="29"/>
      <c r="AW50" s="28"/>
      <c r="AX50" s="28"/>
      <c r="AY50" s="27"/>
      <c r="AZ50" s="28"/>
      <c r="BA50" s="28"/>
      <c r="BB50" s="28"/>
      <c r="BC50" s="27"/>
    </row>
    <row r="51" spans="1:55" x14ac:dyDescent="0.25">
      <c r="A51" s="30"/>
      <c r="B51" s="31"/>
      <c r="C51" s="30"/>
      <c r="D51" s="28"/>
      <c r="E51" s="29"/>
      <c r="F51" s="30"/>
      <c r="G51" s="31"/>
      <c r="H51" s="30"/>
      <c r="I51" s="27"/>
      <c r="J51" s="28"/>
      <c r="K51" s="27"/>
      <c r="L51" s="27"/>
      <c r="M51" s="28"/>
      <c r="N51" s="28"/>
      <c r="O51" s="30"/>
      <c r="P51" s="31"/>
      <c r="Q51" s="30"/>
      <c r="R51" s="31"/>
      <c r="S51" s="28"/>
      <c r="U51" s="30"/>
      <c r="V51" s="30"/>
      <c r="W51" s="28"/>
      <c r="X51" s="29"/>
      <c r="Y51" s="28"/>
      <c r="Z51" s="28"/>
      <c r="AA51" s="28"/>
      <c r="AB51" s="29"/>
      <c r="AC51" s="28"/>
      <c r="AD51" s="29"/>
      <c r="AE51" s="28"/>
      <c r="AF51" s="28"/>
      <c r="AG51" s="28"/>
      <c r="AH51" s="29"/>
      <c r="AI51" s="28"/>
      <c r="AJ51" s="28"/>
      <c r="AK51" s="27"/>
      <c r="AL51" s="28"/>
      <c r="AM51" s="28"/>
      <c r="AN51" s="28"/>
      <c r="AO51" s="27"/>
      <c r="AP51" s="29"/>
      <c r="AQ51" s="28"/>
      <c r="AR51" s="29"/>
      <c r="AS51" s="28"/>
      <c r="AT51" s="28"/>
      <c r="AU51" s="28"/>
      <c r="AV51" s="29"/>
      <c r="AW51" s="28"/>
      <c r="AX51" s="28"/>
      <c r="AY51" s="27"/>
      <c r="AZ51" s="28"/>
      <c r="BA51" s="28"/>
      <c r="BB51" s="28"/>
      <c r="BC51" s="27"/>
    </row>
    <row r="52" spans="1:55" x14ac:dyDescent="0.25">
      <c r="A52" s="30"/>
      <c r="B52" s="31"/>
      <c r="C52" s="30"/>
      <c r="D52" s="31"/>
      <c r="E52" s="30"/>
      <c r="F52" s="30"/>
      <c r="G52" s="31"/>
      <c r="H52" s="30"/>
      <c r="I52" s="31"/>
      <c r="J52" s="30"/>
      <c r="K52" s="30"/>
      <c r="L52" s="27"/>
      <c r="M52" s="27"/>
      <c r="N52" s="28"/>
      <c r="O52" s="30"/>
      <c r="P52" s="31"/>
      <c r="Q52" s="30"/>
      <c r="R52" s="27"/>
      <c r="S52" s="28"/>
      <c r="T52" s="27"/>
      <c r="U52" s="27"/>
      <c r="V52" s="30"/>
      <c r="W52" s="31"/>
      <c r="X52" s="30"/>
      <c r="Y52" s="30"/>
      <c r="Z52" s="27"/>
      <c r="AA52" s="27"/>
      <c r="AB52" s="28"/>
      <c r="AC52" s="28"/>
      <c r="AD52" s="28"/>
      <c r="AE52" s="28"/>
      <c r="AF52" s="28"/>
      <c r="AG52" s="28"/>
      <c r="AH52" s="28"/>
      <c r="AI52" s="28"/>
      <c r="AJ52" s="29"/>
      <c r="AK52" s="28"/>
      <c r="AL52" s="29"/>
      <c r="AM52" s="27"/>
      <c r="AN52" s="29"/>
      <c r="AO52" s="28"/>
      <c r="AP52" s="28"/>
      <c r="AQ52" s="28"/>
      <c r="AR52" s="28"/>
      <c r="AS52" s="28"/>
      <c r="AT52" s="28"/>
      <c r="AU52" s="28"/>
      <c r="AV52" s="28"/>
      <c r="AW52" s="28"/>
      <c r="AX52" s="29"/>
      <c r="AY52" s="28"/>
      <c r="AZ52" s="29"/>
      <c r="BA52" s="27"/>
      <c r="BB52" s="29"/>
      <c r="BC52" s="28"/>
    </row>
    <row r="53" spans="1:55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M53" s="30"/>
      <c r="N53" s="31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AA53" s="30"/>
      <c r="AB53" s="27"/>
      <c r="AC53" s="28"/>
      <c r="AD53" s="27"/>
      <c r="AE53" s="28"/>
      <c r="AF53" s="28"/>
      <c r="AG53" s="28"/>
      <c r="AH53" s="27"/>
      <c r="AI53" s="28"/>
      <c r="AJ53" s="29"/>
      <c r="AK53" s="28"/>
      <c r="AL53" s="29"/>
      <c r="AM53" s="28"/>
      <c r="AN53" s="28"/>
      <c r="AO53" s="28"/>
      <c r="AP53" s="27"/>
      <c r="AQ53" s="28"/>
      <c r="AR53" s="27"/>
      <c r="AS53" s="28"/>
      <c r="AT53" s="28"/>
      <c r="AU53" s="28"/>
      <c r="AV53" s="27"/>
      <c r="AW53" s="28"/>
      <c r="AX53" s="29"/>
      <c r="AY53" s="28"/>
      <c r="AZ53" s="29"/>
      <c r="BA53" s="28"/>
      <c r="BB53" s="28"/>
      <c r="BC53" s="28"/>
    </row>
    <row r="54" spans="1:55" x14ac:dyDescent="0.25">
      <c r="A54" s="30"/>
      <c r="B54" s="27"/>
      <c r="C54" s="27"/>
      <c r="D54" s="28"/>
      <c r="E54" s="30"/>
      <c r="F54" s="30"/>
      <c r="G54" s="27"/>
      <c r="H54" s="27"/>
      <c r="I54" s="28"/>
      <c r="J54" s="30"/>
      <c r="K54" s="30"/>
      <c r="L54" s="31"/>
      <c r="M54" s="30"/>
      <c r="N54" s="31"/>
      <c r="O54" s="30"/>
      <c r="P54" s="27"/>
      <c r="Q54" s="27"/>
      <c r="R54" s="28"/>
      <c r="S54" s="30"/>
      <c r="T54" s="30"/>
      <c r="U54" s="27"/>
      <c r="V54" s="27"/>
      <c r="W54" s="28"/>
      <c r="X54" s="30"/>
      <c r="Y54" s="30"/>
      <c r="Z54" s="31"/>
      <c r="AA54" s="30"/>
      <c r="AB54" s="30"/>
      <c r="AC54" s="31"/>
      <c r="AD54" s="30"/>
      <c r="AE54" s="28"/>
      <c r="AF54" s="29"/>
      <c r="AG54" s="30"/>
      <c r="AH54" s="31"/>
      <c r="AI54" s="30"/>
      <c r="AJ54" s="27"/>
      <c r="AK54" s="28"/>
      <c r="AL54" s="27"/>
      <c r="AM54" s="27"/>
      <c r="AN54" s="28"/>
      <c r="AO54" s="28"/>
      <c r="AP54" s="30"/>
      <c r="AQ54" s="31"/>
      <c r="AR54" s="30"/>
      <c r="AS54" s="31"/>
      <c r="AT54" s="28"/>
      <c r="AV54" s="30"/>
      <c r="AW54" s="30"/>
      <c r="AX54" s="28"/>
      <c r="AY54" s="29"/>
      <c r="AZ54" s="28"/>
      <c r="BA54" s="28"/>
      <c r="BB54" s="28"/>
      <c r="BC54" s="28"/>
    </row>
    <row r="55" spans="1:55" x14ac:dyDescent="0.25">
      <c r="A55" s="28"/>
      <c r="C55" s="30"/>
      <c r="D55" s="31"/>
      <c r="E55" s="30"/>
      <c r="F55" s="28"/>
      <c r="H55" s="30"/>
      <c r="I55" s="31"/>
      <c r="J55" s="30"/>
      <c r="K55" s="28"/>
      <c r="L55" s="28"/>
      <c r="M55" s="28"/>
      <c r="N55" s="28"/>
      <c r="O55" s="28"/>
      <c r="Q55" s="30"/>
      <c r="R55" s="31"/>
      <c r="S55" s="30"/>
      <c r="T55" s="28"/>
      <c r="V55" s="30"/>
      <c r="W55" s="31"/>
      <c r="X55" s="30"/>
      <c r="Y55" s="28"/>
      <c r="Z55" s="28"/>
      <c r="AA55" s="28"/>
      <c r="AB55" s="30"/>
      <c r="AC55" s="31"/>
      <c r="AD55" s="30"/>
      <c r="AE55" s="31"/>
      <c r="AF55" s="30"/>
      <c r="AG55" s="30"/>
      <c r="AH55" s="31"/>
      <c r="AI55" s="30"/>
      <c r="AJ55" s="31"/>
      <c r="AK55" s="30"/>
      <c r="AL55" s="30"/>
      <c r="AM55" s="27"/>
      <c r="AN55" s="27"/>
      <c r="AO55" s="28"/>
      <c r="AP55" s="30"/>
      <c r="AQ55" s="31"/>
      <c r="AR55" s="30"/>
      <c r="AS55" s="27"/>
      <c r="AT55" s="28"/>
      <c r="AU55" s="27"/>
      <c r="AV55" s="27"/>
      <c r="AW55" s="30"/>
      <c r="AX55" s="31"/>
      <c r="AY55" s="30"/>
      <c r="AZ55" s="30"/>
      <c r="BA55" s="27"/>
      <c r="BB55" s="27"/>
      <c r="BC55" s="28"/>
    </row>
    <row r="56" spans="1:55" x14ac:dyDescent="0.25">
      <c r="A56" s="29"/>
      <c r="B56" s="28"/>
      <c r="C56" s="29"/>
      <c r="D56" s="27"/>
      <c r="E56" s="29"/>
      <c r="F56" s="28"/>
      <c r="G56" s="29"/>
      <c r="H56" s="28"/>
      <c r="I56" s="28"/>
      <c r="J56" s="27"/>
      <c r="K56" s="28"/>
      <c r="L56" s="28"/>
      <c r="M56" s="28"/>
      <c r="N56" s="27"/>
      <c r="O56" s="29"/>
      <c r="P56" s="28"/>
      <c r="Q56" s="29"/>
      <c r="R56" s="27"/>
      <c r="S56" s="29"/>
      <c r="T56" s="28"/>
      <c r="U56" s="29"/>
      <c r="V56" s="28"/>
      <c r="W56" s="28"/>
      <c r="X56" s="27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N56" s="30"/>
      <c r="AO56" s="31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B56" s="30"/>
      <c r="BC56" s="31"/>
    </row>
    <row r="57" spans="1:55" x14ac:dyDescent="0.25">
      <c r="A57" s="29"/>
      <c r="B57" s="28"/>
      <c r="C57" s="29"/>
      <c r="D57" s="28"/>
      <c r="E57" s="28"/>
      <c r="F57" s="28"/>
      <c r="G57" s="29"/>
      <c r="H57" s="28"/>
      <c r="I57" s="28"/>
      <c r="J57" s="27"/>
      <c r="K57" s="28"/>
      <c r="L57" s="28"/>
      <c r="M57" s="28"/>
      <c r="N57" s="27"/>
      <c r="O57" s="29"/>
      <c r="P57" s="28"/>
      <c r="Q57" s="29"/>
      <c r="R57" s="28"/>
      <c r="S57" s="28"/>
      <c r="T57" s="28"/>
      <c r="U57" s="29"/>
      <c r="V57" s="28"/>
      <c r="W57" s="28"/>
      <c r="X57" s="27"/>
      <c r="Y57" s="28"/>
      <c r="Z57" s="28"/>
      <c r="AA57" s="28"/>
      <c r="AB57" s="30"/>
      <c r="AC57" s="27"/>
      <c r="AD57" s="27"/>
      <c r="AE57" s="28"/>
      <c r="AF57" s="30"/>
      <c r="AG57" s="30"/>
      <c r="AH57" s="27"/>
      <c r="AI57" s="27"/>
      <c r="AJ57" s="28"/>
      <c r="AK57" s="30"/>
      <c r="AL57" s="30"/>
      <c r="AM57" s="31"/>
      <c r="AN57" s="30"/>
      <c r="AO57" s="31"/>
      <c r="AP57" s="30"/>
      <c r="AQ57" s="27"/>
      <c r="AR57" s="27"/>
      <c r="AS57" s="28"/>
      <c r="AT57" s="30"/>
      <c r="AU57" s="30"/>
      <c r="AV57" s="27"/>
      <c r="AW57" s="27"/>
      <c r="AX57" s="28"/>
      <c r="AY57" s="30"/>
      <c r="AZ57" s="30"/>
      <c r="BA57" s="31"/>
      <c r="BB57" s="30"/>
      <c r="BC57" s="31"/>
    </row>
    <row r="58" spans="1:55" x14ac:dyDescent="0.25">
      <c r="A58" s="28"/>
      <c r="B58" s="28"/>
      <c r="C58" s="28"/>
      <c r="D58" s="28"/>
      <c r="E58" s="28"/>
      <c r="F58" s="28"/>
      <c r="G58" s="28"/>
      <c r="H58" s="28"/>
      <c r="I58" s="29"/>
      <c r="J58" s="28"/>
      <c r="K58" s="29"/>
      <c r="L58" s="27"/>
      <c r="M58" s="29"/>
      <c r="N58" s="28"/>
      <c r="O58" s="28"/>
      <c r="P58" s="28"/>
      <c r="Q58" s="28"/>
      <c r="R58" s="28"/>
      <c r="S58" s="28"/>
      <c r="T58" s="28"/>
      <c r="U58" s="28"/>
      <c r="V58" s="28"/>
      <c r="W58" s="29"/>
      <c r="X58" s="28"/>
      <c r="Y58" s="29"/>
      <c r="Z58" s="27"/>
      <c r="AA58" s="29"/>
      <c r="AB58" s="28"/>
      <c r="AD58" s="30"/>
      <c r="AE58" s="31"/>
      <c r="AF58" s="30"/>
      <c r="AG58" s="28"/>
      <c r="AI58" s="30"/>
      <c r="AJ58" s="31"/>
      <c r="AK58" s="30"/>
      <c r="AL58" s="28"/>
      <c r="AM58" s="28"/>
      <c r="AN58" s="28"/>
      <c r="AO58" s="28"/>
      <c r="AP58" s="28"/>
      <c r="AR58" s="30"/>
      <c r="AS58" s="31"/>
      <c r="AT58" s="30"/>
      <c r="AU58" s="28"/>
      <c r="AW58" s="30"/>
      <c r="AX58" s="31"/>
      <c r="AY58" s="30"/>
      <c r="AZ58" s="28"/>
      <c r="BA58" s="28"/>
      <c r="BB58" s="28"/>
      <c r="BC58" s="28"/>
    </row>
    <row r="59" spans="1:55" x14ac:dyDescent="0.25">
      <c r="A59" s="27"/>
      <c r="B59" s="28"/>
      <c r="C59" s="27"/>
      <c r="D59" s="28"/>
      <c r="E59" s="28"/>
      <c r="F59" s="28"/>
      <c r="G59" s="27"/>
      <c r="H59" s="28"/>
      <c r="I59" s="29"/>
      <c r="J59" s="28"/>
      <c r="K59" s="29"/>
      <c r="L59" s="28"/>
      <c r="M59" s="28"/>
      <c r="N59" s="28"/>
      <c r="O59" s="27"/>
      <c r="P59" s="28"/>
      <c r="Q59" s="27"/>
      <c r="R59" s="28"/>
      <c r="S59" s="28"/>
      <c r="T59" s="28"/>
      <c r="U59" s="27"/>
      <c r="V59" s="28"/>
      <c r="W59" s="29"/>
      <c r="X59" s="28"/>
      <c r="Y59" s="29"/>
      <c r="Z59" s="28"/>
      <c r="AA59" s="28"/>
      <c r="AB59" s="29"/>
      <c r="AC59" s="28"/>
      <c r="AD59" s="29"/>
      <c r="AE59" s="27"/>
      <c r="AF59" s="29"/>
      <c r="AG59" s="28"/>
      <c r="AH59" s="29"/>
      <c r="AI59" s="28"/>
      <c r="AJ59" s="28"/>
      <c r="AK59" s="27"/>
      <c r="AL59" s="28"/>
      <c r="AM59" s="28"/>
      <c r="AN59" s="28"/>
      <c r="AO59" s="27"/>
      <c r="AP59" s="29"/>
      <c r="AQ59" s="28"/>
      <c r="AR59" s="29"/>
      <c r="AS59" s="27"/>
      <c r="AT59" s="29"/>
      <c r="AU59" s="28"/>
      <c r="AV59" s="29"/>
      <c r="AW59" s="28"/>
      <c r="AX59" s="28"/>
      <c r="AY59" s="27"/>
      <c r="AZ59" s="28"/>
      <c r="BA59" s="28"/>
      <c r="BB59" s="28"/>
      <c r="BC59" s="27"/>
    </row>
    <row r="60" spans="1:55" x14ac:dyDescent="0.25">
      <c r="A60" s="30"/>
      <c r="B60" s="31"/>
      <c r="C60" s="30"/>
      <c r="D60" s="28"/>
      <c r="E60" s="29"/>
      <c r="F60" s="30"/>
      <c r="G60" s="31"/>
      <c r="H60" s="30"/>
      <c r="I60" s="27"/>
      <c r="J60" s="28"/>
      <c r="K60" s="27"/>
      <c r="L60" s="27"/>
      <c r="M60" s="28"/>
      <c r="N60" s="28"/>
      <c r="O60" s="30"/>
      <c r="P60" s="31"/>
      <c r="Q60" s="30"/>
      <c r="R60" s="31"/>
      <c r="S60" s="28"/>
      <c r="U60" s="30"/>
      <c r="V60" s="30"/>
      <c r="W60" s="28"/>
      <c r="X60" s="29"/>
      <c r="Y60" s="28"/>
      <c r="Z60" s="28"/>
      <c r="AA60" s="28"/>
      <c r="AB60" s="29"/>
      <c r="AC60" s="28"/>
      <c r="AD60" s="29"/>
      <c r="AE60" s="28"/>
      <c r="AF60" s="28"/>
      <c r="AG60" s="28"/>
      <c r="AH60" s="29"/>
      <c r="AI60" s="28"/>
      <c r="AJ60" s="28"/>
      <c r="AK60" s="27"/>
      <c r="AL60" s="28"/>
      <c r="AM60" s="28"/>
      <c r="AN60" s="28"/>
      <c r="AO60" s="27"/>
      <c r="AP60" s="29"/>
      <c r="AQ60" s="28"/>
      <c r="AR60" s="29"/>
      <c r="AS60" s="28"/>
      <c r="AT60" s="28"/>
      <c r="AU60" s="28"/>
      <c r="AV60" s="29"/>
      <c r="AW60" s="28"/>
      <c r="AX60" s="28"/>
      <c r="AY60" s="27"/>
      <c r="AZ60" s="28"/>
      <c r="BA60" s="28"/>
      <c r="BB60" s="28"/>
      <c r="BC60" s="27"/>
    </row>
    <row r="61" spans="1:55" x14ac:dyDescent="0.25">
      <c r="A61" s="30"/>
      <c r="B61" s="31"/>
      <c r="C61" s="30"/>
      <c r="D61" s="31"/>
      <c r="E61" s="30"/>
      <c r="F61" s="30"/>
      <c r="G61" s="31"/>
      <c r="H61" s="30"/>
      <c r="I61" s="31"/>
      <c r="J61" s="30"/>
      <c r="K61" s="30"/>
      <c r="L61" s="27"/>
      <c r="M61" s="27"/>
      <c r="N61" s="28"/>
      <c r="O61" s="30"/>
      <c r="P61" s="31"/>
      <c r="Q61" s="30"/>
      <c r="R61" s="27"/>
      <c r="S61" s="28"/>
      <c r="T61" s="27"/>
      <c r="U61" s="27"/>
      <c r="V61" s="30"/>
      <c r="W61" s="31"/>
      <c r="X61" s="30"/>
      <c r="Y61" s="30"/>
      <c r="Z61" s="27"/>
      <c r="AA61" s="27"/>
      <c r="AB61" s="28"/>
      <c r="AC61" s="28"/>
      <c r="AD61" s="28"/>
      <c r="AE61" s="28"/>
      <c r="AF61" s="28"/>
      <c r="AG61" s="28"/>
      <c r="AH61" s="28"/>
      <c r="AI61" s="28"/>
      <c r="AJ61" s="29"/>
      <c r="AK61" s="28"/>
      <c r="AL61" s="29"/>
      <c r="AM61" s="27"/>
      <c r="AN61" s="29"/>
      <c r="AO61" s="28"/>
      <c r="AP61" s="28"/>
      <c r="AQ61" s="28"/>
      <c r="AR61" s="28"/>
      <c r="AS61" s="28"/>
      <c r="AT61" s="28"/>
      <c r="AU61" s="28"/>
      <c r="AV61" s="28"/>
      <c r="AW61" s="28"/>
      <c r="AX61" s="29"/>
      <c r="AY61" s="28"/>
      <c r="AZ61" s="29"/>
      <c r="BA61" s="27"/>
      <c r="BB61" s="29"/>
      <c r="BC61" s="28"/>
    </row>
    <row r="62" spans="1:55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M62" s="30"/>
      <c r="N62" s="31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AA62" s="30"/>
      <c r="AB62" s="27"/>
      <c r="AC62" s="28"/>
      <c r="AD62" s="27"/>
      <c r="AE62" s="28"/>
      <c r="AF62" s="28"/>
      <c r="AG62" s="28"/>
      <c r="AH62" s="27"/>
      <c r="AI62" s="28"/>
      <c r="AJ62" s="29"/>
      <c r="AK62" s="28"/>
      <c r="AL62" s="29"/>
      <c r="AM62" s="28"/>
      <c r="AN62" s="28"/>
      <c r="AO62" s="28"/>
      <c r="AP62" s="27"/>
      <c r="AQ62" s="28"/>
      <c r="AR62" s="27"/>
      <c r="AS62" s="28"/>
      <c r="AT62" s="28"/>
      <c r="AU62" s="28"/>
      <c r="AV62" s="27"/>
      <c r="AW62" s="28"/>
      <c r="AX62" s="29"/>
      <c r="AY62" s="28"/>
      <c r="AZ62" s="29"/>
      <c r="BA62" s="28"/>
      <c r="BB62" s="28"/>
      <c r="BC62" s="28"/>
    </row>
    <row r="63" spans="1:55" x14ac:dyDescent="0.25">
      <c r="A63" s="30"/>
      <c r="B63" s="27"/>
      <c r="C63" s="27"/>
      <c r="D63" s="28"/>
      <c r="E63" s="30"/>
      <c r="F63" s="30"/>
      <c r="G63" s="27"/>
      <c r="H63" s="27"/>
      <c r="I63" s="28"/>
      <c r="J63" s="30"/>
      <c r="K63" s="30"/>
      <c r="L63" s="31"/>
      <c r="M63" s="30"/>
      <c r="N63" s="31"/>
      <c r="O63" s="30"/>
      <c r="P63" s="27"/>
      <c r="Q63" s="27"/>
      <c r="R63" s="28"/>
      <c r="S63" s="30"/>
      <c r="T63" s="30"/>
      <c r="U63" s="27"/>
      <c r="V63" s="27"/>
      <c r="W63" s="28"/>
      <c r="X63" s="30"/>
      <c r="Y63" s="30"/>
      <c r="Z63" s="31"/>
      <c r="AA63" s="30"/>
      <c r="AB63" s="30"/>
      <c r="AC63" s="31"/>
      <c r="AD63" s="30"/>
      <c r="AE63" s="28"/>
      <c r="AF63" s="29"/>
      <c r="AG63" s="30"/>
      <c r="AH63" s="31"/>
      <c r="AI63" s="30"/>
      <c r="AJ63" s="27"/>
      <c r="AK63" s="28"/>
      <c r="AL63" s="27"/>
      <c r="AM63" s="27"/>
      <c r="AN63" s="28"/>
      <c r="AO63" s="28"/>
      <c r="AP63" s="30"/>
      <c r="AQ63" s="31"/>
      <c r="AR63" s="30"/>
      <c r="AS63" s="31"/>
      <c r="AT63" s="28"/>
      <c r="AV63" s="30"/>
      <c r="AW63" s="30"/>
      <c r="AX63" s="28"/>
      <c r="AY63" s="29"/>
      <c r="AZ63" s="28"/>
      <c r="BA63" s="28"/>
      <c r="BB63" s="28"/>
      <c r="BC63" s="28"/>
    </row>
    <row r="64" spans="1:55" x14ac:dyDescent="0.25">
      <c r="A64" s="28"/>
      <c r="C64" s="30"/>
      <c r="D64" s="31"/>
      <c r="E64" s="30"/>
      <c r="F64" s="28"/>
      <c r="H64" s="30"/>
      <c r="I64" s="31"/>
      <c r="J64" s="30"/>
      <c r="K64" s="28"/>
      <c r="L64" s="28"/>
      <c r="M64" s="28"/>
      <c r="N64" s="28"/>
      <c r="O64" s="28"/>
      <c r="Q64" s="30"/>
      <c r="R64" s="31"/>
      <c r="S64" s="30"/>
      <c r="T64" s="28"/>
      <c r="V64" s="30"/>
      <c r="W64" s="31"/>
      <c r="X64" s="30"/>
      <c r="Y64" s="28"/>
      <c r="Z64" s="28"/>
      <c r="AA64" s="28"/>
      <c r="AB64" s="30"/>
      <c r="AC64" s="31"/>
      <c r="AD64" s="30"/>
      <c r="AE64" s="31"/>
      <c r="AF64" s="30"/>
      <c r="AG64" s="30"/>
      <c r="AH64" s="31"/>
      <c r="AI64" s="30"/>
      <c r="AJ64" s="31"/>
      <c r="AK64" s="30"/>
      <c r="AL64" s="30"/>
      <c r="AM64" s="27"/>
      <c r="AN64" s="27"/>
      <c r="AO64" s="28"/>
      <c r="AP64" s="30"/>
      <c r="AQ64" s="31"/>
      <c r="AR64" s="30"/>
      <c r="AS64" s="27"/>
      <c r="AT64" s="28"/>
      <c r="AU64" s="27"/>
      <c r="AV64" s="27"/>
      <c r="AW64" s="30"/>
      <c r="AX64" s="31"/>
      <c r="AY64" s="30"/>
      <c r="AZ64" s="30"/>
      <c r="BA64" s="27"/>
      <c r="BB64" s="27"/>
      <c r="BC64" s="28"/>
    </row>
    <row r="65" spans="1:55" x14ac:dyDescent="0.25">
      <c r="A65" s="29"/>
      <c r="B65" s="28"/>
      <c r="C65" s="29"/>
      <c r="D65" s="27"/>
      <c r="E65" s="29"/>
      <c r="F65" s="28"/>
      <c r="G65" s="29"/>
      <c r="H65" s="28"/>
      <c r="I65" s="28"/>
      <c r="J65" s="27"/>
      <c r="K65" s="28"/>
      <c r="L65" s="28"/>
      <c r="M65" s="28"/>
      <c r="N65" s="27"/>
      <c r="O65" s="29"/>
      <c r="P65" s="28"/>
      <c r="Q65" s="29"/>
      <c r="R65" s="27"/>
      <c r="S65" s="29"/>
      <c r="T65" s="28"/>
      <c r="U65" s="29"/>
      <c r="V65" s="28"/>
      <c r="W65" s="28"/>
      <c r="X65" s="27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N65" s="30"/>
      <c r="AO65" s="31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B65" s="30"/>
      <c r="BC65" s="31"/>
    </row>
    <row r="66" spans="1:55" x14ac:dyDescent="0.25">
      <c r="A66" s="29"/>
      <c r="B66" s="28"/>
      <c r="C66" s="29"/>
      <c r="D66" s="28"/>
      <c r="E66" s="28"/>
      <c r="F66" s="28"/>
      <c r="G66" s="29"/>
      <c r="H66" s="28"/>
      <c r="I66" s="28"/>
      <c r="J66" s="27"/>
      <c r="K66" s="28"/>
      <c r="L66" s="28"/>
      <c r="M66" s="28"/>
      <c r="N66" s="27"/>
      <c r="O66" s="29"/>
      <c r="P66" s="28"/>
      <c r="Q66" s="29"/>
      <c r="R66" s="28"/>
      <c r="S66" s="28"/>
      <c r="T66" s="28"/>
      <c r="U66" s="29"/>
      <c r="V66" s="28"/>
      <c r="W66" s="28"/>
      <c r="X66" s="27"/>
      <c r="Y66" s="28"/>
      <c r="Z66" s="28"/>
      <c r="AA66" s="28"/>
      <c r="AB66" s="30"/>
      <c r="AC66" s="27"/>
      <c r="AD66" s="27"/>
      <c r="AE66" s="28"/>
      <c r="AF66" s="30"/>
      <c r="AG66" s="30"/>
      <c r="AH66" s="27"/>
      <c r="AI66" s="27"/>
      <c r="AJ66" s="28"/>
      <c r="AK66" s="30"/>
      <c r="AL66" s="30"/>
      <c r="AM66" s="31"/>
      <c r="AN66" s="30"/>
      <c r="AO66" s="31"/>
      <c r="AP66" s="30"/>
      <c r="AQ66" s="27"/>
      <c r="AR66" s="27"/>
      <c r="AS66" s="28"/>
      <c r="AT66" s="30"/>
      <c r="AU66" s="30"/>
      <c r="AV66" s="27"/>
      <c r="AW66" s="27"/>
      <c r="AX66" s="28"/>
      <c r="AY66" s="30"/>
      <c r="AZ66" s="30"/>
      <c r="BA66" s="31"/>
      <c r="BB66" s="30"/>
      <c r="BC66" s="31"/>
    </row>
    <row r="67" spans="1:55" x14ac:dyDescent="0.25">
      <c r="A67" s="28"/>
      <c r="B67" s="28"/>
      <c r="C67" s="28"/>
      <c r="D67" s="28"/>
      <c r="E67" s="28"/>
      <c r="F67" s="28"/>
      <c r="G67" s="28"/>
      <c r="H67" s="28"/>
      <c r="I67" s="29"/>
      <c r="J67" s="28"/>
      <c r="K67" s="29"/>
      <c r="L67" s="27"/>
      <c r="M67" s="29"/>
      <c r="N67" s="28"/>
      <c r="O67" s="28"/>
      <c r="P67" s="28"/>
      <c r="Q67" s="28"/>
      <c r="R67" s="28"/>
      <c r="S67" s="28"/>
      <c r="T67" s="28"/>
      <c r="U67" s="28"/>
      <c r="V67" s="28"/>
      <c r="W67" s="29"/>
      <c r="X67" s="28"/>
      <c r="Y67" s="29"/>
      <c r="Z67" s="27"/>
      <c r="AA67" s="29"/>
      <c r="AB67" s="28"/>
      <c r="AD67" s="30"/>
      <c r="AE67" s="31"/>
      <c r="AF67" s="30"/>
      <c r="AG67" s="28"/>
      <c r="AI67" s="30"/>
      <c r="AJ67" s="31"/>
      <c r="AK67" s="30"/>
      <c r="AL67" s="28"/>
      <c r="AM67" s="28"/>
      <c r="AN67" s="28"/>
      <c r="AO67" s="28"/>
      <c r="AP67" s="28"/>
      <c r="AR67" s="30"/>
      <c r="AS67" s="31"/>
      <c r="AT67" s="30"/>
      <c r="AU67" s="28"/>
      <c r="AW67" s="30"/>
      <c r="AX67" s="31"/>
      <c r="AY67" s="30"/>
      <c r="AZ67" s="28"/>
      <c r="BA67" s="28"/>
      <c r="BB67" s="28"/>
      <c r="BC67" s="28"/>
    </row>
    <row r="68" spans="1:55" x14ac:dyDescent="0.25">
      <c r="A68" s="27"/>
      <c r="B68" s="28"/>
      <c r="C68" s="27"/>
      <c r="D68" s="28"/>
      <c r="E68" s="28"/>
      <c r="F68" s="28"/>
      <c r="G68" s="27"/>
      <c r="H68" s="28"/>
      <c r="I68" s="29"/>
      <c r="J68" s="28"/>
      <c r="K68" s="29"/>
      <c r="L68" s="28"/>
      <c r="M68" s="28"/>
      <c r="N68" s="28"/>
      <c r="O68" s="27"/>
      <c r="P68" s="28"/>
      <c r="Q68" s="27"/>
      <c r="R68" s="28"/>
      <c r="S68" s="28"/>
      <c r="T68" s="28"/>
      <c r="U68" s="27"/>
      <c r="V68" s="28"/>
      <c r="W68" s="29"/>
      <c r="X68" s="28"/>
      <c r="Y68" s="29"/>
      <c r="Z68" s="28"/>
      <c r="AA68" s="28"/>
      <c r="AB68" s="29"/>
      <c r="AC68" s="28"/>
      <c r="AD68" s="29"/>
      <c r="AE68" s="27"/>
      <c r="AF68" s="29"/>
      <c r="AG68" s="28"/>
      <c r="AH68" s="29"/>
      <c r="AI68" s="28"/>
      <c r="AJ68" s="28"/>
      <c r="AK68" s="27"/>
      <c r="AL68" s="28"/>
      <c r="AM68" s="28"/>
      <c r="AN68" s="28"/>
      <c r="AO68" s="27"/>
      <c r="AP68" s="29"/>
      <c r="AQ68" s="28"/>
      <c r="AR68" s="29"/>
      <c r="AS68" s="27"/>
      <c r="AT68" s="29"/>
      <c r="AU68" s="28"/>
      <c r="AV68" s="29"/>
      <c r="AW68" s="28"/>
      <c r="AX68" s="28"/>
      <c r="AY68" s="27"/>
      <c r="AZ68" s="28"/>
      <c r="BA68" s="28"/>
      <c r="BB68" s="28"/>
      <c r="BC68" s="27"/>
    </row>
    <row r="69" spans="1:55" x14ac:dyDescent="0.25">
      <c r="A69" s="27"/>
      <c r="B69" s="27"/>
      <c r="C69" s="27"/>
      <c r="D69" s="31"/>
      <c r="E69" s="27"/>
      <c r="F69" s="27"/>
      <c r="G69" s="27"/>
      <c r="H69" s="27"/>
      <c r="I69" s="28"/>
      <c r="J69" s="28"/>
      <c r="K69" s="28"/>
      <c r="L69" s="28"/>
      <c r="M69" s="28"/>
      <c r="N69" s="28"/>
      <c r="O69" s="27"/>
      <c r="P69" s="27"/>
      <c r="Q69" s="27"/>
      <c r="R69" s="31"/>
      <c r="S69" s="27"/>
      <c r="T69" s="27"/>
      <c r="U69" s="27"/>
      <c r="V69" s="27"/>
      <c r="W69" s="28"/>
      <c r="X69" s="28"/>
      <c r="Y69" s="28"/>
      <c r="Z69" s="28"/>
      <c r="AA69" s="28"/>
      <c r="AB69" s="29"/>
      <c r="AC69" s="28"/>
      <c r="AD69" s="29"/>
      <c r="AE69" s="28"/>
      <c r="AF69" s="28"/>
      <c r="AG69" s="28"/>
      <c r="AH69" s="29"/>
      <c r="AI69" s="28"/>
      <c r="AJ69" s="28"/>
      <c r="AK69" s="27"/>
      <c r="AL69" s="28"/>
      <c r="AM69" s="28"/>
      <c r="AN69" s="28"/>
      <c r="AO69" s="27"/>
      <c r="AP69" s="29"/>
      <c r="AQ69" s="28"/>
      <c r="AR69" s="29"/>
      <c r="AS69" s="28"/>
      <c r="AT69" s="28"/>
      <c r="AU69" s="28"/>
      <c r="AV69" s="29"/>
      <c r="AW69" s="28"/>
      <c r="AX69" s="28"/>
      <c r="AY69" s="27"/>
      <c r="AZ69" s="28"/>
      <c r="BA69" s="28"/>
      <c r="BB69" s="28"/>
      <c r="BC69" s="27"/>
    </row>
    <row r="70" spans="1:55" x14ac:dyDescent="0.25">
      <c r="AB70" s="28"/>
      <c r="AC70" s="28"/>
      <c r="AD70" s="28"/>
      <c r="AE70" s="28"/>
      <c r="AF70" s="28"/>
      <c r="AG70" s="28"/>
      <c r="AH70" s="28"/>
      <c r="AI70" s="28"/>
      <c r="AJ70" s="29"/>
      <c r="AK70" s="28"/>
      <c r="AL70" s="29"/>
      <c r="AM70" s="27"/>
      <c r="AN70" s="29"/>
      <c r="AO70" s="28"/>
      <c r="AP70" s="28"/>
      <c r="AQ70" s="28"/>
      <c r="AR70" s="28"/>
      <c r="AS70" s="28"/>
      <c r="AT70" s="28"/>
      <c r="AU70" s="28"/>
      <c r="AV70" s="28"/>
      <c r="AW70" s="28"/>
      <c r="AX70" s="29"/>
      <c r="AY70" s="28"/>
      <c r="AZ70" s="29"/>
      <c r="BA70" s="27"/>
      <c r="BB70" s="29"/>
      <c r="BC70" s="28"/>
    </row>
    <row r="71" spans="1:55" x14ac:dyDescent="0.25">
      <c r="AB71" s="27"/>
      <c r="AC71" s="28"/>
      <c r="AD71" s="27"/>
      <c r="AE71" s="28"/>
      <c r="AF71" s="28"/>
      <c r="AG71" s="28"/>
      <c r="AH71" s="27"/>
      <c r="AI71" s="28"/>
      <c r="AJ71" s="29"/>
      <c r="AK71" s="28"/>
      <c r="AL71" s="29"/>
      <c r="AM71" s="28"/>
      <c r="AN71" s="28"/>
      <c r="AO71" s="28"/>
      <c r="AP71" s="27"/>
      <c r="AQ71" s="28"/>
      <c r="AR71" s="27"/>
      <c r="AS71" s="28"/>
      <c r="AT71" s="28"/>
      <c r="AU71" s="28"/>
      <c r="AV71" s="27"/>
      <c r="AW71" s="28"/>
      <c r="AX71" s="29"/>
      <c r="AY71" s="28"/>
      <c r="AZ71" s="29"/>
      <c r="BA71" s="28"/>
      <c r="BB71" s="28"/>
      <c r="BC71" s="28"/>
    </row>
    <row r="72" spans="1:55" x14ac:dyDescent="0.25">
      <c r="AB72" s="27"/>
      <c r="AC72" s="27"/>
      <c r="AD72" s="27"/>
      <c r="AE72" s="31"/>
      <c r="AF72" s="27"/>
      <c r="AG72" s="27"/>
      <c r="AH72" s="27"/>
      <c r="AI72" s="27"/>
      <c r="AJ72" s="28"/>
      <c r="AK72" s="28"/>
      <c r="AL72" s="28"/>
      <c r="AM72" s="28"/>
      <c r="AN72" s="28"/>
      <c r="AO72" s="28"/>
      <c r="AP72" s="27"/>
      <c r="AQ72" s="27"/>
      <c r="AR72" s="27"/>
      <c r="AS72" s="31"/>
      <c r="AT72" s="27"/>
      <c r="AU72" s="27"/>
      <c r="AV72" s="27"/>
      <c r="AW72" s="27"/>
      <c r="AX72" s="28"/>
      <c r="AY72" s="28"/>
      <c r="AZ72" s="28"/>
      <c r="BA72" s="28"/>
      <c r="BB72" s="28"/>
      <c r="BC72" s="28"/>
    </row>
  </sheetData>
  <mergeCells count="37">
    <mergeCell ref="B1:V2"/>
    <mergeCell ref="C16:D16"/>
    <mergeCell ref="C6:D6"/>
    <mergeCell ref="C7:D7"/>
    <mergeCell ref="C8:D8"/>
    <mergeCell ref="C12:D12"/>
    <mergeCell ref="C13:D13"/>
    <mergeCell ref="C14:D14"/>
    <mergeCell ref="C11:D11"/>
    <mergeCell ref="J6:L6"/>
    <mergeCell ref="J12:L12"/>
    <mergeCell ref="C5:D5"/>
    <mergeCell ref="C9:D9"/>
    <mergeCell ref="C10:D10"/>
    <mergeCell ref="C15:D15"/>
    <mergeCell ref="B4:D4"/>
    <mergeCell ref="B19:D19"/>
    <mergeCell ref="C20:D20"/>
    <mergeCell ref="B6:B11"/>
    <mergeCell ref="B12:B17"/>
    <mergeCell ref="C17:D17"/>
    <mergeCell ref="B21:B26"/>
    <mergeCell ref="C21:D21"/>
    <mergeCell ref="J21:L21"/>
    <mergeCell ref="C22:D22"/>
    <mergeCell ref="C23:D23"/>
    <mergeCell ref="C24:D24"/>
    <mergeCell ref="C25:D25"/>
    <mergeCell ref="C26:D26"/>
    <mergeCell ref="B27:B32"/>
    <mergeCell ref="C27:D27"/>
    <mergeCell ref="J27:L27"/>
    <mergeCell ref="C28:D28"/>
    <mergeCell ref="C29:D29"/>
    <mergeCell ref="C30:D30"/>
    <mergeCell ref="C31:D31"/>
    <mergeCell ref="C32:D32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4FB5E19282B8498D140EEF68062B5D" ma:contentTypeVersion="2" ma:contentTypeDescription="Create a new document." ma:contentTypeScope="" ma:versionID="52f361acfa90d5980ff9539ad7e278ed">
  <xsd:schema xmlns:xsd="http://www.w3.org/2001/XMLSchema" xmlns:xs="http://www.w3.org/2001/XMLSchema" xmlns:p="http://schemas.microsoft.com/office/2006/metadata/properties" xmlns:ns2="36f9a66d-34c8-4159-aa65-26bf87c2c8af" targetNamespace="http://schemas.microsoft.com/office/2006/metadata/properties" ma:root="true" ma:fieldsID="e5c165d60f7c02215df25c649db4a88e" ns2:_="">
    <xsd:import namespace="36f9a66d-34c8-4159-aa65-26bf87c2c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9a66d-34c8-4159-aa65-26bf87c2c8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18D76-7E43-4013-AD13-674655B0C59E}"/>
</file>

<file path=customXml/itemProps2.xml><?xml version="1.0" encoding="utf-8"?>
<ds:datastoreItem xmlns:ds="http://schemas.openxmlformats.org/officeDocument/2006/customXml" ds:itemID="{1BB2DDB9-F03E-4D0F-A85E-5744941EB302}"/>
</file>

<file path=customXml/itemProps3.xml><?xml version="1.0" encoding="utf-8"?>
<ds:datastoreItem xmlns:ds="http://schemas.openxmlformats.org/officeDocument/2006/customXml" ds:itemID="{704653FF-97F8-417F-848C-7F0A2525E6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105</vt:i4>
      </vt:variant>
    </vt:vector>
  </HeadingPairs>
  <TitlesOfParts>
    <vt:vector size="110" baseType="lpstr">
      <vt:lpstr>Suspension Points</vt:lpstr>
      <vt:lpstr>Wisbone Force Calcs </vt:lpstr>
      <vt:lpstr>Pullrod Force Calc</vt:lpstr>
      <vt:lpstr>Weight transfer</vt:lpstr>
      <vt:lpstr>Math</vt:lpstr>
      <vt:lpstr>AR_ARB</vt:lpstr>
      <vt:lpstr>AR_FrontARB</vt:lpstr>
      <vt:lpstr>AR_FrontAxleAndTire</vt:lpstr>
      <vt:lpstr>AR_FrontSpring</vt:lpstr>
      <vt:lpstr>AR_RearARB</vt:lpstr>
      <vt:lpstr>AR_RearAxleAndTire</vt:lpstr>
      <vt:lpstr>AR_RearSpring</vt:lpstr>
      <vt:lpstr>AR_Spring</vt:lpstr>
      <vt:lpstr>AR_Total</vt:lpstr>
      <vt:lpstr>ARBMR_Fr</vt:lpstr>
      <vt:lpstr>ARBMR_Rr</vt:lpstr>
      <vt:lpstr>ARBStiffness_Fr</vt:lpstr>
      <vt:lpstr>ARBStiffness_Rr</vt:lpstr>
      <vt:lpstr>ARTotal_Tire</vt:lpstr>
      <vt:lpstr>Cz</vt:lpstr>
      <vt:lpstr>DeltaZ</vt:lpstr>
      <vt:lpstr>DF</vt:lpstr>
      <vt:lpstr>DF_Dist</vt:lpstr>
      <vt:lpstr>Front_SV_InstantCenter_X</vt:lpstr>
      <vt:lpstr>Front_SV_InstantCenter_Z</vt:lpstr>
      <vt:lpstr>Front_Track</vt:lpstr>
      <vt:lpstr>FrontTrack</vt:lpstr>
      <vt:lpstr>FrontWheelRate_NoTire</vt:lpstr>
      <vt:lpstr>Halftrack_Front</vt:lpstr>
      <vt:lpstr>Halftrack_Rear</vt:lpstr>
      <vt:lpstr>Instant_Center_Height</vt:lpstr>
      <vt:lpstr>Instant_Center_Offset</vt:lpstr>
      <vt:lpstr>LatAccel</vt:lpstr>
      <vt:lpstr>Math!lLa</vt:lpstr>
      <vt:lpstr>lla</vt:lpstr>
      <vt:lpstr>Math!lLb</vt:lpstr>
      <vt:lpstr>llb</vt:lpstr>
      <vt:lpstr>Lower_Chassis_2D_Mount</vt:lpstr>
      <vt:lpstr>Lower_Front_Points</vt:lpstr>
      <vt:lpstr>Lower_Inv</vt:lpstr>
      <vt:lpstr>Lower_t</vt:lpstr>
      <vt:lpstr>lp0</vt:lpstr>
      <vt:lpstr>MassCGHeight</vt:lpstr>
      <vt:lpstr>NSM_Fr</vt:lpstr>
      <vt:lpstr>NSM_Rr</vt:lpstr>
      <vt:lpstr>NSMCG_Fr</vt:lpstr>
      <vt:lpstr>NSMCG_Rr</vt:lpstr>
      <vt:lpstr>RC_Fr</vt:lpstr>
      <vt:lpstr>RC_Rr</vt:lpstr>
      <vt:lpstr>Rear_Halftrack</vt:lpstr>
      <vt:lpstr>Rear_Instant_Center_Height</vt:lpstr>
      <vt:lpstr>Rear_Instant_Center_Offset</vt:lpstr>
      <vt:lpstr>Rear_Lower_Inv</vt:lpstr>
      <vt:lpstr>Rear_Lower_Points</vt:lpstr>
      <vt:lpstr>Rear_Lower_t</vt:lpstr>
      <vt:lpstr>Rear_Roll_Center_Height</vt:lpstr>
      <vt:lpstr>Rear_Static_Camber</vt:lpstr>
      <vt:lpstr>Rear_SV_InstantCenter_X</vt:lpstr>
      <vt:lpstr>Rear_SV_InstantCenter_Z</vt:lpstr>
      <vt:lpstr>Rear_Tire_Diam</vt:lpstr>
      <vt:lpstr>Rear_Tire_Diameter</vt:lpstr>
      <vt:lpstr>Rear_Tire_Longitudinal</vt:lpstr>
      <vt:lpstr>Rear_Track</vt:lpstr>
      <vt:lpstr>Rear_Upper_Inv</vt:lpstr>
      <vt:lpstr>Rear_Upper_Points</vt:lpstr>
      <vt:lpstr>Rear_Upper_t</vt:lpstr>
      <vt:lpstr>Rear_Wheel_Center</vt:lpstr>
      <vt:lpstr>Rear_Wheel_Center_Offset</vt:lpstr>
      <vt:lpstr>Rear_Wheel_Centerline_Axis</vt:lpstr>
      <vt:lpstr>Rear_Wheel_Longitudinal_Offset</vt:lpstr>
      <vt:lpstr>RearSuspensionPoints</vt:lpstr>
      <vt:lpstr>RearTrack</vt:lpstr>
      <vt:lpstr>RearWheelRate_NoTire</vt:lpstr>
      <vt:lpstr>RlLa</vt:lpstr>
      <vt:lpstr>RlLb</vt:lpstr>
      <vt:lpstr>Ro</vt:lpstr>
      <vt:lpstr>Roll_Center_Height</vt:lpstr>
      <vt:lpstr>RuLa</vt:lpstr>
      <vt:lpstr>RuLb</vt:lpstr>
      <vt:lpstr>S</vt:lpstr>
      <vt:lpstr>SM</vt:lpstr>
      <vt:lpstr>SM_WD</vt:lpstr>
      <vt:lpstr>SMCGHeight</vt:lpstr>
      <vt:lpstr>Speed</vt:lpstr>
      <vt:lpstr>SpringMR_Fr</vt:lpstr>
      <vt:lpstr>SpringMR_Rr</vt:lpstr>
      <vt:lpstr>SpringStiffness_Fr</vt:lpstr>
      <vt:lpstr>SpringStiffness_Rr</vt:lpstr>
      <vt:lpstr>Static_Camber</vt:lpstr>
      <vt:lpstr>Tire_Diameter</vt:lpstr>
      <vt:lpstr>Tire_Width</vt:lpstr>
      <vt:lpstr>TireStiffness_Fr</vt:lpstr>
      <vt:lpstr>TireStiffness_Rr</vt:lpstr>
      <vt:lpstr>TotalMass</vt:lpstr>
      <vt:lpstr>Math!uLa</vt:lpstr>
      <vt:lpstr>ula</vt:lpstr>
      <vt:lpstr>Math!uLb</vt:lpstr>
      <vt:lpstr>ulb</vt:lpstr>
      <vt:lpstr>up0</vt:lpstr>
      <vt:lpstr>Upper_Chassis_2D_Mount</vt:lpstr>
      <vt:lpstr>Upper_Front_Points</vt:lpstr>
      <vt:lpstr>Upper_Inv</vt:lpstr>
      <vt:lpstr>Upper_t</vt:lpstr>
      <vt:lpstr>WD</vt:lpstr>
      <vt:lpstr>Wheel_Center</vt:lpstr>
      <vt:lpstr>Wheel_Center_Height</vt:lpstr>
      <vt:lpstr>Wheel_Center_Offset</vt:lpstr>
      <vt:lpstr>Wheel_Centerline_Axis</vt:lpstr>
      <vt:lpstr>Wheel_Longitudinal_Offset</vt:lpstr>
      <vt:lpstr>Wheelbase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Gryphon Racing</dc:creator>
  <cp:lastModifiedBy>Orion</cp:lastModifiedBy>
  <cp:lastPrinted>2017-04-14T16:46:55Z</cp:lastPrinted>
  <dcterms:created xsi:type="dcterms:W3CDTF">2016-12-17T21:30:59Z</dcterms:created>
  <dcterms:modified xsi:type="dcterms:W3CDTF">2018-10-10T01:26:01Z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0x010100C14FB5E19282B8498D140EEF68062B5D</vt:lpwstr>
  </property>
</Properties>
</file>