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1"/>
  <workbookPr/>
  <mc:AlternateContent xmlns:mc="http://schemas.openxmlformats.org/markup-compatibility/2006">
    <mc:Choice Requires="x15">
      <x15ac:absPath xmlns:x15ac="http://schemas.microsoft.com/office/spreadsheetml/2010/11/ac" url="C:\Users\asus\OneDrive\Курсач ДММ\course_project_dmm\с одной зубчатой передчей\"/>
    </mc:Choice>
  </mc:AlternateContent>
  <xr:revisionPtr revIDLastSave="0" documentId="11_5B1CB4E1B8261384D0E77FC31DCC496FA099F86B" xr6:coauthVersionLast="45" xr6:coauthVersionMax="45" xr10:uidLastSave="{00000000-0000-0000-0000-000000000000}"/>
  <bookViews>
    <workbookView xWindow="0" yWindow="0" windowWidth="28800" windowHeight="1302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1" l="1"/>
  <c r="B69" i="1"/>
  <c r="C52" i="1" l="1"/>
  <c r="B30" i="1" l="1"/>
  <c r="G7" i="1"/>
  <c r="E46" i="1" l="1"/>
  <c r="B65" i="1"/>
  <c r="B70" i="1" s="1"/>
  <c r="G51" i="1"/>
  <c r="G6" i="1"/>
  <c r="E53" i="1" l="1"/>
  <c r="B61" i="1"/>
  <c r="B62" i="1" s="1"/>
  <c r="B52" i="1"/>
  <c r="B66" i="1" l="1"/>
  <c r="G45" i="1"/>
  <c r="G46" i="1"/>
  <c r="G22" i="1"/>
  <c r="G33" i="1" s="1"/>
  <c r="G20" i="1"/>
  <c r="G19" i="1"/>
  <c r="G24" i="1" s="1"/>
  <c r="E24" i="1"/>
  <c r="E14" i="1"/>
  <c r="E13" i="1"/>
  <c r="B31" i="1" s="1"/>
  <c r="E45" i="1" s="1"/>
  <c r="E10" i="1"/>
  <c r="B18" i="1"/>
  <c r="E30" i="1" l="1"/>
  <c r="E25" i="1"/>
  <c r="E31" i="1" s="1"/>
  <c r="G27" i="1"/>
  <c r="E11" i="1"/>
  <c r="A39" i="1"/>
  <c r="B32" i="1"/>
  <c r="E27" i="1"/>
  <c r="B47" i="1"/>
  <c r="B48" i="1" s="1"/>
  <c r="D47" i="1" s="1"/>
  <c r="A40" i="1"/>
  <c r="G39" i="1"/>
  <c r="G41" i="1" s="1"/>
  <c r="G36" i="1"/>
  <c r="G25" i="1"/>
  <c r="E39" i="1"/>
  <c r="E40" i="1"/>
  <c r="E41" i="1"/>
  <c r="B54" i="1" l="1"/>
  <c r="C54" i="1"/>
  <c r="B56" i="1"/>
  <c r="E59" i="1"/>
  <c r="F62" i="1" s="1"/>
  <c r="B68" i="1"/>
  <c r="B55" i="1"/>
  <c r="B67" i="1"/>
  <c r="C55" i="1"/>
  <c r="G30" i="1"/>
  <c r="G32" i="1" s="1"/>
  <c r="G31" i="1"/>
  <c r="G21" i="1"/>
  <c r="G26" i="1" s="1"/>
  <c r="A38" i="1"/>
  <c r="B26" i="1"/>
  <c r="B14" i="1"/>
  <c r="B8" i="1"/>
  <c r="E12" i="1" l="1"/>
  <c r="B15" i="1"/>
  <c r="B16" i="1"/>
  <c r="B29" i="1" s="1"/>
  <c r="D56" i="1"/>
  <c r="C56" i="1"/>
  <c r="G57" i="1"/>
  <c r="F57" i="1"/>
  <c r="E60" i="1"/>
  <c r="E8" i="1"/>
  <c r="B17" i="1"/>
  <c r="E26" i="1"/>
  <c r="E32" i="1" s="1"/>
  <c r="E33" i="1"/>
</calcChain>
</file>

<file path=xl/sharedStrings.xml><?xml version="1.0" encoding="utf-8"?>
<sst xmlns="http://schemas.openxmlformats.org/spreadsheetml/2006/main" count="90" uniqueCount="87">
  <si>
    <t>Скорость лине перемещений</t>
  </si>
  <si>
    <t>число на шестерни</t>
  </si>
  <si>
    <t>млщность расч</t>
  </si>
  <si>
    <t>шаг резьюы</t>
  </si>
  <si>
    <t>число на 1зк</t>
  </si>
  <si>
    <t>мощность двигателя</t>
  </si>
  <si>
    <t>Сила</t>
  </si>
  <si>
    <t>число на 2зк</t>
  </si>
  <si>
    <t>фулл кпд</t>
  </si>
  <si>
    <t>внутр диам д2</t>
  </si>
  <si>
    <t>ЧИСЛО СТУПЕНЕЙ</t>
  </si>
  <si>
    <t>коэф запаса</t>
  </si>
  <si>
    <t>диаметр д1</t>
  </si>
  <si>
    <t>НОВОЕ ПЕРЕДАТОЧНОЕ ЧИСЛО</t>
  </si>
  <si>
    <t>угловая скорость</t>
  </si>
  <si>
    <t>УТОЧНЁННОЕ И0</t>
  </si>
  <si>
    <t>угловая скорость вых вала</t>
  </si>
  <si>
    <t>ПОГРЕШНОСТЬ ВЫБОРА И0</t>
  </si>
  <si>
    <t>i1</t>
  </si>
  <si>
    <t>передаточное отношение</t>
  </si>
  <si>
    <t>i2</t>
  </si>
  <si>
    <t>с*</t>
  </si>
  <si>
    <t>число ступеней</t>
  </si>
  <si>
    <t>делит диам</t>
  </si>
  <si>
    <t>округлённое передаточное отношение</t>
  </si>
  <si>
    <t>модуль</t>
  </si>
  <si>
    <t>передаточные отношения степеней</t>
  </si>
  <si>
    <t>округлённое и1</t>
  </si>
  <si>
    <t>геометричексий расчёт</t>
  </si>
  <si>
    <t>Силовой расчёт</t>
  </si>
  <si>
    <t>α</t>
  </si>
  <si>
    <t>число нагружений</t>
  </si>
  <si>
    <t>диам верш зуб</t>
  </si>
  <si>
    <t>β</t>
  </si>
  <si>
    <t>ψψ</t>
  </si>
  <si>
    <t>КПД</t>
  </si>
  <si>
    <t>момент нагрузки стат</t>
  </si>
  <si>
    <t>приведённый стат момент</t>
  </si>
  <si>
    <t>Kfl</t>
  </si>
  <si>
    <t>дима впадин</t>
  </si>
  <si>
    <t>1 вал</t>
  </si>
  <si>
    <t>2 вал</t>
  </si>
  <si>
    <t>3 вал</t>
  </si>
  <si>
    <t>рабочий цикл</t>
  </si>
  <si>
    <t>m</t>
  </si>
  <si>
    <t>частота вращения дви</t>
  </si>
  <si>
    <t>окружной шаг</t>
  </si>
  <si>
    <t>проектный расчёт вала</t>
  </si>
  <si>
    <t>ширина колеса</t>
  </si>
  <si>
    <t>какая хуета которая чуть дальше</t>
  </si>
  <si>
    <t>ширина шестерни</t>
  </si>
  <si>
    <t>межосевое расстояние</t>
  </si>
  <si>
    <t>МОДули зк</t>
  </si>
  <si>
    <t>зк</t>
  </si>
  <si>
    <t>ФРИКЦИОННАЯ МУУУУФ ТАААА</t>
  </si>
  <si>
    <t>шестерня</t>
  </si>
  <si>
    <t>момент на винте</t>
  </si>
  <si>
    <t>момент предохр муфты</t>
  </si>
  <si>
    <t>число пружин на муфте</t>
  </si>
  <si>
    <t>внешний д фр кционныз дик</t>
  </si>
  <si>
    <t>коэф трения</t>
  </si>
  <si>
    <t>ынутр дим фр дикс</t>
  </si>
  <si>
    <t>привед рад пяты</t>
  </si>
  <si>
    <t>коэф сдвига пружиныыы</t>
  </si>
  <si>
    <t>сила прижимная</t>
  </si>
  <si>
    <t>витка</t>
  </si>
  <si>
    <t>макс сила деформ</t>
  </si>
  <si>
    <t>сила рижимная с 1 пружиной</t>
  </si>
  <si>
    <t>прижимная сила при маленьких зк</t>
  </si>
  <si>
    <t>ПРУЖИИНАААА</t>
  </si>
  <si>
    <t>диам</t>
  </si>
  <si>
    <t>раб ход</t>
  </si>
  <si>
    <t>витка диам</t>
  </si>
  <si>
    <t>с</t>
  </si>
  <si>
    <t>жесткость</t>
  </si>
  <si>
    <t>число витков</t>
  </si>
  <si>
    <t>сред диам</t>
  </si>
  <si>
    <t>индекс пруж</t>
  </si>
  <si>
    <t>опор</t>
  </si>
  <si>
    <t>рабочие витки</t>
  </si>
  <si>
    <t>уточнённая жесткость</t>
  </si>
  <si>
    <t>опорные витки</t>
  </si>
  <si>
    <t>общее число</t>
  </si>
  <si>
    <t>рассчётная жёсткость пружиины</t>
  </si>
  <si>
    <t>РАБ ДЕФОРМ ПРУЖ</t>
  </si>
  <si>
    <t>МАКС ДЕФОРМ ПРУЖ</t>
  </si>
  <si>
    <t>ДЛИНА ПРУЖИНЫ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</si>
</sst>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0" fontId="3" fillId="4" borderId="1" xfId="3"/>
    <xf numFmtId="2" fontId="3" fillId="4" borderId="1" xfId="3" applyNumberFormat="1"/>
    <xf numFmtId="0" fontId="2" fillId="3" borderId="0" xfId="2"/>
    <xf numFmtId="2" fontId="2" fillId="3" borderId="0" xfId="2" applyNumberFormat="1"/>
    <xf numFmtId="0" fontId="3" fillId="4" borderId="0" xfId="3" applyBorder="1"/>
    <xf numFmtId="164" fontId="0" fillId="0" borderId="0" xfId="0" applyNumberFormat="1"/>
    <xf numFmtId="0" fontId="4" fillId="5" borderId="0" xfId="4"/>
    <xf numFmtId="2" fontId="4" fillId="5" borderId="0" xfId="4" applyNumberFormat="1"/>
    <xf numFmtId="164" fontId="4" fillId="5" borderId="0" xfId="4" applyNumberFormat="1"/>
    <xf numFmtId="165" fontId="4" fillId="5" borderId="0" xfId="4" applyNumberFormat="1"/>
    <xf numFmtId="0" fontId="3" fillId="4" borderId="2" xfId="3" applyBorder="1"/>
    <xf numFmtId="2" fontId="5" fillId="6" borderId="0" xfId="5" applyNumberFormat="1"/>
    <xf numFmtId="0" fontId="5" fillId="6" borderId="0" xfId="5"/>
    <xf numFmtId="164" fontId="5" fillId="6" borderId="0" xfId="5" applyNumberFormat="1"/>
    <xf numFmtId="0" fontId="5" fillId="7" borderId="0" xfId="6"/>
  </cellXfs>
  <cellStyles count="7">
    <cellStyle name="20% — акцент1" xfId="5" builtinId="30"/>
    <cellStyle name="40% — акцент3" xfId="6" builtinId="39"/>
    <cellStyle name="Вывод" xfId="3" builtinId="21"/>
    <cellStyle name="Нейтральный" xfId="4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34" workbookViewId="0">
      <selection activeCell="G35" sqref="G35"/>
    </sheetView>
  </sheetViews>
  <sheetFormatPr defaultRowHeight="15"/>
  <cols>
    <col min="1" max="1" width="32" customWidth="1"/>
    <col min="2" max="2" width="31.42578125" style="1" customWidth="1"/>
    <col min="4" max="4" width="36" customWidth="1"/>
    <col min="5" max="6" width="36" style="1" customWidth="1"/>
    <col min="7" max="7" width="36" customWidth="1"/>
    <col min="8" max="8" width="32.140625" customWidth="1"/>
  </cols>
  <sheetData>
    <row r="1" spans="1:7">
      <c r="E1"/>
      <c r="G1" s="1"/>
    </row>
    <row r="2" spans="1:7">
      <c r="E2"/>
      <c r="G2" s="1"/>
    </row>
    <row r="3" spans="1:7">
      <c r="G3" s="1"/>
    </row>
    <row r="4" spans="1:7">
      <c r="G4" s="1"/>
    </row>
    <row r="5" spans="1:7">
      <c r="A5" s="2" t="s">
        <v>0</v>
      </c>
      <c r="B5" s="3">
        <v>12</v>
      </c>
      <c r="D5" s="4" t="s">
        <v>1</v>
      </c>
      <c r="E5" s="5">
        <v>20</v>
      </c>
      <c r="F5" s="1" t="s">
        <v>2</v>
      </c>
      <c r="G5" s="1">
        <v>1.8</v>
      </c>
    </row>
    <row r="6" spans="1:7">
      <c r="A6" s="2" t="s">
        <v>3</v>
      </c>
      <c r="B6" s="3">
        <v>3</v>
      </c>
      <c r="D6" s="4" t="s">
        <v>4</v>
      </c>
      <c r="E6" s="5">
        <v>150</v>
      </c>
      <c r="F6" s="1" t="s">
        <v>5</v>
      </c>
      <c r="G6" s="1">
        <f>(G5*G8)/G7</f>
        <v>9.0196078431372531</v>
      </c>
    </row>
    <row r="7" spans="1:7">
      <c r="A7" s="2" t="s">
        <v>6</v>
      </c>
      <c r="B7" s="3">
        <v>4</v>
      </c>
      <c r="D7" s="4" t="s">
        <v>7</v>
      </c>
      <c r="E7" s="5">
        <v>0</v>
      </c>
      <c r="F7" s="1" t="s">
        <v>8</v>
      </c>
      <c r="G7" s="1">
        <f>0.51*0.9</f>
        <v>0.45900000000000002</v>
      </c>
    </row>
    <row r="8" spans="1:7">
      <c r="A8" s="2" t="s">
        <v>9</v>
      </c>
      <c r="B8" s="3">
        <f>10 + 0.5</f>
        <v>10.5</v>
      </c>
      <c r="D8" s="4" t="s">
        <v>10</v>
      </c>
      <c r="E8" s="5">
        <f>ROUND(B15,0)</f>
        <v>2</v>
      </c>
      <c r="F8" s="1" t="s">
        <v>11</v>
      </c>
      <c r="G8" s="1">
        <v>2.2999999999999998</v>
      </c>
    </row>
    <row r="9" spans="1:7">
      <c r="A9" s="2" t="s">
        <v>12</v>
      </c>
      <c r="B9" s="3">
        <v>12</v>
      </c>
      <c r="G9" s="1"/>
    </row>
    <row r="10" spans="1:7">
      <c r="D10" s="8" t="s">
        <v>13</v>
      </c>
      <c r="E10" s="1">
        <f>E6/E5</f>
        <v>7.5</v>
      </c>
      <c r="G10" s="1"/>
    </row>
    <row r="11" spans="1:7">
      <c r="A11" t="s">
        <v>14</v>
      </c>
      <c r="B11" s="1">
        <v>25</v>
      </c>
      <c r="D11" s="8" t="s">
        <v>15</v>
      </c>
      <c r="E11" s="1">
        <f>E14*E13</f>
        <v>0</v>
      </c>
      <c r="G11" s="1"/>
    </row>
    <row r="12" spans="1:7">
      <c r="A12" t="s">
        <v>16</v>
      </c>
      <c r="B12" s="1">
        <v>188</v>
      </c>
      <c r="D12" s="8" t="s">
        <v>17</v>
      </c>
      <c r="E12" s="9">
        <f>(B14-E11)/B14</f>
        <v>1</v>
      </c>
      <c r="G12" s="1"/>
    </row>
    <row r="13" spans="1:7">
      <c r="D13" s="8" t="s">
        <v>18</v>
      </c>
      <c r="E13" s="1">
        <f>E6/E5</f>
        <v>7.5</v>
      </c>
      <c r="G13" s="1"/>
    </row>
    <row r="14" spans="1:7">
      <c r="A14" s="4" t="s">
        <v>19</v>
      </c>
      <c r="B14" s="5">
        <f>B12/B11</f>
        <v>7.52</v>
      </c>
      <c r="D14" s="8" t="s">
        <v>20</v>
      </c>
      <c r="E14" s="1">
        <f>E7/E5</f>
        <v>0</v>
      </c>
      <c r="F14" s="1" t="s">
        <v>21</v>
      </c>
      <c r="G14">
        <v>0.25</v>
      </c>
    </row>
    <row r="15" spans="1:7">
      <c r="A15" s="4" t="s">
        <v>22</v>
      </c>
      <c r="B15" s="5">
        <f>1.85*LOG10(B14)</f>
        <v>1.6210030050945381</v>
      </c>
      <c r="G15" t="s">
        <v>23</v>
      </c>
    </row>
    <row r="16" spans="1:7">
      <c r="A16" s="4" t="s">
        <v>24</v>
      </c>
      <c r="B16" s="5">
        <f>ROUND(B14,1)</f>
        <v>7.5</v>
      </c>
      <c r="F16" s="1" t="s">
        <v>25</v>
      </c>
      <c r="G16">
        <v>0.5</v>
      </c>
    </row>
    <row r="17" spans="1:7">
      <c r="A17" s="4" t="s">
        <v>26</v>
      </c>
      <c r="B17" s="5">
        <f>B14^(1/2)</f>
        <v>2.7422618401604177</v>
      </c>
      <c r="C17">
        <v>2.5</v>
      </c>
    </row>
    <row r="18" spans="1:7">
      <c r="A18" s="4" t="s">
        <v>27</v>
      </c>
      <c r="B18" s="5">
        <f>2.1</f>
        <v>2.1</v>
      </c>
      <c r="C18">
        <v>3</v>
      </c>
      <c r="F18" s="15" t="s">
        <v>28</v>
      </c>
      <c r="G18" s="16"/>
    </row>
    <row r="19" spans="1:7">
      <c r="A19" s="14" t="s">
        <v>27</v>
      </c>
      <c r="F19" s="15">
        <v>1</v>
      </c>
      <c r="G19" s="16">
        <f>E5*G16</f>
        <v>10</v>
      </c>
    </row>
    <row r="20" spans="1:7">
      <c r="F20" s="15">
        <v>2</v>
      </c>
      <c r="G20" s="16">
        <f>E6*G16</f>
        <v>75</v>
      </c>
    </row>
    <row r="21" spans="1:7">
      <c r="F21" s="15">
        <v>3</v>
      </c>
      <c r="G21" s="16">
        <f>G19</f>
        <v>10</v>
      </c>
    </row>
    <row r="22" spans="1:7">
      <c r="A22" t="s">
        <v>29</v>
      </c>
      <c r="F22" s="15">
        <v>4</v>
      </c>
      <c r="G22" s="16">
        <f>E7*G16</f>
        <v>0</v>
      </c>
    </row>
    <row r="23" spans="1:7">
      <c r="A23" s="2" t="s">
        <v>30</v>
      </c>
      <c r="B23" s="3">
        <v>30</v>
      </c>
      <c r="D23" s="10" t="s">
        <v>31</v>
      </c>
      <c r="E23" s="11"/>
      <c r="F23" s="15"/>
      <c r="G23" s="16" t="s">
        <v>32</v>
      </c>
    </row>
    <row r="24" spans="1:7">
      <c r="A24" s="2" t="s">
        <v>33</v>
      </c>
      <c r="B24" s="3">
        <v>5.7</v>
      </c>
      <c r="D24" s="10">
        <v>1</v>
      </c>
      <c r="E24" s="11">
        <f>(60*B34*B35)/(10^7)</f>
        <v>7.2</v>
      </c>
      <c r="F24" s="15"/>
      <c r="G24" s="16">
        <f>G19+2*G16</f>
        <v>11</v>
      </c>
    </row>
    <row r="25" spans="1:7">
      <c r="A25" s="2" t="s">
        <v>34</v>
      </c>
      <c r="B25" s="3">
        <v>5.2</v>
      </c>
      <c r="D25" s="10">
        <v>2</v>
      </c>
      <c r="E25" s="11">
        <f>E24/E13</f>
        <v>0.96000000000000008</v>
      </c>
      <c r="F25" s="15"/>
      <c r="G25" s="16">
        <f>G20+2*G16</f>
        <v>76</v>
      </c>
    </row>
    <row r="26" spans="1:7">
      <c r="A26" s="6" t="s">
        <v>35</v>
      </c>
      <c r="B26" s="7">
        <f>TAN(B25)/TAN(B25+B24)</f>
        <v>-0.18076962454732165</v>
      </c>
      <c r="D26" s="10">
        <v>3</v>
      </c>
      <c r="E26" s="11">
        <f>E25</f>
        <v>0.96000000000000008</v>
      </c>
      <c r="F26" s="15"/>
      <c r="G26" s="16">
        <f>G21+2*G16</f>
        <v>11</v>
      </c>
    </row>
    <row r="27" spans="1:7">
      <c r="D27" s="10">
        <v>4</v>
      </c>
      <c r="E27" s="11" t="e">
        <f>E25/E14</f>
        <v>#DIV/0!</v>
      </c>
      <c r="F27" s="15"/>
      <c r="G27" s="16">
        <f>G22 + 2*G16</f>
        <v>1</v>
      </c>
    </row>
    <row r="28" spans="1:7">
      <c r="A28" s="2" t="s">
        <v>36</v>
      </c>
      <c r="B28" s="1">
        <v>152</v>
      </c>
      <c r="D28" s="10"/>
      <c r="E28" s="11"/>
      <c r="F28" s="15"/>
      <c r="G28" s="16"/>
    </row>
    <row r="29" spans="1:7">
      <c r="A29" s="2" t="s">
        <v>37</v>
      </c>
      <c r="B29" s="1">
        <f>B28/(B16*0.9)</f>
        <v>22.518518518518519</v>
      </c>
      <c r="D29" s="10" t="s">
        <v>38</v>
      </c>
      <c r="E29" s="11"/>
      <c r="F29" s="15"/>
      <c r="G29" s="16" t="s">
        <v>39</v>
      </c>
    </row>
    <row r="30" spans="1:7">
      <c r="A30" t="s">
        <v>40</v>
      </c>
      <c r="B30" s="1">
        <f>B28/(0.98*0.9)</f>
        <v>172.33560090702949</v>
      </c>
      <c r="D30" s="10">
        <v>1</v>
      </c>
      <c r="E30" s="11">
        <f>POWER(((4*10^6)/E24),1/E34)</f>
        <v>9.0668114099913311</v>
      </c>
      <c r="F30" s="15">
        <v>1</v>
      </c>
      <c r="G30" s="17">
        <f>G19-2*G16*(1+G14)</f>
        <v>8.75</v>
      </c>
    </row>
    <row r="31" spans="1:7">
      <c r="A31" t="s">
        <v>41</v>
      </c>
      <c r="B31" s="1">
        <f>B30/(0.9 *0.98*E13)</f>
        <v>26.052245035076265</v>
      </c>
      <c r="D31" s="10">
        <v>2</v>
      </c>
      <c r="E31" s="11">
        <f>POWER(((4*10^6)/E25),1/E35)</f>
        <v>12.685223586294077</v>
      </c>
      <c r="F31" s="15">
        <v>1</v>
      </c>
      <c r="G31" s="17">
        <f>G20-2*G16*(1+G14)</f>
        <v>73.75</v>
      </c>
    </row>
    <row r="32" spans="1:7">
      <c r="A32" t="s">
        <v>42</v>
      </c>
      <c r="B32" s="1">
        <f>B31/(0.98*E13)</f>
        <v>3.5445231340239816</v>
      </c>
      <c r="D32" s="10">
        <v>3</v>
      </c>
      <c r="E32" s="11">
        <f>POWER(((4*10^6)/E26),1/E36)</f>
        <v>12.685223586294077</v>
      </c>
      <c r="F32" s="15">
        <v>1</v>
      </c>
      <c r="G32" s="17">
        <f>G30</f>
        <v>8.75</v>
      </c>
    </row>
    <row r="33" spans="1:7">
      <c r="D33" s="10">
        <v>4</v>
      </c>
      <c r="E33" s="11" t="e">
        <f>POWER(((4*10^6)/E27),1/E37)</f>
        <v>#DIV/0!</v>
      </c>
      <c r="F33" s="15">
        <v>1</v>
      </c>
      <c r="G33" s="17">
        <f>G22-2*G16*(1+G14)</f>
        <v>-1.25</v>
      </c>
    </row>
    <row r="34" spans="1:7">
      <c r="A34" t="s">
        <v>43</v>
      </c>
      <c r="B34" s="1">
        <v>400</v>
      </c>
      <c r="D34" s="10" t="s">
        <v>44</v>
      </c>
      <c r="E34" s="11">
        <v>6</v>
      </c>
      <c r="F34" s="15"/>
      <c r="G34" s="16"/>
    </row>
    <row r="35" spans="1:7">
      <c r="A35" t="s">
        <v>45</v>
      </c>
      <c r="B35" s="1">
        <v>3000</v>
      </c>
      <c r="D35" s="10"/>
      <c r="E35" s="11">
        <v>6</v>
      </c>
      <c r="F35" s="15"/>
      <c r="G35" s="16" t="s">
        <v>46</v>
      </c>
    </row>
    <row r="36" spans="1:7">
      <c r="D36" s="10"/>
      <c r="E36" s="11">
        <v>6</v>
      </c>
      <c r="F36" s="15"/>
      <c r="G36" s="16">
        <f>PI()*G16</f>
        <v>1.5707963267948966</v>
      </c>
    </row>
    <row r="37" spans="1:7">
      <c r="A37" s="18" t="s">
        <v>47</v>
      </c>
      <c r="D37" s="10"/>
      <c r="E37" s="11">
        <v>6</v>
      </c>
      <c r="F37" s="15"/>
      <c r="G37" s="16"/>
    </row>
    <row r="38" spans="1:7">
      <c r="A38" s="18">
        <f>POWER((B32/(115*0.2)),1/3)</f>
        <v>0.53613808617321768</v>
      </c>
      <c r="D38" s="10"/>
      <c r="E38" s="11"/>
      <c r="F38" s="15"/>
      <c r="G38" s="16" t="s">
        <v>48</v>
      </c>
    </row>
    <row r="39" spans="1:7">
      <c r="A39" s="18">
        <f>POWER((B31/(115*0.2)),1/3)</f>
        <v>1.0424112891975563</v>
      </c>
      <c r="D39" s="10" t="s">
        <v>49</v>
      </c>
      <c r="E39" s="12">
        <f>4.15/112</f>
        <v>3.7053571428571429E-2</v>
      </c>
      <c r="F39" s="15"/>
      <c r="G39" s="16">
        <f>10*G16</f>
        <v>5</v>
      </c>
    </row>
    <row r="40" spans="1:7">
      <c r="A40" s="18">
        <f>POWER((B30/(115*0.2)),1/3)</f>
        <v>1.9568117865203589</v>
      </c>
      <c r="D40" s="10"/>
      <c r="E40" s="12">
        <f>3.73/100</f>
        <v>3.73E-2</v>
      </c>
      <c r="F40" s="15"/>
      <c r="G40" s="16" t="s">
        <v>50</v>
      </c>
    </row>
    <row r="41" spans="1:7">
      <c r="D41" s="10"/>
      <c r="E41" s="12">
        <f>E39</f>
        <v>3.7053571428571429E-2</v>
      </c>
      <c r="F41" s="15"/>
      <c r="G41" s="16">
        <f>G39+G16</f>
        <v>5.5</v>
      </c>
    </row>
    <row r="42" spans="1:7">
      <c r="D42" s="10"/>
      <c r="E42" s="11"/>
      <c r="F42" s="15"/>
      <c r="G42" s="16"/>
    </row>
    <row r="43" spans="1:7">
      <c r="D43" s="10"/>
      <c r="E43" s="11"/>
      <c r="F43" s="15"/>
      <c r="G43" s="16" t="s">
        <v>51</v>
      </c>
    </row>
    <row r="44" spans="1:7">
      <c r="D44" s="10" t="s">
        <v>52</v>
      </c>
      <c r="E44" s="11"/>
      <c r="F44" s="15" t="s">
        <v>53</v>
      </c>
      <c r="G44" s="16"/>
    </row>
    <row r="45" spans="1:7">
      <c r="A45" t="s">
        <v>54</v>
      </c>
      <c r="D45" s="10">
        <v>12</v>
      </c>
      <c r="E45" s="13">
        <f>1.4*POWER(((B31*3.73*1.1)/(E6*10*100)),1/3)</f>
        <v>0.12504888962243466</v>
      </c>
      <c r="F45" s="15" t="s">
        <v>55</v>
      </c>
      <c r="G45" s="16">
        <f>0.5*G16*(E6+E5)</f>
        <v>42.5</v>
      </c>
    </row>
    <row r="46" spans="1:7">
      <c r="A46" t="s">
        <v>11</v>
      </c>
      <c r="B46" s="1">
        <v>1.3</v>
      </c>
      <c r="D46" s="10">
        <v>34</v>
      </c>
      <c r="E46" s="13">
        <f>1.4*POWER(((B30*3.73*1.1)/(E6*10*100)),1/3)</f>
        <v>0.23474145343612909</v>
      </c>
      <c r="F46" s="15"/>
      <c r="G46" s="16">
        <f>0.5*G16*(E7+E5)</f>
        <v>5</v>
      </c>
    </row>
    <row r="47" spans="1:7">
      <c r="A47" t="s">
        <v>56</v>
      </c>
      <c r="B47" s="1">
        <f>B30</f>
        <v>172.33560090702949</v>
      </c>
      <c r="D47" s="1">
        <f>ROUND(B48,0)</f>
        <v>224</v>
      </c>
    </row>
    <row r="48" spans="1:7">
      <c r="A48" t="s">
        <v>57</v>
      </c>
      <c r="B48" s="1">
        <f>B47*B46</f>
        <v>224.03628117913834</v>
      </c>
      <c r="D48" t="s">
        <v>58</v>
      </c>
      <c r="E48" s="1">
        <v>4</v>
      </c>
    </row>
    <row r="50" spans="1:7">
      <c r="A50" t="s">
        <v>59</v>
      </c>
      <c r="B50" s="1">
        <v>71</v>
      </c>
      <c r="C50" s="1">
        <v>25</v>
      </c>
      <c r="D50" t="s">
        <v>60</v>
      </c>
      <c r="E50" s="1">
        <v>0.8</v>
      </c>
    </row>
    <row r="51" spans="1:7">
      <c r="A51" t="s">
        <v>61</v>
      </c>
      <c r="B51" s="1">
        <v>16</v>
      </c>
      <c r="C51" s="1">
        <v>10</v>
      </c>
      <c r="G51" t="e">
        <f>1.4*POWER(((G53*3.73*1.1)/(E7*10*100)),1/3)</f>
        <v>#DIV/0!</v>
      </c>
    </row>
    <row r="52" spans="1:7">
      <c r="A52" t="s">
        <v>62</v>
      </c>
      <c r="B52" s="1">
        <f>1/3*((B50^3-B51^3)/(B50^2-B51^2))</f>
        <v>24.64750957854406</v>
      </c>
      <c r="C52" s="1">
        <f>1/3*((C50^3-C51^3)/(C50^2-C51^2))</f>
        <v>9.2857142857142847</v>
      </c>
    </row>
    <row r="53" spans="1:7">
      <c r="D53" t="s">
        <v>63</v>
      </c>
      <c r="E53" s="1">
        <f>7.85*10^4</f>
        <v>78500</v>
      </c>
      <c r="G53">
        <v>600</v>
      </c>
    </row>
    <row r="54" spans="1:7">
      <c r="A54" t="s">
        <v>64</v>
      </c>
      <c r="B54" s="1">
        <f>(D47/(E50*B52))*1/E48</f>
        <v>2.8400435255712733</v>
      </c>
      <c r="C54" s="1">
        <f>(D47/(E50*C52))*1/1</f>
        <v>30.153846153846157</v>
      </c>
      <c r="D54" t="s">
        <v>65</v>
      </c>
      <c r="E54" s="1">
        <v>3.55</v>
      </c>
    </row>
    <row r="55" spans="1:7">
      <c r="A55" t="s">
        <v>66</v>
      </c>
      <c r="B55" s="1">
        <f>B54/(1-0.05)</f>
        <v>2.9895195006013404</v>
      </c>
      <c r="C55">
        <f>B54/(1-0.25)</f>
        <v>3.7867247007616975</v>
      </c>
    </row>
    <row r="56" spans="1:7">
      <c r="A56" t="s">
        <v>67</v>
      </c>
      <c r="B56" s="1">
        <f>(D47/(E50*B52))*1/1</f>
        <v>11.360174102285093</v>
      </c>
      <c r="C56">
        <f>B56/(1-0.05)</f>
        <v>11.958078002405362</v>
      </c>
      <c r="D56">
        <f>B56/(1-0.25)</f>
        <v>15.14689880304679</v>
      </c>
      <c r="F56" s="1" t="s">
        <v>68</v>
      </c>
    </row>
    <row r="57" spans="1:7">
      <c r="A57" t="s">
        <v>69</v>
      </c>
      <c r="F57" s="1">
        <f>C54/(1-0.05)</f>
        <v>31.740890688259114</v>
      </c>
      <c r="G57">
        <f>C54/(1-0.25)</f>
        <v>40.205128205128212</v>
      </c>
    </row>
    <row r="58" spans="1:7">
      <c r="A58" s="2" t="s">
        <v>70</v>
      </c>
      <c r="B58" s="3">
        <v>3.2</v>
      </c>
      <c r="D58" s="2" t="s">
        <v>71</v>
      </c>
      <c r="E58" s="3">
        <v>8</v>
      </c>
    </row>
    <row r="59" spans="1:7">
      <c r="A59" s="2" t="s">
        <v>72</v>
      </c>
      <c r="B59" s="3">
        <v>0.3</v>
      </c>
      <c r="D59" t="s">
        <v>73</v>
      </c>
      <c r="E59" s="1">
        <f>B54/E58</f>
        <v>0.35500544069640916</v>
      </c>
    </row>
    <row r="60" spans="1:7">
      <c r="A60" s="2" t="s">
        <v>74</v>
      </c>
      <c r="B60" s="3">
        <v>3.27</v>
      </c>
      <c r="D60" t="s">
        <v>75</v>
      </c>
      <c r="E60" s="1">
        <f>B60/E59</f>
        <v>9.2111264367816084</v>
      </c>
    </row>
    <row r="61" spans="1:7">
      <c r="A61" t="s">
        <v>76</v>
      </c>
      <c r="B61" s="1">
        <f>B58-B59</f>
        <v>2.9000000000000004</v>
      </c>
      <c r="E61" s="1">
        <v>8.5</v>
      </c>
      <c r="F61" s="1">
        <v>3.26</v>
      </c>
    </row>
    <row r="62" spans="1:7">
      <c r="A62" t="s">
        <v>77</v>
      </c>
      <c r="B62" s="1">
        <f>B61/B59</f>
        <v>9.6666666666666679</v>
      </c>
      <c r="D62" t="s">
        <v>78</v>
      </c>
      <c r="E62" s="1">
        <v>1.5</v>
      </c>
      <c r="F62" s="1">
        <f>F61/E59</f>
        <v>9.1829578544061299</v>
      </c>
    </row>
    <row r="63" spans="1:7">
      <c r="A63" s="2" t="s">
        <v>79</v>
      </c>
      <c r="B63" s="3">
        <v>4</v>
      </c>
      <c r="D63" t="s">
        <v>80</v>
      </c>
      <c r="E63" s="1">
        <f>B60/E61</f>
        <v>0.38470588235294118</v>
      </c>
    </row>
    <row r="64" spans="1:7">
      <c r="A64" s="2" t="s">
        <v>81</v>
      </c>
      <c r="B64" s="3">
        <v>4</v>
      </c>
    </row>
    <row r="65" spans="1:2">
      <c r="A65" t="s">
        <v>82</v>
      </c>
      <c r="B65" s="1">
        <f>E61+E62</f>
        <v>10</v>
      </c>
    </row>
    <row r="66" spans="1:2">
      <c r="A66" t="s">
        <v>83</v>
      </c>
      <c r="B66" s="1">
        <f>(E53*B59^4)/(8*B63*B61^3)</f>
        <v>0.81472436344253507</v>
      </c>
    </row>
    <row r="67" spans="1:2">
      <c r="A67" t="s">
        <v>71</v>
      </c>
      <c r="B67" s="1">
        <f>B54/B66</f>
        <v>3.4858949271763002</v>
      </c>
    </row>
    <row r="68" spans="1:2">
      <c r="A68" t="s">
        <v>84</v>
      </c>
      <c r="B68" s="1">
        <f>B54/E63</f>
        <v>7.3823761368060623</v>
      </c>
    </row>
    <row r="69" spans="1:2">
      <c r="A69" t="s">
        <v>85</v>
      </c>
      <c r="B69" s="1">
        <f>E54/E63</f>
        <v>9.2278287461773694</v>
      </c>
    </row>
    <row r="70" spans="1:2">
      <c r="A70" t="s">
        <v>86</v>
      </c>
      <c r="B70" s="1">
        <f>(B65+1 - 2)*B59</f>
        <v>2.6999999999999997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Otto Schefer</dc:creator>
  <cp:keywords/>
  <dc:description/>
  <cp:lastModifiedBy>Schefer Otto</cp:lastModifiedBy>
  <cp:revision/>
  <dcterms:created xsi:type="dcterms:W3CDTF">2020-03-10T01:26:48Z</dcterms:created>
  <dcterms:modified xsi:type="dcterms:W3CDTF">2020-04-28T14:37:02Z</dcterms:modified>
  <cp:category/>
  <cp:contentStatus/>
</cp:coreProperties>
</file>