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sergiospieler/Downloads/"/>
    </mc:Choice>
  </mc:AlternateContent>
  <xr:revisionPtr revIDLastSave="0" documentId="13_ncr:1_{00D45B7B-6222-754A-842B-209D7C1E93BE}" xr6:coauthVersionLast="46" xr6:coauthVersionMax="46" xr10:uidLastSave="{00000000-0000-0000-0000-000000000000}"/>
  <bookViews>
    <workbookView xWindow="21680" yWindow="5440" windowWidth="31800" windowHeight="17840" xr2:uid="{00000000-000D-0000-FFFF-FFFF00000000}"/>
  </bookViews>
  <sheets>
    <sheet name="Installment Calculation" sheetId="1" r:id="rId1"/>
    <sheet name="Installment Calculation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6" i="1" l="1"/>
  <c r="G97" i="1" s="1"/>
  <c r="K26" i="2"/>
  <c r="E15" i="2"/>
  <c r="B70" i="2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E60" i="2"/>
  <c r="E55" i="2"/>
  <c r="E51" i="2"/>
  <c r="B27" i="2"/>
  <c r="J26" i="2"/>
  <c r="F26" i="2"/>
  <c r="C18" i="2"/>
  <c r="C9" i="2"/>
  <c r="G69" i="2" s="1"/>
  <c r="G61" i="2"/>
  <c r="G62" i="2" s="1"/>
  <c r="C6" i="1"/>
  <c r="C9" i="1"/>
  <c r="C10" i="1" s="1"/>
  <c r="H69" i="2" l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I70" i="2" s="1"/>
  <c r="I69" i="2"/>
  <c r="C26" i="2" s="1"/>
  <c r="B28" i="2"/>
  <c r="O26" i="2"/>
  <c r="E52" i="2"/>
  <c r="E53" i="2" s="1"/>
  <c r="D94" i="2"/>
  <c r="F52" i="2"/>
  <c r="F53" i="2" s="1"/>
  <c r="D96" i="2"/>
  <c r="D98" i="2" s="1"/>
  <c r="G52" i="2"/>
  <c r="G53" i="2" s="1"/>
  <c r="G26" i="2"/>
  <c r="H26" i="2" s="1"/>
  <c r="E27" i="2" s="1"/>
  <c r="E69" i="2"/>
  <c r="F69" i="2" s="1"/>
  <c r="D100" i="2"/>
  <c r="E61" i="2"/>
  <c r="E62" i="2" s="1"/>
  <c r="C10" i="2"/>
  <c r="F61" i="2"/>
  <c r="F62" i="2" s="1"/>
  <c r="G52" i="1"/>
  <c r="F52" i="1"/>
  <c r="E52" i="1"/>
  <c r="G26" i="1"/>
  <c r="F26" i="1"/>
  <c r="I86" i="2" l="1"/>
  <c r="D86" i="2" s="1"/>
  <c r="E86" i="2" s="1"/>
  <c r="I78" i="2"/>
  <c r="C35" i="2" s="1"/>
  <c r="I87" i="2"/>
  <c r="C44" i="2" s="1"/>
  <c r="I82" i="2"/>
  <c r="D82" i="2" s="1"/>
  <c r="E82" i="2" s="1"/>
  <c r="I79" i="2"/>
  <c r="C36" i="2" s="1"/>
  <c r="I75" i="2"/>
  <c r="C32" i="2" s="1"/>
  <c r="I83" i="2"/>
  <c r="D83" i="2" s="1"/>
  <c r="E83" i="2" s="1"/>
  <c r="I81" i="2"/>
  <c r="D81" i="2" s="1"/>
  <c r="E81" i="2" s="1"/>
  <c r="I73" i="2"/>
  <c r="D73" i="2" s="1"/>
  <c r="E73" i="2" s="1"/>
  <c r="I85" i="2"/>
  <c r="C42" i="2" s="1"/>
  <c r="I77" i="2"/>
  <c r="C34" i="2" s="1"/>
  <c r="I84" i="2"/>
  <c r="C41" i="2" s="1"/>
  <c r="I76" i="2"/>
  <c r="C33" i="2" s="1"/>
  <c r="I72" i="2"/>
  <c r="C29" i="2" s="1"/>
  <c r="I80" i="2"/>
  <c r="C37" i="2" s="1"/>
  <c r="I71" i="2"/>
  <c r="D71" i="2" s="1"/>
  <c r="E71" i="2" s="1"/>
  <c r="E63" i="2"/>
  <c r="E64" i="2" s="1"/>
  <c r="D70" i="2"/>
  <c r="E70" i="2" s="1"/>
  <c r="C27" i="2"/>
  <c r="G63" i="2"/>
  <c r="G64" i="2" s="1"/>
  <c r="G58" i="2"/>
  <c r="G66" i="2" s="1"/>
  <c r="B29" i="2"/>
  <c r="F63" i="2"/>
  <c r="F64" i="2" s="1"/>
  <c r="F58" i="2"/>
  <c r="I74" i="2"/>
  <c r="H26" i="1"/>
  <c r="E27" i="1" s="1"/>
  <c r="D96" i="1"/>
  <c r="D78" i="2" l="1"/>
  <c r="E78" i="2" s="1"/>
  <c r="D79" i="2"/>
  <c r="E79" i="2" s="1"/>
  <c r="D75" i="2"/>
  <c r="E75" i="2" s="1"/>
  <c r="C43" i="2"/>
  <c r="D27" i="2"/>
  <c r="C39" i="2"/>
  <c r="D87" i="2"/>
  <c r="E87" i="2" s="1"/>
  <c r="D77" i="2"/>
  <c r="E77" i="2" s="1"/>
  <c r="D85" i="2"/>
  <c r="E85" i="2" s="1"/>
  <c r="C30" i="2"/>
  <c r="D80" i="2"/>
  <c r="E80" i="2" s="1"/>
  <c r="D76" i="2"/>
  <c r="E76" i="2" s="1"/>
  <c r="C40" i="2"/>
  <c r="C38" i="2"/>
  <c r="D84" i="2"/>
  <c r="E84" i="2" s="1"/>
  <c r="D72" i="2"/>
  <c r="E72" i="2" s="1"/>
  <c r="C28" i="2"/>
  <c r="F66" i="2"/>
  <c r="D74" i="2"/>
  <c r="E74" i="2" s="1"/>
  <c r="C31" i="2"/>
  <c r="B30" i="2"/>
  <c r="G69" i="1"/>
  <c r="F27" i="2" l="1"/>
  <c r="D28" i="2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B31" i="2"/>
  <c r="I69" i="1"/>
  <c r="C26" i="1" s="1"/>
  <c r="H69" i="1"/>
  <c r="P26" i="1"/>
  <c r="E60" i="1"/>
  <c r="E55" i="1"/>
  <c r="E69" i="1" s="1"/>
  <c r="F69" i="1" s="1"/>
  <c r="E51" i="1"/>
  <c r="G61" i="1"/>
  <c r="G62" i="1" s="1"/>
  <c r="F61" i="1"/>
  <c r="F62" i="1" s="1"/>
  <c r="D94" i="1"/>
  <c r="E61" i="1"/>
  <c r="B70" i="1"/>
  <c r="G70" i="1" s="1"/>
  <c r="C15" i="2" l="1"/>
  <c r="B32" i="2"/>
  <c r="E62" i="1"/>
  <c r="B71" i="1"/>
  <c r="G71" i="1" s="1"/>
  <c r="K27" i="2" l="1"/>
  <c r="F14" i="2"/>
  <c r="B33" i="2"/>
  <c r="B72" i="1"/>
  <c r="G72" i="1" s="1"/>
  <c r="H72" i="1" s="1"/>
  <c r="I72" i="1" s="1"/>
  <c r="H70" i="1"/>
  <c r="I70" i="1" s="1"/>
  <c r="H71" i="1"/>
  <c r="I71" i="1" s="1"/>
  <c r="B73" i="1"/>
  <c r="G73" i="1" s="1"/>
  <c r="O27" i="2" l="1"/>
  <c r="B34" i="2"/>
  <c r="D72" i="1"/>
  <c r="E72" i="1" s="1"/>
  <c r="C29" i="1"/>
  <c r="D71" i="1"/>
  <c r="E71" i="1" s="1"/>
  <c r="C28" i="1"/>
  <c r="D70" i="1"/>
  <c r="E70" i="1" s="1"/>
  <c r="C27" i="1"/>
  <c r="H73" i="1"/>
  <c r="I73" i="1" s="1"/>
  <c r="B74" i="1"/>
  <c r="G74" i="1" s="1"/>
  <c r="B35" i="2" l="1"/>
  <c r="D27" i="1"/>
  <c r="C30" i="1"/>
  <c r="D73" i="1"/>
  <c r="E73" i="1" s="1"/>
  <c r="H74" i="1"/>
  <c r="I74" i="1" s="1"/>
  <c r="B75" i="1"/>
  <c r="G75" i="1" s="1"/>
  <c r="B36" i="2" l="1"/>
  <c r="D28" i="1"/>
  <c r="D29" i="1" s="1"/>
  <c r="D30" i="1" s="1"/>
  <c r="F27" i="1"/>
  <c r="D74" i="1"/>
  <c r="E74" i="1" s="1"/>
  <c r="C31" i="1"/>
  <c r="H75" i="1"/>
  <c r="I75" i="1" s="1"/>
  <c r="B76" i="1"/>
  <c r="G76" i="1" s="1"/>
  <c r="B37" i="2" l="1"/>
  <c r="D31" i="1"/>
  <c r="C32" i="1"/>
  <c r="D75" i="1"/>
  <c r="E75" i="1" s="1"/>
  <c r="H76" i="1"/>
  <c r="I76" i="1" s="1"/>
  <c r="B77" i="1"/>
  <c r="G77" i="1" s="1"/>
  <c r="B38" i="2" l="1"/>
  <c r="D32" i="1"/>
  <c r="D76" i="1"/>
  <c r="E76" i="1" s="1"/>
  <c r="C33" i="1"/>
  <c r="H77" i="1"/>
  <c r="I77" i="1" s="1"/>
  <c r="B78" i="1"/>
  <c r="G78" i="1" s="1"/>
  <c r="B39" i="2" l="1"/>
  <c r="D33" i="1"/>
  <c r="C34" i="1"/>
  <c r="D77" i="1"/>
  <c r="E77" i="1" s="1"/>
  <c r="H78" i="1"/>
  <c r="I78" i="1" s="1"/>
  <c r="B79" i="1"/>
  <c r="G79" i="1" s="1"/>
  <c r="G39" i="2" l="1"/>
  <c r="K39" i="2"/>
  <c r="O39" i="2" s="1"/>
  <c r="B40" i="2"/>
  <c r="D34" i="1"/>
  <c r="C35" i="1"/>
  <c r="D78" i="1"/>
  <c r="E78" i="1" s="1"/>
  <c r="H79" i="1"/>
  <c r="I79" i="1" s="1"/>
  <c r="B80" i="1"/>
  <c r="G80" i="1" s="1"/>
  <c r="B41" i="2" l="1"/>
  <c r="G40" i="2"/>
  <c r="K40" i="2"/>
  <c r="O40" i="2" s="1"/>
  <c r="D35" i="1"/>
  <c r="D79" i="1"/>
  <c r="E79" i="1" s="1"/>
  <c r="C36" i="1"/>
  <c r="H80" i="1"/>
  <c r="I80" i="1" s="1"/>
  <c r="B81" i="1"/>
  <c r="G81" i="1" s="1"/>
  <c r="K41" i="2" l="1"/>
  <c r="O41" i="2" s="1"/>
  <c r="B42" i="2"/>
  <c r="G41" i="2"/>
  <c r="D36" i="1"/>
  <c r="D80" i="1"/>
  <c r="E80" i="1" s="1"/>
  <c r="C37" i="1"/>
  <c r="H81" i="1"/>
  <c r="I81" i="1" s="1"/>
  <c r="B82" i="1"/>
  <c r="G82" i="1" s="1"/>
  <c r="K42" i="2" l="1"/>
  <c r="O42" i="2" s="1"/>
  <c r="B43" i="2"/>
  <c r="G42" i="2"/>
  <c r="D37" i="1"/>
  <c r="C38" i="1"/>
  <c r="D81" i="1"/>
  <c r="E81" i="1" s="1"/>
  <c r="H82" i="1"/>
  <c r="I82" i="1" s="1"/>
  <c r="B83" i="1"/>
  <c r="G83" i="1" s="1"/>
  <c r="G43" i="2" l="1"/>
  <c r="K43" i="2"/>
  <c r="O43" i="2" s="1"/>
  <c r="B44" i="2"/>
  <c r="C14" i="2"/>
  <c r="D38" i="1"/>
  <c r="C39" i="1"/>
  <c r="D82" i="1"/>
  <c r="E82" i="1" s="1"/>
  <c r="H83" i="1"/>
  <c r="I83" i="1" s="1"/>
  <c r="B84" i="1"/>
  <c r="G84" i="1" s="1"/>
  <c r="G27" i="2" l="1"/>
  <c r="G28" i="2"/>
  <c r="G29" i="2"/>
  <c r="G30" i="2"/>
  <c r="G31" i="2"/>
  <c r="G32" i="2"/>
  <c r="G33" i="2"/>
  <c r="G34" i="2"/>
  <c r="G35" i="2"/>
  <c r="G36" i="2"/>
  <c r="G37" i="2"/>
  <c r="G38" i="2"/>
  <c r="G44" i="2"/>
  <c r="K44" i="2"/>
  <c r="O44" i="2" s="1"/>
  <c r="D39" i="1"/>
  <c r="C40" i="1"/>
  <c r="D83" i="1"/>
  <c r="E83" i="1" s="1"/>
  <c r="H84" i="1"/>
  <c r="I84" i="1" s="1"/>
  <c r="B85" i="1"/>
  <c r="G85" i="1" s="1"/>
  <c r="H27" i="2" l="1"/>
  <c r="E28" i="2" s="1"/>
  <c r="D40" i="1"/>
  <c r="D84" i="1"/>
  <c r="E84" i="1" s="1"/>
  <c r="C41" i="1"/>
  <c r="H85" i="1"/>
  <c r="I85" i="1" s="1"/>
  <c r="B86" i="1"/>
  <c r="G86" i="1" s="1"/>
  <c r="D100" i="1"/>
  <c r="D102" i="1" s="1"/>
  <c r="F28" i="2" l="1"/>
  <c r="D41" i="1"/>
  <c r="C42" i="1"/>
  <c r="D85" i="1"/>
  <c r="E85" i="1" s="1"/>
  <c r="H86" i="1"/>
  <c r="I86" i="1" s="1"/>
  <c r="D98" i="1"/>
  <c r="B87" i="1"/>
  <c r="G87" i="1" s="1"/>
  <c r="J26" i="1"/>
  <c r="B27" i="1"/>
  <c r="H28" i="2" l="1"/>
  <c r="E29" i="2" s="1"/>
  <c r="D42" i="1"/>
  <c r="D86" i="1"/>
  <c r="E86" i="1" s="1"/>
  <c r="C43" i="1"/>
  <c r="H87" i="1"/>
  <c r="I87" i="1" s="1"/>
  <c r="B28" i="1"/>
  <c r="C18" i="1"/>
  <c r="F29" i="2" l="1"/>
  <c r="D43" i="1"/>
  <c r="D87" i="1"/>
  <c r="E87" i="1" s="1"/>
  <c r="C44" i="1"/>
  <c r="B29" i="1"/>
  <c r="H29" i="2" l="1"/>
  <c r="E30" i="2" s="1"/>
  <c r="D44" i="1"/>
  <c r="B30" i="1"/>
  <c r="F30" i="2" l="1"/>
  <c r="B31" i="1"/>
  <c r="H30" i="2" l="1"/>
  <c r="E31" i="2" s="1"/>
  <c r="B32" i="1"/>
  <c r="F31" i="2" l="1"/>
  <c r="B33" i="1"/>
  <c r="H31" i="2" l="1"/>
  <c r="E32" i="2" s="1"/>
  <c r="F32" i="2" s="1"/>
  <c r="B34" i="1"/>
  <c r="H32" i="2" l="1"/>
  <c r="E33" i="2" s="1"/>
  <c r="B35" i="1"/>
  <c r="F33" i="2" l="1"/>
  <c r="B36" i="1"/>
  <c r="H33" i="2" l="1"/>
  <c r="E34" i="2" s="1"/>
  <c r="B37" i="1"/>
  <c r="F34" i="2" l="1"/>
  <c r="B38" i="1"/>
  <c r="H34" i="2" l="1"/>
  <c r="E35" i="2" s="1"/>
  <c r="B39" i="1"/>
  <c r="F35" i="2" l="1"/>
  <c r="B40" i="1"/>
  <c r="H35" i="2" l="1"/>
  <c r="E36" i="2" s="1"/>
  <c r="F36" i="2" s="1"/>
  <c r="B41" i="1"/>
  <c r="H36" i="2" l="1"/>
  <c r="E37" i="2" s="1"/>
  <c r="B42" i="1"/>
  <c r="F37" i="2" l="1"/>
  <c r="B43" i="1"/>
  <c r="H37" i="2" l="1"/>
  <c r="E38" i="2" s="1"/>
  <c r="B44" i="1"/>
  <c r="F38" i="2" l="1"/>
  <c r="C14" i="1"/>
  <c r="G27" i="1" s="1"/>
  <c r="H38" i="2" l="1"/>
  <c r="E39" i="2" s="1"/>
  <c r="G39" i="1"/>
  <c r="G40" i="1"/>
  <c r="G41" i="1"/>
  <c r="G42" i="1"/>
  <c r="G43" i="1"/>
  <c r="G44" i="1"/>
  <c r="G33" i="1"/>
  <c r="G34" i="1"/>
  <c r="G35" i="1"/>
  <c r="G36" i="1"/>
  <c r="G37" i="1"/>
  <c r="G38" i="1"/>
  <c r="G28" i="1"/>
  <c r="G29" i="1"/>
  <c r="G30" i="1"/>
  <c r="G31" i="1"/>
  <c r="G32" i="1"/>
  <c r="F39" i="2" l="1"/>
  <c r="C82" i="2" s="1"/>
  <c r="F82" i="2" s="1"/>
  <c r="C70" i="1"/>
  <c r="H27" i="1"/>
  <c r="E28" i="1" s="1"/>
  <c r="H39" i="2" l="1"/>
  <c r="E40" i="2" s="1"/>
  <c r="F28" i="1"/>
  <c r="C71" i="1" s="1"/>
  <c r="F40" i="2" l="1"/>
  <c r="C83" i="2" s="1"/>
  <c r="F83" i="2" s="1"/>
  <c r="H28" i="1"/>
  <c r="E29" i="1" s="1"/>
  <c r="H40" i="2" l="1"/>
  <c r="E41" i="2" s="1"/>
  <c r="F29" i="1"/>
  <c r="C72" i="1" s="1"/>
  <c r="F72" i="1" s="1"/>
  <c r="F41" i="2" l="1"/>
  <c r="C84" i="2" s="1"/>
  <c r="F84" i="2" s="1"/>
  <c r="H29" i="1"/>
  <c r="E30" i="1" s="1"/>
  <c r="H41" i="2" l="1"/>
  <c r="E42" i="2" s="1"/>
  <c r="F30" i="1"/>
  <c r="C73" i="1" s="1"/>
  <c r="F73" i="1" s="1"/>
  <c r="F42" i="2" l="1"/>
  <c r="C85" i="2" s="1"/>
  <c r="F85" i="2" s="1"/>
  <c r="H30" i="1"/>
  <c r="E31" i="1" s="1"/>
  <c r="F31" i="1" s="1"/>
  <c r="C74" i="1" s="1"/>
  <c r="H42" i="2" l="1"/>
  <c r="E43" i="2" s="1"/>
  <c r="H31" i="1"/>
  <c r="E32" i="1" s="1"/>
  <c r="F32" i="1" s="1"/>
  <c r="C75" i="1" s="1"/>
  <c r="F43" i="2" l="1"/>
  <c r="C86" i="2" s="1"/>
  <c r="F86" i="2" s="1"/>
  <c r="H32" i="1"/>
  <c r="E33" i="1" s="1"/>
  <c r="H43" i="2" l="1"/>
  <c r="E44" i="2" s="1"/>
  <c r="F44" i="2" s="1"/>
  <c r="C87" i="2" s="1"/>
  <c r="F87" i="2" s="1"/>
  <c r="F33" i="1"/>
  <c r="C76" i="1" s="1"/>
  <c r="H44" i="2" l="1"/>
  <c r="H33" i="1"/>
  <c r="E34" i="1" s="1"/>
  <c r="L26" i="2" l="1"/>
  <c r="I27" i="2" s="1"/>
  <c r="J27" i="2" s="1"/>
  <c r="F34" i="1"/>
  <c r="C77" i="1" s="1"/>
  <c r="C70" i="2" l="1"/>
  <c r="F70" i="2" s="1"/>
  <c r="K28" i="2"/>
  <c r="K29" i="2"/>
  <c r="K30" i="2"/>
  <c r="K31" i="2"/>
  <c r="K32" i="2"/>
  <c r="K33" i="2"/>
  <c r="K34" i="2"/>
  <c r="K35" i="2"/>
  <c r="K36" i="2"/>
  <c r="K37" i="2"/>
  <c r="K38" i="2"/>
  <c r="N27" i="2"/>
  <c r="H34" i="1"/>
  <c r="E35" i="1" s="1"/>
  <c r="F35" i="1" s="1"/>
  <c r="C78" i="1" s="1"/>
  <c r="O38" i="2" l="1"/>
  <c r="O37" i="2"/>
  <c r="O36" i="2"/>
  <c r="O35" i="2"/>
  <c r="O34" i="2"/>
  <c r="O33" i="2"/>
  <c r="O32" i="2"/>
  <c r="O31" i="2"/>
  <c r="O30" i="2"/>
  <c r="O29" i="2"/>
  <c r="O28" i="2"/>
  <c r="L27" i="2"/>
  <c r="I28" i="2" s="1"/>
  <c r="M27" i="2"/>
  <c r="H35" i="1"/>
  <c r="E36" i="1" s="1"/>
  <c r="F36" i="1" s="1"/>
  <c r="C79" i="1" s="1"/>
  <c r="C20" i="2" l="1"/>
  <c r="C21" i="2" s="1"/>
  <c r="O47" i="2"/>
  <c r="J28" i="2"/>
  <c r="H36" i="1"/>
  <c r="E37" i="1" s="1"/>
  <c r="F37" i="1" s="1"/>
  <c r="C80" i="1" s="1"/>
  <c r="E53" i="1"/>
  <c r="E63" i="1" s="1"/>
  <c r="E64" i="1" s="1"/>
  <c r="F53" i="1"/>
  <c r="F63" i="1" s="1"/>
  <c r="F64" i="1" s="1"/>
  <c r="G53" i="1"/>
  <c r="G58" i="1" s="1"/>
  <c r="N28" i="2" l="1"/>
  <c r="M28" i="2" s="1"/>
  <c r="C71" i="2"/>
  <c r="F71" i="2" s="1"/>
  <c r="L28" i="2"/>
  <c r="I29" i="2" s="1"/>
  <c r="H37" i="1"/>
  <c r="E38" i="1" s="1"/>
  <c r="F38" i="1" s="1"/>
  <c r="C81" i="1" s="1"/>
  <c r="F81" i="1" s="1"/>
  <c r="G63" i="1"/>
  <c r="G64" i="1" s="1"/>
  <c r="G66" i="1" s="1"/>
  <c r="F58" i="1"/>
  <c r="F66" i="1" s="1"/>
  <c r="F70" i="1"/>
  <c r="F71" i="1"/>
  <c r="F74" i="1"/>
  <c r="F75" i="1"/>
  <c r="F76" i="1"/>
  <c r="F77" i="1"/>
  <c r="F78" i="1"/>
  <c r="F79" i="1"/>
  <c r="F80" i="1"/>
  <c r="J29" i="2" l="1"/>
  <c r="H38" i="1"/>
  <c r="E39" i="1" s="1"/>
  <c r="F39" i="1" s="1"/>
  <c r="C82" i="1" s="1"/>
  <c r="F82" i="1" s="1"/>
  <c r="N29" i="2" l="1"/>
  <c r="M29" i="2" s="1"/>
  <c r="C72" i="2"/>
  <c r="F72" i="2" s="1"/>
  <c r="L29" i="2"/>
  <c r="I30" i="2" s="1"/>
  <c r="H39" i="1"/>
  <c r="E40" i="1" s="1"/>
  <c r="J30" i="2" l="1"/>
  <c r="F40" i="1"/>
  <c r="C83" i="1" s="1"/>
  <c r="F83" i="1" s="1"/>
  <c r="N30" i="2" l="1"/>
  <c r="M30" i="2" s="1"/>
  <c r="C73" i="2"/>
  <c r="F73" i="2" s="1"/>
  <c r="L30" i="2"/>
  <c r="I31" i="2" s="1"/>
  <c r="H40" i="1"/>
  <c r="E41" i="1" s="1"/>
  <c r="J31" i="2" l="1"/>
  <c r="F41" i="1"/>
  <c r="C84" i="1" s="1"/>
  <c r="F84" i="1" s="1"/>
  <c r="N31" i="2" l="1"/>
  <c r="M31" i="2" s="1"/>
  <c r="C74" i="2"/>
  <c r="F74" i="2" s="1"/>
  <c r="L31" i="2"/>
  <c r="I32" i="2" s="1"/>
  <c r="H41" i="1"/>
  <c r="E42" i="1" s="1"/>
  <c r="J32" i="2" l="1"/>
  <c r="F42" i="1"/>
  <c r="C85" i="1" s="1"/>
  <c r="F85" i="1" s="1"/>
  <c r="N32" i="2" l="1"/>
  <c r="M32" i="2" s="1"/>
  <c r="C75" i="2"/>
  <c r="F75" i="2" s="1"/>
  <c r="L32" i="2"/>
  <c r="I33" i="2" s="1"/>
  <c r="H42" i="1"/>
  <c r="E43" i="1" s="1"/>
  <c r="F43" i="1" s="1"/>
  <c r="J33" i="2" l="1"/>
  <c r="C86" i="1"/>
  <c r="F86" i="1" s="1"/>
  <c r="H43" i="1"/>
  <c r="E44" i="1" s="1"/>
  <c r="F44" i="1" s="1"/>
  <c r="N33" i="2" l="1"/>
  <c r="M33" i="2" s="1"/>
  <c r="C76" i="2"/>
  <c r="F76" i="2" s="1"/>
  <c r="L33" i="2"/>
  <c r="I34" i="2" s="1"/>
  <c r="C87" i="1"/>
  <c r="F87" i="1" s="1"/>
  <c r="E56" i="1" s="1"/>
  <c r="E58" i="1" s="1"/>
  <c r="E66" i="1" s="1"/>
  <c r="H44" i="1"/>
  <c r="J34" i="2" l="1"/>
  <c r="D104" i="1"/>
  <c r="D106" i="1" s="1"/>
  <c r="C11" i="1"/>
  <c r="C12" i="1" s="1"/>
  <c r="C15" i="1" l="1"/>
  <c r="K27" i="1" s="1"/>
  <c r="N34" i="2"/>
  <c r="M34" i="2" s="1"/>
  <c r="C77" i="2"/>
  <c r="F77" i="2" s="1"/>
  <c r="L34" i="2"/>
  <c r="I35" i="2" s="1"/>
  <c r="K26" i="1"/>
  <c r="L26" i="1" s="1"/>
  <c r="I27" i="1" s="1"/>
  <c r="K39" i="1" l="1"/>
  <c r="P39" i="1" s="1"/>
  <c r="K43" i="1"/>
  <c r="P43" i="1" s="1"/>
  <c r="K40" i="1"/>
  <c r="P40" i="1" s="1"/>
  <c r="K41" i="1"/>
  <c r="P41" i="1" s="1"/>
  <c r="K44" i="1"/>
  <c r="P44" i="1" s="1"/>
  <c r="K42" i="1"/>
  <c r="P42" i="1" s="1"/>
  <c r="J27" i="1"/>
  <c r="N27" i="1" s="1"/>
  <c r="J35" i="2"/>
  <c r="K38" i="1"/>
  <c r="P38" i="1" s="1"/>
  <c r="K37" i="1"/>
  <c r="P37" i="1" s="1"/>
  <c r="K34" i="1"/>
  <c r="P34" i="1" s="1"/>
  <c r="K32" i="1"/>
  <c r="P32" i="1" s="1"/>
  <c r="K33" i="1"/>
  <c r="P33" i="1" s="1"/>
  <c r="K28" i="1"/>
  <c r="P28" i="1" s="1"/>
  <c r="K31" i="1"/>
  <c r="P31" i="1" s="1"/>
  <c r="K35" i="1"/>
  <c r="P35" i="1" s="1"/>
  <c r="K29" i="1"/>
  <c r="P29" i="1" s="1"/>
  <c r="K36" i="1"/>
  <c r="P36" i="1" s="1"/>
  <c r="K30" i="1"/>
  <c r="P30" i="1" s="1"/>
  <c r="P27" i="1"/>
  <c r="T26" i="1" l="1"/>
  <c r="T25" i="1" s="1"/>
  <c r="M27" i="1"/>
  <c r="S27" i="1" s="1"/>
  <c r="L27" i="1"/>
  <c r="I28" i="1" s="1"/>
  <c r="J28" i="1" s="1"/>
  <c r="N35" i="2"/>
  <c r="M35" i="2" s="1"/>
  <c r="C78" i="2"/>
  <c r="F78" i="2" s="1"/>
  <c r="C20" i="1"/>
  <c r="C21" i="1" s="1"/>
  <c r="L35" i="2"/>
  <c r="I36" i="2" s="1"/>
  <c r="R27" i="1" l="1"/>
  <c r="N28" i="1"/>
  <c r="J36" i="2"/>
  <c r="L28" i="1"/>
  <c r="I29" i="1" s="1"/>
  <c r="J29" i="1" s="1"/>
  <c r="N29" i="1" s="1"/>
  <c r="T27" i="1" l="1"/>
  <c r="M29" i="1"/>
  <c r="M28" i="1"/>
  <c r="R28" i="1" s="1"/>
  <c r="N36" i="2"/>
  <c r="M36" i="2" s="1"/>
  <c r="C79" i="2"/>
  <c r="F79" i="2" s="1"/>
  <c r="L36" i="2"/>
  <c r="I37" i="2" s="1"/>
  <c r="L29" i="1"/>
  <c r="I30" i="1" s="1"/>
  <c r="J30" i="1" s="1"/>
  <c r="N30" i="1" s="1"/>
  <c r="R29" i="1" l="1"/>
  <c r="S29" i="1"/>
  <c r="S28" i="1"/>
  <c r="J37" i="2"/>
  <c r="M30" i="1"/>
  <c r="L30" i="1"/>
  <c r="I31" i="1" s="1"/>
  <c r="T29" i="1" l="1"/>
  <c r="R30" i="1"/>
  <c r="S30" i="1"/>
  <c r="T28" i="1"/>
  <c r="N37" i="2"/>
  <c r="M37" i="2" s="1"/>
  <c r="C80" i="2"/>
  <c r="F80" i="2" s="1"/>
  <c r="L37" i="2"/>
  <c r="I38" i="2" s="1"/>
  <c r="J38" i="2" s="1"/>
  <c r="J31" i="1"/>
  <c r="N31" i="1" s="1"/>
  <c r="T30" i="1" l="1"/>
  <c r="N38" i="2"/>
  <c r="M38" i="2" s="1"/>
  <c r="C81" i="2"/>
  <c r="F81" i="2" s="1"/>
  <c r="E56" i="2" s="1"/>
  <c r="E58" i="2" s="1"/>
  <c r="E66" i="2" s="1"/>
  <c r="L38" i="2"/>
  <c r="I39" i="2" s="1"/>
  <c r="M31" i="1"/>
  <c r="L31" i="1"/>
  <c r="I32" i="1" s="1"/>
  <c r="J32" i="1" s="1"/>
  <c r="N32" i="1" s="1"/>
  <c r="R31" i="1" l="1"/>
  <c r="S31" i="1"/>
  <c r="M32" i="1"/>
  <c r="C11" i="2"/>
  <c r="C12" i="2" s="1"/>
  <c r="D104" i="2"/>
  <c r="D106" i="2" s="1"/>
  <c r="J39" i="2"/>
  <c r="N39" i="2" s="1"/>
  <c r="M39" i="2" s="1"/>
  <c r="L32" i="1"/>
  <c r="I33" i="1" s="1"/>
  <c r="R32" i="1" l="1"/>
  <c r="S32" i="1"/>
  <c r="T31" i="1"/>
  <c r="L39" i="2"/>
  <c r="I40" i="2" s="1"/>
  <c r="J33" i="1"/>
  <c r="N33" i="1" s="1"/>
  <c r="T32" i="1" l="1"/>
  <c r="M33" i="1"/>
  <c r="J40" i="2"/>
  <c r="N40" i="2" s="1"/>
  <c r="M40" i="2" s="1"/>
  <c r="L33" i="1"/>
  <c r="I34" i="1" s="1"/>
  <c r="R33" i="1" l="1"/>
  <c r="S33" i="1"/>
  <c r="L40" i="2"/>
  <c r="I41" i="2" s="1"/>
  <c r="J34" i="1"/>
  <c r="N34" i="1" s="1"/>
  <c r="T33" i="1" l="1"/>
  <c r="M34" i="1"/>
  <c r="J41" i="2"/>
  <c r="N41" i="2" s="1"/>
  <c r="M41" i="2" s="1"/>
  <c r="L34" i="1"/>
  <c r="I35" i="1" s="1"/>
  <c r="R34" i="1" l="1"/>
  <c r="S34" i="1"/>
  <c r="T34" i="1" s="1"/>
  <c r="L41" i="2"/>
  <c r="I42" i="2" s="1"/>
  <c r="J35" i="1"/>
  <c r="N35" i="1" s="1"/>
  <c r="M35" i="1" l="1"/>
  <c r="J42" i="2"/>
  <c r="N42" i="2" s="1"/>
  <c r="M42" i="2" s="1"/>
  <c r="L35" i="1"/>
  <c r="I36" i="1" s="1"/>
  <c r="R35" i="1" l="1"/>
  <c r="S35" i="1"/>
  <c r="L42" i="2"/>
  <c r="I43" i="2" s="1"/>
  <c r="J36" i="1"/>
  <c r="N36" i="1" s="1"/>
  <c r="T35" i="1" l="1"/>
  <c r="M36" i="1"/>
  <c r="J43" i="2"/>
  <c r="N43" i="2" s="1"/>
  <c r="M43" i="2" s="1"/>
  <c r="L36" i="1"/>
  <c r="I37" i="1" s="1"/>
  <c r="R36" i="1" l="1"/>
  <c r="S36" i="1"/>
  <c r="L43" i="2"/>
  <c r="I44" i="2" s="1"/>
  <c r="J37" i="1"/>
  <c r="N37" i="1" s="1"/>
  <c r="T36" i="1" l="1"/>
  <c r="M37" i="1"/>
  <c r="J44" i="2"/>
  <c r="N44" i="2" s="1"/>
  <c r="L37" i="1"/>
  <c r="I38" i="1" s="1"/>
  <c r="R37" i="1" l="1"/>
  <c r="S37" i="1"/>
  <c r="M44" i="2"/>
  <c r="M46" i="2" s="1"/>
  <c r="N46" i="2"/>
  <c r="L44" i="2"/>
  <c r="J38" i="1"/>
  <c r="N38" i="1" s="1"/>
  <c r="T37" i="1" l="1"/>
  <c r="M38" i="1"/>
  <c r="L38" i="1"/>
  <c r="I39" i="1" s="1"/>
  <c r="R38" i="1" l="1"/>
  <c r="S38" i="1"/>
  <c r="J39" i="1"/>
  <c r="N39" i="1" s="1"/>
  <c r="M39" i="1" s="1"/>
  <c r="R39" i="1" l="1"/>
  <c r="S39" i="1"/>
  <c r="T39" i="1" s="1"/>
  <c r="T38" i="1"/>
  <c r="L39" i="1"/>
  <c r="I40" i="1" s="1"/>
  <c r="J40" i="1" s="1"/>
  <c r="L40" i="1" l="1"/>
  <c r="I41" i="1" s="1"/>
  <c r="N40" i="1"/>
  <c r="M40" i="1" s="1"/>
  <c r="R40" i="1" l="1"/>
  <c r="S40" i="1"/>
  <c r="J41" i="1"/>
  <c r="N41" i="1" s="1"/>
  <c r="M41" i="1" s="1"/>
  <c r="T40" i="1" l="1"/>
  <c r="R41" i="1"/>
  <c r="S41" i="1"/>
  <c r="L41" i="1"/>
  <c r="I42" i="1" s="1"/>
  <c r="T41" i="1" l="1"/>
  <c r="J42" i="1"/>
  <c r="N42" i="1" s="1"/>
  <c r="M42" i="1" s="1"/>
  <c r="R42" i="1" l="1"/>
  <c r="S42" i="1"/>
  <c r="L42" i="1"/>
  <c r="I43" i="1" s="1"/>
  <c r="T42" i="1" l="1"/>
  <c r="J43" i="1"/>
  <c r="N43" i="1" s="1"/>
  <c r="M43" i="1" s="1"/>
  <c r="R43" i="1" l="1"/>
  <c r="S43" i="1"/>
  <c r="L43" i="1"/>
  <c r="I44" i="1" s="1"/>
  <c r="J44" i="1" s="1"/>
  <c r="T43" i="1" l="1"/>
  <c r="L44" i="1"/>
  <c r="N44" i="1"/>
  <c r="N46" i="1" s="1"/>
  <c r="M44" i="1" l="1"/>
  <c r="R44" i="1" l="1"/>
  <c r="R45" i="1" s="1"/>
  <c r="S44" i="1"/>
  <c r="S45" i="1" s="1"/>
  <c r="M46" i="1"/>
  <c r="T44" i="1" l="1"/>
</calcChain>
</file>

<file path=xl/sharedStrings.xml><?xml version="1.0" encoding="utf-8"?>
<sst xmlns="http://schemas.openxmlformats.org/spreadsheetml/2006/main" count="151" uniqueCount="64">
  <si>
    <t xml:space="preserve">Total Amount Released </t>
  </si>
  <si>
    <t>Installments Calculation Support</t>
  </si>
  <si>
    <t>R$, except otherwise mentioned</t>
  </si>
  <si>
    <t># of Installments (months)</t>
  </si>
  <si>
    <t>Monthly Interest Rate (% pm)</t>
  </si>
  <si>
    <t>Annual Interest Rate (% pa)</t>
  </si>
  <si>
    <t>Release (Amortization)</t>
  </si>
  <si>
    <t># Month Since 
Credit Release</t>
  </si>
  <si>
    <t>Accured Interest 
Expenses</t>
  </si>
  <si>
    <t>Outstanding 
Balance (BoP)</t>
  </si>
  <si>
    <t>Outstanding 
Balance (EoP)</t>
  </si>
  <si>
    <t>x</t>
  </si>
  <si>
    <t>Credit Assignment Calculation Support</t>
  </si>
  <si>
    <t>Total Amount Released</t>
  </si>
  <si>
    <t>( x ) Origination Fee (%)</t>
  </si>
  <si>
    <t>( x ) Bank Corresp. Fee (%)</t>
  </si>
  <si>
    <t>IOF (Tax over Financial Transactions) Calculation</t>
  </si>
  <si>
    <t># of Days</t>
  </si>
  <si>
    <t>Daily IOF Tax Rate</t>
  </si>
  <si>
    <t>Daily IOF (R$)</t>
  </si>
  <si>
    <t>IOF Tax Rate (%)</t>
  </si>
  <si>
    <t>Additional IOF Tax Rate</t>
  </si>
  <si>
    <t>( x ) Principal Amount (R$)</t>
  </si>
  <si>
    <t>( = ) Maximum IOF Payment</t>
  </si>
  <si>
    <t>Total IOF Payment ( A + B )</t>
  </si>
  <si>
    <t>Accumulated Daily IOF ( B )</t>
  </si>
  <si>
    <t>( = ) Add. IOF Payment ( A )</t>
  </si>
  <si>
    <t>Final IOF Payment</t>
  </si>
  <si>
    <t>( = ) Final IOF Payment ( D )</t>
  </si>
  <si>
    <t>( = ) Bank Corresp. Fee ( C )</t>
  </si>
  <si>
    <t>( = ) Total Amount Released ( A )</t>
  </si>
  <si>
    <t>PJ</t>
  </si>
  <si>
    <t>PF</t>
  </si>
  <si>
    <t>Borrower Nature (1 = PJ or 2 = PF)</t>
  </si>
  <si>
    <t>Chosen</t>
  </si>
  <si>
    <t>Total Effective Cost (% pm)</t>
  </si>
  <si>
    <t xml:space="preserve">Borrower 
Cash Flow </t>
  </si>
  <si>
    <t>Total Effective Cost (% pa)</t>
  </si>
  <si>
    <t>Cap of IOF Tax Rate</t>
  </si>
  <si>
    <t>( = ) Cap of IOF Payment</t>
  </si>
  <si>
    <t>( + ) Add. IOF Payment</t>
  </si>
  <si>
    <t>Monthly Installment (without IOF)</t>
  </si>
  <si>
    <t>Monthly Installment (with IOF)</t>
  </si>
  <si>
    <t>Principal Amortization</t>
  </si>
  <si>
    <t>Interest 
Expenses</t>
  </si>
  <si>
    <t>Principal 
Amortization (R$)</t>
  </si>
  <si>
    <t>Payment Date</t>
  </si>
  <si>
    <t>Without IOF</t>
  </si>
  <si>
    <t>With IOF</t>
  </si>
  <si>
    <t>Total Financed Amount (with IOF)</t>
  </si>
  <si>
    <t>Date of Maturity</t>
  </si>
  <si>
    <t>Date of Issue</t>
  </si>
  <si>
    <t># Days</t>
  </si>
  <si>
    <t>Payment to Partner ( A + B + C + D )</t>
  </si>
  <si>
    <t xml:space="preserve">( = ) Origination Fee ( B )  </t>
  </si>
  <si>
    <t>Adj. Payment Date</t>
  </si>
  <si>
    <t>Last day of Month (Y = 1 / N = 0)</t>
  </si>
  <si>
    <t>Dias de Acrescimo</t>
  </si>
  <si>
    <t>Monthly Installment (with IOF)+Comission</t>
  </si>
  <si>
    <t>principal</t>
  </si>
  <si>
    <t>interest</t>
  </si>
  <si>
    <t>FLUXO AJUSTADO</t>
  </si>
  <si>
    <t>valor a ser distribuido igualmente entre as parcelas</t>
  </si>
  <si>
    <t>Valor total a ser distribuido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</si>
</sst>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R$&quot;\ #,##0.00;[Red]\-&quot;R$&quot;\ #,##0.00"/>
    <numFmt numFmtId="165" formatCode="_-* #,##0.00_-;\-* #,##0.00_-;_-* &quot;-&quot;??_-;_-@_-"/>
    <numFmt numFmtId="166" formatCode="_-* #,##0.0_-;\-* #,##0.0_-;_-* &quot;-&quot;??_-;_-@_-"/>
    <numFmt numFmtId="167" formatCode="_-* #,##0_-;\-* #,##0_-;_-* &quot;-&quot;??_-;_-@_-"/>
    <numFmt numFmtId="168" formatCode="0.0%"/>
    <numFmt numFmtId="169" formatCode="#,##0_);\(#,##0\);\-"/>
    <numFmt numFmtId="170" formatCode="dd/mm/yy;@"/>
    <numFmt numFmtId="171" formatCode="0.00000%"/>
    <numFmt numFmtId="172" formatCode="#,##0.00_);\(#,##0.00\);\-"/>
    <numFmt numFmtId="173" formatCode="#,##0.00000%_);\(#,##0.00000%\);\-"/>
    <numFmt numFmtId="174" formatCode="0;\(0\);\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 val="singleAccounting"/>
      <sz val="11"/>
      <color theme="1"/>
      <name val="Arial"/>
      <family val="2"/>
    </font>
    <font>
      <sz val="11"/>
      <color rgb="FF0070C0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medium">
        <color theme="8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77">
    <xf numFmtId="0" fontId="0" fillId="0" borderId="0" xfId="0"/>
    <xf numFmtId="168" fontId="0" fillId="0" borderId="0" xfId="0" applyNumberFormat="1"/>
    <xf numFmtId="0" fontId="5" fillId="0" borderId="0" xfId="0" applyFont="1" applyAlignment="1">
      <alignment wrapText="1"/>
    </xf>
    <xf numFmtId="164" fontId="0" fillId="0" borderId="0" xfId="0" applyNumberFormat="1"/>
    <xf numFmtId="167" fontId="4" fillId="0" borderId="0" xfId="1" applyNumberFormat="1" applyFont="1"/>
    <xf numFmtId="0" fontId="0" fillId="2" borderId="1" xfId="0" applyFill="1" applyBorder="1"/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0" borderId="10" xfId="0" applyFont="1" applyBorder="1"/>
    <xf numFmtId="0" fontId="0" fillId="0" borderId="10" xfId="0" applyBorder="1"/>
    <xf numFmtId="0" fontId="7" fillId="4" borderId="0" xfId="0" applyFont="1" applyFill="1"/>
    <xf numFmtId="165" fontId="7" fillId="4" borderId="0" xfId="0" applyNumberFormat="1" applyFont="1" applyFill="1"/>
    <xf numFmtId="0" fontId="0" fillId="3" borderId="11" xfId="0" applyFill="1" applyBorder="1"/>
    <xf numFmtId="169" fontId="0" fillId="3" borderId="0" xfId="0" applyNumberFormat="1" applyFill="1" applyBorder="1"/>
    <xf numFmtId="169" fontId="0" fillId="3" borderId="8" xfId="0" applyNumberFormat="1" applyFill="1" applyBorder="1"/>
    <xf numFmtId="169" fontId="4" fillId="3" borderId="3" xfId="0" applyNumberFormat="1" applyFont="1" applyFill="1" applyBorder="1"/>
    <xf numFmtId="166" fontId="8" fillId="0" borderId="0" xfId="1" applyNumberFormat="1" applyFont="1"/>
    <xf numFmtId="0" fontId="5" fillId="0" borderId="0" xfId="0" applyFont="1" applyAlignment="1">
      <alignment horizontal="right" wrapText="1"/>
    </xf>
    <xf numFmtId="166" fontId="8" fillId="0" borderId="15" xfId="1" applyNumberFormat="1" applyFont="1" applyBorder="1"/>
    <xf numFmtId="0" fontId="8" fillId="0" borderId="15" xfId="0" applyFont="1" applyBorder="1"/>
    <xf numFmtId="0" fontId="5" fillId="0" borderId="14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170" fontId="4" fillId="0" borderId="0" xfId="1" applyNumberFormat="1" applyFont="1"/>
    <xf numFmtId="14" fontId="0" fillId="0" borderId="0" xfId="0" applyNumberFormat="1"/>
    <xf numFmtId="0" fontId="0" fillId="3" borderId="13" xfId="0" applyFill="1" applyBorder="1"/>
    <xf numFmtId="0" fontId="5" fillId="0" borderId="0" xfId="0" applyFont="1" applyAlignment="1">
      <alignment horizontal="centerContinuous"/>
    </xf>
    <xf numFmtId="170" fontId="8" fillId="0" borderId="0" xfId="1" applyNumberFormat="1" applyFont="1"/>
    <xf numFmtId="165" fontId="4" fillId="0" borderId="0" xfId="1" applyNumberFormat="1" applyFont="1"/>
    <xf numFmtId="165" fontId="8" fillId="0" borderId="0" xfId="1" applyNumberFormat="1" applyFont="1"/>
    <xf numFmtId="171" fontId="4" fillId="0" borderId="0" xfId="0" applyNumberFormat="1" applyFont="1"/>
    <xf numFmtId="171" fontId="0" fillId="0" borderId="0" xfId="0" applyNumberFormat="1"/>
    <xf numFmtId="171" fontId="8" fillId="0" borderId="0" xfId="0" applyNumberFormat="1" applyFont="1"/>
    <xf numFmtId="172" fontId="4" fillId="3" borderId="3" xfId="0" applyNumberFormat="1" applyFont="1" applyFill="1" applyBorder="1"/>
    <xf numFmtId="172" fontId="0" fillId="3" borderId="3" xfId="0" applyNumberFormat="1" applyFill="1" applyBorder="1"/>
    <xf numFmtId="172" fontId="2" fillId="3" borderId="3" xfId="0" applyNumberFormat="1" applyFont="1" applyFill="1" applyBorder="1"/>
    <xf numFmtId="172" fontId="0" fillId="3" borderId="4" xfId="0" applyNumberFormat="1" applyFill="1" applyBorder="1"/>
    <xf numFmtId="172" fontId="0" fillId="3" borderId="0" xfId="0" applyNumberFormat="1" applyFill="1" applyBorder="1"/>
    <xf numFmtId="172" fontId="0" fillId="3" borderId="6" xfId="0" applyNumberFormat="1" applyFill="1" applyBorder="1"/>
    <xf numFmtId="172" fontId="0" fillId="3" borderId="8" xfId="0" applyNumberFormat="1" applyFill="1" applyBorder="1"/>
    <xf numFmtId="172" fontId="0" fillId="3" borderId="9" xfId="0" applyNumberFormat="1" applyFill="1" applyBorder="1"/>
    <xf numFmtId="165" fontId="8" fillId="0" borderId="15" xfId="1" applyNumberFormat="1" applyFont="1" applyBorder="1"/>
    <xf numFmtId="165" fontId="8" fillId="3" borderId="16" xfId="1" applyNumberFormat="1" applyFont="1" applyFill="1" applyBorder="1"/>
    <xf numFmtId="165" fontId="8" fillId="3" borderId="13" xfId="1" applyNumberFormat="1" applyFont="1" applyFill="1" applyBorder="1"/>
    <xf numFmtId="165" fontId="8" fillId="3" borderId="12" xfId="1" applyNumberFormat="1" applyFont="1" applyFill="1" applyBorder="1"/>
    <xf numFmtId="165" fontId="7" fillId="4" borderId="17" xfId="0" applyNumberFormat="1" applyFont="1" applyFill="1" applyBorder="1"/>
    <xf numFmtId="171" fontId="8" fillId="0" borderId="15" xfId="0" applyNumberFormat="1" applyFont="1" applyBorder="1"/>
    <xf numFmtId="172" fontId="8" fillId="3" borderId="4" xfId="0" applyNumberFormat="1" applyFont="1" applyFill="1" applyBorder="1"/>
    <xf numFmtId="173" fontId="8" fillId="3" borderId="3" xfId="0" applyNumberFormat="1" applyFont="1" applyFill="1" applyBorder="1"/>
    <xf numFmtId="173" fontId="0" fillId="3" borderId="0" xfId="0" applyNumberFormat="1" applyFill="1" applyBorder="1"/>
    <xf numFmtId="165" fontId="0" fillId="3" borderId="12" xfId="0" applyNumberFormat="1" applyFill="1" applyBorder="1"/>
    <xf numFmtId="165" fontId="0" fillId="0" borderId="0" xfId="0" applyNumberFormat="1"/>
    <xf numFmtId="14" fontId="0" fillId="3" borderId="0" xfId="0" applyNumberFormat="1" applyFill="1" applyBorder="1" applyAlignment="1">
      <alignment horizontal="center"/>
    </xf>
    <xf numFmtId="174" fontId="0" fillId="3" borderId="3" xfId="0" applyNumberFormat="1" applyFill="1" applyBorder="1" applyAlignment="1">
      <alignment horizontal="center"/>
    </xf>
    <xf numFmtId="174" fontId="0" fillId="3" borderId="0" xfId="0" applyNumberFormat="1" applyFill="1" applyBorder="1" applyAlignment="1">
      <alignment horizontal="center"/>
    </xf>
    <xf numFmtId="166" fontId="0" fillId="0" borderId="0" xfId="1" applyNumberFormat="1" applyFont="1"/>
    <xf numFmtId="173" fontId="0" fillId="3" borderId="8" xfId="0" applyNumberFormat="1" applyFill="1" applyBorder="1"/>
    <xf numFmtId="165" fontId="7" fillId="4" borderId="15" xfId="0" applyNumberFormat="1" applyFont="1" applyFill="1" applyBorder="1"/>
    <xf numFmtId="0" fontId="9" fillId="5" borderId="0" xfId="0" applyFont="1" applyFill="1" applyAlignment="1">
      <alignment horizontal="right" wrapText="1"/>
    </xf>
    <xf numFmtId="172" fontId="10" fillId="5" borderId="0" xfId="0" applyNumberFormat="1" applyFont="1" applyFill="1"/>
    <xf numFmtId="172" fontId="11" fillId="5" borderId="0" xfId="0" applyNumberFormat="1" applyFont="1" applyFill="1"/>
    <xf numFmtId="172" fontId="0" fillId="0" borderId="0" xfId="0" applyNumberFormat="1"/>
    <xf numFmtId="0" fontId="0" fillId="5" borderId="0" xfId="0" applyFill="1"/>
    <xf numFmtId="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6" borderId="0" xfId="0" applyFill="1" applyAlignment="1">
      <alignment horizontal="center"/>
    </xf>
    <xf numFmtId="0" fontId="9" fillId="7" borderId="0" xfId="0" applyFont="1" applyFill="1" applyAlignment="1">
      <alignment horizontal="right" wrapText="1"/>
    </xf>
    <xf numFmtId="43" fontId="12" fillId="8" borderId="0" xfId="0" applyNumberFormat="1" applyFont="1" applyFill="1"/>
    <xf numFmtId="2" fontId="12" fillId="8" borderId="0" xfId="0" applyNumberFormat="1" applyFont="1" applyFill="1"/>
    <xf numFmtId="0" fontId="0" fillId="9" borderId="0" xfId="0" applyFill="1"/>
    <xf numFmtId="4" fontId="0" fillId="9" borderId="0" xfId="0" applyNumberFormat="1" applyFill="1"/>
    <xf numFmtId="4" fontId="0" fillId="6" borderId="0" xfId="0" applyNumberFormat="1" applyFill="1"/>
    <xf numFmtId="0" fontId="0" fillId="6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6"/>
  <sheetViews>
    <sheetView showGridLines="0" tabSelected="1" topLeftCell="A18" zoomScaleNormal="100" zoomScaleSheetLayoutView="106" workbookViewId="0">
      <selection activeCell="R28" sqref="R28"/>
    </sheetView>
  </sheetViews>
  <sheetFormatPr baseColWidth="10" defaultColWidth="8.83203125" defaultRowHeight="15" x14ac:dyDescent="0.2"/>
  <cols>
    <col min="1" max="1" width="3.6640625" style="7" customWidth="1"/>
    <col min="2" max="2" width="31.6640625" customWidth="1"/>
    <col min="3" max="3" width="16.6640625" customWidth="1"/>
    <col min="4" max="7" width="16.5" customWidth="1"/>
    <col min="8" max="8" width="18.1640625" customWidth="1"/>
    <col min="9" max="12" width="16.1640625" customWidth="1"/>
    <col min="13" max="16" width="15" customWidth="1"/>
    <col min="18" max="18" width="9.5" bestFit="1" customWidth="1"/>
    <col min="19" max="19" width="10.83203125" customWidth="1"/>
    <col min="20" max="20" width="10.1640625" bestFit="1" customWidth="1"/>
  </cols>
  <sheetData>
    <row r="1" spans="1:16" s="5" customFormat="1" ht="16" thickBot="1" x14ac:dyDescent="0.25">
      <c r="A1" s="6"/>
    </row>
    <row r="2" spans="1:16" ht="16" thickTop="1" x14ac:dyDescent="0.2"/>
    <row r="3" spans="1:16" ht="20" thickBot="1" x14ac:dyDescent="0.3">
      <c r="A3" s="7" t="s">
        <v>11</v>
      </c>
      <c r="B3" s="11" t="s">
        <v>1</v>
      </c>
      <c r="C3" s="11"/>
      <c r="D3" s="11"/>
      <c r="E3" s="11"/>
      <c r="F3" s="11"/>
      <c r="G3" s="11"/>
      <c r="H3" s="11"/>
      <c r="I3" s="12"/>
      <c r="J3" s="12"/>
      <c r="K3" s="12"/>
      <c r="L3" s="12"/>
      <c r="M3" s="12"/>
      <c r="N3" s="12"/>
      <c r="O3" s="12"/>
      <c r="P3" s="12"/>
    </row>
    <row r="4" spans="1:16" x14ac:dyDescent="0.2">
      <c r="B4" t="s">
        <v>2</v>
      </c>
    </row>
    <row r="6" spans="1:16" x14ac:dyDescent="0.2">
      <c r="B6" t="s">
        <v>0</v>
      </c>
      <c r="C6" s="31">
        <f>17000</f>
        <v>17000</v>
      </c>
      <c r="E6" s="65" t="s">
        <v>57</v>
      </c>
      <c r="F6" s="65">
        <v>60</v>
      </c>
      <c r="H6" s="67"/>
      <c r="I6" s="68"/>
      <c r="M6" s="3"/>
    </row>
    <row r="7" spans="1:16" x14ac:dyDescent="0.2">
      <c r="B7" t="s">
        <v>3</v>
      </c>
      <c r="C7" s="4">
        <v>12</v>
      </c>
    </row>
    <row r="8" spans="1:16" x14ac:dyDescent="0.2">
      <c r="B8" t="s">
        <v>33</v>
      </c>
      <c r="C8" s="4">
        <v>1</v>
      </c>
      <c r="M8" s="3"/>
    </row>
    <row r="9" spans="1:16" x14ac:dyDescent="0.2">
      <c r="B9" t="s">
        <v>51</v>
      </c>
      <c r="C9" s="26">
        <f ca="1">TODAY()</f>
        <v>44312</v>
      </c>
      <c r="M9" s="3"/>
    </row>
    <row r="10" spans="1:16" x14ac:dyDescent="0.2">
      <c r="B10" t="s">
        <v>50</v>
      </c>
      <c r="C10" s="30">
        <f ca="1">DATE(YEAR($C$9),MONTH($C$9)+$C$7,DAY($C$9))+F6</f>
        <v>44737</v>
      </c>
      <c r="M10" s="3"/>
    </row>
    <row r="11" spans="1:16" x14ac:dyDescent="0.2">
      <c r="B11" t="s">
        <v>27</v>
      </c>
      <c r="C11" s="32">
        <f ca="1">E66</f>
        <v>270.85500869286273</v>
      </c>
      <c r="M11" s="3"/>
    </row>
    <row r="12" spans="1:16" x14ac:dyDescent="0.2">
      <c r="B12" t="s">
        <v>49</v>
      </c>
      <c r="C12" s="32">
        <f ca="1">C6+C11</f>
        <v>17270.855008692863</v>
      </c>
      <c r="M12" s="3"/>
    </row>
    <row r="14" spans="1:16" x14ac:dyDescent="0.2">
      <c r="B14" t="s">
        <v>41</v>
      </c>
      <c r="C14" s="32">
        <f ca="1">+$C$6/(IF(B27&gt;$C$7,0,1/(1+$C$17)^(D27/30))+IF(B28&gt;$C$7,0,1/(1+$C$17)^(D28/30))+IF(B29&gt;$C$7,0,1/(1+$C$17)^(D29/30))+IF(B30&gt;$C$7,0,1/(1+$C$17)^(D30/30))
+IF(B31&gt;$C$7,0,1/(1+$C$17)^(D31/30))+IF(B32&gt;$C$7,0,1/(1+$C$17)^(D32/30))+IF(B33&gt;$C$7,0,1/(1+$C$17)^(D33/30))+IF(B34&gt;$C$7,0,1/(1+$C$17)^(D34/30))
+IF(B35&gt;$C$7,0,1/(1+$C$17)^(D35/30))+IF(B36&gt;$C$7,0,1/(1+$C$17)^(D36/30))+IF(B37&gt;$C$7,0,1/(1+$C$17)^(D37/30))+IF(B38&gt;$C$7,0,1/(1+$C$17)^(D38/30))
+IF(B39&gt;$C$7,0,1/(1+$C$17)^(D39/30))+IF(B40&gt;$C$7,0,1/(1+$C$17)^(D40/30))+IF(B41&gt;$C$7,0,1/(1+$C$17)^(D41/30))+IF(B42&gt;$C$7,0,1/(1+$C$17)^(D42/30))
+IF(B43&gt;$C$7,0,1/(1+$C$17)^(D43/30))+IF(B44&gt;$C$7,0,1/(1+$C$17)^(D44/30)))</f>
        <v>2140.818921452937</v>
      </c>
    </row>
    <row r="15" spans="1:16" x14ac:dyDescent="0.2">
      <c r="B15" t="s">
        <v>42</v>
      </c>
      <c r="C15" s="32">
        <f ca="1">+$C$12/(IF(B27&gt;$C$7,0,1/(1+$C$17)^(D27/30))+IF(B28&gt;$C$7,0,1/(1+$C$17)^(D28/30))+IF(B29&gt;$C$7,0,1/(1+$C$17)^(D29/30))+IF(B30&gt;$C$7,0,1/(1+$C$17)^(D30/30))
+IF(B31&gt;$C$7,0,1/(1+$C$17)^(D31/30))+IF(B32&gt;$C$7,0,1/(1+$C$17)^(D32/30))+IF(B33&gt;$C$7,0,1/(1+$C$17)^(D33/30))+IF(B34&gt;$C$7,0,1/(1+$C$17)^(D34/30))
+IF(B35&gt;$C$7,0,1/(1+$C$17)^(D35/30))+IF(B36&gt;$C$7,0,1/(1+$C$17)^(D36/30))+IF(B37&gt;$C$7,0,1/(1+$C$17)^(D37/30))+IF(B38&gt;$C$7,0,1/(1+$C$17)^(D38/30))
+IF(B39&gt;$C$7,0,1/(1+$C$17)^(D39/30))+IF(B40&gt;$C$7,0,1/(1+$C$17)^(D40/30))+IF(B41&gt;$C$7,0,1/(1+$C$17)^(D41/30))+IF(B42&gt;$C$7,0,1/(1+$C$17)^(D42/30))
+IF(B43&gt;$C$7,0,1/(1+$C$17)^(D43/30))+IF(B44&gt;$C$7,0,1/(1+$C$17)^(D44/30)))</f>
        <v>2174.9278348399948</v>
      </c>
      <c r="E15" s="32"/>
    </row>
    <row r="17" spans="1:21" x14ac:dyDescent="0.2">
      <c r="B17" t="s">
        <v>4</v>
      </c>
      <c r="C17" s="33">
        <v>5.0999999999999997E-2</v>
      </c>
    </row>
    <row r="18" spans="1:21" x14ac:dyDescent="0.2">
      <c r="B18" t="s">
        <v>5</v>
      </c>
      <c r="C18" s="34">
        <f>(1+C17)^(12)-1</f>
        <v>0.81648824738955561</v>
      </c>
    </row>
    <row r="19" spans="1:21" x14ac:dyDescent="0.2">
      <c r="C19" s="34"/>
    </row>
    <row r="20" spans="1:21" x14ac:dyDescent="0.2">
      <c r="B20" t="s">
        <v>35</v>
      </c>
      <c r="C20" s="35">
        <f ca="1">IRR(P26:P44,4%)</f>
        <v>7.3021355016604783E-2</v>
      </c>
    </row>
    <row r="21" spans="1:21" x14ac:dyDescent="0.2">
      <c r="B21" t="s">
        <v>37</v>
      </c>
      <c r="C21" s="35">
        <f ca="1">(1+C20)^(12)-1</f>
        <v>1.329702058037038</v>
      </c>
      <c r="G21" s="58"/>
    </row>
    <row r="22" spans="1:21" x14ac:dyDescent="0.2">
      <c r="G22" s="58"/>
      <c r="I22" s="1"/>
      <c r="L22" s="66"/>
    </row>
    <row r="23" spans="1:21" x14ac:dyDescent="0.2">
      <c r="O23" s="66"/>
    </row>
    <row r="24" spans="1:21" ht="18" x14ac:dyDescent="0.35">
      <c r="E24" s="29" t="s">
        <v>47</v>
      </c>
      <c r="F24" s="29"/>
      <c r="G24" s="29"/>
      <c r="H24" s="29"/>
      <c r="I24" s="29" t="s">
        <v>48</v>
      </c>
      <c r="J24" s="29"/>
      <c r="K24" s="29"/>
      <c r="L24" s="29"/>
      <c r="R24" s="69" t="s">
        <v>61</v>
      </c>
      <c r="S24" s="69"/>
      <c r="T24" s="69"/>
    </row>
    <row r="25" spans="1:21" ht="36.75" customHeight="1" x14ac:dyDescent="0.35">
      <c r="A25" s="7" t="s">
        <v>11</v>
      </c>
      <c r="B25" s="25" t="s">
        <v>7</v>
      </c>
      <c r="C25" s="24" t="s">
        <v>46</v>
      </c>
      <c r="D25" s="24" t="s">
        <v>52</v>
      </c>
      <c r="E25" s="20" t="s">
        <v>9</v>
      </c>
      <c r="F25" s="20" t="s">
        <v>8</v>
      </c>
      <c r="G25" s="20" t="s">
        <v>6</v>
      </c>
      <c r="H25" s="20" t="s">
        <v>10</v>
      </c>
      <c r="I25" s="20" t="s">
        <v>9</v>
      </c>
      <c r="J25" s="20" t="s">
        <v>8</v>
      </c>
      <c r="K25" s="20" t="s">
        <v>6</v>
      </c>
      <c r="L25" s="20" t="s">
        <v>10</v>
      </c>
      <c r="M25" s="61" t="s">
        <v>43</v>
      </c>
      <c r="N25" s="61" t="s">
        <v>44</v>
      </c>
      <c r="O25" s="61"/>
      <c r="P25" s="61" t="s">
        <v>36</v>
      </c>
      <c r="R25" s="70" t="s">
        <v>59</v>
      </c>
      <c r="S25" s="70" t="s">
        <v>60</v>
      </c>
      <c r="T25" s="71">
        <f ca="1">T26/(C7-1)</f>
        <v>-54.960763636363637</v>
      </c>
      <c r="U25" t="s">
        <v>62</v>
      </c>
    </row>
    <row r="26" spans="1:21" x14ac:dyDescent="0.2">
      <c r="B26" s="8">
        <v>0</v>
      </c>
      <c r="C26" s="55">
        <f ca="1">I69</f>
        <v>44312</v>
      </c>
      <c r="D26" s="56">
        <v>0</v>
      </c>
      <c r="E26" s="36">
        <v>0</v>
      </c>
      <c r="F26" s="37">
        <f>E26*$C$17</f>
        <v>0</v>
      </c>
      <c r="G26" s="38">
        <f>C6</f>
        <v>17000</v>
      </c>
      <c r="H26" s="37">
        <f>ROUND(E26+F26+G26,5)</f>
        <v>17000</v>
      </c>
      <c r="I26" s="36">
        <v>0</v>
      </c>
      <c r="J26" s="37">
        <f>I26*$C$17</f>
        <v>0</v>
      </c>
      <c r="K26" s="38">
        <f ca="1">$C$12</f>
        <v>17270.855008692863</v>
      </c>
      <c r="L26" s="39">
        <f ca="1">ROUND(I26+J26+K26,5)</f>
        <v>17270.855009999999</v>
      </c>
      <c r="M26" s="62">
        <v>0</v>
      </c>
      <c r="N26" s="62">
        <v>0</v>
      </c>
      <c r="O26" s="62"/>
      <c r="P26" s="63">
        <f>C6</f>
        <v>17000</v>
      </c>
      <c r="R26" s="73"/>
      <c r="S26" s="73"/>
      <c r="T26" s="72">
        <f ca="1">IF(-TRUNC(P27-N27,4)&gt;0,0,-TRUNC(P27-N27,4))</f>
        <v>-604.5684</v>
      </c>
      <c r="U26" s="66" t="s">
        <v>63</v>
      </c>
    </row>
    <row r="27" spans="1:21" x14ac:dyDescent="0.2">
      <c r="B27" s="9">
        <f>B26+1</f>
        <v>1</v>
      </c>
      <c r="C27" s="55">
        <f t="shared" ref="C27:C44" ca="1" si="0">I70</f>
        <v>44402</v>
      </c>
      <c r="D27" s="57">
        <f ca="1">C27-C26+D26</f>
        <v>90</v>
      </c>
      <c r="E27" s="40">
        <f>H26</f>
        <v>17000</v>
      </c>
      <c r="F27" s="40">
        <f ca="1">E27*((1+$C$17)^((D27-D26)/30)-1)</f>
        <v>2735.9060669999994</v>
      </c>
      <c r="G27" s="40">
        <f ca="1">IF($B27&lt;=$C$7,-$C$14,0)</f>
        <v>-2140.818921452937</v>
      </c>
      <c r="H27" s="40">
        <f t="shared" ref="H27:H44" ca="1" si="1">ROUND(E27+F27+G27,5)</f>
        <v>17595.087149999999</v>
      </c>
      <c r="I27" s="40">
        <f ca="1">L26</f>
        <v>17270.855009999999</v>
      </c>
      <c r="J27" s="40">
        <f ca="1">I27*((1+$C$17)^((D27-D26)/30)-1)</f>
        <v>2779.4962943609607</v>
      </c>
      <c r="K27" s="40">
        <f ca="1">IF(B27&lt;=$C$7,-$C$15,0)</f>
        <v>-2174.9278348399948</v>
      </c>
      <c r="L27" s="41">
        <f t="shared" ref="L27:L44" ca="1" si="2">ROUND(I27+J27+K27,5)</f>
        <v>17875.423470000002</v>
      </c>
      <c r="M27" s="63">
        <f ca="1">K27-N27</f>
        <v>604.56845952096592</v>
      </c>
      <c r="N27" s="63">
        <f ca="1">-J27</f>
        <v>-2779.4962943609607</v>
      </c>
      <c r="O27" s="63"/>
      <c r="P27" s="63">
        <f t="shared" ref="P27:P44" ca="1" si="3">K27</f>
        <v>-2174.9278348399948</v>
      </c>
      <c r="R27" s="74">
        <f ca="1">IF(M27&gt;0,0,M27)</f>
        <v>0</v>
      </c>
      <c r="S27" s="74">
        <f ca="1">IF(M27&gt;0,P27,N27)</f>
        <v>-2174.9278348399948</v>
      </c>
      <c r="T27" s="66">
        <f ca="1">R27+S27</f>
        <v>-2174.9278348399948</v>
      </c>
    </row>
    <row r="28" spans="1:21" x14ac:dyDescent="0.2">
      <c r="B28" s="9">
        <f>B27+1</f>
        <v>2</v>
      </c>
      <c r="C28" s="55">
        <f t="shared" ca="1" si="0"/>
        <v>44433</v>
      </c>
      <c r="D28" s="57">
        <f t="shared" ref="D28:D44" ca="1" si="4">C28-C27+D27</f>
        <v>121</v>
      </c>
      <c r="E28" s="40">
        <f t="shared" ref="E28:E44" ca="1" si="5">H27</f>
        <v>17595.087149999999</v>
      </c>
      <c r="F28" s="40">
        <f t="shared" ref="F28:F44" ca="1" si="6">E28*((1+$C$17)^((D28-D27)/30)-1)</f>
        <v>928.03662771258007</v>
      </c>
      <c r="G28" s="40">
        <f t="shared" ref="G28:G44" ca="1" si="7">IF($B28&lt;=$C$7,-$C$14,0)</f>
        <v>-2140.818921452937</v>
      </c>
      <c r="H28" s="40">
        <f t="shared" ca="1" si="1"/>
        <v>16382.30486</v>
      </c>
      <c r="I28" s="40">
        <f t="shared" ref="I28:I44" ca="1" si="8">L27</f>
        <v>17875.423470000002</v>
      </c>
      <c r="J28" s="40">
        <f t="shared" ref="J28:J44" ca="1" si="9">I28*((1+$C$17)^((D28-D27)/30)-1)</f>
        <v>942.82270810082969</v>
      </c>
      <c r="K28" s="40">
        <f t="shared" ref="K28:K44" ca="1" si="10">IF(B28&lt;=$C$7,-$C$15,0)</f>
        <v>-2174.9278348399948</v>
      </c>
      <c r="L28" s="41">
        <f t="shared" ca="1" si="2"/>
        <v>16643.318340000002</v>
      </c>
      <c r="M28" s="63">
        <f t="shared" ref="M28:M44" ca="1" si="11">K28-N28</f>
        <v>-1232.1051267391651</v>
      </c>
      <c r="N28" s="63">
        <f ca="1">-J28</f>
        <v>-942.82270810082969</v>
      </c>
      <c r="O28" s="63"/>
      <c r="P28" s="63">
        <f t="shared" ca="1" si="3"/>
        <v>-2174.9278348399948</v>
      </c>
      <c r="R28" s="74">
        <f ca="1">IF(OR(M28&gt;0,P28=0),0,M28-$T$25)</f>
        <v>-1177.1443631028014</v>
      </c>
      <c r="S28" s="74">
        <f ca="1">IF(P28=0,0,IF(M28&gt;0,P28,N28+$T$25))</f>
        <v>-997.78347173719328</v>
      </c>
      <c r="T28" s="66">
        <f t="shared" ref="T28:T38" ca="1" si="12">R28+S28</f>
        <v>-2174.9278348399948</v>
      </c>
    </row>
    <row r="29" spans="1:21" x14ac:dyDescent="0.2">
      <c r="B29" s="9">
        <f>B28+1</f>
        <v>3</v>
      </c>
      <c r="C29" s="55">
        <f t="shared" ca="1" si="0"/>
        <v>44463</v>
      </c>
      <c r="D29" s="57">
        <f t="shared" ca="1" si="4"/>
        <v>151</v>
      </c>
      <c r="E29" s="40">
        <f t="shared" ca="1" si="5"/>
        <v>16382.30486</v>
      </c>
      <c r="F29" s="40">
        <f t="shared" ca="1" si="6"/>
        <v>835.49754785999892</v>
      </c>
      <c r="G29" s="40">
        <f t="shared" ca="1" si="7"/>
        <v>-2140.818921452937</v>
      </c>
      <c r="H29" s="40">
        <f t="shared" ca="1" si="1"/>
        <v>15076.983490000001</v>
      </c>
      <c r="I29" s="40">
        <f t="shared" ca="1" si="8"/>
        <v>16643.318340000002</v>
      </c>
      <c r="J29" s="40">
        <f t="shared" ca="1" si="9"/>
        <v>848.80923533999896</v>
      </c>
      <c r="K29" s="40">
        <f t="shared" ca="1" si="10"/>
        <v>-2174.9278348399948</v>
      </c>
      <c r="L29" s="41">
        <f t="shared" ca="1" si="2"/>
        <v>15317.19974</v>
      </c>
      <c r="M29" s="63">
        <f t="shared" ca="1" si="11"/>
        <v>-1326.118599499996</v>
      </c>
      <c r="N29" s="63">
        <f t="shared" ref="N29:N44" ca="1" si="13">-J29</f>
        <v>-848.80923533999896</v>
      </c>
      <c r="O29" s="63"/>
      <c r="P29" s="63">
        <f t="shared" ca="1" si="3"/>
        <v>-2174.9278348399948</v>
      </c>
      <c r="R29" s="74">
        <f t="shared" ref="R28:R38" ca="1" si="14">IF(OR(M29&gt;0,P29=0),0,M29-$T$25)</f>
        <v>-1271.1578358636323</v>
      </c>
      <c r="S29" s="74">
        <f t="shared" ref="S29:S44" ca="1" si="15">IF(P29=0,0,IF(M29&gt;0,P29,N29+$T$25))</f>
        <v>-903.76999897636256</v>
      </c>
      <c r="T29" s="66">
        <f t="shared" ca="1" si="12"/>
        <v>-2174.9278348399948</v>
      </c>
    </row>
    <row r="30" spans="1:21" x14ac:dyDescent="0.2">
      <c r="B30" s="9">
        <f>B29+1</f>
        <v>4</v>
      </c>
      <c r="C30" s="55">
        <f t="shared" ca="1" si="0"/>
        <v>44494</v>
      </c>
      <c r="D30" s="57">
        <f t="shared" ca="1" si="4"/>
        <v>182</v>
      </c>
      <c r="E30" s="40">
        <f t="shared" ca="1" si="5"/>
        <v>15076.983490000001</v>
      </c>
      <c r="F30" s="40">
        <f t="shared" ca="1" si="6"/>
        <v>795.22157491205428</v>
      </c>
      <c r="G30" s="40">
        <f t="shared" ca="1" si="7"/>
        <v>-2140.818921452937</v>
      </c>
      <c r="H30" s="40">
        <f t="shared" ca="1" si="1"/>
        <v>13731.386140000001</v>
      </c>
      <c r="I30" s="40">
        <f t="shared" ca="1" si="8"/>
        <v>15317.19974</v>
      </c>
      <c r="J30" s="40">
        <f t="shared" ca="1" si="9"/>
        <v>807.89155924752606</v>
      </c>
      <c r="K30" s="40">
        <f t="shared" ca="1" si="10"/>
        <v>-2174.9278348399948</v>
      </c>
      <c r="L30" s="41">
        <f t="shared" ca="1" si="2"/>
        <v>13950.16346</v>
      </c>
      <c r="M30" s="63">
        <f t="shared" ca="1" si="11"/>
        <v>-1367.0362755924689</v>
      </c>
      <c r="N30" s="63">
        <f t="shared" ca="1" si="13"/>
        <v>-807.89155924752606</v>
      </c>
      <c r="O30" s="63"/>
      <c r="P30" s="63">
        <f t="shared" ca="1" si="3"/>
        <v>-2174.9278348399948</v>
      </c>
      <c r="R30" s="74">
        <f t="shared" ca="1" si="14"/>
        <v>-1312.0755119561052</v>
      </c>
      <c r="S30" s="74">
        <f t="shared" ca="1" si="15"/>
        <v>-862.85232288388966</v>
      </c>
      <c r="T30" s="66">
        <f t="shared" ca="1" si="12"/>
        <v>-2174.9278348399948</v>
      </c>
    </row>
    <row r="31" spans="1:21" x14ac:dyDescent="0.2">
      <c r="B31" s="9">
        <f>B30+1</f>
        <v>5</v>
      </c>
      <c r="C31" s="55">
        <f t="shared" ca="1" si="0"/>
        <v>44525</v>
      </c>
      <c r="D31" s="57">
        <f t="shared" ca="1" si="4"/>
        <v>213</v>
      </c>
      <c r="E31" s="40">
        <f t="shared" ca="1" si="5"/>
        <v>13731.386140000001</v>
      </c>
      <c r="F31" s="40">
        <f t="shared" ca="1" si="6"/>
        <v>724.24928495934523</v>
      </c>
      <c r="G31" s="40">
        <f t="shared" ca="1" si="7"/>
        <v>-2140.818921452937</v>
      </c>
      <c r="H31" s="40">
        <f t="shared" ca="1" si="1"/>
        <v>12314.816500000001</v>
      </c>
      <c r="I31" s="40">
        <f t="shared" ca="1" si="8"/>
        <v>13950.16346</v>
      </c>
      <c r="J31" s="40">
        <f t="shared" ca="1" si="9"/>
        <v>735.78849272466709</v>
      </c>
      <c r="K31" s="40">
        <f t="shared" ca="1" si="10"/>
        <v>-2174.9278348399948</v>
      </c>
      <c r="L31" s="41">
        <f t="shared" ca="1" si="2"/>
        <v>12511.02412</v>
      </c>
      <c r="M31" s="63">
        <f t="shared" ca="1" si="11"/>
        <v>-1439.1393421153277</v>
      </c>
      <c r="N31" s="63">
        <f t="shared" ca="1" si="13"/>
        <v>-735.78849272466709</v>
      </c>
      <c r="O31" s="63"/>
      <c r="P31" s="63">
        <f t="shared" ca="1" si="3"/>
        <v>-2174.9278348399948</v>
      </c>
      <c r="R31" s="74">
        <f t="shared" ca="1" si="14"/>
        <v>-1384.178578478964</v>
      </c>
      <c r="S31" s="74">
        <f t="shared" ca="1" si="15"/>
        <v>-790.74925636103069</v>
      </c>
      <c r="T31" s="66">
        <f t="shared" ca="1" si="12"/>
        <v>-2174.9278348399948</v>
      </c>
    </row>
    <row r="32" spans="1:21" x14ac:dyDescent="0.2">
      <c r="B32" s="9">
        <f t="shared" ref="B32:B44" si="16">B31+1</f>
        <v>6</v>
      </c>
      <c r="C32" s="55">
        <f t="shared" ca="1" si="0"/>
        <v>44555</v>
      </c>
      <c r="D32" s="57">
        <f t="shared" ca="1" si="4"/>
        <v>243</v>
      </c>
      <c r="E32" s="40">
        <f t="shared" ca="1" si="5"/>
        <v>12314.816500000001</v>
      </c>
      <c r="F32" s="40">
        <f t="shared" ca="1" si="6"/>
        <v>628.05564149999918</v>
      </c>
      <c r="G32" s="40">
        <f t="shared" ca="1" si="7"/>
        <v>-2140.818921452937</v>
      </c>
      <c r="H32" s="40">
        <f t="shared" ca="1" si="1"/>
        <v>10802.05322</v>
      </c>
      <c r="I32" s="40">
        <f t="shared" ca="1" si="8"/>
        <v>12511.02412</v>
      </c>
      <c r="J32" s="40">
        <f t="shared" ca="1" si="9"/>
        <v>638.06223011999919</v>
      </c>
      <c r="K32" s="40">
        <f t="shared" ca="1" si="10"/>
        <v>-2174.9278348399948</v>
      </c>
      <c r="L32" s="41">
        <f t="shared" ca="1" si="2"/>
        <v>10974.158520000001</v>
      </c>
      <c r="M32" s="63">
        <f t="shared" ca="1" si="11"/>
        <v>-1536.8656047199956</v>
      </c>
      <c r="N32" s="63">
        <f t="shared" ca="1" si="13"/>
        <v>-638.06223011999919</v>
      </c>
      <c r="O32" s="63"/>
      <c r="P32" s="63">
        <f t="shared" ca="1" si="3"/>
        <v>-2174.9278348399948</v>
      </c>
      <c r="R32" s="74">
        <f t="shared" ca="1" si="14"/>
        <v>-1481.9048410836319</v>
      </c>
      <c r="S32" s="74">
        <f t="shared" ca="1" si="15"/>
        <v>-693.02299375636278</v>
      </c>
      <c r="T32" s="66">
        <f t="shared" ca="1" si="12"/>
        <v>-2174.9278348399948</v>
      </c>
    </row>
    <row r="33" spans="1:20" x14ac:dyDescent="0.2">
      <c r="B33" s="9">
        <f t="shared" si="16"/>
        <v>7</v>
      </c>
      <c r="C33" s="55">
        <f t="shared" ca="1" si="0"/>
        <v>44586</v>
      </c>
      <c r="D33" s="57">
        <f t="shared" ca="1" si="4"/>
        <v>274</v>
      </c>
      <c r="E33" s="40">
        <f t="shared" ca="1" si="5"/>
        <v>10802.05322</v>
      </c>
      <c r="F33" s="40">
        <f t="shared" ca="1" si="6"/>
        <v>569.74432449234087</v>
      </c>
      <c r="G33" s="40">
        <f t="shared" ca="1" si="7"/>
        <v>-2140.818921452937</v>
      </c>
      <c r="H33" s="40">
        <f t="shared" ca="1" si="1"/>
        <v>9230.9786199999999</v>
      </c>
      <c r="I33" s="40">
        <f t="shared" ca="1" si="8"/>
        <v>10974.158520000001</v>
      </c>
      <c r="J33" s="40">
        <f t="shared" ca="1" si="9"/>
        <v>578.82185965098108</v>
      </c>
      <c r="K33" s="40">
        <f t="shared" ca="1" si="10"/>
        <v>-2174.9278348399948</v>
      </c>
      <c r="L33" s="41">
        <f t="shared" ca="1" si="2"/>
        <v>9378.0525400000006</v>
      </c>
      <c r="M33" s="63">
        <f t="shared" ca="1" si="11"/>
        <v>-1596.1059751890139</v>
      </c>
      <c r="N33" s="63">
        <f t="shared" ca="1" si="13"/>
        <v>-578.82185965098108</v>
      </c>
      <c r="O33" s="63"/>
      <c r="P33" s="63">
        <f t="shared" ca="1" si="3"/>
        <v>-2174.9278348399948</v>
      </c>
      <c r="R33" s="74">
        <f t="shared" ca="1" si="14"/>
        <v>-1541.1452115526502</v>
      </c>
      <c r="S33" s="74">
        <f t="shared" ca="1" si="15"/>
        <v>-633.78262328734468</v>
      </c>
      <c r="T33" s="66">
        <f t="shared" ca="1" si="12"/>
        <v>-2174.9278348399948</v>
      </c>
    </row>
    <row r="34" spans="1:20" x14ac:dyDescent="0.2">
      <c r="B34" s="9">
        <f t="shared" si="16"/>
        <v>8</v>
      </c>
      <c r="C34" s="55">
        <f t="shared" ca="1" si="0"/>
        <v>44616</v>
      </c>
      <c r="D34" s="57">
        <f t="shared" ca="1" si="4"/>
        <v>304</v>
      </c>
      <c r="E34" s="40">
        <f t="shared" ca="1" si="5"/>
        <v>9230.9786199999999</v>
      </c>
      <c r="F34" s="40">
        <f t="shared" ca="1" si="6"/>
        <v>470.77990961999939</v>
      </c>
      <c r="G34" s="40">
        <f t="shared" ca="1" si="7"/>
        <v>-2140.818921452937</v>
      </c>
      <c r="H34" s="40">
        <f t="shared" ca="1" si="1"/>
        <v>7560.9396100000004</v>
      </c>
      <c r="I34" s="40">
        <f t="shared" ca="1" si="8"/>
        <v>9378.0525400000006</v>
      </c>
      <c r="J34" s="40">
        <f t="shared" ca="1" si="9"/>
        <v>478.28067953999943</v>
      </c>
      <c r="K34" s="40">
        <f t="shared" ca="1" si="10"/>
        <v>-2174.9278348399948</v>
      </c>
      <c r="L34" s="41">
        <f t="shared" ca="1" si="2"/>
        <v>7681.4053800000002</v>
      </c>
      <c r="M34" s="63">
        <f t="shared" ca="1" si="11"/>
        <v>-1696.6471552999953</v>
      </c>
      <c r="N34" s="63">
        <f t="shared" ca="1" si="13"/>
        <v>-478.28067953999943</v>
      </c>
      <c r="O34" s="63"/>
      <c r="P34" s="63">
        <f t="shared" ca="1" si="3"/>
        <v>-2174.9278348399948</v>
      </c>
      <c r="R34" s="74">
        <f t="shared" ca="1" si="14"/>
        <v>-1641.6863916636316</v>
      </c>
      <c r="S34" s="74">
        <f t="shared" ca="1" si="15"/>
        <v>-533.24144317636308</v>
      </c>
      <c r="T34" s="66">
        <f t="shared" ca="1" si="12"/>
        <v>-2174.9278348399948</v>
      </c>
    </row>
    <row r="35" spans="1:20" x14ac:dyDescent="0.2">
      <c r="B35" s="9">
        <f t="shared" si="16"/>
        <v>9</v>
      </c>
      <c r="C35" s="55">
        <f t="shared" ca="1" si="0"/>
        <v>44647</v>
      </c>
      <c r="D35" s="57">
        <f t="shared" ca="1" si="4"/>
        <v>335</v>
      </c>
      <c r="E35" s="40">
        <f t="shared" ca="1" si="5"/>
        <v>7560.9396100000004</v>
      </c>
      <c r="F35" s="40">
        <f t="shared" ca="1" si="6"/>
        <v>398.79477937129008</v>
      </c>
      <c r="G35" s="40">
        <f t="shared" ca="1" si="7"/>
        <v>-2140.818921452937</v>
      </c>
      <c r="H35" s="40">
        <f t="shared" ca="1" si="1"/>
        <v>5818.9154699999999</v>
      </c>
      <c r="I35" s="40">
        <f t="shared" ca="1" si="8"/>
        <v>7681.4053800000002</v>
      </c>
      <c r="J35" s="40">
        <f t="shared" ca="1" si="9"/>
        <v>405.14863519436847</v>
      </c>
      <c r="K35" s="40">
        <f t="shared" ca="1" si="10"/>
        <v>-2174.9278348399948</v>
      </c>
      <c r="L35" s="41">
        <f t="shared" ca="1" si="2"/>
        <v>5911.6261800000002</v>
      </c>
      <c r="M35" s="63">
        <f t="shared" ca="1" si="11"/>
        <v>-1769.7791996456262</v>
      </c>
      <c r="N35" s="63">
        <f t="shared" ca="1" si="13"/>
        <v>-405.14863519436847</v>
      </c>
      <c r="O35" s="63"/>
      <c r="P35" s="63">
        <f t="shared" ca="1" si="3"/>
        <v>-2174.9278348399948</v>
      </c>
      <c r="R35" s="74">
        <f t="shared" ca="1" si="14"/>
        <v>-1714.8184360092625</v>
      </c>
      <c r="S35" s="74">
        <f t="shared" ca="1" si="15"/>
        <v>-460.10939883073212</v>
      </c>
      <c r="T35" s="66">
        <f t="shared" ca="1" si="12"/>
        <v>-2174.9278348399948</v>
      </c>
    </row>
    <row r="36" spans="1:20" x14ac:dyDescent="0.2">
      <c r="B36" s="9">
        <f t="shared" si="16"/>
        <v>10</v>
      </c>
      <c r="C36" s="55">
        <f t="shared" ca="1" si="0"/>
        <v>44678</v>
      </c>
      <c r="D36" s="57">
        <f t="shared" ca="1" si="4"/>
        <v>366</v>
      </c>
      <c r="E36" s="40">
        <f t="shared" ca="1" si="5"/>
        <v>5818.9154699999999</v>
      </c>
      <c r="F36" s="40">
        <f t="shared" ca="1" si="6"/>
        <v>306.91332436641915</v>
      </c>
      <c r="G36" s="40">
        <f t="shared" ca="1" si="7"/>
        <v>-2140.818921452937</v>
      </c>
      <c r="H36" s="40">
        <f t="shared" ca="1" si="1"/>
        <v>3985.0098699999999</v>
      </c>
      <c r="I36" s="40">
        <f t="shared" ca="1" si="8"/>
        <v>5911.6261800000002</v>
      </c>
      <c r="J36" s="40">
        <f t="shared" ca="1" si="9"/>
        <v>311.8032651736313</v>
      </c>
      <c r="K36" s="40">
        <f t="shared" ca="1" si="10"/>
        <v>-2174.9278348399948</v>
      </c>
      <c r="L36" s="41">
        <f t="shared" ca="1" si="2"/>
        <v>4048.5016099999998</v>
      </c>
      <c r="M36" s="63">
        <f t="shared" ca="1" si="11"/>
        <v>-1863.1245696663636</v>
      </c>
      <c r="N36" s="63">
        <f t="shared" ca="1" si="13"/>
        <v>-311.8032651736313</v>
      </c>
      <c r="O36" s="63"/>
      <c r="P36" s="63">
        <f t="shared" ca="1" si="3"/>
        <v>-2174.9278348399948</v>
      </c>
      <c r="R36" s="74">
        <f t="shared" ca="1" si="14"/>
        <v>-1808.1638060299999</v>
      </c>
      <c r="S36" s="74">
        <f t="shared" ca="1" si="15"/>
        <v>-366.76402880999495</v>
      </c>
      <c r="T36" s="66">
        <f t="shared" ca="1" si="12"/>
        <v>-2174.9278348399948</v>
      </c>
    </row>
    <row r="37" spans="1:20" x14ac:dyDescent="0.2">
      <c r="B37" s="9">
        <f t="shared" si="16"/>
        <v>11</v>
      </c>
      <c r="C37" s="55">
        <f t="shared" ca="1" si="0"/>
        <v>44706</v>
      </c>
      <c r="D37" s="57">
        <f t="shared" ca="1" si="4"/>
        <v>394</v>
      </c>
      <c r="E37" s="40">
        <f t="shared" ca="1" si="5"/>
        <v>3985.0098699999999</v>
      </c>
      <c r="F37" s="40">
        <f t="shared" ca="1" si="6"/>
        <v>189.36970079477953</v>
      </c>
      <c r="G37" s="40">
        <f t="shared" ca="1" si="7"/>
        <v>-2140.818921452937</v>
      </c>
      <c r="H37" s="40">
        <f t="shared" ca="1" si="1"/>
        <v>2033.5606499999999</v>
      </c>
      <c r="I37" s="40">
        <f t="shared" ca="1" si="8"/>
        <v>4048.5016099999998</v>
      </c>
      <c r="J37" s="40">
        <f t="shared" ca="1" si="9"/>
        <v>192.38686065108371</v>
      </c>
      <c r="K37" s="40">
        <f t="shared" ca="1" si="10"/>
        <v>-2174.9278348399948</v>
      </c>
      <c r="L37" s="41">
        <f t="shared" ca="1" si="2"/>
        <v>2065.9606399999998</v>
      </c>
      <c r="M37" s="63">
        <f t="shared" ca="1" si="11"/>
        <v>-1982.5409741889112</v>
      </c>
      <c r="N37" s="63">
        <f t="shared" ca="1" si="13"/>
        <v>-192.38686065108371</v>
      </c>
      <c r="O37" s="63"/>
      <c r="P37" s="63">
        <f t="shared" ca="1" si="3"/>
        <v>-2174.9278348399948</v>
      </c>
      <c r="R37" s="74">
        <f t="shared" ca="1" si="14"/>
        <v>-1927.5802105525474</v>
      </c>
      <c r="S37" s="74">
        <f t="shared" ca="1" si="15"/>
        <v>-247.34762428744733</v>
      </c>
      <c r="T37" s="66">
        <f t="shared" ca="1" si="12"/>
        <v>-2174.9278348399948</v>
      </c>
    </row>
    <row r="38" spans="1:20" x14ac:dyDescent="0.2">
      <c r="B38" s="9">
        <f t="shared" si="16"/>
        <v>12</v>
      </c>
      <c r="C38" s="55">
        <f t="shared" ca="1" si="0"/>
        <v>44737</v>
      </c>
      <c r="D38" s="57">
        <f t="shared" ca="1" si="4"/>
        <v>425</v>
      </c>
      <c r="E38" s="40">
        <f t="shared" ca="1" si="5"/>
        <v>2033.5606499999999</v>
      </c>
      <c r="F38" s="40">
        <f t="shared" ca="1" si="6"/>
        <v>107.25827907450874</v>
      </c>
      <c r="G38" s="40">
        <f t="shared" ca="1" si="7"/>
        <v>-2140.818921452937</v>
      </c>
      <c r="H38" s="40">
        <f t="shared" ca="1" si="1"/>
        <v>1.0000000000000001E-5</v>
      </c>
      <c r="I38" s="40">
        <f t="shared" ca="1" si="8"/>
        <v>2065.9606399999998</v>
      </c>
      <c r="J38" s="40">
        <f t="shared" ca="1" si="9"/>
        <v>108.96718663496496</v>
      </c>
      <c r="K38" s="40">
        <f t="shared" ca="1" si="10"/>
        <v>-2174.9278348399948</v>
      </c>
      <c r="L38" s="41">
        <f t="shared" ca="1" si="2"/>
        <v>-1.0000000000000001E-5</v>
      </c>
      <c r="M38" s="63">
        <f t="shared" ca="1" si="11"/>
        <v>-2065.9606482050299</v>
      </c>
      <c r="N38" s="63">
        <f t="shared" ca="1" si="13"/>
        <v>-108.96718663496496</v>
      </c>
      <c r="O38" s="63"/>
      <c r="P38" s="63">
        <f t="shared" ca="1" si="3"/>
        <v>-2174.9278348399948</v>
      </c>
      <c r="R38" s="74">
        <f t="shared" ca="1" si="14"/>
        <v>-2010.9998845686662</v>
      </c>
      <c r="S38" s="74">
        <f t="shared" ca="1" si="15"/>
        <v>-163.9279502713286</v>
      </c>
      <c r="T38" s="66">
        <f t="shared" ca="1" si="12"/>
        <v>-2174.9278348399948</v>
      </c>
    </row>
    <row r="39" spans="1:20" x14ac:dyDescent="0.2">
      <c r="B39" s="9">
        <f t="shared" si="16"/>
        <v>13</v>
      </c>
      <c r="C39" s="55">
        <f t="shared" ca="1" si="0"/>
        <v>44767</v>
      </c>
      <c r="D39" s="57">
        <f t="shared" ca="1" si="4"/>
        <v>455</v>
      </c>
      <c r="E39" s="40">
        <f t="shared" ca="1" si="5"/>
        <v>1.0000000000000001E-5</v>
      </c>
      <c r="F39" s="40">
        <f t="shared" ca="1" si="6"/>
        <v>5.0999999999999935E-7</v>
      </c>
      <c r="G39" s="40">
        <f t="shared" si="7"/>
        <v>0</v>
      </c>
      <c r="H39" s="40">
        <f t="shared" ca="1" si="1"/>
        <v>1.0000000000000001E-5</v>
      </c>
      <c r="I39" s="40">
        <f t="shared" ca="1" si="8"/>
        <v>-1.0000000000000001E-5</v>
      </c>
      <c r="J39" s="40">
        <f t="shared" ca="1" si="9"/>
        <v>-5.0999999999999935E-7</v>
      </c>
      <c r="K39" s="40">
        <f t="shared" si="10"/>
        <v>0</v>
      </c>
      <c r="L39" s="41">
        <f t="shared" ca="1" si="2"/>
        <v>-1.0000000000000001E-5</v>
      </c>
      <c r="M39" s="63">
        <f t="shared" ca="1" si="11"/>
        <v>-5.0999999999999935E-7</v>
      </c>
      <c r="N39" s="63">
        <f t="shared" ca="1" si="13"/>
        <v>5.0999999999999935E-7</v>
      </c>
      <c r="O39" s="63"/>
      <c r="P39" s="63">
        <f t="shared" si="3"/>
        <v>0</v>
      </c>
      <c r="R39" s="74">
        <f ca="1">IF(OR(M39&gt;0,P39=0),0,M39-$T$25)</f>
        <v>0</v>
      </c>
      <c r="S39" s="74">
        <f t="shared" si="15"/>
        <v>0</v>
      </c>
      <c r="T39" s="66">
        <f t="shared" ref="T39:T44" ca="1" si="17">R39+S39</f>
        <v>0</v>
      </c>
    </row>
    <row r="40" spans="1:20" x14ac:dyDescent="0.2">
      <c r="B40" s="9">
        <f t="shared" si="16"/>
        <v>14</v>
      </c>
      <c r="C40" s="55">
        <f t="shared" ca="1" si="0"/>
        <v>44798</v>
      </c>
      <c r="D40" s="57">
        <f t="shared" ca="1" si="4"/>
        <v>486</v>
      </c>
      <c r="E40" s="40">
        <f t="shared" ca="1" si="5"/>
        <v>1.0000000000000001E-5</v>
      </c>
      <c r="F40" s="40">
        <f t="shared" ca="1" si="6"/>
        <v>5.274407678694449E-7</v>
      </c>
      <c r="G40" s="40">
        <f t="shared" si="7"/>
        <v>0</v>
      </c>
      <c r="H40" s="40">
        <f t="shared" ca="1" si="1"/>
        <v>1.0000000000000001E-5</v>
      </c>
      <c r="I40" s="40">
        <f t="shared" ca="1" si="8"/>
        <v>-1.0000000000000001E-5</v>
      </c>
      <c r="J40" s="40">
        <f t="shared" ca="1" si="9"/>
        <v>-5.274407678694449E-7</v>
      </c>
      <c r="K40" s="40">
        <f t="shared" si="10"/>
        <v>0</v>
      </c>
      <c r="L40" s="41">
        <f t="shared" ca="1" si="2"/>
        <v>-1.0000000000000001E-5</v>
      </c>
      <c r="M40" s="63">
        <f t="shared" ca="1" si="11"/>
        <v>-5.274407678694449E-7</v>
      </c>
      <c r="N40" s="63">
        <f t="shared" ca="1" si="13"/>
        <v>5.274407678694449E-7</v>
      </c>
      <c r="O40" s="63"/>
      <c r="P40" s="63">
        <f t="shared" si="3"/>
        <v>0</v>
      </c>
      <c r="R40" s="74">
        <f t="shared" ref="R40:R44" ca="1" si="18">IF(OR(M40&gt;0,P40=0),0,M40-$T$25)</f>
        <v>0</v>
      </c>
      <c r="S40" s="74">
        <f t="shared" si="15"/>
        <v>0</v>
      </c>
      <c r="T40" s="66">
        <f t="shared" ca="1" si="17"/>
        <v>0</v>
      </c>
    </row>
    <row r="41" spans="1:20" x14ac:dyDescent="0.2">
      <c r="B41" s="9">
        <f t="shared" si="16"/>
        <v>15</v>
      </c>
      <c r="C41" s="55">
        <f t="shared" ca="1" si="0"/>
        <v>44828</v>
      </c>
      <c r="D41" s="57">
        <f t="shared" ca="1" si="4"/>
        <v>516</v>
      </c>
      <c r="E41" s="40">
        <f t="shared" ca="1" si="5"/>
        <v>1.0000000000000001E-5</v>
      </c>
      <c r="F41" s="40">
        <f t="shared" ca="1" si="6"/>
        <v>5.0999999999999935E-7</v>
      </c>
      <c r="G41" s="40">
        <f t="shared" si="7"/>
        <v>0</v>
      </c>
      <c r="H41" s="40">
        <f t="shared" ca="1" si="1"/>
        <v>1.0000000000000001E-5</v>
      </c>
      <c r="I41" s="40">
        <f t="shared" ca="1" si="8"/>
        <v>-1.0000000000000001E-5</v>
      </c>
      <c r="J41" s="40">
        <f t="shared" ca="1" si="9"/>
        <v>-5.0999999999999935E-7</v>
      </c>
      <c r="K41" s="40">
        <f t="shared" si="10"/>
        <v>0</v>
      </c>
      <c r="L41" s="41">
        <f t="shared" ca="1" si="2"/>
        <v>-1.0000000000000001E-5</v>
      </c>
      <c r="M41" s="63">
        <f t="shared" ca="1" si="11"/>
        <v>-5.0999999999999935E-7</v>
      </c>
      <c r="N41" s="63">
        <f t="shared" ca="1" si="13"/>
        <v>5.0999999999999935E-7</v>
      </c>
      <c r="O41" s="63"/>
      <c r="P41" s="63">
        <f t="shared" si="3"/>
        <v>0</v>
      </c>
      <c r="R41" s="74">
        <f t="shared" ca="1" si="18"/>
        <v>0</v>
      </c>
      <c r="S41" s="74">
        <f t="shared" si="15"/>
        <v>0</v>
      </c>
      <c r="T41" s="66">
        <f t="shared" ca="1" si="17"/>
        <v>0</v>
      </c>
    </row>
    <row r="42" spans="1:20" x14ac:dyDescent="0.2">
      <c r="B42" s="9">
        <f t="shared" si="16"/>
        <v>16</v>
      </c>
      <c r="C42" s="55">
        <f t="shared" ca="1" si="0"/>
        <v>44859</v>
      </c>
      <c r="D42" s="57">
        <f t="shared" ca="1" si="4"/>
        <v>547</v>
      </c>
      <c r="E42" s="40">
        <f t="shared" ca="1" si="5"/>
        <v>1.0000000000000001E-5</v>
      </c>
      <c r="F42" s="40">
        <f t="shared" ca="1" si="6"/>
        <v>5.274407678694449E-7</v>
      </c>
      <c r="G42" s="40">
        <f t="shared" si="7"/>
        <v>0</v>
      </c>
      <c r="H42" s="40">
        <f t="shared" ca="1" si="1"/>
        <v>1.0000000000000001E-5</v>
      </c>
      <c r="I42" s="40">
        <f t="shared" ca="1" si="8"/>
        <v>-1.0000000000000001E-5</v>
      </c>
      <c r="J42" s="40">
        <f t="shared" ca="1" si="9"/>
        <v>-5.274407678694449E-7</v>
      </c>
      <c r="K42" s="40">
        <f t="shared" si="10"/>
        <v>0</v>
      </c>
      <c r="L42" s="41">
        <f t="shared" ca="1" si="2"/>
        <v>-1.0000000000000001E-5</v>
      </c>
      <c r="M42" s="63">
        <f t="shared" ca="1" si="11"/>
        <v>-5.274407678694449E-7</v>
      </c>
      <c r="N42" s="63">
        <f t="shared" ca="1" si="13"/>
        <v>5.274407678694449E-7</v>
      </c>
      <c r="O42" s="63"/>
      <c r="P42" s="63">
        <f t="shared" si="3"/>
        <v>0</v>
      </c>
      <c r="R42" s="74">
        <f t="shared" ca="1" si="18"/>
        <v>0</v>
      </c>
      <c r="S42" s="74">
        <f t="shared" si="15"/>
        <v>0</v>
      </c>
      <c r="T42" s="66">
        <f t="shared" ca="1" si="17"/>
        <v>0</v>
      </c>
    </row>
    <row r="43" spans="1:20" x14ac:dyDescent="0.2">
      <c r="B43" s="9">
        <f t="shared" si="16"/>
        <v>17</v>
      </c>
      <c r="C43" s="55">
        <f t="shared" ca="1" si="0"/>
        <v>44890</v>
      </c>
      <c r="D43" s="57">
        <f t="shared" ca="1" si="4"/>
        <v>578</v>
      </c>
      <c r="E43" s="40">
        <f t="shared" ca="1" si="5"/>
        <v>1.0000000000000001E-5</v>
      </c>
      <c r="F43" s="40">
        <f t="shared" ca="1" si="6"/>
        <v>5.274407678694449E-7</v>
      </c>
      <c r="G43" s="40">
        <f t="shared" si="7"/>
        <v>0</v>
      </c>
      <c r="H43" s="40">
        <f t="shared" ca="1" si="1"/>
        <v>1.0000000000000001E-5</v>
      </c>
      <c r="I43" s="40">
        <f t="shared" ca="1" si="8"/>
        <v>-1.0000000000000001E-5</v>
      </c>
      <c r="J43" s="40">
        <f t="shared" ca="1" si="9"/>
        <v>-5.274407678694449E-7</v>
      </c>
      <c r="K43" s="40">
        <f t="shared" si="10"/>
        <v>0</v>
      </c>
      <c r="L43" s="41">
        <f t="shared" ca="1" si="2"/>
        <v>-1.0000000000000001E-5</v>
      </c>
      <c r="M43" s="63">
        <f t="shared" ca="1" si="11"/>
        <v>-5.274407678694449E-7</v>
      </c>
      <c r="N43" s="63">
        <f t="shared" ca="1" si="13"/>
        <v>5.274407678694449E-7</v>
      </c>
      <c r="O43" s="63"/>
      <c r="P43" s="63">
        <f t="shared" si="3"/>
        <v>0</v>
      </c>
      <c r="R43" s="74">
        <f t="shared" ca="1" si="18"/>
        <v>0</v>
      </c>
      <c r="S43" s="74">
        <f t="shared" si="15"/>
        <v>0</v>
      </c>
      <c r="T43" s="66">
        <f t="shared" ca="1" si="17"/>
        <v>0</v>
      </c>
    </row>
    <row r="44" spans="1:20" x14ac:dyDescent="0.2">
      <c r="B44" s="10">
        <f t="shared" si="16"/>
        <v>18</v>
      </c>
      <c r="C44" s="55">
        <f t="shared" ca="1" si="0"/>
        <v>44920</v>
      </c>
      <c r="D44" s="57">
        <f t="shared" ca="1" si="4"/>
        <v>608</v>
      </c>
      <c r="E44" s="42">
        <f t="shared" ca="1" si="5"/>
        <v>1.0000000000000001E-5</v>
      </c>
      <c r="F44" s="42">
        <f t="shared" ca="1" si="6"/>
        <v>5.0999999999999935E-7</v>
      </c>
      <c r="G44" s="42">
        <f t="shared" si="7"/>
        <v>0</v>
      </c>
      <c r="H44" s="42">
        <f t="shared" ca="1" si="1"/>
        <v>1.0000000000000001E-5</v>
      </c>
      <c r="I44" s="42">
        <f t="shared" ca="1" si="8"/>
        <v>-1.0000000000000001E-5</v>
      </c>
      <c r="J44" s="42">
        <f t="shared" ca="1" si="9"/>
        <v>-5.0999999999999935E-7</v>
      </c>
      <c r="K44" s="42">
        <f t="shared" si="10"/>
        <v>0</v>
      </c>
      <c r="L44" s="43">
        <f t="shared" ca="1" si="2"/>
        <v>-1.0000000000000001E-5</v>
      </c>
      <c r="M44" s="63">
        <f t="shared" ca="1" si="11"/>
        <v>-5.0999999999999935E-7</v>
      </c>
      <c r="N44" s="63">
        <f t="shared" ca="1" si="13"/>
        <v>5.0999999999999935E-7</v>
      </c>
      <c r="O44" s="63"/>
      <c r="P44" s="63">
        <f t="shared" si="3"/>
        <v>0</v>
      </c>
      <c r="R44" s="74">
        <f t="shared" ca="1" si="18"/>
        <v>0</v>
      </c>
      <c r="S44" s="74">
        <f t="shared" si="15"/>
        <v>0</v>
      </c>
      <c r="T44" s="66">
        <f t="shared" ca="1" si="17"/>
        <v>0</v>
      </c>
    </row>
    <row r="45" spans="1:20" x14ac:dyDescent="0.2">
      <c r="R45" s="75">
        <f ca="1">SUM(R27:R44)</f>
        <v>-17270.855070861893</v>
      </c>
      <c r="S45" s="75">
        <f ca="1">SUM(S27:S44)</f>
        <v>-8828.2789472180448</v>
      </c>
      <c r="T45" s="76"/>
    </row>
    <row r="46" spans="1:20" x14ac:dyDescent="0.2">
      <c r="M46" s="64">
        <f ca="1">SUM(M27:M45)</f>
        <v>-17270.855014453256</v>
      </c>
      <c r="N46" s="64">
        <f ca="1">SUM(N27:N45)</f>
        <v>-8828.2790036266906</v>
      </c>
      <c r="O46" s="64"/>
    </row>
    <row r="47" spans="1:20" ht="20" thickBot="1" x14ac:dyDescent="0.3">
      <c r="A47" s="7" t="s">
        <v>11</v>
      </c>
      <c r="B47" s="11" t="s">
        <v>16</v>
      </c>
      <c r="C47" s="11"/>
      <c r="D47" s="11"/>
      <c r="E47" s="11"/>
      <c r="F47" s="11"/>
      <c r="G47" s="11"/>
      <c r="M47">
        <v>-17269.081982255382</v>
      </c>
      <c r="N47">
        <v>-8745.1986425320865</v>
      </c>
    </row>
    <row r="48" spans="1:20" x14ac:dyDescent="0.2">
      <c r="B48" t="s">
        <v>2</v>
      </c>
    </row>
    <row r="50" spans="2:8" ht="19" x14ac:dyDescent="0.35">
      <c r="E50" s="23" t="s">
        <v>34</v>
      </c>
      <c r="F50" s="24" t="s">
        <v>31</v>
      </c>
      <c r="G50" s="24" t="s">
        <v>32</v>
      </c>
    </row>
    <row r="51" spans="2:8" x14ac:dyDescent="0.2">
      <c r="B51" t="s">
        <v>21</v>
      </c>
      <c r="E51" s="49">
        <f>CHOOSE($C$8,F51,G51)</f>
        <v>3.8E-3</v>
      </c>
      <c r="F51" s="33">
        <v>3.8E-3</v>
      </c>
      <c r="G51" s="33">
        <v>3.8E-3</v>
      </c>
    </row>
    <row r="52" spans="2:8" x14ac:dyDescent="0.2">
      <c r="B52" t="s">
        <v>22</v>
      </c>
      <c r="E52" s="44">
        <f>$C$6</f>
        <v>17000</v>
      </c>
      <c r="F52" s="32">
        <f>$C$6</f>
        <v>17000</v>
      </c>
      <c r="G52" s="32">
        <f>$C$6</f>
        <v>17000</v>
      </c>
    </row>
    <row r="53" spans="2:8" x14ac:dyDescent="0.2">
      <c r="B53" s="15" t="s">
        <v>26</v>
      </c>
      <c r="C53" s="28"/>
      <c r="D53" s="28"/>
      <c r="E53" s="45">
        <f>E51*E52</f>
        <v>64.599999999999994</v>
      </c>
      <c r="F53" s="46">
        <f>F51*F52</f>
        <v>64.599999999999994</v>
      </c>
      <c r="G53" s="47">
        <f>G51*G52</f>
        <v>64.599999999999994</v>
      </c>
    </row>
    <row r="54" spans="2:8" x14ac:dyDescent="0.2">
      <c r="E54" s="22"/>
    </row>
    <row r="55" spans="2:8" x14ac:dyDescent="0.2">
      <c r="B55" t="s">
        <v>18</v>
      </c>
      <c r="E55" s="49">
        <f>CHOOSE($C$8,F55,G55)</f>
        <v>4.1E-5</v>
      </c>
      <c r="F55" s="33">
        <v>4.1E-5</v>
      </c>
      <c r="G55" s="33">
        <v>8.2000000000000001E-5</v>
      </c>
    </row>
    <row r="56" spans="2:8" x14ac:dyDescent="0.2">
      <c r="B56" s="15" t="s">
        <v>25</v>
      </c>
      <c r="C56" s="28"/>
      <c r="D56" s="28"/>
      <c r="E56" s="45">
        <f ca="1">SUM(F69:F87)</f>
        <v>206.25500869286273</v>
      </c>
      <c r="F56" s="46"/>
      <c r="G56" s="47"/>
    </row>
    <row r="57" spans="2:8" x14ac:dyDescent="0.2">
      <c r="E57" s="21"/>
      <c r="F57" s="19"/>
      <c r="G57" s="19"/>
    </row>
    <row r="58" spans="2:8" x14ac:dyDescent="0.2">
      <c r="B58" s="13" t="s">
        <v>24</v>
      </c>
      <c r="C58" s="13"/>
      <c r="D58" s="13"/>
      <c r="E58" s="60">
        <f ca="1">E53+E56</f>
        <v>270.85500869286273</v>
      </c>
      <c r="F58" s="14">
        <f>F53+F56</f>
        <v>64.599999999999994</v>
      </c>
      <c r="G58" s="14">
        <f>G53+G56</f>
        <v>64.599999999999994</v>
      </c>
    </row>
    <row r="59" spans="2:8" x14ac:dyDescent="0.2">
      <c r="E59" s="21"/>
      <c r="F59" s="19"/>
      <c r="G59" s="19"/>
    </row>
    <row r="60" spans="2:8" x14ac:dyDescent="0.2">
      <c r="B60" t="s">
        <v>38</v>
      </c>
      <c r="E60" s="49">
        <f>CHOOSE($C$8,F60,G60)</f>
        <v>1.4999999999999999E-2</v>
      </c>
      <c r="F60" s="33">
        <v>1.4999999999999999E-2</v>
      </c>
      <c r="G60" s="33">
        <v>0.03</v>
      </c>
      <c r="H60" s="58"/>
    </row>
    <row r="61" spans="2:8" x14ac:dyDescent="0.2">
      <c r="B61" t="s">
        <v>22</v>
      </c>
      <c r="E61" s="44">
        <f>$C$6</f>
        <v>17000</v>
      </c>
      <c r="F61" s="32">
        <f>$C$6</f>
        <v>17000</v>
      </c>
      <c r="G61" s="32">
        <f>$C$6</f>
        <v>17000</v>
      </c>
    </row>
    <row r="62" spans="2:8" x14ac:dyDescent="0.2">
      <c r="B62" t="s">
        <v>39</v>
      </c>
      <c r="E62" s="44">
        <f>E60*E61</f>
        <v>255</v>
      </c>
      <c r="F62" s="32">
        <f>F60*F61</f>
        <v>255</v>
      </c>
      <c r="G62" s="32">
        <f t="shared" ref="G62" si="19">G60*G61</f>
        <v>510</v>
      </c>
    </row>
    <row r="63" spans="2:8" x14ac:dyDescent="0.2">
      <c r="B63" t="s">
        <v>40</v>
      </c>
      <c r="E63" s="44">
        <f>E53</f>
        <v>64.599999999999994</v>
      </c>
      <c r="F63" s="32">
        <f t="shared" ref="F63:G63" si="20">F53</f>
        <v>64.599999999999994</v>
      </c>
      <c r="G63" s="32">
        <f t="shared" si="20"/>
        <v>64.599999999999994</v>
      </c>
    </row>
    <row r="64" spans="2:8" x14ac:dyDescent="0.2">
      <c r="B64" s="15" t="s">
        <v>23</v>
      </c>
      <c r="C64" s="28"/>
      <c r="D64" s="28"/>
      <c r="E64" s="45">
        <f>E62+E63</f>
        <v>319.60000000000002</v>
      </c>
      <c r="F64" s="46">
        <f>F62+F63</f>
        <v>319.60000000000002</v>
      </c>
      <c r="G64" s="47">
        <f t="shared" ref="G64" si="21">G62+G63</f>
        <v>574.6</v>
      </c>
    </row>
    <row r="65" spans="1:9" x14ac:dyDescent="0.2">
      <c r="E65" s="44"/>
      <c r="F65" s="32"/>
      <c r="G65" s="32"/>
    </row>
    <row r="66" spans="1:9" x14ac:dyDescent="0.2">
      <c r="B66" s="13" t="s">
        <v>27</v>
      </c>
      <c r="C66" s="13"/>
      <c r="D66" s="13"/>
      <c r="E66" s="48">
        <f ca="1">MIN(E58,E64)</f>
        <v>270.85500869286273</v>
      </c>
      <c r="F66" s="14">
        <f>MIN(F58,F64)</f>
        <v>64.599999999999994</v>
      </c>
      <c r="G66" s="14">
        <f>MIN(G58,G64)</f>
        <v>64.599999999999994</v>
      </c>
    </row>
    <row r="68" spans="1:9" ht="36.75" customHeight="1" x14ac:dyDescent="0.35">
      <c r="A68" s="7" t="s">
        <v>11</v>
      </c>
      <c r="B68" s="2" t="s">
        <v>7</v>
      </c>
      <c r="C68" s="20" t="s">
        <v>45</v>
      </c>
      <c r="D68" s="20" t="s">
        <v>17</v>
      </c>
      <c r="E68" s="20" t="s">
        <v>20</v>
      </c>
      <c r="F68" s="20" t="s">
        <v>19</v>
      </c>
      <c r="G68" s="20" t="s">
        <v>46</v>
      </c>
      <c r="H68" s="20" t="s">
        <v>56</v>
      </c>
      <c r="I68" s="20" t="s">
        <v>55</v>
      </c>
    </row>
    <row r="69" spans="1:9" x14ac:dyDescent="0.2">
      <c r="B69" s="8">
        <v>0</v>
      </c>
      <c r="C69" s="36">
        <v>0</v>
      </c>
      <c r="D69" s="18">
        <v>0</v>
      </c>
      <c r="E69" s="51">
        <f t="shared" ref="E69:E87" si="22">$E$55*D69</f>
        <v>0</v>
      </c>
      <c r="F69" s="50">
        <f t="shared" ref="F69:F87" si="23">C69*E69</f>
        <v>0</v>
      </c>
      <c r="G69" s="27">
        <f ca="1">C9</f>
        <v>44312</v>
      </c>
      <c r="H69">
        <f t="shared" ref="H69:H87" ca="1" si="24">IF(MONTH(G69+1)=MONTH(G69),0,1)</f>
        <v>0</v>
      </c>
      <c r="I69" s="27">
        <f ca="1">G69</f>
        <v>44312</v>
      </c>
    </row>
    <row r="70" spans="1:9" x14ac:dyDescent="0.2">
      <c r="B70" s="9">
        <f>B69+1</f>
        <v>1</v>
      </c>
      <c r="C70" s="40">
        <f t="shared" ref="C70:C87" ca="1" si="25">-G27-F27</f>
        <v>-595.08714554706239</v>
      </c>
      <c r="D70" s="16">
        <f ca="1">I70-$I$69</f>
        <v>90</v>
      </c>
      <c r="E70" s="52">
        <f ca="1">$E$55*D70</f>
        <v>3.6900000000000001E-3</v>
      </c>
      <c r="F70" s="41">
        <f t="shared" ca="1" si="23"/>
        <v>-2.1958715670686604</v>
      </c>
      <c r="G70" s="27">
        <f ca="1">DATE(YEAR($G$69),MONTH($G$69)+B70,DAY($G$69))+$F$6</f>
        <v>44402</v>
      </c>
      <c r="H70">
        <f t="shared" ca="1" si="24"/>
        <v>0</v>
      </c>
      <c r="I70" s="27">
        <f t="shared" ref="I70:I81" ca="1" si="26">IF(AND(DAY($C$9)=31,MONTH(G69)=1),G70-IF(OR(YEAR(G70)=2020,YEAR(G70)=2024,YEAR(G70)=2028,YEAR(G70)=2032,YEAR(G70)=2036),2,3),
IF(AND(DAY($C$9)=30,MONTH(G69)=1),G70-IF(OR(YEAR(G70)=2020,YEAR(G70)=2024,YEAR(G70)=2028,YEAR(G70)=2032,YEAR(G70)=2036),1,2),
IF(AND(DAY($C$9)=29,MONTH(G69)=1),G70-IF(OR(YEAR(G70)=2020,YEAR(G70)=2024,YEAR(G70)=2028,YEAR(G70)=2032,YEAR(G70)=2036),0,1),
IF(AND(DAY($C$9)=31,H70=0),G70-1,G70))))</f>
        <v>44402</v>
      </c>
    </row>
    <row r="71" spans="1:9" x14ac:dyDescent="0.2">
      <c r="B71" s="9">
        <f>B70+1</f>
        <v>2</v>
      </c>
      <c r="C71" s="40">
        <f t="shared" ca="1" si="25"/>
        <v>1212.7822937403571</v>
      </c>
      <c r="D71" s="16">
        <f t="shared" ref="D71:D87" ca="1" si="27">I71-$I$69</f>
        <v>121</v>
      </c>
      <c r="E71" s="52">
        <f ca="1">$E$55*D71</f>
        <v>4.9610000000000001E-3</v>
      </c>
      <c r="F71" s="41">
        <f t="shared" ca="1" si="23"/>
        <v>6.0166129592459114</v>
      </c>
      <c r="G71" s="27">
        <f t="shared" ref="G71:G87" ca="1" si="28">DATE(YEAR($G$69),MONTH($G$69)+B71,DAY($G$69))+$F$6</f>
        <v>44433</v>
      </c>
      <c r="H71">
        <f t="shared" ca="1" si="24"/>
        <v>0</v>
      </c>
      <c r="I71" s="27">
        <f t="shared" ca="1" si="26"/>
        <v>44433</v>
      </c>
    </row>
    <row r="72" spans="1:9" x14ac:dyDescent="0.2">
      <c r="B72" s="9">
        <f>B71+1</f>
        <v>3</v>
      </c>
      <c r="C72" s="40">
        <f t="shared" ca="1" si="25"/>
        <v>1305.321373592938</v>
      </c>
      <c r="D72" s="16">
        <f t="shared" ca="1" si="27"/>
        <v>151</v>
      </c>
      <c r="E72" s="52">
        <f t="shared" ca="1" si="22"/>
        <v>6.1910000000000003E-3</v>
      </c>
      <c r="F72" s="41">
        <f ca="1">C72*E72</f>
        <v>8.0812446239138804</v>
      </c>
      <c r="G72" s="27">
        <f t="shared" ca="1" si="28"/>
        <v>44463</v>
      </c>
      <c r="H72">
        <f t="shared" ca="1" si="24"/>
        <v>0</v>
      </c>
      <c r="I72" s="27">
        <f t="shared" ca="1" si="26"/>
        <v>44463</v>
      </c>
    </row>
    <row r="73" spans="1:9" x14ac:dyDescent="0.2">
      <c r="B73" s="9">
        <f>B72+1</f>
        <v>4</v>
      </c>
      <c r="C73" s="40">
        <f t="shared" ca="1" si="25"/>
        <v>1345.5973465408829</v>
      </c>
      <c r="D73" s="16">
        <f t="shared" ca="1" si="27"/>
        <v>182</v>
      </c>
      <c r="E73" s="52">
        <f t="shared" ca="1" si="22"/>
        <v>7.4619999999999999E-3</v>
      </c>
      <c r="F73" s="41">
        <f ca="1">C73*E73</f>
        <v>10.040847399888069</v>
      </c>
      <c r="G73" s="27">
        <f t="shared" ca="1" si="28"/>
        <v>44494</v>
      </c>
      <c r="H73">
        <f t="shared" ca="1" si="24"/>
        <v>0</v>
      </c>
      <c r="I73" s="27">
        <f t="shared" ca="1" si="26"/>
        <v>44494</v>
      </c>
    </row>
    <row r="74" spans="1:9" x14ac:dyDescent="0.2">
      <c r="B74" s="9">
        <f>B73+1</f>
        <v>5</v>
      </c>
      <c r="C74" s="40">
        <f t="shared" ca="1" si="25"/>
        <v>1416.5696364935918</v>
      </c>
      <c r="D74" s="16">
        <f t="shared" ca="1" si="27"/>
        <v>213</v>
      </c>
      <c r="E74" s="52">
        <f t="shared" ca="1" si="22"/>
        <v>8.7329999999999994E-3</v>
      </c>
      <c r="F74" s="41">
        <f t="shared" ca="1" si="23"/>
        <v>12.370902635498537</v>
      </c>
      <c r="G74" s="27">
        <f t="shared" ca="1" si="28"/>
        <v>44525</v>
      </c>
      <c r="H74">
        <f t="shared" ca="1" si="24"/>
        <v>0</v>
      </c>
      <c r="I74" s="27">
        <f t="shared" ca="1" si="26"/>
        <v>44525</v>
      </c>
    </row>
    <row r="75" spans="1:9" x14ac:dyDescent="0.2">
      <c r="B75" s="9">
        <f t="shared" ref="B75:B87" si="29">B74+1</f>
        <v>6</v>
      </c>
      <c r="C75" s="40">
        <f t="shared" ca="1" si="25"/>
        <v>1512.7632799529379</v>
      </c>
      <c r="D75" s="16">
        <f t="shared" ca="1" si="27"/>
        <v>243</v>
      </c>
      <c r="E75" s="52">
        <f t="shared" ca="1" si="22"/>
        <v>9.9629999999999996E-3</v>
      </c>
      <c r="F75" s="41">
        <f t="shared" ca="1" si="23"/>
        <v>15.07166055817112</v>
      </c>
      <c r="G75" s="27">
        <f t="shared" ca="1" si="28"/>
        <v>44555</v>
      </c>
      <c r="H75">
        <f t="shared" ca="1" si="24"/>
        <v>0</v>
      </c>
      <c r="I75" s="27">
        <f t="shared" ca="1" si="26"/>
        <v>44555</v>
      </c>
    </row>
    <row r="76" spans="1:9" x14ac:dyDescent="0.2">
      <c r="B76" s="9">
        <f t="shared" si="29"/>
        <v>7</v>
      </c>
      <c r="C76" s="40">
        <f t="shared" ca="1" si="25"/>
        <v>1571.0745969605962</v>
      </c>
      <c r="D76" s="16">
        <f t="shared" ca="1" si="27"/>
        <v>274</v>
      </c>
      <c r="E76" s="52">
        <f t="shared" ca="1" si="22"/>
        <v>1.1234000000000001E-2</v>
      </c>
      <c r="F76" s="41">
        <f t="shared" ca="1" si="23"/>
        <v>17.649452022255339</v>
      </c>
      <c r="G76" s="27">
        <f t="shared" ca="1" si="28"/>
        <v>44586</v>
      </c>
      <c r="H76">
        <f t="shared" ca="1" si="24"/>
        <v>0</v>
      </c>
      <c r="I76" s="27">
        <f t="shared" ca="1" si="26"/>
        <v>44586</v>
      </c>
    </row>
    <row r="77" spans="1:9" x14ac:dyDescent="0.2">
      <c r="B77" s="9">
        <f t="shared" si="29"/>
        <v>8</v>
      </c>
      <c r="C77" s="40">
        <f t="shared" ca="1" si="25"/>
        <v>1670.0390118329376</v>
      </c>
      <c r="D77" s="16">
        <f t="shared" ca="1" si="27"/>
        <v>304</v>
      </c>
      <c r="E77" s="52">
        <f t="shared" ca="1" si="22"/>
        <v>1.2463999999999999E-2</v>
      </c>
      <c r="F77" s="41">
        <f t="shared" ca="1" si="23"/>
        <v>20.815366243485734</v>
      </c>
      <c r="G77" s="27">
        <f t="shared" ca="1" si="28"/>
        <v>44616</v>
      </c>
      <c r="H77">
        <f t="shared" ca="1" si="24"/>
        <v>0</v>
      </c>
      <c r="I77" s="27">
        <f t="shared" ca="1" si="26"/>
        <v>44616</v>
      </c>
    </row>
    <row r="78" spans="1:9" x14ac:dyDescent="0.2">
      <c r="B78" s="9">
        <f t="shared" si="29"/>
        <v>9</v>
      </c>
      <c r="C78" s="40">
        <f t="shared" ca="1" si="25"/>
        <v>1742.0241420816469</v>
      </c>
      <c r="D78" s="16">
        <f t="shared" ca="1" si="27"/>
        <v>335</v>
      </c>
      <c r="E78" s="52">
        <f t="shared" ca="1" si="22"/>
        <v>1.3735000000000001E-2</v>
      </c>
      <c r="F78" s="41">
        <f t="shared" ca="1" si="23"/>
        <v>23.926701591491423</v>
      </c>
      <c r="G78" s="27">
        <f t="shared" ca="1" si="28"/>
        <v>44647</v>
      </c>
      <c r="H78">
        <f t="shared" ca="1" si="24"/>
        <v>0</v>
      </c>
      <c r="I78" s="27">
        <f ca="1">IF(AND(DAY($C$9)=31,MONTH(G77)=1),G78-IF(OR(YEAR(G78)=2020,YEAR(G78)=2024,YEAR(G78)=2028,YEAR(G78)=2032,YEAR(G78)=2036),2,3),
IF(AND(DAY($C$9)=30,MONTH(G77)=1),G78-IF(OR(YEAR(G78)=2020,YEAR(G78)=2024,YEAR(G78)=2028,YEAR(G78)=2032,YEAR(G78)=2036),1,2),
IF(AND(DAY($C$9)=29,MONTH(G77)=1),G78-IF(OR(YEAR(G78)=2020,YEAR(G78)=2024,YEAR(G78)=2028,YEAR(G78)=2032,YEAR(G78)=2036),0,1),
IF(AND(DAY($C$9)=31,H78=0),G78-1,G78))))</f>
        <v>44647</v>
      </c>
    </row>
    <row r="79" spans="1:9" x14ac:dyDescent="0.2">
      <c r="B79" s="9">
        <f t="shared" si="29"/>
        <v>10</v>
      </c>
      <c r="C79" s="40">
        <f t="shared" ca="1" si="25"/>
        <v>1833.9055970865179</v>
      </c>
      <c r="D79" s="16">
        <f t="shared" ca="1" si="27"/>
        <v>366</v>
      </c>
      <c r="E79" s="52">
        <f t="shared" ca="1" si="22"/>
        <v>1.5006E-2</v>
      </c>
      <c r="F79" s="41">
        <f t="shared" ca="1" si="23"/>
        <v>27.519587389880289</v>
      </c>
      <c r="G79" s="27">
        <f t="shared" ca="1" si="28"/>
        <v>44678</v>
      </c>
      <c r="H79">
        <f t="shared" ca="1" si="24"/>
        <v>0</v>
      </c>
      <c r="I79" s="27">
        <f t="shared" ca="1" si="26"/>
        <v>44678</v>
      </c>
    </row>
    <row r="80" spans="1:9" x14ac:dyDescent="0.2">
      <c r="B80" s="9">
        <f t="shared" si="29"/>
        <v>11</v>
      </c>
      <c r="C80" s="40">
        <f t="shared" ca="1" si="25"/>
        <v>1951.4492206581576</v>
      </c>
      <c r="D80" s="16">
        <f t="shared" ca="1" si="27"/>
        <v>394</v>
      </c>
      <c r="E80" s="52">
        <f t="shared" ca="1" si="22"/>
        <v>1.6154000000000002E-2</v>
      </c>
      <c r="F80" s="41">
        <f t="shared" ca="1" si="23"/>
        <v>31.523710710511882</v>
      </c>
      <c r="G80" s="27">
        <f t="shared" ca="1" si="28"/>
        <v>44706</v>
      </c>
      <c r="H80">
        <f t="shared" ca="1" si="24"/>
        <v>0</v>
      </c>
      <c r="I80" s="27">
        <f t="shared" ca="1" si="26"/>
        <v>44706</v>
      </c>
    </row>
    <row r="81" spans="1:9" x14ac:dyDescent="0.2">
      <c r="B81" s="9">
        <f t="shared" si="29"/>
        <v>12</v>
      </c>
      <c r="C81" s="40">
        <f t="shared" ca="1" si="25"/>
        <v>2033.5606423784284</v>
      </c>
      <c r="D81" s="16">
        <f t="shared" ca="1" si="27"/>
        <v>425</v>
      </c>
      <c r="E81" s="52">
        <f t="shared" ca="1" si="22"/>
        <v>1.7425E-2</v>
      </c>
      <c r="F81" s="41">
        <f t="shared" ca="1" si="23"/>
        <v>35.434794193444112</v>
      </c>
      <c r="G81" s="27">
        <f t="shared" ca="1" si="28"/>
        <v>44737</v>
      </c>
      <c r="H81">
        <f t="shared" ca="1" si="24"/>
        <v>0</v>
      </c>
      <c r="I81" s="27">
        <f t="shared" ca="1" si="26"/>
        <v>44737</v>
      </c>
    </row>
    <row r="82" spans="1:9" x14ac:dyDescent="0.2">
      <c r="B82" s="9">
        <f t="shared" si="29"/>
        <v>13</v>
      </c>
      <c r="C82" s="40">
        <f t="shared" ca="1" si="25"/>
        <v>-5.0999999999999935E-7</v>
      </c>
      <c r="D82" s="16">
        <f t="shared" ca="1" si="27"/>
        <v>455</v>
      </c>
      <c r="E82" s="52">
        <f t="shared" ca="1" si="22"/>
        <v>1.8655000000000001E-2</v>
      </c>
      <c r="F82" s="41">
        <f t="shared" ca="1" si="23"/>
        <v>-9.5140499999999878E-9</v>
      </c>
      <c r="G82" s="27">
        <f t="shared" ca="1" si="28"/>
        <v>44767</v>
      </c>
      <c r="H82">
        <f t="shared" ca="1" si="24"/>
        <v>0</v>
      </c>
      <c r="I82" s="27">
        <f ca="1">IF(AND(DAY($C$9)=31,MONTH(G81)=1),G82-IF(OR(YEAR(G82)=2020,YEAR(G82)=2024,YEAR(G82)=2028,YEAR(G82)=2032,YEAR(G82)=2036),2,3),
IF(AND(DAY($C$9)=30,MONTH(G81)=1),G82-IF(OR(YEAR(G82)=2020,YEAR(G82)=2024,YEAR(G82)=2028,YEAR(G82)=2032,YEAR(G82)=2036),1,2),
IF(AND(DAY($C$9)=29,MONTH(G81)=1),G82-IF(OR(YEAR(G82)=2020,YEAR(G82)=2024,YEAR(G82)=2028,YEAR(G82)=2032,YEAR(G82)=2036),0,1),
IF(AND(DAY($C$9)=31,H82=0),G82-1,G82))))</f>
        <v>44767</v>
      </c>
    </row>
    <row r="83" spans="1:9" x14ac:dyDescent="0.2">
      <c r="B83" s="9">
        <f t="shared" si="29"/>
        <v>14</v>
      </c>
      <c r="C83" s="40">
        <f t="shared" ca="1" si="25"/>
        <v>-5.274407678694449E-7</v>
      </c>
      <c r="D83" s="16">
        <f t="shared" ca="1" si="27"/>
        <v>486</v>
      </c>
      <c r="E83" s="52">
        <f t="shared" ca="1" si="22"/>
        <v>1.9925999999999999E-2</v>
      </c>
      <c r="F83" s="41">
        <f t="shared" ca="1" si="23"/>
        <v>-1.0509784740566559E-8</v>
      </c>
      <c r="G83" s="27">
        <f t="shared" ca="1" si="28"/>
        <v>44798</v>
      </c>
      <c r="H83">
        <f t="shared" ca="1" si="24"/>
        <v>0</v>
      </c>
      <c r="I83" s="27">
        <f t="shared" ref="I83:I87" ca="1" si="30">IF(AND(DAY($C$9)=31,MONTH(G82)=1),G83-IF(OR(YEAR(G83)=2020,YEAR(G83)=2024,YEAR(G83)=2028,YEAR(G83)=2032,YEAR(G83)=2036),2,3),
IF(AND(DAY($C$9)=30,MONTH(G82)=1),G83-IF(OR(YEAR(G83)=2020,YEAR(G83)=2024,YEAR(G83)=2028,YEAR(G83)=2032,YEAR(G83)=2036),1,2),
IF(AND(DAY($C$9)=29,MONTH(G82)=1),G83-IF(OR(YEAR(G83)=2020,YEAR(G83)=2024,YEAR(G83)=2028,YEAR(G83)=2032,YEAR(G83)=2036),0,1),
IF(AND(DAY($C$9)=31,H83=0),G83-1,G83))))</f>
        <v>44798</v>
      </c>
    </row>
    <row r="84" spans="1:9" x14ac:dyDescent="0.2">
      <c r="B84" s="9">
        <f t="shared" si="29"/>
        <v>15</v>
      </c>
      <c r="C84" s="40">
        <f t="shared" ca="1" si="25"/>
        <v>-5.0999999999999935E-7</v>
      </c>
      <c r="D84" s="16">
        <f t="shared" ca="1" si="27"/>
        <v>516</v>
      </c>
      <c r="E84" s="52">
        <f t="shared" ca="1" si="22"/>
        <v>2.1156000000000001E-2</v>
      </c>
      <c r="F84" s="41">
        <f t="shared" ca="1" si="23"/>
        <v>-1.0789559999999986E-8</v>
      </c>
      <c r="G84" s="27">
        <f t="shared" ca="1" si="28"/>
        <v>44828</v>
      </c>
      <c r="H84">
        <f t="shared" ca="1" si="24"/>
        <v>0</v>
      </c>
      <c r="I84" s="27">
        <f t="shared" ca="1" si="30"/>
        <v>44828</v>
      </c>
    </row>
    <row r="85" spans="1:9" x14ac:dyDescent="0.2">
      <c r="B85" s="9">
        <f t="shared" si="29"/>
        <v>16</v>
      </c>
      <c r="C85" s="40">
        <f t="shared" ca="1" si="25"/>
        <v>-5.274407678694449E-7</v>
      </c>
      <c r="D85" s="16">
        <f t="shared" ca="1" si="27"/>
        <v>547</v>
      </c>
      <c r="E85" s="52">
        <f t="shared" ca="1" si="22"/>
        <v>2.2426999999999999E-2</v>
      </c>
      <c r="F85" s="41">
        <f t="shared" ca="1" si="23"/>
        <v>-1.1828914101008041E-8</v>
      </c>
      <c r="G85" s="27">
        <f t="shared" ca="1" si="28"/>
        <v>44859</v>
      </c>
      <c r="H85">
        <f t="shared" ca="1" si="24"/>
        <v>0</v>
      </c>
      <c r="I85" s="27">
        <f t="shared" ca="1" si="30"/>
        <v>44859</v>
      </c>
    </row>
    <row r="86" spans="1:9" x14ac:dyDescent="0.2">
      <c r="B86" s="9">
        <f t="shared" si="29"/>
        <v>17</v>
      </c>
      <c r="C86" s="40">
        <f t="shared" ca="1" si="25"/>
        <v>-5.274407678694449E-7</v>
      </c>
      <c r="D86" s="16">
        <f t="shared" ca="1" si="27"/>
        <v>578</v>
      </c>
      <c r="E86" s="52">
        <f t="shared" ca="1" si="22"/>
        <v>2.3698E-2</v>
      </c>
      <c r="F86" s="41">
        <f t="shared" ca="1" si="23"/>
        <v>-1.2499291316970105E-8</v>
      </c>
      <c r="G86" s="27">
        <f t="shared" ca="1" si="28"/>
        <v>44890</v>
      </c>
      <c r="H86">
        <f t="shared" ca="1" si="24"/>
        <v>0</v>
      </c>
      <c r="I86" s="27">
        <f t="shared" ca="1" si="30"/>
        <v>44890</v>
      </c>
    </row>
    <row r="87" spans="1:9" x14ac:dyDescent="0.2">
      <c r="B87" s="10">
        <f t="shared" si="29"/>
        <v>18</v>
      </c>
      <c r="C87" s="42">
        <f t="shared" ca="1" si="25"/>
        <v>-5.0999999999999935E-7</v>
      </c>
      <c r="D87" s="17">
        <f t="shared" ca="1" si="27"/>
        <v>608</v>
      </c>
      <c r="E87" s="59">
        <f t="shared" ca="1" si="22"/>
        <v>2.4927999999999999E-2</v>
      </c>
      <c r="F87" s="43">
        <f t="shared" ca="1" si="23"/>
        <v>-1.2713279999999983E-8</v>
      </c>
      <c r="G87" s="27">
        <f t="shared" ca="1" si="28"/>
        <v>44920</v>
      </c>
      <c r="H87">
        <f t="shared" ca="1" si="24"/>
        <v>0</v>
      </c>
      <c r="I87" s="27">
        <f t="shared" ca="1" si="30"/>
        <v>44920</v>
      </c>
    </row>
    <row r="91" spans="1:9" ht="20" thickBot="1" x14ac:dyDescent="0.3">
      <c r="A91" s="7" t="s">
        <v>11</v>
      </c>
      <c r="B91" s="11" t="s">
        <v>12</v>
      </c>
      <c r="C91" s="11"/>
      <c r="D91" s="11"/>
    </row>
    <row r="92" spans="1:9" x14ac:dyDescent="0.2">
      <c r="B92" t="s">
        <v>2</v>
      </c>
    </row>
    <row r="94" spans="1:9" x14ac:dyDescent="0.2">
      <c r="B94" s="15" t="s">
        <v>30</v>
      </c>
      <c r="C94" s="28"/>
      <c r="D94" s="53">
        <f>C6</f>
        <v>17000</v>
      </c>
    </row>
    <row r="95" spans="1:9" x14ac:dyDescent="0.2">
      <c r="D95" s="54"/>
    </row>
    <row r="96" spans="1:9" x14ac:dyDescent="0.2">
      <c r="B96" t="s">
        <v>13</v>
      </c>
      <c r="D96" s="54">
        <f>C6</f>
        <v>17000</v>
      </c>
      <c r="G96">
        <f>19/28</f>
        <v>0.6785714285714286</v>
      </c>
    </row>
    <row r="97" spans="2:7" x14ac:dyDescent="0.2">
      <c r="B97" t="s">
        <v>14</v>
      </c>
      <c r="D97" s="33">
        <v>1.4999999999999999E-2</v>
      </c>
      <c r="G97">
        <f>17000*G96</f>
        <v>11535.714285714286</v>
      </c>
    </row>
    <row r="98" spans="2:7" x14ac:dyDescent="0.2">
      <c r="B98" s="15" t="s">
        <v>54</v>
      </c>
      <c r="C98" s="28"/>
      <c r="D98" s="53">
        <f>D96*D97</f>
        <v>255</v>
      </c>
    </row>
    <row r="99" spans="2:7" x14ac:dyDescent="0.2">
      <c r="D99" s="54"/>
    </row>
    <row r="100" spans="2:7" x14ac:dyDescent="0.2">
      <c r="B100" t="s">
        <v>13</v>
      </c>
      <c r="D100" s="54">
        <f>C6</f>
        <v>17000</v>
      </c>
    </row>
    <row r="101" spans="2:7" x14ac:dyDescent="0.2">
      <c r="B101" t="s">
        <v>15</v>
      </c>
      <c r="D101" s="33">
        <v>5.0000000000000001E-4</v>
      </c>
    </row>
    <row r="102" spans="2:7" x14ac:dyDescent="0.2">
      <c r="B102" s="15" t="s">
        <v>29</v>
      </c>
      <c r="C102" s="28"/>
      <c r="D102" s="53">
        <f>D100*D101</f>
        <v>8.5</v>
      </c>
    </row>
    <row r="104" spans="2:7" x14ac:dyDescent="0.2">
      <c r="B104" s="15" t="s">
        <v>28</v>
      </c>
      <c r="C104" s="28"/>
      <c r="D104" s="53">
        <f ca="1">E66</f>
        <v>270.85500869286273</v>
      </c>
    </row>
    <row r="106" spans="2:7" x14ac:dyDescent="0.2">
      <c r="B106" s="13" t="s">
        <v>53</v>
      </c>
      <c r="C106" s="13"/>
      <c r="D106" s="14">
        <f ca="1">D94+D98+D102+D104</f>
        <v>17534.355008692863</v>
      </c>
    </row>
  </sheetData>
  <mergeCells count="1">
    <mergeCell ref="R24:T24"/>
  </mergeCells>
  <pageMargins left="0.511811024" right="0.511811024" top="0.78740157499999996" bottom="0.78740157499999996" header="0.31496062000000002" footer="0.31496062000000002"/>
  <pageSetup paperSize="9" scale="40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1636-5CFC-4D23-902C-029BE1257496}">
  <dimension ref="A1:O106"/>
  <sheetViews>
    <sheetView showGridLines="0" zoomScaleNormal="100" zoomScaleSheetLayoutView="106" workbookViewId="0">
      <selection activeCell="A5" sqref="A5"/>
    </sheetView>
  </sheetViews>
  <sheetFormatPr baseColWidth="10" defaultColWidth="8.83203125" defaultRowHeight="15" x14ac:dyDescent="0.2"/>
  <cols>
    <col min="1" max="1" width="3.6640625" style="7" customWidth="1"/>
    <col min="2" max="2" width="36.83203125" customWidth="1"/>
    <col min="3" max="3" width="16.6640625" customWidth="1"/>
    <col min="4" max="7" width="16.5" customWidth="1"/>
    <col min="8" max="8" width="18.1640625" customWidth="1"/>
    <col min="9" max="12" width="16.1640625" customWidth="1"/>
    <col min="13" max="15" width="15" customWidth="1"/>
  </cols>
  <sheetData>
    <row r="1" spans="1:15" s="5" customFormat="1" ht="16" thickBot="1" x14ac:dyDescent="0.25">
      <c r="A1" s="6"/>
    </row>
    <row r="2" spans="1:15" ht="16" thickTop="1" x14ac:dyDescent="0.2"/>
    <row r="3" spans="1:15" ht="20" thickBot="1" x14ac:dyDescent="0.3">
      <c r="A3" s="7" t="s">
        <v>11</v>
      </c>
      <c r="B3" s="11" t="s">
        <v>1</v>
      </c>
      <c r="C3" s="11"/>
      <c r="D3" s="11"/>
      <c r="E3" s="11"/>
      <c r="F3" s="11"/>
      <c r="G3" s="11"/>
      <c r="H3" s="11"/>
      <c r="I3" s="12"/>
      <c r="J3" s="12"/>
      <c r="K3" s="12"/>
      <c r="L3" s="12"/>
      <c r="M3" s="12"/>
      <c r="N3" s="12"/>
      <c r="O3" s="12"/>
    </row>
    <row r="4" spans="1:15" x14ac:dyDescent="0.2">
      <c r="B4" t="s">
        <v>2</v>
      </c>
    </row>
    <row r="6" spans="1:15" x14ac:dyDescent="0.2">
      <c r="B6" t="s">
        <v>0</v>
      </c>
      <c r="C6" s="31">
        <v>20000</v>
      </c>
      <c r="E6" s="65" t="s">
        <v>57</v>
      </c>
      <c r="F6" s="65">
        <v>0</v>
      </c>
      <c r="H6" s="67"/>
      <c r="I6" s="68"/>
      <c r="M6" s="3"/>
    </row>
    <row r="7" spans="1:15" x14ac:dyDescent="0.2">
      <c r="B7" t="s">
        <v>3</v>
      </c>
      <c r="C7" s="4">
        <v>12</v>
      </c>
    </row>
    <row r="8" spans="1:15" x14ac:dyDescent="0.2">
      <c r="B8" t="s">
        <v>33</v>
      </c>
      <c r="C8" s="4">
        <v>1</v>
      </c>
      <c r="M8" s="3"/>
    </row>
    <row r="9" spans="1:15" x14ac:dyDescent="0.2">
      <c r="B9" t="s">
        <v>51</v>
      </c>
      <c r="C9" s="26">
        <f ca="1">TODAY()</f>
        <v>44312</v>
      </c>
      <c r="M9" s="3"/>
    </row>
    <row r="10" spans="1:15" x14ac:dyDescent="0.2">
      <c r="B10" t="s">
        <v>50</v>
      </c>
      <c r="C10" s="30">
        <f ca="1">DATE(YEAR($C$9),MONTH($C$9)+$C$7,DAY($C$9))+F6</f>
        <v>44677</v>
      </c>
      <c r="M10" s="3"/>
    </row>
    <row r="11" spans="1:15" x14ac:dyDescent="0.2">
      <c r="B11" t="s">
        <v>27</v>
      </c>
      <c r="C11" s="32">
        <f ca="1">E66</f>
        <v>258.16839159093047</v>
      </c>
      <c r="M11" s="3"/>
    </row>
    <row r="12" spans="1:15" x14ac:dyDescent="0.2">
      <c r="B12" t="s">
        <v>49</v>
      </c>
      <c r="C12" s="32">
        <f ca="1">C6+C11+300</f>
        <v>20558.168391590931</v>
      </c>
      <c r="D12" s="32">
        <v>21256.799999999999</v>
      </c>
      <c r="M12" s="3"/>
    </row>
    <row r="14" spans="1:15" x14ac:dyDescent="0.2">
      <c r="B14" t="s">
        <v>41</v>
      </c>
      <c r="C14" s="32">
        <f ca="1">+$C$6/(IF(B27&gt;$C$7,0,1/(1+$C$17)^(D27/30))+IF(B28&gt;$C$7,0,1/(1+$C$17)^(D28/30))+IF(B29&gt;$C$7,0,1/(1+$C$17)^(D29/30))+IF(B30&gt;$C$7,0,1/(1+$C$17)^(D30/30))
+IF(B31&gt;$C$7,0,1/(1+$C$17)^(D31/30))+IF(B32&gt;$C$7,0,1/(1+$C$17)^(D32/30))+IF(B33&gt;$C$7,0,1/(1+$C$17)^(D33/30))+IF(B34&gt;$C$7,0,1/(1+$C$17)^(D34/30))
+IF(B35&gt;$C$7,0,1/(1+$C$17)^(D35/30))+IF(B36&gt;$C$7,0,1/(1+$C$17)^(D36/30))+IF(B37&gt;$C$7,0,1/(1+$C$17)^(D37/30))+IF(B38&gt;$C$7,0,1/(1+$C$17)^(D38/30))
+IF(B39&gt;$C$7,0,1/(1+$C$17)^(D39/30))+IF(B40&gt;$C$7,0,1/(1+$C$17)^(D40/30))+IF(B41&gt;$C$7,0,1/(1+$C$17)^(D41/30))+IF(B42&gt;$C$7,0,1/(1+$C$17)^(D42/30))
+IF(B43&gt;$C$7,0,1/(1+$C$17)^(D43/30))+IF(B44&gt;$C$7,0,1/(1+$C$17)^(D44/30)))</f>
        <v>2013.9605192343456</v>
      </c>
      <c r="E14">
        <v>25680.6</v>
      </c>
      <c r="F14" s="54">
        <f ca="1">C15*12</f>
        <v>25686.213579156385</v>
      </c>
    </row>
    <row r="15" spans="1:15" x14ac:dyDescent="0.2">
      <c r="B15" t="s">
        <v>58</v>
      </c>
      <c r="C15" s="32">
        <f ca="1">+$D$12/(IF(B27&gt;$C$7,0,1/(1+$C$17)^(D27/30))+IF(B28&gt;$C$7,0,1/(1+$C$17)^(D28/30))+IF(B29&gt;$C$7,0,1/(1+$C$17)^(D29/30))+IF(B30&gt;$C$7,0,1/(1+$C$17)^(D30/30))
+IF(B31&gt;$C$7,0,1/(1+$C$17)^(D31/30))+IF(B32&gt;$C$7,0,1/(1+$C$17)^(D32/30))+IF(B33&gt;$C$7,0,1/(1+$C$17)^(D33/30))+IF(B34&gt;$C$7,0,1/(1+$C$17)^(D34/30))
+IF(B35&gt;$C$7,0,1/(1+$C$17)^(D35/30))+IF(B36&gt;$C$7,0,1/(1+$C$17)^(D36/30))+IF(B37&gt;$C$7,0,1/(1+$C$17)^(D37/30))+IF(B38&gt;$C$7,0,1/(1+$C$17)^(D38/30))
+IF(B39&gt;$C$7,0,1/(1+$C$17)^(D39/30))+IF(B40&gt;$C$7,0,1/(1+$C$17)^(D40/30))+IF(B41&gt;$C$7,0,1/(1+$C$17)^(D41/30))+IF(B42&gt;$C$7,0,1/(1+$C$17)^(D42/30))
+IF(B43&gt;$C$7,0,1/(1+$C$17)^(D43/30))+IF(B44&gt;$C$7,0,1/(1+$C$17)^(D44/30)))</f>
        <v>2140.5177982630321</v>
      </c>
      <c r="E15">
        <f>-E14/12</f>
        <v>-2140.0499999999997</v>
      </c>
    </row>
    <row r="17" spans="1:15" x14ac:dyDescent="0.2">
      <c r="B17" t="s">
        <v>4</v>
      </c>
      <c r="C17" s="33">
        <v>2.9899999999999999E-2</v>
      </c>
    </row>
    <row r="18" spans="1:15" x14ac:dyDescent="0.2">
      <c r="B18" t="s">
        <v>5</v>
      </c>
      <c r="C18" s="34">
        <f>(1+C17)^(12)-1</f>
        <v>0.42410069289913377</v>
      </c>
    </row>
    <row r="19" spans="1:15" x14ac:dyDescent="0.2">
      <c r="C19" s="34"/>
    </row>
    <row r="20" spans="1:15" x14ac:dyDescent="0.2">
      <c r="B20" t="s">
        <v>35</v>
      </c>
      <c r="C20" s="35">
        <f ca="1">IRR(O26:O44,4.5%)</f>
        <v>4.0765363981463576E-2</v>
      </c>
    </row>
    <row r="21" spans="1:15" x14ac:dyDescent="0.2">
      <c r="B21" t="s">
        <v>37</v>
      </c>
      <c r="C21" s="35">
        <f ca="1">(1+C20)^(12)-1</f>
        <v>0.61522850004980478</v>
      </c>
      <c r="G21" s="58"/>
    </row>
    <row r="22" spans="1:15" x14ac:dyDescent="0.2">
      <c r="G22" s="58"/>
      <c r="I22" s="1"/>
      <c r="L22" s="66"/>
    </row>
    <row r="24" spans="1:15" ht="18" x14ac:dyDescent="0.35">
      <c r="E24" s="29" t="s">
        <v>47</v>
      </c>
      <c r="F24" s="29"/>
      <c r="G24" s="29"/>
      <c r="H24" s="29"/>
      <c r="I24" s="29" t="s">
        <v>48</v>
      </c>
      <c r="J24" s="29"/>
      <c r="K24" s="29"/>
      <c r="L24" s="29"/>
    </row>
    <row r="25" spans="1:15" ht="36.75" customHeight="1" x14ac:dyDescent="0.35">
      <c r="A25" s="7" t="s">
        <v>11</v>
      </c>
      <c r="B25" s="25" t="s">
        <v>7</v>
      </c>
      <c r="C25" s="24" t="s">
        <v>46</v>
      </c>
      <c r="D25" s="24" t="s">
        <v>52</v>
      </c>
      <c r="E25" s="20" t="s">
        <v>9</v>
      </c>
      <c r="F25" s="20" t="s">
        <v>8</v>
      </c>
      <c r="G25" s="20" t="s">
        <v>6</v>
      </c>
      <c r="H25" s="20" t="s">
        <v>10</v>
      </c>
      <c r="I25" s="20" t="s">
        <v>9</v>
      </c>
      <c r="J25" s="20" t="s">
        <v>8</v>
      </c>
      <c r="K25" s="20" t="s">
        <v>6</v>
      </c>
      <c r="L25" s="20" t="s">
        <v>10</v>
      </c>
      <c r="M25" s="61" t="s">
        <v>43</v>
      </c>
      <c r="N25" s="61" t="s">
        <v>44</v>
      </c>
      <c r="O25" s="61" t="s">
        <v>36</v>
      </c>
    </row>
    <row r="26" spans="1:15" x14ac:dyDescent="0.2">
      <c r="B26" s="8">
        <v>0</v>
      </c>
      <c r="C26" s="55">
        <f ca="1">I69</f>
        <v>44312</v>
      </c>
      <c r="D26" s="56">
        <v>0</v>
      </c>
      <c r="E26" s="36">
        <v>0</v>
      </c>
      <c r="F26" s="37">
        <f>E26*$C$17</f>
        <v>0</v>
      </c>
      <c r="G26" s="38">
        <f>C6</f>
        <v>20000</v>
      </c>
      <c r="H26" s="37">
        <f>ROUND(E26+F26+G26,5)</f>
        <v>20000</v>
      </c>
      <c r="I26" s="36">
        <v>0</v>
      </c>
      <c r="J26" s="37">
        <f>I26*$C$17</f>
        <v>0</v>
      </c>
      <c r="K26" s="38">
        <f>D12</f>
        <v>21256.799999999999</v>
      </c>
      <c r="L26" s="39">
        <f>ROUND(I26+J26+K26,5)</f>
        <v>21256.799999999999</v>
      </c>
      <c r="M26" s="62">
        <v>0</v>
      </c>
      <c r="N26" s="62">
        <v>0</v>
      </c>
      <c r="O26" s="63">
        <f>C6</f>
        <v>20000</v>
      </c>
    </row>
    <row r="27" spans="1:15" x14ac:dyDescent="0.2">
      <c r="B27" s="9">
        <f>B26+1</f>
        <v>1</v>
      </c>
      <c r="C27" s="55">
        <f t="shared" ref="C27:C44" ca="1" si="0">I70</f>
        <v>44342</v>
      </c>
      <c r="D27" s="57">
        <f ca="1">C27-C26+D26</f>
        <v>30</v>
      </c>
      <c r="E27" s="40">
        <f>H26</f>
        <v>20000</v>
      </c>
      <c r="F27" s="40">
        <f ca="1">E27*((1+$C$17)^((D27-D26)/30)-1)</f>
        <v>598.0000000000008</v>
      </c>
      <c r="G27" s="40">
        <f ca="1">IF($B27&lt;=$C$7,-$C$14,0)</f>
        <v>-2013.9605192343456</v>
      </c>
      <c r="H27" s="40">
        <f t="shared" ref="H27:H44" ca="1" si="1">ROUND(E27+F27+G27,5)</f>
        <v>18584.039479999999</v>
      </c>
      <c r="I27" s="40">
        <f>L26</f>
        <v>21256.799999999999</v>
      </c>
      <c r="J27" s="40">
        <f ca="1">I27*((1+$C$17)^((D27-D26)/30)-1)</f>
        <v>635.57832000000076</v>
      </c>
      <c r="K27" s="40">
        <f ca="1">IF(B27&lt;=$C$7,-$C$15,0)</f>
        <v>-2140.5177982630321</v>
      </c>
      <c r="L27" s="41">
        <f t="shared" ref="L27:L44" ca="1" si="2">ROUND(I27+J27+K27,5)</f>
        <v>19751.860519999998</v>
      </c>
      <c r="M27" s="63">
        <f t="shared" ref="M27:M44" ca="1" si="3">K27-N27</f>
        <v>-1504.9394782630313</v>
      </c>
      <c r="N27" s="63">
        <f t="shared" ref="N27:N44" ca="1" si="4">-J27</f>
        <v>-635.57832000000076</v>
      </c>
      <c r="O27" s="63">
        <f ca="1">K27</f>
        <v>-2140.5177982630321</v>
      </c>
    </row>
    <row r="28" spans="1:15" x14ac:dyDescent="0.2">
      <c r="B28" s="9">
        <f>B27+1</f>
        <v>2</v>
      </c>
      <c r="C28" s="55">
        <f t="shared" ca="1" si="0"/>
        <v>44373</v>
      </c>
      <c r="D28" s="57">
        <f t="shared" ref="D28:D44" ca="1" si="5">C28-C27+D27</f>
        <v>61</v>
      </c>
      <c r="E28" s="40">
        <f t="shared" ref="E28:E44" ca="1" si="6">H27</f>
        <v>18584.039479999999</v>
      </c>
      <c r="F28" s="40">
        <f t="shared" ref="F28:F44" ca="1" si="7">E28*((1+$C$17)^((D28-D27)/30)-1)</f>
        <v>574.46829166086491</v>
      </c>
      <c r="G28" s="40">
        <f t="shared" ref="G28:G44" ca="1" si="8">IF($B28&lt;=$C$7,-$C$14,0)</f>
        <v>-2013.9605192343456</v>
      </c>
      <c r="H28" s="40">
        <f t="shared" ca="1" si="1"/>
        <v>17144.54725</v>
      </c>
      <c r="I28" s="40">
        <f ca="1">L27</f>
        <v>19751.860519999998</v>
      </c>
      <c r="J28" s="40">
        <f t="shared" ref="J28:J44" ca="1" si="9">I28*((1+$C$17)^((D28-D27)/30)-1)</f>
        <v>610.56787908029571</v>
      </c>
      <c r="K28" s="40">
        <f t="shared" ref="K28:K44" ca="1" si="10">IF(B28&lt;=$C$7,-$C$15,0)</f>
        <v>-2140.5177982630321</v>
      </c>
      <c r="L28" s="41">
        <f t="shared" ca="1" si="2"/>
        <v>18221.910599999999</v>
      </c>
      <c r="M28" s="63">
        <f t="shared" ca="1" si="3"/>
        <v>-1529.9499191827363</v>
      </c>
      <c r="N28" s="63">
        <f t="shared" ca="1" si="4"/>
        <v>-610.56787908029571</v>
      </c>
      <c r="O28" s="63">
        <f t="shared" ref="O28:O38" ca="1" si="11">K28</f>
        <v>-2140.5177982630321</v>
      </c>
    </row>
    <row r="29" spans="1:15" x14ac:dyDescent="0.2">
      <c r="B29" s="9">
        <f>B28+1</f>
        <v>3</v>
      </c>
      <c r="C29" s="55">
        <f t="shared" ca="1" si="0"/>
        <v>44403</v>
      </c>
      <c r="D29" s="57">
        <f t="shared" ca="1" si="5"/>
        <v>91</v>
      </c>
      <c r="E29" s="40">
        <f t="shared" ca="1" si="6"/>
        <v>17144.54725</v>
      </c>
      <c r="F29" s="40">
        <f t="shared" ca="1" si="7"/>
        <v>512.62196277500061</v>
      </c>
      <c r="G29" s="40">
        <f t="shared" ca="1" si="8"/>
        <v>-2013.9605192343456</v>
      </c>
      <c r="H29" s="40">
        <f t="shared" ca="1" si="1"/>
        <v>15643.208689999999</v>
      </c>
      <c r="I29" s="40">
        <f t="shared" ref="I29:I44" ca="1" si="12">L28</f>
        <v>18221.910599999999</v>
      </c>
      <c r="J29" s="40">
        <f t="shared" ca="1" si="9"/>
        <v>544.83512694000069</v>
      </c>
      <c r="K29" s="40">
        <f t="shared" ca="1" si="10"/>
        <v>-2140.5177982630321</v>
      </c>
      <c r="L29" s="41">
        <f t="shared" ca="1" si="2"/>
        <v>16626.227930000001</v>
      </c>
      <c r="M29" s="63">
        <f t="shared" ca="1" si="3"/>
        <v>-1595.6826713230314</v>
      </c>
      <c r="N29" s="63">
        <f t="shared" ca="1" si="4"/>
        <v>-544.83512694000069</v>
      </c>
      <c r="O29" s="63">
        <f t="shared" ca="1" si="11"/>
        <v>-2140.5177982630321</v>
      </c>
    </row>
    <row r="30" spans="1:15" x14ac:dyDescent="0.2">
      <c r="B30" s="9">
        <f>B29+1</f>
        <v>4</v>
      </c>
      <c r="C30" s="55">
        <f t="shared" ca="1" si="0"/>
        <v>44434</v>
      </c>
      <c r="D30" s="57">
        <f t="shared" ca="1" si="5"/>
        <v>122</v>
      </c>
      <c r="E30" s="40">
        <f t="shared" ca="1" si="6"/>
        <v>15643.208689999999</v>
      </c>
      <c r="F30" s="40">
        <f t="shared" ca="1" si="7"/>
        <v>483.56157346253639</v>
      </c>
      <c r="G30" s="40">
        <f t="shared" ca="1" si="8"/>
        <v>-2013.9605192343456</v>
      </c>
      <c r="H30" s="40">
        <f t="shared" ca="1" si="1"/>
        <v>14112.809740000001</v>
      </c>
      <c r="I30" s="40">
        <f t="shared" ca="1" si="12"/>
        <v>16626.227930000001</v>
      </c>
      <c r="J30" s="40">
        <f t="shared" ca="1" si="9"/>
        <v>513.94858292193317</v>
      </c>
      <c r="K30" s="40">
        <f t="shared" ca="1" si="10"/>
        <v>-2140.5177982630321</v>
      </c>
      <c r="L30" s="41">
        <f t="shared" ca="1" si="2"/>
        <v>14999.65871</v>
      </c>
      <c r="M30" s="63">
        <f t="shared" ca="1" si="3"/>
        <v>-1626.5692153410989</v>
      </c>
      <c r="N30" s="63">
        <f t="shared" ca="1" si="4"/>
        <v>-513.94858292193317</v>
      </c>
      <c r="O30" s="63">
        <f t="shared" ca="1" si="11"/>
        <v>-2140.5177982630321</v>
      </c>
    </row>
    <row r="31" spans="1:15" x14ac:dyDescent="0.2">
      <c r="B31" s="9">
        <f>B30+1</f>
        <v>5</v>
      </c>
      <c r="C31" s="55">
        <f t="shared" ca="1" si="0"/>
        <v>44465</v>
      </c>
      <c r="D31" s="57">
        <f t="shared" ca="1" si="5"/>
        <v>153</v>
      </c>
      <c r="E31" s="40">
        <f t="shared" ca="1" si="6"/>
        <v>14112.809740000001</v>
      </c>
      <c r="F31" s="40">
        <f t="shared" ca="1" si="7"/>
        <v>436.2540076713513</v>
      </c>
      <c r="G31" s="40">
        <f t="shared" ca="1" si="8"/>
        <v>-2013.9605192343456</v>
      </c>
      <c r="H31" s="40">
        <f t="shared" ca="1" si="1"/>
        <v>12535.103230000001</v>
      </c>
      <c r="I31" s="40">
        <f t="shared" ca="1" si="12"/>
        <v>14999.65871</v>
      </c>
      <c r="J31" s="40">
        <f t="shared" ca="1" si="9"/>
        <v>463.66820969698637</v>
      </c>
      <c r="K31" s="40">
        <f t="shared" ca="1" si="10"/>
        <v>-2140.5177982630321</v>
      </c>
      <c r="L31" s="41">
        <f t="shared" ca="1" si="2"/>
        <v>13322.80912</v>
      </c>
      <c r="M31" s="63">
        <f t="shared" ca="1" si="3"/>
        <v>-1676.8495885660457</v>
      </c>
      <c r="N31" s="63">
        <f t="shared" ca="1" si="4"/>
        <v>-463.66820969698637</v>
      </c>
      <c r="O31" s="63">
        <f t="shared" ca="1" si="11"/>
        <v>-2140.5177982630321</v>
      </c>
    </row>
    <row r="32" spans="1:15" x14ac:dyDescent="0.2">
      <c r="B32" s="9">
        <f t="shared" ref="B32:B44" si="13">B31+1</f>
        <v>6</v>
      </c>
      <c r="C32" s="55">
        <f t="shared" ca="1" si="0"/>
        <v>44495</v>
      </c>
      <c r="D32" s="57">
        <f t="shared" ca="1" si="5"/>
        <v>183</v>
      </c>
      <c r="E32" s="40">
        <f t="shared" ca="1" si="6"/>
        <v>12535.103230000001</v>
      </c>
      <c r="F32" s="40">
        <f t="shared" ca="1" si="7"/>
        <v>374.79958657700047</v>
      </c>
      <c r="G32" s="40">
        <f t="shared" ca="1" si="8"/>
        <v>-2013.9605192343456</v>
      </c>
      <c r="H32" s="40">
        <f t="shared" ca="1" si="1"/>
        <v>10895.942300000001</v>
      </c>
      <c r="I32" s="40">
        <f t="shared" ca="1" si="12"/>
        <v>13322.80912</v>
      </c>
      <c r="J32" s="40">
        <f t="shared" ca="1" si="9"/>
        <v>398.35199268800051</v>
      </c>
      <c r="K32" s="40">
        <f t="shared" ca="1" si="10"/>
        <v>-2140.5177982630321</v>
      </c>
      <c r="L32" s="41">
        <f t="shared" ca="1" si="2"/>
        <v>11580.643309999999</v>
      </c>
      <c r="M32" s="63">
        <f t="shared" ca="1" si="3"/>
        <v>-1742.1658055750315</v>
      </c>
      <c r="N32" s="63">
        <f t="shared" ca="1" si="4"/>
        <v>-398.35199268800051</v>
      </c>
      <c r="O32" s="63">
        <f t="shared" ca="1" si="11"/>
        <v>-2140.5177982630321</v>
      </c>
    </row>
    <row r="33" spans="1:15" x14ac:dyDescent="0.2">
      <c r="B33" s="9">
        <f t="shared" si="13"/>
        <v>7</v>
      </c>
      <c r="C33" s="55">
        <f t="shared" ca="1" si="0"/>
        <v>44526</v>
      </c>
      <c r="D33" s="57">
        <f t="shared" ca="1" si="5"/>
        <v>214</v>
      </c>
      <c r="E33" s="40">
        <f t="shared" ca="1" si="6"/>
        <v>10895.942300000001</v>
      </c>
      <c r="F33" s="40">
        <f t="shared" ca="1" si="7"/>
        <v>336.81446737414893</v>
      </c>
      <c r="G33" s="40">
        <f t="shared" ca="1" si="8"/>
        <v>-2013.9605192343456</v>
      </c>
      <c r="H33" s="40">
        <f t="shared" ca="1" si="1"/>
        <v>9218.7962499999994</v>
      </c>
      <c r="I33" s="40">
        <f t="shared" ca="1" si="12"/>
        <v>11580.643309999999</v>
      </c>
      <c r="J33" s="40">
        <f t="shared" ca="1" si="9"/>
        <v>357.97988837621239</v>
      </c>
      <c r="K33" s="40">
        <f t="shared" ca="1" si="10"/>
        <v>-2140.5177982630321</v>
      </c>
      <c r="L33" s="41">
        <f t="shared" ca="1" si="2"/>
        <v>9798.1054000000004</v>
      </c>
      <c r="M33" s="63">
        <f t="shared" ca="1" si="3"/>
        <v>-1782.5379098868198</v>
      </c>
      <c r="N33" s="63">
        <f t="shared" ca="1" si="4"/>
        <v>-357.97988837621239</v>
      </c>
      <c r="O33" s="63">
        <f t="shared" ca="1" si="11"/>
        <v>-2140.5177982630321</v>
      </c>
    </row>
    <row r="34" spans="1:15" x14ac:dyDescent="0.2">
      <c r="B34" s="9">
        <f t="shared" si="13"/>
        <v>8</v>
      </c>
      <c r="C34" s="55">
        <f t="shared" ca="1" si="0"/>
        <v>44556</v>
      </c>
      <c r="D34" s="57">
        <f t="shared" ca="1" si="5"/>
        <v>244</v>
      </c>
      <c r="E34" s="40">
        <f t="shared" ca="1" si="6"/>
        <v>9218.7962499999994</v>
      </c>
      <c r="F34" s="40">
        <f t="shared" ca="1" si="7"/>
        <v>275.64200787500033</v>
      </c>
      <c r="G34" s="40">
        <f t="shared" ca="1" si="8"/>
        <v>-2013.9605192343456</v>
      </c>
      <c r="H34" s="40">
        <f t="shared" ca="1" si="1"/>
        <v>7480.4777400000003</v>
      </c>
      <c r="I34" s="40">
        <f t="shared" ca="1" si="12"/>
        <v>9798.1054000000004</v>
      </c>
      <c r="J34" s="40">
        <f t="shared" ca="1" si="9"/>
        <v>292.96335146000035</v>
      </c>
      <c r="K34" s="40">
        <f t="shared" ca="1" si="10"/>
        <v>-2140.5177982630321</v>
      </c>
      <c r="L34" s="41">
        <f t="shared" ca="1" si="2"/>
        <v>7950.5509499999998</v>
      </c>
      <c r="M34" s="63">
        <f t="shared" ca="1" si="3"/>
        <v>-1847.5544468030316</v>
      </c>
      <c r="N34" s="63">
        <f t="shared" ca="1" si="4"/>
        <v>-292.96335146000035</v>
      </c>
      <c r="O34" s="63">
        <f t="shared" ca="1" si="11"/>
        <v>-2140.5177982630321</v>
      </c>
    </row>
    <row r="35" spans="1:15" x14ac:dyDescent="0.2">
      <c r="B35" s="9">
        <f t="shared" si="13"/>
        <v>9</v>
      </c>
      <c r="C35" s="55">
        <f t="shared" ca="1" si="0"/>
        <v>44587</v>
      </c>
      <c r="D35" s="57">
        <f t="shared" ca="1" si="5"/>
        <v>275</v>
      </c>
      <c r="E35" s="40">
        <f t="shared" ca="1" si="6"/>
        <v>7480.4777400000003</v>
      </c>
      <c r="F35" s="40">
        <f t="shared" ca="1" si="7"/>
        <v>231.23590932583016</v>
      </c>
      <c r="G35" s="40">
        <f t="shared" ca="1" si="8"/>
        <v>-2013.9605192343456</v>
      </c>
      <c r="H35" s="40">
        <f t="shared" ca="1" si="1"/>
        <v>5697.7531300000001</v>
      </c>
      <c r="I35" s="40">
        <f t="shared" ca="1" si="12"/>
        <v>7950.5509499999998</v>
      </c>
      <c r="J35" s="40">
        <f t="shared" ca="1" si="9"/>
        <v>245.76677352222063</v>
      </c>
      <c r="K35" s="40">
        <f t="shared" ca="1" si="10"/>
        <v>-2140.5177982630321</v>
      </c>
      <c r="L35" s="41">
        <f t="shared" ca="1" si="2"/>
        <v>6055.7999300000001</v>
      </c>
      <c r="M35" s="63">
        <f t="shared" ca="1" si="3"/>
        <v>-1894.7510247408115</v>
      </c>
      <c r="N35" s="63">
        <f t="shared" ca="1" si="4"/>
        <v>-245.76677352222063</v>
      </c>
      <c r="O35" s="63">
        <f t="shared" ca="1" si="11"/>
        <v>-2140.5177982630321</v>
      </c>
    </row>
    <row r="36" spans="1:15" x14ac:dyDescent="0.2">
      <c r="B36" s="9">
        <f t="shared" si="13"/>
        <v>10</v>
      </c>
      <c r="C36" s="55">
        <f t="shared" ca="1" si="0"/>
        <v>44618</v>
      </c>
      <c r="D36" s="57">
        <f t="shared" ca="1" si="5"/>
        <v>306</v>
      </c>
      <c r="E36" s="40">
        <f t="shared" ca="1" si="6"/>
        <v>5697.7531300000001</v>
      </c>
      <c r="F36" s="40">
        <f t="shared" ca="1" si="7"/>
        <v>176.12847359795032</v>
      </c>
      <c r="G36" s="40">
        <f t="shared" ca="1" si="8"/>
        <v>-2013.9605192343456</v>
      </c>
      <c r="H36" s="40">
        <f t="shared" ca="1" si="1"/>
        <v>3859.9210800000001</v>
      </c>
      <c r="I36" s="40">
        <f t="shared" ca="1" si="12"/>
        <v>6055.7999300000001</v>
      </c>
      <c r="J36" s="40">
        <f t="shared" ca="1" si="9"/>
        <v>187.19638667206951</v>
      </c>
      <c r="K36" s="40">
        <f t="shared" ca="1" si="10"/>
        <v>-2140.5177982630321</v>
      </c>
      <c r="L36" s="41">
        <f t="shared" ca="1" si="2"/>
        <v>4102.4785199999997</v>
      </c>
      <c r="M36" s="63">
        <f t="shared" ca="1" si="3"/>
        <v>-1953.3214115909625</v>
      </c>
      <c r="N36" s="63">
        <f t="shared" ca="1" si="4"/>
        <v>-187.19638667206951</v>
      </c>
      <c r="O36" s="63">
        <f t="shared" ca="1" si="11"/>
        <v>-2140.5177982630321</v>
      </c>
    </row>
    <row r="37" spans="1:15" x14ac:dyDescent="0.2">
      <c r="B37" s="9">
        <f t="shared" si="13"/>
        <v>11</v>
      </c>
      <c r="C37" s="55">
        <f t="shared" ca="1" si="0"/>
        <v>44646</v>
      </c>
      <c r="D37" s="57">
        <f t="shared" ca="1" si="5"/>
        <v>334</v>
      </c>
      <c r="E37" s="40">
        <f t="shared" ca="1" si="6"/>
        <v>3859.9210800000001</v>
      </c>
      <c r="F37" s="40">
        <f t="shared" ca="1" si="7"/>
        <v>107.6112964916785</v>
      </c>
      <c r="G37" s="40">
        <f t="shared" ca="1" si="8"/>
        <v>-2013.9605192343456</v>
      </c>
      <c r="H37" s="40">
        <f t="shared" ca="1" si="1"/>
        <v>1953.57186</v>
      </c>
      <c r="I37" s="40">
        <f t="shared" ca="1" si="12"/>
        <v>4102.4785199999997</v>
      </c>
      <c r="J37" s="40">
        <f t="shared" ca="1" si="9"/>
        <v>114.37359034461461</v>
      </c>
      <c r="K37" s="40">
        <f t="shared" ca="1" si="10"/>
        <v>-2140.5177982630321</v>
      </c>
      <c r="L37" s="41">
        <f t="shared" ca="1" si="2"/>
        <v>2076.3343100000002</v>
      </c>
      <c r="M37" s="63">
        <f t="shared" ca="1" si="3"/>
        <v>-2026.1442079184176</v>
      </c>
      <c r="N37" s="63">
        <f t="shared" ca="1" si="4"/>
        <v>-114.37359034461461</v>
      </c>
      <c r="O37" s="63">
        <f t="shared" ca="1" si="11"/>
        <v>-2140.5177982630321</v>
      </c>
    </row>
    <row r="38" spans="1:15" x14ac:dyDescent="0.2">
      <c r="B38" s="9">
        <f t="shared" si="13"/>
        <v>12</v>
      </c>
      <c r="C38" s="55">
        <f t="shared" ca="1" si="0"/>
        <v>44677</v>
      </c>
      <c r="D38" s="57">
        <f t="shared" ca="1" si="5"/>
        <v>365</v>
      </c>
      <c r="E38" s="40">
        <f t="shared" ca="1" si="6"/>
        <v>1953.57186</v>
      </c>
      <c r="F38" s="40">
        <f t="shared" ca="1" si="7"/>
        <v>60.38865179223879</v>
      </c>
      <c r="G38" s="40">
        <f t="shared" ca="1" si="8"/>
        <v>-2013.9605192343456</v>
      </c>
      <c r="H38" s="40">
        <f t="shared" ca="1" si="1"/>
        <v>-1.0000000000000001E-5</v>
      </c>
      <c r="I38" s="40">
        <f t="shared" ca="1" si="12"/>
        <v>2076.3343100000002</v>
      </c>
      <c r="J38" s="40">
        <f t="shared" ca="1" si="9"/>
        <v>64.183474495209197</v>
      </c>
      <c r="K38" s="40">
        <f t="shared" ca="1" si="10"/>
        <v>-2140.5177982630321</v>
      </c>
      <c r="L38" s="41">
        <f t="shared" ca="1" si="2"/>
        <v>-1.0000000000000001E-5</v>
      </c>
      <c r="M38" s="63">
        <f t="shared" ca="1" si="3"/>
        <v>-2076.3343237678228</v>
      </c>
      <c r="N38" s="63">
        <f t="shared" ca="1" si="4"/>
        <v>-64.183474495209197</v>
      </c>
      <c r="O38" s="63">
        <f t="shared" ca="1" si="11"/>
        <v>-2140.5177982630321</v>
      </c>
    </row>
    <row r="39" spans="1:15" x14ac:dyDescent="0.2">
      <c r="B39" s="9">
        <f t="shared" si="13"/>
        <v>13</v>
      </c>
      <c r="C39" s="55">
        <f t="shared" ca="1" si="0"/>
        <v>44707</v>
      </c>
      <c r="D39" s="57">
        <f t="shared" ca="1" si="5"/>
        <v>395</v>
      </c>
      <c r="E39" s="40">
        <f t="shared" ca="1" si="6"/>
        <v>-1.0000000000000001E-5</v>
      </c>
      <c r="F39" s="40">
        <f t="shared" ca="1" si="7"/>
        <v>-2.9900000000000039E-7</v>
      </c>
      <c r="G39" s="40">
        <f t="shared" si="8"/>
        <v>0</v>
      </c>
      <c r="H39" s="40">
        <f t="shared" ca="1" si="1"/>
        <v>-1.0000000000000001E-5</v>
      </c>
      <c r="I39" s="40">
        <f t="shared" ca="1" si="12"/>
        <v>-1.0000000000000001E-5</v>
      </c>
      <c r="J39" s="40">
        <f t="shared" ca="1" si="9"/>
        <v>-2.9900000000000039E-7</v>
      </c>
      <c r="K39" s="40">
        <f t="shared" si="10"/>
        <v>0</v>
      </c>
      <c r="L39" s="41">
        <f t="shared" ca="1" si="2"/>
        <v>-1.0000000000000001E-5</v>
      </c>
      <c r="M39" s="63">
        <f t="shared" ca="1" si="3"/>
        <v>-2.9900000000000039E-7</v>
      </c>
      <c r="N39" s="63">
        <f t="shared" ca="1" si="4"/>
        <v>2.9900000000000039E-7</v>
      </c>
      <c r="O39" s="63">
        <f t="shared" ref="O39:O44" si="14">K39</f>
        <v>0</v>
      </c>
    </row>
    <row r="40" spans="1:15" x14ac:dyDescent="0.2">
      <c r="B40" s="9">
        <f t="shared" si="13"/>
        <v>14</v>
      </c>
      <c r="C40" s="55">
        <f t="shared" ca="1" si="0"/>
        <v>44738</v>
      </c>
      <c r="D40" s="57">
        <f t="shared" ca="1" si="5"/>
        <v>426</v>
      </c>
      <c r="E40" s="40">
        <f t="shared" ca="1" si="6"/>
        <v>-1.0000000000000001E-5</v>
      </c>
      <c r="F40" s="40">
        <f t="shared" ca="1" si="7"/>
        <v>-3.0911917308349635E-7</v>
      </c>
      <c r="G40" s="40">
        <f t="shared" si="8"/>
        <v>0</v>
      </c>
      <c r="H40" s="40">
        <f t="shared" ca="1" si="1"/>
        <v>-1.0000000000000001E-5</v>
      </c>
      <c r="I40" s="40">
        <f t="shared" ca="1" si="12"/>
        <v>-1.0000000000000001E-5</v>
      </c>
      <c r="J40" s="40">
        <f t="shared" ca="1" si="9"/>
        <v>-3.0911917308349635E-7</v>
      </c>
      <c r="K40" s="40">
        <f t="shared" si="10"/>
        <v>0</v>
      </c>
      <c r="L40" s="41">
        <f t="shared" ca="1" si="2"/>
        <v>-1.0000000000000001E-5</v>
      </c>
      <c r="M40" s="63">
        <f t="shared" ca="1" si="3"/>
        <v>-3.0911917308349635E-7</v>
      </c>
      <c r="N40" s="63">
        <f t="shared" ca="1" si="4"/>
        <v>3.0911917308349635E-7</v>
      </c>
      <c r="O40" s="63">
        <f t="shared" si="14"/>
        <v>0</v>
      </c>
    </row>
    <row r="41" spans="1:15" x14ac:dyDescent="0.2">
      <c r="B41" s="9">
        <f t="shared" si="13"/>
        <v>15</v>
      </c>
      <c r="C41" s="55">
        <f t="shared" ca="1" si="0"/>
        <v>44768</v>
      </c>
      <c r="D41" s="57">
        <f t="shared" ca="1" si="5"/>
        <v>456</v>
      </c>
      <c r="E41" s="40">
        <f t="shared" ca="1" si="6"/>
        <v>-1.0000000000000001E-5</v>
      </c>
      <c r="F41" s="40">
        <f t="shared" ca="1" si="7"/>
        <v>-2.9900000000000039E-7</v>
      </c>
      <c r="G41" s="40">
        <f t="shared" si="8"/>
        <v>0</v>
      </c>
      <c r="H41" s="40">
        <f t="shared" ca="1" si="1"/>
        <v>-1.0000000000000001E-5</v>
      </c>
      <c r="I41" s="40">
        <f t="shared" ca="1" si="12"/>
        <v>-1.0000000000000001E-5</v>
      </c>
      <c r="J41" s="40">
        <f t="shared" ca="1" si="9"/>
        <v>-2.9900000000000039E-7</v>
      </c>
      <c r="K41" s="40">
        <f t="shared" si="10"/>
        <v>0</v>
      </c>
      <c r="L41" s="41">
        <f t="shared" ca="1" si="2"/>
        <v>-1.0000000000000001E-5</v>
      </c>
      <c r="M41" s="63">
        <f t="shared" ca="1" si="3"/>
        <v>-2.9900000000000039E-7</v>
      </c>
      <c r="N41" s="63">
        <f t="shared" ca="1" si="4"/>
        <v>2.9900000000000039E-7</v>
      </c>
      <c r="O41" s="63">
        <f t="shared" si="14"/>
        <v>0</v>
      </c>
    </row>
    <row r="42" spans="1:15" x14ac:dyDescent="0.2">
      <c r="B42" s="9">
        <f t="shared" si="13"/>
        <v>16</v>
      </c>
      <c r="C42" s="55">
        <f t="shared" ca="1" si="0"/>
        <v>44799</v>
      </c>
      <c r="D42" s="57">
        <f t="shared" ca="1" si="5"/>
        <v>487</v>
      </c>
      <c r="E42" s="40">
        <f t="shared" ca="1" si="6"/>
        <v>-1.0000000000000001E-5</v>
      </c>
      <c r="F42" s="40">
        <f t="shared" ca="1" si="7"/>
        <v>-3.0911917308349635E-7</v>
      </c>
      <c r="G42" s="40">
        <f t="shared" si="8"/>
        <v>0</v>
      </c>
      <c r="H42" s="40">
        <f t="shared" ca="1" si="1"/>
        <v>-1.0000000000000001E-5</v>
      </c>
      <c r="I42" s="40">
        <f t="shared" ca="1" si="12"/>
        <v>-1.0000000000000001E-5</v>
      </c>
      <c r="J42" s="40">
        <f t="shared" ca="1" si="9"/>
        <v>-3.0911917308349635E-7</v>
      </c>
      <c r="K42" s="40">
        <f t="shared" si="10"/>
        <v>0</v>
      </c>
      <c r="L42" s="41">
        <f t="shared" ca="1" si="2"/>
        <v>-1.0000000000000001E-5</v>
      </c>
      <c r="M42" s="63">
        <f t="shared" ca="1" si="3"/>
        <v>-3.0911917308349635E-7</v>
      </c>
      <c r="N42" s="63">
        <f t="shared" ca="1" si="4"/>
        <v>3.0911917308349635E-7</v>
      </c>
      <c r="O42" s="63">
        <f t="shared" si="14"/>
        <v>0</v>
      </c>
    </row>
    <row r="43" spans="1:15" x14ac:dyDescent="0.2">
      <c r="B43" s="9">
        <f t="shared" si="13"/>
        <v>17</v>
      </c>
      <c r="C43" s="55">
        <f t="shared" ca="1" si="0"/>
        <v>44830</v>
      </c>
      <c r="D43" s="57">
        <f t="shared" ca="1" si="5"/>
        <v>518</v>
      </c>
      <c r="E43" s="40">
        <f t="shared" ca="1" si="6"/>
        <v>-1.0000000000000001E-5</v>
      </c>
      <c r="F43" s="40">
        <f t="shared" ca="1" si="7"/>
        <v>-3.0911917308349635E-7</v>
      </c>
      <c r="G43" s="40">
        <f t="shared" si="8"/>
        <v>0</v>
      </c>
      <c r="H43" s="40">
        <f t="shared" ca="1" si="1"/>
        <v>-1.0000000000000001E-5</v>
      </c>
      <c r="I43" s="40">
        <f t="shared" ca="1" si="12"/>
        <v>-1.0000000000000001E-5</v>
      </c>
      <c r="J43" s="40">
        <f t="shared" ca="1" si="9"/>
        <v>-3.0911917308349635E-7</v>
      </c>
      <c r="K43" s="40">
        <f t="shared" si="10"/>
        <v>0</v>
      </c>
      <c r="L43" s="41">
        <f t="shared" ca="1" si="2"/>
        <v>-1.0000000000000001E-5</v>
      </c>
      <c r="M43" s="63">
        <f t="shared" ca="1" si="3"/>
        <v>-3.0911917308349635E-7</v>
      </c>
      <c r="N43" s="63">
        <f t="shared" ca="1" si="4"/>
        <v>3.0911917308349635E-7</v>
      </c>
      <c r="O43" s="63">
        <f t="shared" si="14"/>
        <v>0</v>
      </c>
    </row>
    <row r="44" spans="1:15" x14ac:dyDescent="0.2">
      <c r="B44" s="10">
        <f t="shared" si="13"/>
        <v>18</v>
      </c>
      <c r="C44" s="55">
        <f t="shared" ca="1" si="0"/>
        <v>44860</v>
      </c>
      <c r="D44" s="57">
        <f t="shared" ca="1" si="5"/>
        <v>548</v>
      </c>
      <c r="E44" s="42">
        <f t="shared" ca="1" si="6"/>
        <v>-1.0000000000000001E-5</v>
      </c>
      <c r="F44" s="42">
        <f t="shared" ca="1" si="7"/>
        <v>-2.9900000000000039E-7</v>
      </c>
      <c r="G44" s="42">
        <f t="shared" si="8"/>
        <v>0</v>
      </c>
      <c r="H44" s="42">
        <f t="shared" ca="1" si="1"/>
        <v>-1.0000000000000001E-5</v>
      </c>
      <c r="I44" s="42">
        <f t="shared" ca="1" si="12"/>
        <v>-1.0000000000000001E-5</v>
      </c>
      <c r="J44" s="42">
        <f t="shared" ca="1" si="9"/>
        <v>-2.9900000000000039E-7</v>
      </c>
      <c r="K44" s="42">
        <f t="shared" si="10"/>
        <v>0</v>
      </c>
      <c r="L44" s="43">
        <f t="shared" ca="1" si="2"/>
        <v>-1.0000000000000001E-5</v>
      </c>
      <c r="M44" s="63">
        <f t="shared" ca="1" si="3"/>
        <v>-2.9900000000000039E-7</v>
      </c>
      <c r="N44" s="63">
        <f t="shared" ca="1" si="4"/>
        <v>2.9900000000000039E-7</v>
      </c>
      <c r="O44" s="63">
        <f t="shared" si="14"/>
        <v>0</v>
      </c>
    </row>
    <row r="46" spans="1:15" x14ac:dyDescent="0.2">
      <c r="M46" s="64">
        <f ca="1">SUM(M27:M45)</f>
        <v>-21256.800004783192</v>
      </c>
      <c r="N46" s="64">
        <f ca="1">SUM(N27:N45)</f>
        <v>-4429.4135743731867</v>
      </c>
    </row>
    <row r="47" spans="1:15" ht="20" thickBot="1" x14ac:dyDescent="0.3">
      <c r="A47" s="7" t="s">
        <v>11</v>
      </c>
      <c r="B47" s="11" t="s">
        <v>16</v>
      </c>
      <c r="C47" s="11"/>
      <c r="D47" s="11"/>
      <c r="E47" s="11"/>
      <c r="F47" s="11"/>
      <c r="G47" s="11"/>
      <c r="O47" s="64">
        <f ca="1">SUM(O27:O38)-1246.19</f>
        <v>-26932.403579156391</v>
      </c>
    </row>
    <row r="48" spans="1:15" x14ac:dyDescent="0.2">
      <c r="B48" t="s">
        <v>2</v>
      </c>
    </row>
    <row r="50" spans="2:8" ht="19" x14ac:dyDescent="0.35">
      <c r="E50" s="23" t="s">
        <v>34</v>
      </c>
      <c r="F50" s="24" t="s">
        <v>31</v>
      </c>
      <c r="G50" s="24" t="s">
        <v>32</v>
      </c>
    </row>
    <row r="51" spans="2:8" x14ac:dyDescent="0.2">
      <c r="B51" t="s">
        <v>21</v>
      </c>
      <c r="E51" s="49">
        <f>CHOOSE($C$8,F51,G51)</f>
        <v>3.8E-3</v>
      </c>
      <c r="F51" s="33">
        <v>3.8E-3</v>
      </c>
      <c r="G51" s="33">
        <v>3.8E-3</v>
      </c>
    </row>
    <row r="52" spans="2:8" x14ac:dyDescent="0.2">
      <c r="B52" t="s">
        <v>22</v>
      </c>
      <c r="E52" s="44">
        <f>$C$6</f>
        <v>20000</v>
      </c>
      <c r="F52" s="32">
        <f>$C$6</f>
        <v>20000</v>
      </c>
      <c r="G52" s="32">
        <f>$C$6</f>
        <v>20000</v>
      </c>
    </row>
    <row r="53" spans="2:8" x14ac:dyDescent="0.2">
      <c r="B53" s="15" t="s">
        <v>26</v>
      </c>
      <c r="C53" s="28"/>
      <c r="D53" s="28"/>
      <c r="E53" s="45">
        <f>E51*E52</f>
        <v>76</v>
      </c>
      <c r="F53" s="46">
        <f>F51*F52</f>
        <v>76</v>
      </c>
      <c r="G53" s="47">
        <f>G51*G52</f>
        <v>76</v>
      </c>
    </row>
    <row r="54" spans="2:8" x14ac:dyDescent="0.2">
      <c r="E54" s="22"/>
    </row>
    <row r="55" spans="2:8" x14ac:dyDescent="0.2">
      <c r="B55" t="s">
        <v>18</v>
      </c>
      <c r="E55" s="49">
        <f>CHOOSE($C$8,F55,G55)</f>
        <v>4.1E-5</v>
      </c>
      <c r="F55" s="33">
        <v>4.1E-5</v>
      </c>
      <c r="G55" s="33">
        <v>8.2000000000000001E-5</v>
      </c>
    </row>
    <row r="56" spans="2:8" x14ac:dyDescent="0.2">
      <c r="B56" s="15" t="s">
        <v>25</v>
      </c>
      <c r="C56" s="28"/>
      <c r="D56" s="28"/>
      <c r="E56" s="45">
        <f ca="1">SUM(F69:F87)</f>
        <v>182.1683915909305</v>
      </c>
      <c r="F56" s="46"/>
      <c r="G56" s="47"/>
    </row>
    <row r="57" spans="2:8" x14ac:dyDescent="0.2">
      <c r="E57" s="21"/>
      <c r="F57" s="19"/>
      <c r="G57" s="19"/>
    </row>
    <row r="58" spans="2:8" x14ac:dyDescent="0.2">
      <c r="B58" s="13" t="s">
        <v>24</v>
      </c>
      <c r="C58" s="13"/>
      <c r="D58" s="13"/>
      <c r="E58" s="60">
        <f ca="1">E53+E56</f>
        <v>258.16839159093047</v>
      </c>
      <c r="F58" s="14">
        <f>F53+F56</f>
        <v>76</v>
      </c>
      <c r="G58" s="14">
        <f>G53+G56</f>
        <v>76</v>
      </c>
    </row>
    <row r="59" spans="2:8" x14ac:dyDescent="0.2">
      <c r="E59" s="21"/>
      <c r="F59" s="19"/>
      <c r="G59" s="19"/>
    </row>
    <row r="60" spans="2:8" x14ac:dyDescent="0.2">
      <c r="B60" t="s">
        <v>38</v>
      </c>
      <c r="E60" s="49">
        <f>CHOOSE($C$8,F60,G60)</f>
        <v>1.4999999999999999E-2</v>
      </c>
      <c r="F60" s="33">
        <v>1.4999999999999999E-2</v>
      </c>
      <c r="G60" s="33">
        <v>0.03</v>
      </c>
      <c r="H60" s="58"/>
    </row>
    <row r="61" spans="2:8" x14ac:dyDescent="0.2">
      <c r="B61" t="s">
        <v>22</v>
      </c>
      <c r="E61" s="44">
        <f>$C$6</f>
        <v>20000</v>
      </c>
      <c r="F61" s="32">
        <f>$C$6</f>
        <v>20000</v>
      </c>
      <c r="G61" s="32">
        <f>$C$6</f>
        <v>20000</v>
      </c>
    </row>
    <row r="62" spans="2:8" x14ac:dyDescent="0.2">
      <c r="B62" t="s">
        <v>39</v>
      </c>
      <c r="E62" s="44">
        <f>E60*E61</f>
        <v>300</v>
      </c>
      <c r="F62" s="32">
        <f>F60*F61</f>
        <v>300</v>
      </c>
      <c r="G62" s="32">
        <f t="shared" ref="G62" si="15">G60*G61</f>
        <v>600</v>
      </c>
    </row>
    <row r="63" spans="2:8" x14ac:dyDescent="0.2">
      <c r="B63" t="s">
        <v>40</v>
      </c>
      <c r="E63" s="44">
        <f>E53</f>
        <v>76</v>
      </c>
      <c r="F63" s="32">
        <f t="shared" ref="F63:G63" si="16">F53</f>
        <v>76</v>
      </c>
      <c r="G63" s="32">
        <f t="shared" si="16"/>
        <v>76</v>
      </c>
    </row>
    <row r="64" spans="2:8" x14ac:dyDescent="0.2">
      <c r="B64" s="15" t="s">
        <v>23</v>
      </c>
      <c r="C64" s="28"/>
      <c r="D64" s="28"/>
      <c r="E64" s="45">
        <f>E62+E63</f>
        <v>376</v>
      </c>
      <c r="F64" s="46">
        <f>F62+F63</f>
        <v>376</v>
      </c>
      <c r="G64" s="47">
        <f t="shared" ref="G64" si="17">G62+G63</f>
        <v>676</v>
      </c>
    </row>
    <row r="65" spans="1:9" x14ac:dyDescent="0.2">
      <c r="E65" s="44"/>
      <c r="F65" s="32"/>
      <c r="G65" s="32"/>
    </row>
    <row r="66" spans="1:9" x14ac:dyDescent="0.2">
      <c r="B66" s="13" t="s">
        <v>27</v>
      </c>
      <c r="C66" s="13"/>
      <c r="D66" s="13"/>
      <c r="E66" s="48">
        <f ca="1">MIN(E58,E64)</f>
        <v>258.16839159093047</v>
      </c>
      <c r="F66" s="14">
        <f>MIN(F58,F64)</f>
        <v>76</v>
      </c>
      <c r="G66" s="14">
        <f>MIN(G58,G64)</f>
        <v>76</v>
      </c>
    </row>
    <row r="68" spans="1:9" ht="36.75" customHeight="1" x14ac:dyDescent="0.35">
      <c r="A68" s="7" t="s">
        <v>11</v>
      </c>
      <c r="B68" s="2" t="s">
        <v>7</v>
      </c>
      <c r="C68" s="20" t="s">
        <v>45</v>
      </c>
      <c r="D68" s="20" t="s">
        <v>17</v>
      </c>
      <c r="E68" s="20" t="s">
        <v>20</v>
      </c>
      <c r="F68" s="20" t="s">
        <v>19</v>
      </c>
      <c r="G68" s="20" t="s">
        <v>46</v>
      </c>
      <c r="H68" s="20" t="s">
        <v>56</v>
      </c>
      <c r="I68" s="20" t="s">
        <v>55</v>
      </c>
    </row>
    <row r="69" spans="1:9" x14ac:dyDescent="0.2">
      <c r="B69" s="8">
        <v>0</v>
      </c>
      <c r="C69" s="36">
        <v>0</v>
      </c>
      <c r="D69" s="18">
        <v>0</v>
      </c>
      <c r="E69" s="51">
        <f t="shared" ref="E69:E87" si="18">$E$55*D69</f>
        <v>0</v>
      </c>
      <c r="F69" s="50">
        <f t="shared" ref="F69:F87" si="19">C69*E69</f>
        <v>0</v>
      </c>
      <c r="G69" s="27">
        <f ca="1">C9</f>
        <v>44312</v>
      </c>
      <c r="H69">
        <f t="shared" ref="H69:H87" ca="1" si="20">IF(MONTH(G69+1)=MONTH(G69),0,1)</f>
        <v>0</v>
      </c>
      <c r="I69" s="27">
        <f ca="1">G69</f>
        <v>44312</v>
      </c>
    </row>
    <row r="70" spans="1:9" x14ac:dyDescent="0.2">
      <c r="B70" s="9">
        <f>B69+1</f>
        <v>1</v>
      </c>
      <c r="C70" s="40">
        <f t="shared" ref="C70:C81" ca="1" si="21">-K27-J27</f>
        <v>1504.9394782630313</v>
      </c>
      <c r="D70" s="16">
        <f ca="1">I70-$I$69</f>
        <v>30</v>
      </c>
      <c r="E70" s="52">
        <f ca="1">$E$55*D70</f>
        <v>1.23E-3</v>
      </c>
      <c r="F70" s="41">
        <f t="shared" ca="1" si="19"/>
        <v>1.8510755582635285</v>
      </c>
      <c r="G70" s="27">
        <f ca="1">DATE(YEAR($G$69),MONTH($G$69)+B70,DAY($G$69))+$F$6</f>
        <v>44342</v>
      </c>
      <c r="H70">
        <f t="shared" ca="1" si="20"/>
        <v>0</v>
      </c>
      <c r="I70" s="27">
        <f t="shared" ref="I70:I81" ca="1" si="22">IF(AND(DAY($C$9)=31,MONTH(G69)=1),G70-IF(OR(YEAR(G70)=2020,YEAR(G70)=2024,YEAR(G70)=2028,YEAR(G70)=2032,YEAR(G70)=2036),2,3),
IF(AND(DAY($C$9)=30,MONTH(G69)=1),G70-IF(OR(YEAR(G70)=2020,YEAR(G70)=2024,YEAR(G70)=2028,YEAR(G70)=2032,YEAR(G70)=2036),1,2),
IF(AND(DAY($C$9)=29,MONTH(G69)=1),G70-IF(OR(YEAR(G70)=2020,YEAR(G70)=2024,YEAR(G70)=2028,YEAR(G70)=2032,YEAR(G70)=2036),0,1),
IF(AND(DAY($C$9)=31,H70=0),G70-1,G70))))</f>
        <v>44342</v>
      </c>
    </row>
    <row r="71" spans="1:9" x14ac:dyDescent="0.2">
      <c r="B71" s="9">
        <f>B70+1</f>
        <v>2</v>
      </c>
      <c r="C71" s="40">
        <f t="shared" ca="1" si="21"/>
        <v>1529.9499191827363</v>
      </c>
      <c r="D71" s="16">
        <f t="shared" ref="D71:D87" ca="1" si="23">I71-$I$69</f>
        <v>61</v>
      </c>
      <c r="E71" s="52">
        <f ca="1">$E$55*D71</f>
        <v>2.5010000000000002E-3</v>
      </c>
      <c r="F71" s="41">
        <f t="shared" ca="1" si="19"/>
        <v>3.8264047478760235</v>
      </c>
      <c r="G71" s="27">
        <f t="shared" ref="G71:G87" ca="1" si="24">DATE(YEAR($G$69),MONTH($G$69)+B71,DAY($G$69))+$F$6</f>
        <v>44373</v>
      </c>
      <c r="H71">
        <f t="shared" ca="1" si="20"/>
        <v>0</v>
      </c>
      <c r="I71" s="27">
        <f t="shared" ca="1" si="22"/>
        <v>44373</v>
      </c>
    </row>
    <row r="72" spans="1:9" x14ac:dyDescent="0.2">
      <c r="B72" s="9">
        <f>B71+1</f>
        <v>3</v>
      </c>
      <c r="C72" s="40">
        <f t="shared" ca="1" si="21"/>
        <v>1595.6826713230314</v>
      </c>
      <c r="D72" s="16">
        <f t="shared" ca="1" si="23"/>
        <v>91</v>
      </c>
      <c r="E72" s="52">
        <f t="shared" ca="1" si="18"/>
        <v>3.7309999999999999E-3</v>
      </c>
      <c r="F72" s="41">
        <f ca="1">C72*E72</f>
        <v>5.9534920467062298</v>
      </c>
      <c r="G72" s="27">
        <f t="shared" ca="1" si="24"/>
        <v>44403</v>
      </c>
      <c r="H72">
        <f t="shared" ca="1" si="20"/>
        <v>0</v>
      </c>
      <c r="I72" s="27">
        <f t="shared" ca="1" si="22"/>
        <v>44403</v>
      </c>
    </row>
    <row r="73" spans="1:9" x14ac:dyDescent="0.2">
      <c r="B73" s="9">
        <f>B72+1</f>
        <v>4</v>
      </c>
      <c r="C73" s="40">
        <f t="shared" ca="1" si="21"/>
        <v>1626.5692153410989</v>
      </c>
      <c r="D73" s="16">
        <f t="shared" ca="1" si="23"/>
        <v>122</v>
      </c>
      <c r="E73" s="52">
        <f t="shared" ca="1" si="18"/>
        <v>5.0020000000000004E-3</v>
      </c>
      <c r="F73" s="41">
        <f ca="1">C73*E73</f>
        <v>8.1360992151361771</v>
      </c>
      <c r="G73" s="27">
        <f t="shared" ca="1" si="24"/>
        <v>44434</v>
      </c>
      <c r="H73">
        <f t="shared" ca="1" si="20"/>
        <v>0</v>
      </c>
      <c r="I73" s="27">
        <f t="shared" ca="1" si="22"/>
        <v>44434</v>
      </c>
    </row>
    <row r="74" spans="1:9" x14ac:dyDescent="0.2">
      <c r="B74" s="9">
        <f>B73+1</f>
        <v>5</v>
      </c>
      <c r="C74" s="40">
        <f t="shared" ca="1" si="21"/>
        <v>1676.8495885660457</v>
      </c>
      <c r="D74" s="16">
        <f t="shared" ca="1" si="23"/>
        <v>153</v>
      </c>
      <c r="E74" s="52">
        <f t="shared" ca="1" si="18"/>
        <v>6.2729999999999999E-3</v>
      </c>
      <c r="F74" s="41">
        <f t="shared" ca="1" si="19"/>
        <v>10.518877469074804</v>
      </c>
      <c r="G74" s="27">
        <f t="shared" ca="1" si="24"/>
        <v>44465</v>
      </c>
      <c r="H74">
        <f t="shared" ca="1" si="20"/>
        <v>0</v>
      </c>
      <c r="I74" s="27">
        <f t="shared" ca="1" si="22"/>
        <v>44465</v>
      </c>
    </row>
    <row r="75" spans="1:9" x14ac:dyDescent="0.2">
      <c r="B75" s="9">
        <f t="shared" ref="B75:B87" si="25">B74+1</f>
        <v>6</v>
      </c>
      <c r="C75" s="40">
        <f t="shared" ca="1" si="21"/>
        <v>1742.1658055750315</v>
      </c>
      <c r="D75" s="16">
        <f t="shared" ca="1" si="23"/>
        <v>183</v>
      </c>
      <c r="E75" s="52">
        <f t="shared" ca="1" si="18"/>
        <v>7.5030000000000001E-3</v>
      </c>
      <c r="F75" s="41">
        <f t="shared" ca="1" si="19"/>
        <v>13.071470039229462</v>
      </c>
      <c r="G75" s="27">
        <f t="shared" ca="1" si="24"/>
        <v>44495</v>
      </c>
      <c r="H75">
        <f t="shared" ca="1" si="20"/>
        <v>0</v>
      </c>
      <c r="I75" s="27">
        <f t="shared" ca="1" si="22"/>
        <v>44495</v>
      </c>
    </row>
    <row r="76" spans="1:9" x14ac:dyDescent="0.2">
      <c r="B76" s="9">
        <f t="shared" si="25"/>
        <v>7</v>
      </c>
      <c r="C76" s="40">
        <f t="shared" ca="1" si="21"/>
        <v>1782.5379098868198</v>
      </c>
      <c r="D76" s="16">
        <f t="shared" ca="1" si="23"/>
        <v>214</v>
      </c>
      <c r="E76" s="52">
        <f t="shared" ca="1" si="18"/>
        <v>8.7740000000000005E-3</v>
      </c>
      <c r="F76" s="41">
        <f t="shared" ca="1" si="19"/>
        <v>15.639987621346958</v>
      </c>
      <c r="G76" s="27">
        <f t="shared" ca="1" si="24"/>
        <v>44526</v>
      </c>
      <c r="H76">
        <f t="shared" ca="1" si="20"/>
        <v>0</v>
      </c>
      <c r="I76" s="27">
        <f t="shared" ca="1" si="22"/>
        <v>44526</v>
      </c>
    </row>
    <row r="77" spans="1:9" x14ac:dyDescent="0.2">
      <c r="B77" s="9">
        <f t="shared" si="25"/>
        <v>8</v>
      </c>
      <c r="C77" s="40">
        <f t="shared" ca="1" si="21"/>
        <v>1847.5544468030316</v>
      </c>
      <c r="D77" s="16">
        <f t="shared" ca="1" si="23"/>
        <v>244</v>
      </c>
      <c r="E77" s="52">
        <f t="shared" ca="1" si="18"/>
        <v>1.0004000000000001E-2</v>
      </c>
      <c r="F77" s="41">
        <f t="shared" ca="1" si="19"/>
        <v>18.482934685817529</v>
      </c>
      <c r="G77" s="27">
        <f t="shared" ca="1" si="24"/>
        <v>44556</v>
      </c>
      <c r="H77">
        <f t="shared" ca="1" si="20"/>
        <v>0</v>
      </c>
      <c r="I77" s="27">
        <f t="shared" ca="1" si="22"/>
        <v>44556</v>
      </c>
    </row>
    <row r="78" spans="1:9" x14ac:dyDescent="0.2">
      <c r="B78" s="9">
        <f t="shared" si="25"/>
        <v>9</v>
      </c>
      <c r="C78" s="40">
        <f t="shared" ca="1" si="21"/>
        <v>1894.7510247408115</v>
      </c>
      <c r="D78" s="16">
        <f t="shared" ca="1" si="23"/>
        <v>275</v>
      </c>
      <c r="E78" s="52">
        <f t="shared" ca="1" si="18"/>
        <v>1.1275E-2</v>
      </c>
      <c r="F78" s="41">
        <f t="shared" ca="1" si="19"/>
        <v>21.363317803952651</v>
      </c>
      <c r="G78" s="27">
        <f t="shared" ca="1" si="24"/>
        <v>44587</v>
      </c>
      <c r="H78">
        <f t="shared" ca="1" si="20"/>
        <v>0</v>
      </c>
      <c r="I78" s="27">
        <f ca="1">IF(AND(DAY($C$9)=31,MONTH(G77)=1),G78-IF(OR(YEAR(G78)=2020,YEAR(G78)=2024,YEAR(G78)=2028,YEAR(G78)=2032,YEAR(G78)=2036),2,3),
IF(AND(DAY($C$9)=30,MONTH(G77)=1),G78-IF(OR(YEAR(G78)=2020,YEAR(G78)=2024,YEAR(G78)=2028,YEAR(G78)=2032,YEAR(G78)=2036),1,2),
IF(AND(DAY($C$9)=29,MONTH(G77)=1),G78-IF(OR(YEAR(G78)=2020,YEAR(G78)=2024,YEAR(G78)=2028,YEAR(G78)=2032,YEAR(G78)=2036),0,1),
IF(AND(DAY($C$9)=31,H78=0),G78-1,G78))))</f>
        <v>44587</v>
      </c>
    </row>
    <row r="79" spans="1:9" x14ac:dyDescent="0.2">
      <c r="B79" s="9">
        <f t="shared" si="25"/>
        <v>10</v>
      </c>
      <c r="C79" s="40">
        <f t="shared" ca="1" si="21"/>
        <v>1953.3214115909625</v>
      </c>
      <c r="D79" s="16">
        <f t="shared" ca="1" si="23"/>
        <v>306</v>
      </c>
      <c r="E79" s="52">
        <f t="shared" ca="1" si="18"/>
        <v>1.2546E-2</v>
      </c>
      <c r="F79" s="41">
        <f t="shared" ca="1" si="19"/>
        <v>24.506370429820215</v>
      </c>
      <c r="G79" s="27">
        <f t="shared" ca="1" si="24"/>
        <v>44618</v>
      </c>
      <c r="H79">
        <f t="shared" ca="1" si="20"/>
        <v>0</v>
      </c>
      <c r="I79" s="27">
        <f t="shared" ca="1" si="22"/>
        <v>44618</v>
      </c>
    </row>
    <row r="80" spans="1:9" x14ac:dyDescent="0.2">
      <c r="B80" s="9">
        <f t="shared" si="25"/>
        <v>11</v>
      </c>
      <c r="C80" s="40">
        <f t="shared" ca="1" si="21"/>
        <v>2026.1442079184176</v>
      </c>
      <c r="D80" s="16">
        <f t="shared" ca="1" si="23"/>
        <v>334</v>
      </c>
      <c r="E80" s="52">
        <f t="shared" ca="1" si="18"/>
        <v>1.3694E-2</v>
      </c>
      <c r="F80" s="41">
        <f t="shared" ca="1" si="19"/>
        <v>27.74601878323481</v>
      </c>
      <c r="G80" s="27">
        <f t="shared" ca="1" si="24"/>
        <v>44646</v>
      </c>
      <c r="H80">
        <f t="shared" ca="1" si="20"/>
        <v>0</v>
      </c>
      <c r="I80" s="27">
        <f t="shared" ca="1" si="22"/>
        <v>44646</v>
      </c>
    </row>
    <row r="81" spans="1:9" x14ac:dyDescent="0.2">
      <c r="B81" s="9">
        <f t="shared" si="25"/>
        <v>12</v>
      </c>
      <c r="C81" s="40">
        <f t="shared" ca="1" si="21"/>
        <v>2076.3343237678228</v>
      </c>
      <c r="D81" s="16">
        <f t="shared" ca="1" si="23"/>
        <v>365</v>
      </c>
      <c r="E81" s="52">
        <f t="shared" ca="1" si="18"/>
        <v>1.4965000000000001E-2</v>
      </c>
      <c r="F81" s="41">
        <f t="shared" ca="1" si="19"/>
        <v>31.072343155185468</v>
      </c>
      <c r="G81" s="27">
        <f t="shared" ca="1" si="24"/>
        <v>44677</v>
      </c>
      <c r="H81">
        <f t="shared" ca="1" si="20"/>
        <v>0</v>
      </c>
      <c r="I81" s="27">
        <f t="shared" ca="1" si="22"/>
        <v>44677</v>
      </c>
    </row>
    <row r="82" spans="1:9" x14ac:dyDescent="0.2">
      <c r="B82" s="9">
        <f t="shared" si="25"/>
        <v>13</v>
      </c>
      <c r="C82" s="40">
        <f t="shared" ref="C82:C87" ca="1" si="26">-G39-F39</f>
        <v>2.9900000000000039E-7</v>
      </c>
      <c r="D82" s="16">
        <f t="shared" ca="1" si="23"/>
        <v>395</v>
      </c>
      <c r="E82" s="52">
        <f t="shared" ca="1" si="18"/>
        <v>1.6195000000000001E-2</v>
      </c>
      <c r="F82" s="41">
        <f t="shared" ca="1" si="19"/>
        <v>4.8423050000000067E-9</v>
      </c>
      <c r="G82" s="27">
        <f t="shared" ca="1" si="24"/>
        <v>44707</v>
      </c>
      <c r="H82">
        <f t="shared" ca="1" si="20"/>
        <v>0</v>
      </c>
      <c r="I82" s="27">
        <f ca="1">IF(AND(DAY($C$9)=31,MONTH(G81)=1),G82-IF(OR(YEAR(G82)=2020,YEAR(G82)=2024,YEAR(G82)=2028,YEAR(G82)=2032,YEAR(G82)=2036),2,3),
IF(AND(DAY($C$9)=30,MONTH(G81)=1),G82-IF(OR(YEAR(G82)=2020,YEAR(G82)=2024,YEAR(G82)=2028,YEAR(G82)=2032,YEAR(G82)=2036),1,2),
IF(AND(DAY($C$9)=29,MONTH(G81)=1),G82-IF(OR(YEAR(G82)=2020,YEAR(G82)=2024,YEAR(G82)=2028,YEAR(G82)=2032,YEAR(G82)=2036),0,1),
IF(AND(DAY($C$9)=31,H82=0),G82-1,G82))))</f>
        <v>44707</v>
      </c>
    </row>
    <row r="83" spans="1:9" x14ac:dyDescent="0.2">
      <c r="B83" s="9">
        <f t="shared" si="25"/>
        <v>14</v>
      </c>
      <c r="C83" s="40">
        <f t="shared" ca="1" si="26"/>
        <v>3.0911917308349635E-7</v>
      </c>
      <c r="D83" s="16">
        <f t="shared" ca="1" si="23"/>
        <v>426</v>
      </c>
      <c r="E83" s="52">
        <f t="shared" ca="1" si="18"/>
        <v>1.7465999999999999E-2</v>
      </c>
      <c r="F83" s="41">
        <f t="shared" ca="1" si="19"/>
        <v>5.3990754770763471E-9</v>
      </c>
      <c r="G83" s="27">
        <f t="shared" ca="1" si="24"/>
        <v>44738</v>
      </c>
      <c r="H83">
        <f t="shared" ca="1" si="20"/>
        <v>0</v>
      </c>
      <c r="I83" s="27">
        <f t="shared" ref="I83:I87" ca="1" si="27">IF(AND(DAY($C$9)=31,MONTH(G82)=1),G83-IF(OR(YEAR(G83)=2020,YEAR(G83)=2024,YEAR(G83)=2028,YEAR(G83)=2032,YEAR(G83)=2036),2,3),
IF(AND(DAY($C$9)=30,MONTH(G82)=1),G83-IF(OR(YEAR(G83)=2020,YEAR(G83)=2024,YEAR(G83)=2028,YEAR(G83)=2032,YEAR(G83)=2036),1,2),
IF(AND(DAY($C$9)=29,MONTH(G82)=1),G83-IF(OR(YEAR(G83)=2020,YEAR(G83)=2024,YEAR(G83)=2028,YEAR(G83)=2032,YEAR(G83)=2036),0,1),
IF(AND(DAY($C$9)=31,H83=0),G83-1,G83))))</f>
        <v>44738</v>
      </c>
    </row>
    <row r="84" spans="1:9" x14ac:dyDescent="0.2">
      <c r="B84" s="9">
        <f t="shared" si="25"/>
        <v>15</v>
      </c>
      <c r="C84" s="40">
        <f t="shared" ca="1" si="26"/>
        <v>2.9900000000000039E-7</v>
      </c>
      <c r="D84" s="16">
        <f t="shared" ca="1" si="23"/>
        <v>456</v>
      </c>
      <c r="E84" s="52">
        <f t="shared" ca="1" si="18"/>
        <v>1.8696000000000001E-2</v>
      </c>
      <c r="F84" s="41">
        <f t="shared" ca="1" si="19"/>
        <v>5.5901040000000074E-9</v>
      </c>
      <c r="G84" s="27">
        <f t="shared" ca="1" si="24"/>
        <v>44768</v>
      </c>
      <c r="H84">
        <f t="shared" ca="1" si="20"/>
        <v>0</v>
      </c>
      <c r="I84" s="27">
        <f t="shared" ca="1" si="27"/>
        <v>44768</v>
      </c>
    </row>
    <row r="85" spans="1:9" x14ac:dyDescent="0.2">
      <c r="B85" s="9">
        <f t="shared" si="25"/>
        <v>16</v>
      </c>
      <c r="C85" s="40">
        <f t="shared" ca="1" si="26"/>
        <v>3.0911917308349635E-7</v>
      </c>
      <c r="D85" s="16">
        <f t="shared" ca="1" si="23"/>
        <v>487</v>
      </c>
      <c r="E85" s="52">
        <f t="shared" ca="1" si="18"/>
        <v>1.9966999999999999E-2</v>
      </c>
      <c r="F85" s="41">
        <f t="shared" ca="1" si="19"/>
        <v>6.1721825289581714E-9</v>
      </c>
      <c r="G85" s="27">
        <f t="shared" ca="1" si="24"/>
        <v>44799</v>
      </c>
      <c r="H85">
        <f t="shared" ca="1" si="20"/>
        <v>0</v>
      </c>
      <c r="I85" s="27">
        <f t="shared" ca="1" si="27"/>
        <v>44799</v>
      </c>
    </row>
    <row r="86" spans="1:9" x14ac:dyDescent="0.2">
      <c r="B86" s="9">
        <f t="shared" si="25"/>
        <v>17</v>
      </c>
      <c r="C86" s="40">
        <f t="shared" ca="1" si="26"/>
        <v>3.0911917308349635E-7</v>
      </c>
      <c r="D86" s="16">
        <f t="shared" ca="1" si="23"/>
        <v>518</v>
      </c>
      <c r="E86" s="52">
        <f t="shared" ca="1" si="18"/>
        <v>2.1238E-2</v>
      </c>
      <c r="F86" s="41">
        <f t="shared" ca="1" si="19"/>
        <v>6.5650729979472956E-9</v>
      </c>
      <c r="G86" s="27">
        <f t="shared" ca="1" si="24"/>
        <v>44830</v>
      </c>
      <c r="H86">
        <f t="shared" ca="1" si="20"/>
        <v>0</v>
      </c>
      <c r="I86" s="27">
        <f t="shared" ca="1" si="27"/>
        <v>44830</v>
      </c>
    </row>
    <row r="87" spans="1:9" x14ac:dyDescent="0.2">
      <c r="B87" s="10">
        <f t="shared" si="25"/>
        <v>18</v>
      </c>
      <c r="C87" s="42">
        <f t="shared" ca="1" si="26"/>
        <v>2.9900000000000039E-7</v>
      </c>
      <c r="D87" s="17">
        <f t="shared" ca="1" si="23"/>
        <v>548</v>
      </c>
      <c r="E87" s="59">
        <f t="shared" ca="1" si="18"/>
        <v>2.2468000000000002E-2</v>
      </c>
      <c r="F87" s="43">
        <f t="shared" ca="1" si="19"/>
        <v>6.7179320000000091E-9</v>
      </c>
      <c r="G87" s="27">
        <f t="shared" ca="1" si="24"/>
        <v>44860</v>
      </c>
      <c r="H87">
        <f t="shared" ca="1" si="20"/>
        <v>0</v>
      </c>
      <c r="I87" s="27">
        <f t="shared" ca="1" si="27"/>
        <v>44860</v>
      </c>
    </row>
    <row r="91" spans="1:9" ht="20" thickBot="1" x14ac:dyDescent="0.3">
      <c r="A91" s="7" t="s">
        <v>11</v>
      </c>
      <c r="B91" s="11" t="s">
        <v>12</v>
      </c>
      <c r="C91" s="11"/>
      <c r="D91" s="11"/>
    </row>
    <row r="92" spans="1:9" x14ac:dyDescent="0.2">
      <c r="B92" t="s">
        <v>2</v>
      </c>
    </row>
    <row r="94" spans="1:9" x14ac:dyDescent="0.2">
      <c r="B94" s="15" t="s">
        <v>30</v>
      </c>
      <c r="C94" s="28"/>
      <c r="D94" s="53">
        <f>C6</f>
        <v>20000</v>
      </c>
    </row>
    <row r="95" spans="1:9" x14ac:dyDescent="0.2">
      <c r="D95" s="54"/>
    </row>
    <row r="96" spans="1:9" x14ac:dyDescent="0.2">
      <c r="B96" t="s">
        <v>13</v>
      </c>
      <c r="D96" s="54">
        <f>C6</f>
        <v>20000</v>
      </c>
    </row>
    <row r="97" spans="2:4" x14ac:dyDescent="0.2">
      <c r="B97" t="s">
        <v>14</v>
      </c>
      <c r="D97" s="33">
        <v>0.05</v>
      </c>
    </row>
    <row r="98" spans="2:4" x14ac:dyDescent="0.2">
      <c r="B98" s="15" t="s">
        <v>54</v>
      </c>
      <c r="C98" s="28"/>
      <c r="D98" s="53">
        <f>D96*D97</f>
        <v>1000</v>
      </c>
    </row>
    <row r="99" spans="2:4" x14ac:dyDescent="0.2">
      <c r="D99" s="54"/>
    </row>
    <row r="100" spans="2:4" x14ac:dyDescent="0.2">
      <c r="B100" t="s">
        <v>13</v>
      </c>
      <c r="D100" s="54">
        <f>C6</f>
        <v>20000</v>
      </c>
    </row>
    <row r="101" spans="2:4" x14ac:dyDescent="0.2">
      <c r="B101" t="s">
        <v>15</v>
      </c>
      <c r="D101" s="33">
        <v>5.0000000000000001E-4</v>
      </c>
    </row>
    <row r="102" spans="2:4" x14ac:dyDescent="0.2">
      <c r="B102" s="15" t="s">
        <v>29</v>
      </c>
      <c r="C102" s="28"/>
      <c r="D102" s="53"/>
    </row>
    <row r="104" spans="2:4" x14ac:dyDescent="0.2">
      <c r="B104" s="15" t="s">
        <v>28</v>
      </c>
      <c r="C104" s="28"/>
      <c r="D104" s="53">
        <f ca="1">E66</f>
        <v>258.16839159093047</v>
      </c>
    </row>
    <row r="106" spans="2:4" x14ac:dyDescent="0.2">
      <c r="B106" s="13" t="s">
        <v>53</v>
      </c>
      <c r="C106" s="13"/>
      <c r="D106" s="14">
        <f ca="1">D94+D98+D102+D104</f>
        <v>21258.168391590931</v>
      </c>
    </row>
  </sheetData>
  <pageMargins left="0.511811024" right="0.511811024" top="0.78740157499999996" bottom="0.78740157499999996" header="0.31496062000000002" footer="0.31496062000000002"/>
  <pageSetup paperSize="9" scale="40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Installment Calculation</vt:lpstr>
      <vt:lpstr>Installment Calculation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Castanheira de Paula</dc:creator>
  <cp:lastModifiedBy>Sergio Spieler</cp:lastModifiedBy>
  <dcterms:created xsi:type="dcterms:W3CDTF">2016-10-19T13:34:07Z</dcterms:created>
  <dcterms:modified xsi:type="dcterms:W3CDTF">2021-04-26T16:32:00Z</dcterms:modified>
</cp:coreProperties>
</file>