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NL Gian\Analysis\"/>
    </mc:Choice>
  </mc:AlternateContent>
  <bookViews>
    <workbookView minimized="1" xWindow="0" yWindow="0" windowWidth="24000" windowHeight="9510"/>
  </bookViews>
  <sheets>
    <sheet name="TDS" sheetId="1" r:id="rId1"/>
    <sheet name="TDS Equiation" sheetId="4" r:id="rId2"/>
    <sheet name="Absorption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D35" i="1" l="1"/>
  <c r="C35" i="1"/>
  <c r="B3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" i="1"/>
  <c r="B8" i="1"/>
  <c r="B28" i="1" l="1"/>
  <c r="C28" i="1" s="1"/>
  <c r="F32" i="1" l="1"/>
  <c r="E32" i="1"/>
  <c r="E26" i="1"/>
  <c r="F26" i="1"/>
  <c r="E17" i="1"/>
  <c r="J32" i="1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4" i="3"/>
  <c r="C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O35" i="1"/>
  <c r="I25" i="1"/>
  <c r="I24" i="1"/>
  <c r="I23" i="1"/>
  <c r="I22" i="1"/>
  <c r="I21" i="1"/>
  <c r="I20" i="1"/>
  <c r="G5" i="1"/>
  <c r="F2" i="1"/>
  <c r="E2" i="1"/>
  <c r="D2" i="1"/>
  <c r="C2" i="1" s="1"/>
  <c r="I26" i="1" l="1"/>
  <c r="B34" i="1" s="1"/>
  <c r="C34" i="1" s="1"/>
  <c r="H32" i="1"/>
  <c r="H34" i="1" s="1"/>
  <c r="B21" i="1"/>
  <c r="C6" i="1"/>
  <c r="B15" i="1"/>
  <c r="J22" i="1"/>
  <c r="B44" i="1" l="1"/>
  <c r="C44" i="1" s="1"/>
  <c r="B48" i="1"/>
  <c r="B52" i="1"/>
  <c r="B56" i="1"/>
  <c r="B60" i="1"/>
  <c r="C60" i="1" s="1"/>
  <c r="B64" i="1"/>
  <c r="B68" i="1"/>
  <c r="B72" i="1"/>
  <c r="C72" i="1" s="1"/>
  <c r="B76" i="1"/>
  <c r="C76" i="1" s="1"/>
  <c r="B80" i="1"/>
  <c r="B84" i="1"/>
  <c r="B88" i="1"/>
  <c r="C88" i="1" s="1"/>
  <c r="B92" i="1"/>
  <c r="C92" i="1" s="1"/>
  <c r="H93" i="1"/>
  <c r="I93" i="1" s="1"/>
  <c r="H91" i="1"/>
  <c r="I91" i="1" s="1"/>
  <c r="H84" i="1"/>
  <c r="I84" i="1" s="1"/>
  <c r="H81" i="1"/>
  <c r="I81" i="1" s="1"/>
  <c r="H79" i="1"/>
  <c r="I79" i="1" s="1"/>
  <c r="H76" i="1"/>
  <c r="I76" i="1" s="1"/>
  <c r="H73" i="1"/>
  <c r="I73" i="1" s="1"/>
  <c r="H71" i="1"/>
  <c r="I71" i="1" s="1"/>
  <c r="H68" i="1"/>
  <c r="I68" i="1" s="1"/>
  <c r="H65" i="1"/>
  <c r="I65" i="1" s="1"/>
  <c r="H63" i="1"/>
  <c r="I63" i="1" s="1"/>
  <c r="H60" i="1"/>
  <c r="I60" i="1" s="1"/>
  <c r="H57" i="1"/>
  <c r="I57" i="1" s="1"/>
  <c r="H55" i="1"/>
  <c r="I55" i="1" s="1"/>
  <c r="H52" i="1"/>
  <c r="I52" i="1" s="1"/>
  <c r="H49" i="1"/>
  <c r="I49" i="1" s="1"/>
  <c r="H47" i="1"/>
  <c r="I47" i="1" s="1"/>
  <c r="H44" i="1"/>
  <c r="I44" i="1" s="1"/>
  <c r="B45" i="1"/>
  <c r="C45" i="1" s="1"/>
  <c r="B49" i="1"/>
  <c r="B53" i="1"/>
  <c r="B57" i="1"/>
  <c r="B61" i="1"/>
  <c r="C61" i="1" s="1"/>
  <c r="B65" i="1"/>
  <c r="C65" i="1" s="1"/>
  <c r="B69" i="1"/>
  <c r="B73" i="1"/>
  <c r="B77" i="1"/>
  <c r="C77" i="1" s="1"/>
  <c r="B81" i="1"/>
  <c r="C81" i="1" s="1"/>
  <c r="B85" i="1"/>
  <c r="B89" i="1"/>
  <c r="B93" i="1"/>
  <c r="C93" i="1" s="1"/>
  <c r="H89" i="1"/>
  <c r="I89" i="1" s="1"/>
  <c r="H87" i="1"/>
  <c r="I87" i="1" s="1"/>
  <c r="H82" i="1"/>
  <c r="I82" i="1" s="1"/>
  <c r="H77" i="1"/>
  <c r="I77" i="1" s="1"/>
  <c r="H74" i="1"/>
  <c r="I74" i="1" s="1"/>
  <c r="H69" i="1"/>
  <c r="I69" i="1" s="1"/>
  <c r="H66" i="1"/>
  <c r="I66" i="1" s="1"/>
  <c r="H61" i="1"/>
  <c r="I61" i="1" s="1"/>
  <c r="H58" i="1"/>
  <c r="I58" i="1" s="1"/>
  <c r="H53" i="1"/>
  <c r="I53" i="1" s="1"/>
  <c r="H50" i="1"/>
  <c r="I50" i="1" s="1"/>
  <c r="H45" i="1"/>
  <c r="I45" i="1" s="1"/>
  <c r="B46" i="1"/>
  <c r="C46" i="1" s="1"/>
  <c r="B50" i="1"/>
  <c r="B54" i="1"/>
  <c r="C54" i="1" s="1"/>
  <c r="B58" i="1"/>
  <c r="C58" i="1" s="1"/>
  <c r="B62" i="1"/>
  <c r="C62" i="1" s="1"/>
  <c r="B66" i="1"/>
  <c r="B70" i="1"/>
  <c r="C70" i="1" s="1"/>
  <c r="B74" i="1"/>
  <c r="C74" i="1" s="1"/>
  <c r="B78" i="1"/>
  <c r="C78" i="1" s="1"/>
  <c r="B82" i="1"/>
  <c r="B86" i="1"/>
  <c r="C86" i="1" s="1"/>
  <c r="B90" i="1"/>
  <c r="C90" i="1" s="1"/>
  <c r="B43" i="1"/>
  <c r="C43" i="1" s="1"/>
  <c r="H92" i="1"/>
  <c r="I92" i="1" s="1"/>
  <c r="H90" i="1"/>
  <c r="I90" i="1" s="1"/>
  <c r="H85" i="1"/>
  <c r="I85" i="1" s="1"/>
  <c r="H80" i="1"/>
  <c r="I80" i="1" s="1"/>
  <c r="H78" i="1"/>
  <c r="I78" i="1" s="1"/>
  <c r="H72" i="1"/>
  <c r="I72" i="1" s="1"/>
  <c r="H70" i="1"/>
  <c r="I70" i="1" s="1"/>
  <c r="H64" i="1"/>
  <c r="I64" i="1" s="1"/>
  <c r="H62" i="1"/>
  <c r="I62" i="1" s="1"/>
  <c r="H56" i="1"/>
  <c r="I56" i="1" s="1"/>
  <c r="H54" i="1"/>
  <c r="I54" i="1" s="1"/>
  <c r="H48" i="1"/>
  <c r="I48" i="1" s="1"/>
  <c r="H46" i="1"/>
  <c r="I46" i="1" s="1"/>
  <c r="B47" i="1"/>
  <c r="B51" i="1"/>
  <c r="C51" i="1" s="1"/>
  <c r="B55" i="1"/>
  <c r="C55" i="1" s="1"/>
  <c r="B59" i="1"/>
  <c r="B63" i="1"/>
  <c r="C63" i="1" s="1"/>
  <c r="B67" i="1"/>
  <c r="C67" i="1" s="1"/>
  <c r="B71" i="1"/>
  <c r="B75" i="1"/>
  <c r="B79" i="1"/>
  <c r="B83" i="1"/>
  <c r="C83" i="1" s="1"/>
  <c r="B87" i="1"/>
  <c r="C87" i="1" s="1"/>
  <c r="B91" i="1"/>
  <c r="H88" i="1"/>
  <c r="I88" i="1" s="1"/>
  <c r="H86" i="1"/>
  <c r="I86" i="1" s="1"/>
  <c r="H83" i="1"/>
  <c r="I83" i="1" s="1"/>
  <c r="H75" i="1"/>
  <c r="I75" i="1" s="1"/>
  <c r="H67" i="1"/>
  <c r="I67" i="1" s="1"/>
  <c r="H59" i="1"/>
  <c r="I59" i="1" s="1"/>
  <c r="H51" i="1"/>
  <c r="I51" i="1" s="1"/>
  <c r="H43" i="1"/>
  <c r="I43" i="1" s="1"/>
  <c r="C56" i="1"/>
  <c r="C68" i="1"/>
  <c r="C84" i="1"/>
  <c r="M32" i="1"/>
  <c r="E43" i="1" s="1"/>
  <c r="C49" i="1"/>
  <c r="C53" i="1"/>
  <c r="C57" i="1"/>
  <c r="C69" i="1"/>
  <c r="C73" i="1"/>
  <c r="C85" i="1"/>
  <c r="C89" i="1"/>
  <c r="C82" i="1"/>
  <c r="C50" i="1"/>
  <c r="C66" i="1"/>
  <c r="C47" i="1"/>
  <c r="C59" i="1"/>
  <c r="C71" i="1"/>
  <c r="C75" i="1"/>
  <c r="C79" i="1"/>
  <c r="C91" i="1"/>
  <c r="C48" i="1"/>
  <c r="C52" i="1"/>
  <c r="C64" i="1"/>
  <c r="C80" i="1"/>
  <c r="E67" i="1" l="1"/>
  <c r="E51" i="1"/>
  <c r="E82" i="1"/>
  <c r="E66" i="1"/>
  <c r="F66" i="1" s="1"/>
  <c r="E50" i="1"/>
  <c r="E91" i="1"/>
  <c r="E81" i="1"/>
  <c r="E65" i="1"/>
  <c r="F65" i="1" s="1"/>
  <c r="E49" i="1"/>
  <c r="E80" i="1"/>
  <c r="E64" i="1"/>
  <c r="E48" i="1"/>
  <c r="F48" i="1" s="1"/>
  <c r="E87" i="1"/>
  <c r="E63" i="1"/>
  <c r="E47" i="1"/>
  <c r="E78" i="1"/>
  <c r="F78" i="1" s="1"/>
  <c r="E62" i="1"/>
  <c r="E46" i="1"/>
  <c r="E83" i="1"/>
  <c r="E77" i="1"/>
  <c r="F77" i="1" s="1"/>
  <c r="E61" i="1"/>
  <c r="E92" i="1"/>
  <c r="E76" i="1"/>
  <c r="E60" i="1"/>
  <c r="F60" i="1" s="1"/>
  <c r="E44" i="1"/>
  <c r="E79" i="1"/>
  <c r="E59" i="1"/>
  <c r="E90" i="1"/>
  <c r="E74" i="1"/>
  <c r="F74" i="1" s="1"/>
  <c r="E58" i="1"/>
  <c r="E89" i="1"/>
  <c r="F89" i="1" s="1"/>
  <c r="E93" i="1"/>
  <c r="F93" i="1" s="1"/>
  <c r="E73" i="1"/>
  <c r="F73" i="1" s="1"/>
  <c r="E57" i="1"/>
  <c r="E88" i="1"/>
  <c r="F88" i="1" s="1"/>
  <c r="E72" i="1"/>
  <c r="F72" i="1" s="1"/>
  <c r="E56" i="1"/>
  <c r="F56" i="1" s="1"/>
  <c r="E71" i="1"/>
  <c r="E75" i="1"/>
  <c r="E55" i="1"/>
  <c r="F55" i="1" s="1"/>
  <c r="E86" i="1"/>
  <c r="E70" i="1"/>
  <c r="E54" i="1"/>
  <c r="E45" i="1"/>
  <c r="F45" i="1" s="1"/>
  <c r="E85" i="1"/>
  <c r="E69" i="1"/>
  <c r="E53" i="1"/>
  <c r="E84" i="1"/>
  <c r="F84" i="1" s="1"/>
  <c r="E68" i="1"/>
  <c r="E52" i="1"/>
  <c r="F57" i="1"/>
  <c r="K87" i="1"/>
  <c r="L87" i="1" s="1"/>
  <c r="K85" i="1"/>
  <c r="L85" i="1" s="1"/>
  <c r="K82" i="1"/>
  <c r="L82" i="1" s="1"/>
  <c r="K74" i="1"/>
  <c r="L74" i="1" s="1"/>
  <c r="K66" i="1"/>
  <c r="L66" i="1" s="1"/>
  <c r="K58" i="1"/>
  <c r="L58" i="1" s="1"/>
  <c r="K50" i="1"/>
  <c r="L50" i="1" s="1"/>
  <c r="F58" i="1"/>
  <c r="F90" i="1"/>
  <c r="K92" i="1"/>
  <c r="L92" i="1" s="1"/>
  <c r="K90" i="1"/>
  <c r="L90" i="1" s="1"/>
  <c r="K80" i="1"/>
  <c r="L80" i="1" s="1"/>
  <c r="K78" i="1"/>
  <c r="L78" i="1" s="1"/>
  <c r="K72" i="1"/>
  <c r="L72" i="1" s="1"/>
  <c r="K70" i="1"/>
  <c r="L70" i="1" s="1"/>
  <c r="K64" i="1"/>
  <c r="L64" i="1" s="1"/>
  <c r="K62" i="1"/>
  <c r="L62" i="1" s="1"/>
  <c r="K56" i="1"/>
  <c r="L56" i="1" s="1"/>
  <c r="K54" i="1"/>
  <c r="L54" i="1" s="1"/>
  <c r="K48" i="1"/>
  <c r="L48" i="1" s="1"/>
  <c r="K46" i="1"/>
  <c r="L46" i="1" s="1"/>
  <c r="K44" i="1"/>
  <c r="L44" i="1" s="1"/>
  <c r="F51" i="1"/>
  <c r="K93" i="1"/>
  <c r="L93" i="1" s="1"/>
  <c r="K88" i="1"/>
  <c r="L88" i="1" s="1"/>
  <c r="K86" i="1"/>
  <c r="L86" i="1" s="1"/>
  <c r="K83" i="1"/>
  <c r="L83" i="1" s="1"/>
  <c r="K81" i="1"/>
  <c r="L81" i="1" s="1"/>
  <c r="K75" i="1"/>
  <c r="L75" i="1" s="1"/>
  <c r="K73" i="1"/>
  <c r="L73" i="1" s="1"/>
  <c r="K67" i="1"/>
  <c r="L67" i="1" s="1"/>
  <c r="K65" i="1"/>
  <c r="L65" i="1" s="1"/>
  <c r="K59" i="1"/>
  <c r="L59" i="1" s="1"/>
  <c r="K57" i="1"/>
  <c r="L57" i="1" s="1"/>
  <c r="K51" i="1"/>
  <c r="L51" i="1" s="1"/>
  <c r="K49" i="1"/>
  <c r="L49" i="1" s="1"/>
  <c r="K43" i="1"/>
  <c r="L43" i="1" s="1"/>
  <c r="K91" i="1"/>
  <c r="L91" i="1" s="1"/>
  <c r="K89" i="1"/>
  <c r="L89" i="1" s="1"/>
  <c r="K84" i="1"/>
  <c r="L84" i="1" s="1"/>
  <c r="K79" i="1"/>
  <c r="L79" i="1" s="1"/>
  <c r="K77" i="1"/>
  <c r="L77" i="1" s="1"/>
  <c r="K76" i="1"/>
  <c r="L76" i="1" s="1"/>
  <c r="K71" i="1"/>
  <c r="L71" i="1" s="1"/>
  <c r="K69" i="1"/>
  <c r="L69" i="1" s="1"/>
  <c r="K68" i="1"/>
  <c r="L68" i="1" s="1"/>
  <c r="K63" i="1"/>
  <c r="K61" i="1"/>
  <c r="L61" i="1" s="1"/>
  <c r="K60" i="1"/>
  <c r="L60" i="1" s="1"/>
  <c r="K55" i="1"/>
  <c r="L55" i="1" s="1"/>
  <c r="K53" i="1"/>
  <c r="L53" i="1" s="1"/>
  <c r="K52" i="1"/>
  <c r="L52" i="1" s="1"/>
  <c r="K47" i="1"/>
  <c r="L47" i="1" s="1"/>
  <c r="K45" i="1"/>
  <c r="L45" i="1" s="1"/>
  <c r="L63" i="1"/>
  <c r="F53" i="1"/>
  <c r="F87" i="1"/>
  <c r="F82" i="1"/>
  <c r="F54" i="1"/>
  <c r="M54" i="1" s="1"/>
  <c r="F67" i="1"/>
  <c r="F50" i="1"/>
  <c r="F49" i="1"/>
  <c r="M49" i="1" s="1"/>
  <c r="F76" i="1"/>
  <c r="F92" i="1"/>
  <c r="M92" i="1" s="1"/>
  <c r="F68" i="1"/>
  <c r="F62" i="1"/>
  <c r="F91" i="1"/>
  <c r="F47" i="1"/>
  <c r="F61" i="1"/>
  <c r="F43" i="1"/>
  <c r="F63" i="1"/>
  <c r="M63" i="1" s="1"/>
  <c r="F46" i="1"/>
  <c r="F80" i="1"/>
  <c r="F75" i="1"/>
  <c r="F59" i="1"/>
  <c r="F64" i="1"/>
  <c r="M64" i="1" s="1"/>
  <c r="F52" i="1"/>
  <c r="F44" i="1"/>
  <c r="M44" i="1" s="1"/>
  <c r="F79" i="1"/>
  <c r="F69" i="1"/>
  <c r="F86" i="1"/>
  <c r="M86" i="1" s="1"/>
  <c r="F71" i="1"/>
  <c r="F85" i="1"/>
  <c r="M85" i="1" s="1"/>
  <c r="F83" i="1"/>
  <c r="M83" i="1" s="1"/>
  <c r="F70" i="1"/>
  <c r="F81" i="1"/>
  <c r="M81" i="1" s="1"/>
  <c r="M45" i="1" l="1"/>
  <c r="M72" i="1"/>
  <c r="M93" i="1"/>
  <c r="M78" i="1"/>
  <c r="M65" i="1"/>
  <c r="M66" i="1"/>
  <c r="M69" i="1"/>
  <c r="M46" i="1"/>
  <c r="M62" i="1"/>
  <c r="M60" i="1"/>
  <c r="M88" i="1"/>
  <c r="M56" i="1"/>
  <c r="M74" i="1"/>
  <c r="M70" i="1"/>
  <c r="M77" i="1"/>
  <c r="M67" i="1"/>
  <c r="M90" i="1"/>
  <c r="M68" i="1"/>
  <c r="M58" i="1"/>
  <c r="M51" i="1"/>
  <c r="M89" i="1"/>
  <c r="M73" i="1"/>
  <c r="M57" i="1"/>
  <c r="M61" i="1"/>
  <c r="M75" i="1"/>
  <c r="M52" i="1"/>
  <c r="M48" i="1"/>
  <c r="M50" i="1"/>
  <c r="M82" i="1"/>
  <c r="M84" i="1"/>
  <c r="M59" i="1"/>
  <c r="M80" i="1"/>
  <c r="M43" i="1"/>
  <c r="M76" i="1"/>
  <c r="M53" i="1"/>
  <c r="M91" i="1"/>
  <c r="M87" i="1"/>
  <c r="M71" i="1"/>
  <c r="M55" i="1"/>
  <c r="M79" i="1"/>
  <c r="M47" i="1"/>
</calcChain>
</file>

<file path=xl/sharedStrings.xml><?xml version="1.0" encoding="utf-8"?>
<sst xmlns="http://schemas.openxmlformats.org/spreadsheetml/2006/main" count="64" uniqueCount="45">
  <si>
    <t>element</t>
  </si>
  <si>
    <t>Atomic mass (g/mol)</t>
  </si>
  <si>
    <t>Mass of nucleus (Kg)</t>
  </si>
  <si>
    <t>Avogardro Number (mol-1)</t>
  </si>
  <si>
    <t>h-Planck constant (A2Kgs-1)</t>
  </si>
  <si>
    <t>kb-Bolzmann constant (A2Kgs-2K-1)</t>
  </si>
  <si>
    <t>T-temperature of medium</t>
  </si>
  <si>
    <t>theta-debye temperature</t>
  </si>
  <si>
    <t>Lattice parameter (A)</t>
  </si>
  <si>
    <t>hkl (FCC)</t>
  </si>
  <si>
    <t>d spacing</t>
  </si>
  <si>
    <t>Ni</t>
  </si>
  <si>
    <t>1 barn = 100 fm^2</t>
  </si>
  <si>
    <t>Bn</t>
  </si>
  <si>
    <t>composition</t>
  </si>
  <si>
    <t>Nb</t>
  </si>
  <si>
    <t>Sum</t>
  </si>
  <si>
    <t>Al</t>
  </si>
  <si>
    <t>Cr</t>
  </si>
  <si>
    <t>Fe</t>
  </si>
  <si>
    <t>Mo</t>
  </si>
  <si>
    <t>neutron mass (Kg)</t>
  </si>
  <si>
    <t>M/m</t>
  </si>
  <si>
    <t>bn (scattering length)</t>
  </si>
  <si>
    <t>σicn.n (nuclear constant_A2)</t>
  </si>
  <si>
    <t>m (Kg)</t>
  </si>
  <si>
    <t>M (Kg)</t>
  </si>
  <si>
    <t>thetha</t>
  </si>
  <si>
    <t>tao 1</t>
  </si>
  <si>
    <t>tao 3</t>
  </si>
  <si>
    <t>Biso</t>
  </si>
  <si>
    <t>abs cross section</t>
  </si>
  <si>
    <t>wavelength</t>
  </si>
  <si>
    <t>Wavelength</t>
  </si>
  <si>
    <t>Absorption scattering (barns)</t>
  </si>
  <si>
    <t>Inconel 718</t>
  </si>
  <si>
    <t>atomic mass</t>
  </si>
  <si>
    <t>Bn * composition</t>
  </si>
  <si>
    <t>sum</t>
  </si>
  <si>
    <t>Coherent inelastic</t>
  </si>
  <si>
    <t>coherent inelastic (barns)</t>
  </si>
  <si>
    <t>inconherent inelastic</t>
  </si>
  <si>
    <t>incoherent inelastic (barns)</t>
  </si>
  <si>
    <t>TDS (Barns)</t>
  </si>
  <si>
    <t>Total incoherent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</si>
</sst>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0" fontId="2" fillId="0" borderId="0" xfId="0" applyNumberFormat="1" applyFont="1"/>
    <xf numFmtId="0" fontId="6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28802320762537E-2"/>
          <c:y val="5.1843020367610529E-2"/>
          <c:w val="0.91831330294239533"/>
          <c:h val="0.880202150588106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TDS!$D$43:$D$93</c:f>
              <c:numCache>
                <c:formatCode>General</c:formatCode>
                <c:ptCount val="5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TDS!$F$43:$F$93</c:f>
              <c:numCache>
                <c:formatCode>General</c:formatCode>
                <c:ptCount val="51"/>
                <c:pt idx="0">
                  <c:v>51.531858885068544</c:v>
                </c:pt>
                <c:pt idx="1">
                  <c:v>50.675324213983409</c:v>
                </c:pt>
                <c:pt idx="2">
                  <c:v>48.079765327998828</c:v>
                </c:pt>
                <c:pt idx="3">
                  <c:v>43.762206465420192</c:v>
                </c:pt>
                <c:pt idx="4">
                  <c:v>37.993897456039079</c:v>
                </c:pt>
                <c:pt idx="5">
                  <c:v>31.759717627271495</c:v>
                </c:pt>
                <c:pt idx="6">
                  <c:v>26.041526791313693</c:v>
                </c:pt>
                <c:pt idx="7">
                  <c:v>21.243997208375351</c:v>
                </c:pt>
                <c:pt idx="8">
                  <c:v>17.376629702524085</c:v>
                </c:pt>
                <c:pt idx="9">
                  <c:v>14.302939890268732</c:v>
                </c:pt>
                <c:pt idx="10">
                  <c:v>11.863647451239103</c:v>
                </c:pt>
                <c:pt idx="11">
                  <c:v>9.9190854192339444</c:v>
                </c:pt>
                <c:pt idx="12">
                  <c:v>8.3579318175537551</c:v>
                </c:pt>
                <c:pt idx="13">
                  <c:v>7.0946967092524602</c:v>
                </c:pt>
                <c:pt idx="14">
                  <c:v>6.064576072232633</c:v>
                </c:pt>
                <c:pt idx="15">
                  <c:v>5.2185238249741985</c:v>
                </c:pt>
                <c:pt idx="16">
                  <c:v>4.5192663986142634</c:v>
                </c:pt>
                <c:pt idx="17">
                  <c:v>3.9382779125324845</c:v>
                </c:pt>
                <c:pt idx="18">
                  <c:v>3.4535435371922745</c:v>
                </c:pt>
                <c:pt idx="19">
                  <c:v>3.0479209402460654</c:v>
                </c:pt>
                <c:pt idx="20">
                  <c:v>2.7079408647279593</c:v>
                </c:pt>
                <c:pt idx="21">
                  <c:v>2.4229259009964821</c:v>
                </c:pt>
                <c:pt idx="22">
                  <c:v>2.1843390498525679</c:v>
                </c:pt>
                <c:pt idx="23">
                  <c:v>1.9852985596136961</c:v>
                </c:pt>
                <c:pt idx="24">
                  <c:v>1.820213668808158</c:v>
                </c:pt>
                <c:pt idx="25">
                  <c:v>1.6845088430472757</c:v>
                </c:pt>
                <c:pt idx="26">
                  <c:v>1.5744132666510566</c:v>
                </c:pt>
                <c:pt idx="27">
                  <c:v>1.4867988321003551</c:v>
                </c:pt>
                <c:pt idx="28">
                  <c:v>1.4190544628440165</c:v>
                </c:pt>
                <c:pt idx="29">
                  <c:v>1.3689878736828689</c:v>
                </c:pt>
                <c:pt idx="30">
                  <c:v>1.3347482135191697</c:v>
                </c:pt>
                <c:pt idx="31">
                  <c:v>1.3147647226746102</c:v>
                </c:pt>
                <c:pt idx="32">
                  <c:v>1.3076977623091253</c:v>
                </c:pt>
                <c:pt idx="33">
                  <c:v>1.3123994698591375</c:v>
                </c:pt>
                <c:pt idx="34">
                  <c:v>1.3278819550365242</c:v>
                </c:pt>
                <c:pt idx="35">
                  <c:v>1.353291441383746</c:v>
                </c:pt>
                <c:pt idx="36">
                  <c:v>1.3878871251290192</c:v>
                </c:pt>
                <c:pt idx="37">
                  <c:v>1.4310237992634214</c:v>
                </c:pt>
                <c:pt idx="38">
                  <c:v>1.482137500148049</c:v>
                </c:pt>
                <c:pt idx="39">
                  <c:v>1.5407335937709092</c:v>
                </c:pt>
                <c:pt idx="40">
                  <c:v>1.606376841509892</c:v>
                </c:pt>
                <c:pt idx="41">
                  <c:v>1.6786830801148085</c:v>
                </c:pt>
                <c:pt idx="42">
                  <c:v>1.7573122243585502</c:v>
                </c:pt>
                <c:pt idx="43">
                  <c:v>1.8419623584519584</c:v>
                </c:pt>
                <c:pt idx="44">
                  <c:v>1.9323647276411506</c:v>
                </c:pt>
                <c:pt idx="45">
                  <c:v>2.0282794772099066</c:v>
                </c:pt>
                <c:pt idx="46">
                  <c:v>2.1294920145659049</c:v>
                </c:pt>
                <c:pt idx="47">
                  <c:v>2.2358098927808356</c:v>
                </c:pt>
                <c:pt idx="48">
                  <c:v>2.3470601321715634</c:v>
                </c:pt>
                <c:pt idx="49">
                  <c:v>2.4630869111697322</c:v>
                </c:pt>
                <c:pt idx="50">
                  <c:v>2.5837495695951773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8-47EA-97AA-C66A69CA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1112"/>
        <c:axId val="529677672"/>
      </c:scatterChart>
      <c:valAx>
        <c:axId val="5296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7672"/>
        <c:crosses val="autoZero"/>
        <c:crossBetween val="midCat"/>
      </c:valAx>
      <c:valAx>
        <c:axId val="5296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69515371272237E-2"/>
          <c:y val="0.18582781456953643"/>
          <c:w val="0.88675880832814968"/>
          <c:h val="0.733826632598077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[1]TDS!$D$41:$D$91</c:f>
              <c:numCache>
                <c:formatCode>General</c:formatCode>
                <c:ptCount val="5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[1]TDS!$E$41:$E$91</c:f>
              <c:numCache>
                <c:formatCode>General</c:formatCode>
                <c:ptCount val="51"/>
                <c:pt idx="0">
                  <c:v>51.540525800396402</c:v>
                </c:pt>
                <c:pt idx="1">
                  <c:v>51.542015746768094</c:v>
                </c:pt>
                <c:pt idx="2">
                  <c:v>51.546530735773231</c:v>
                </c:pt>
                <c:pt idx="3">
                  <c:v>51.554055717448456</c:v>
                </c:pt>
                <c:pt idx="4">
                  <c:v>51.564590691793782</c:v>
                </c:pt>
                <c:pt idx="5">
                  <c:v>51.578135658809217</c:v>
                </c:pt>
                <c:pt idx="6">
                  <c:v>51.594690618494731</c:v>
                </c:pt>
                <c:pt idx="7">
                  <c:v>51.614255570850339</c:v>
                </c:pt>
                <c:pt idx="8">
                  <c:v>51.636830515876042</c:v>
                </c:pt>
                <c:pt idx="9">
                  <c:v>51.662415453571839</c:v>
                </c:pt>
                <c:pt idx="10">
                  <c:v>51.691010383937723</c:v>
                </c:pt>
                <c:pt idx="11">
                  <c:v>51.722615306973708</c:v>
                </c:pt>
                <c:pt idx="12">
                  <c:v>51.757230222679773</c:v>
                </c:pt>
                <c:pt idx="13">
                  <c:v>51.794855131055954</c:v>
                </c:pt>
                <c:pt idx="14">
                  <c:v>51.835490032102214</c:v>
                </c:pt>
                <c:pt idx="15">
                  <c:v>51.879134925818576</c:v>
                </c:pt>
                <c:pt idx="16">
                  <c:v>51.925789812205025</c:v>
                </c:pt>
                <c:pt idx="17">
                  <c:v>51.975454691261568</c:v>
                </c:pt>
                <c:pt idx="18">
                  <c:v>52.028129562988212</c:v>
                </c:pt>
                <c:pt idx="19">
                  <c:v>52.083814427384937</c:v>
                </c:pt>
                <c:pt idx="20">
                  <c:v>52.142509284451762</c:v>
                </c:pt>
                <c:pt idx="21">
                  <c:v>52.204214134188689</c:v>
                </c:pt>
                <c:pt idx="22">
                  <c:v>52.268928976595703</c:v>
                </c:pt>
                <c:pt idx="23">
                  <c:v>52.336653811672811</c:v>
                </c:pt>
                <c:pt idx="24">
                  <c:v>52.407388639420006</c:v>
                </c:pt>
                <c:pt idx="25">
                  <c:v>52.481133459837302</c:v>
                </c:pt>
                <c:pt idx="26">
                  <c:v>52.557888272924693</c:v>
                </c:pt>
                <c:pt idx="27">
                  <c:v>52.637653078682177</c:v>
                </c:pt>
                <c:pt idx="28">
                  <c:v>52.720427877109749</c:v>
                </c:pt>
                <c:pt idx="29">
                  <c:v>52.806212668207422</c:v>
                </c:pt>
                <c:pt idx="30">
                  <c:v>52.895007451975182</c:v>
                </c:pt>
                <c:pt idx="31">
                  <c:v>52.986812228413029</c:v>
                </c:pt>
                <c:pt idx="32">
                  <c:v>53.081626997520978</c:v>
                </c:pt>
                <c:pt idx="33">
                  <c:v>53.179451759299027</c:v>
                </c:pt>
                <c:pt idx="34">
                  <c:v>53.280286513747157</c:v>
                </c:pt>
                <c:pt idx="35">
                  <c:v>53.384131260865395</c:v>
                </c:pt>
                <c:pt idx="36">
                  <c:v>53.49098600065372</c:v>
                </c:pt>
                <c:pt idx="37">
                  <c:v>53.600850733112132</c:v>
                </c:pt>
                <c:pt idx="38">
                  <c:v>53.713725458240653</c:v>
                </c:pt>
                <c:pt idx="39">
                  <c:v>53.829610176039253</c:v>
                </c:pt>
                <c:pt idx="40">
                  <c:v>53.948504886507948</c:v>
                </c:pt>
                <c:pt idx="41">
                  <c:v>54.070409589646751</c:v>
                </c:pt>
                <c:pt idx="42">
                  <c:v>54.195324285455627</c:v>
                </c:pt>
                <c:pt idx="43">
                  <c:v>54.323248973934618</c:v>
                </c:pt>
                <c:pt idx="44">
                  <c:v>54.454183655083682</c:v>
                </c:pt>
                <c:pt idx="45">
                  <c:v>54.58812832890284</c:v>
                </c:pt>
                <c:pt idx="46">
                  <c:v>54.725082995392093</c:v>
                </c:pt>
                <c:pt idx="47">
                  <c:v>54.865047654551461</c:v>
                </c:pt>
                <c:pt idx="48">
                  <c:v>55.008022306380909</c:v>
                </c:pt>
                <c:pt idx="49">
                  <c:v>55.154006950880444</c:v>
                </c:pt>
                <c:pt idx="50">
                  <c:v>55.303001588050101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F-47FE-8ECD-E47028FD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2144"/>
        <c:axId val="443086568"/>
      </c:scatterChart>
      <c:valAx>
        <c:axId val="4430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86568"/>
        <c:crosses val="autoZero"/>
        <c:crossBetween val="midCat"/>
      </c:valAx>
      <c:valAx>
        <c:axId val="4430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TDS!$J$43:$J$93</c:f>
              <c:numCache>
                <c:formatCode>General</c:formatCode>
                <c:ptCount val="5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TDS!$M$43:$M$93</c:f>
              <c:numCache>
                <c:formatCode>General</c:formatCode>
                <c:ptCount val="51"/>
                <c:pt idx="0">
                  <c:v>71.631802496633185</c:v>
                </c:pt>
                <c:pt idx="1">
                  <c:v>70.441177440247586</c:v>
                </c:pt>
                <c:pt idx="2">
                  <c:v>66.833223729439368</c:v>
                </c:pt>
                <c:pt idx="3">
                  <c:v>60.831605887521505</c:v>
                </c:pt>
                <c:pt idx="4">
                  <c:v>52.813374435380709</c:v>
                </c:pt>
                <c:pt idx="5">
                  <c:v>44.147559774614272</c:v>
                </c:pt>
                <c:pt idx="6">
                  <c:v>36.198995033083655</c:v>
                </c:pt>
                <c:pt idx="7">
                  <c:v>29.530194431047363</c:v>
                </c:pt>
                <c:pt idx="8">
                  <c:v>24.1543645783171</c:v>
                </c:pt>
                <c:pt idx="9">
                  <c:v>19.881785511094964</c:v>
                </c:pt>
                <c:pt idx="10">
                  <c:v>16.491049799157942</c:v>
                </c:pt>
                <c:pt idx="11">
                  <c:v>13.788013533190728</c:v>
                </c:pt>
                <c:pt idx="12">
                  <c:v>11.617933724661533</c:v>
                </c:pt>
                <c:pt idx="13">
                  <c:v>9.8619751828502231</c:v>
                </c:pt>
                <c:pt idx="14">
                  <c:v>8.4300571497111001</c:v>
                </c:pt>
                <c:pt idx="15">
                  <c:v>7.2540031747785321</c:v>
                </c:pt>
                <c:pt idx="16">
                  <c:v>6.2820011755680554</c:v>
                </c:pt>
                <c:pt idx="17">
                  <c:v>5.4743987838001438</c:v>
                </c:pt>
                <c:pt idx="18">
                  <c:v>4.8005943104327002</c:v>
                </c:pt>
                <c:pt idx="19">
                  <c:v>4.2367590756622135</c:v>
                </c:pt>
                <c:pt idx="20">
                  <c:v>3.7641701539891415</c:v>
                </c:pt>
                <c:pt idx="21">
                  <c:v>3.3679854241478928</c:v>
                </c:pt>
                <c:pt idx="22">
                  <c:v>3.0363380400014925</c:v>
                </c:pt>
                <c:pt idx="23">
                  <c:v>2.7596620303620476</c:v>
                </c:pt>
                <c:pt idx="24">
                  <c:v>2.5301859635324995</c:v>
                </c:pt>
                <c:pt idx="25">
                  <c:v>2.3415496230809758</c:v>
                </c:pt>
                <c:pt idx="26">
                  <c:v>2.1885113909117102</c:v>
                </c:pt>
                <c:pt idx="27">
                  <c:v>2.0667230446852152</c:v>
                </c:pt>
                <c:pt idx="28">
                  <c:v>1.9725550603776405</c:v>
                </c:pt>
                <c:pt idx="29">
                  <c:v>1.9029600544130751</c:v>
                </c:pt>
                <c:pt idx="30">
                  <c:v>1.8553652533043454</c:v>
                </c:pt>
                <c:pt idx="31">
                  <c:v>1.8275872243269085</c:v>
                </c:pt>
                <c:pt idx="32">
                  <c:v>1.8177638040175204</c:v>
                </c:pt>
                <c:pt idx="33">
                  <c:v>1.8242994073104448</c:v>
                </c:pt>
                <c:pt idx="34">
                  <c:v>1.8458208184215223</c:v>
                </c:pt>
                <c:pt idx="35">
                  <c:v>1.8811412463460115</c:v>
                </c:pt>
                <c:pt idx="36">
                  <c:v>1.9292309376339674</c:v>
                </c:pt>
                <c:pt idx="37">
                  <c:v>1.9891930230081485</c:v>
                </c:pt>
                <c:pt idx="38">
                  <c:v>2.0602435654464841</c:v>
                </c:pt>
                <c:pt idx="39">
                  <c:v>2.1416949994967922</c:v>
                </c:pt>
                <c:pt idx="40">
                  <c:v>2.2329423222018328</c:v>
                </c:pt>
                <c:pt idx="41">
                  <c:v>2.3334515278676626</c:v>
                </c:pt>
                <c:pt idx="42">
                  <c:v>2.4427498814067512</c:v>
                </c:pt>
                <c:pt idx="43">
                  <c:v>2.5604177051158921</c:v>
                </c:pt>
                <c:pt idx="44">
                  <c:v>2.6860814167516551</c:v>
                </c:pt>
                <c:pt idx="45">
                  <c:v>2.8194076065354601</c:v>
                </c:pt>
                <c:pt idx="46">
                  <c:v>2.9600979802756768</c:v>
                </c:pt>
                <c:pt idx="47">
                  <c:v>3.1078850273359855</c:v>
                </c:pt>
                <c:pt idx="48">
                  <c:v>3.2625282975023744</c:v>
                </c:pt>
                <c:pt idx="49">
                  <c:v>3.423811191178963</c:v>
                </c:pt>
                <c:pt idx="50">
                  <c:v>3.591538183840477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1-45C6-A6D4-A838FC7F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14928"/>
        <c:axId val="438370864"/>
      </c:scatterChart>
      <c:valAx>
        <c:axId val="4470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0864"/>
        <c:crosses val="autoZero"/>
        <c:crossBetween val="midCat"/>
      </c:valAx>
      <c:valAx>
        <c:axId val="4383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Absorption!$A$4:$A$54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4.1999999999999904</c:v>
                </c:pt>
                <c:pt idx="43">
                  <c:v>4.2999999999999901</c:v>
                </c:pt>
                <c:pt idx="44">
                  <c:v>4.3999999999999897</c:v>
                </c:pt>
                <c:pt idx="45">
                  <c:v>4.4999999999999902</c:v>
                </c:pt>
                <c:pt idx="46">
                  <c:v>4.5999999999999899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</c:numCache>
            </c:numRef>
          </c:xVal>
          <c:yVal>
            <c:numRef>
              <c:f>Absorption!$B$4:$B$54</c:f>
              <c:numCache>
                <c:formatCode>General</c:formatCode>
                <c:ptCount val="51"/>
                <c:pt idx="0">
                  <c:v>0</c:v>
                </c:pt>
                <c:pt idx="1">
                  <c:v>0.99888765294771975</c:v>
                </c:pt>
                <c:pt idx="2">
                  <c:v>1.9977753058954395</c:v>
                </c:pt>
                <c:pt idx="3">
                  <c:v>2.9966629588431593</c:v>
                </c:pt>
                <c:pt idx="4">
                  <c:v>3.995550611790879</c:v>
                </c:pt>
                <c:pt idx="5">
                  <c:v>4.9944382647385988</c:v>
                </c:pt>
                <c:pt idx="6">
                  <c:v>5.9933259176863185</c:v>
                </c:pt>
                <c:pt idx="7">
                  <c:v>6.9922135706340383</c:v>
                </c:pt>
                <c:pt idx="8">
                  <c:v>7.991101223581758</c:v>
                </c:pt>
                <c:pt idx="9">
                  <c:v>8.9899888765294786</c:v>
                </c:pt>
                <c:pt idx="10">
                  <c:v>9.9888765294771975</c:v>
                </c:pt>
                <c:pt idx="11">
                  <c:v>10.987764182424918</c:v>
                </c:pt>
                <c:pt idx="12">
                  <c:v>11.986651835372637</c:v>
                </c:pt>
                <c:pt idx="13">
                  <c:v>12.985539488320358</c:v>
                </c:pt>
                <c:pt idx="14">
                  <c:v>13.984427141268077</c:v>
                </c:pt>
                <c:pt idx="15">
                  <c:v>14.983314794215797</c:v>
                </c:pt>
                <c:pt idx="16">
                  <c:v>15.982202447163516</c:v>
                </c:pt>
                <c:pt idx="17">
                  <c:v>16.981090100111235</c:v>
                </c:pt>
                <c:pt idx="18">
                  <c:v>17.979977753058957</c:v>
                </c:pt>
                <c:pt idx="19">
                  <c:v>18.978865406006676</c:v>
                </c:pt>
                <c:pt idx="20">
                  <c:v>19.977753058954395</c:v>
                </c:pt>
                <c:pt idx="21">
                  <c:v>20.976640711902114</c:v>
                </c:pt>
                <c:pt idx="22">
                  <c:v>21.975528364849836</c:v>
                </c:pt>
                <c:pt idx="23">
                  <c:v>22.974416017797552</c:v>
                </c:pt>
                <c:pt idx="24">
                  <c:v>23.973303670745274</c:v>
                </c:pt>
                <c:pt idx="25">
                  <c:v>24.972191323692993</c:v>
                </c:pt>
                <c:pt idx="26">
                  <c:v>25.971078976640715</c:v>
                </c:pt>
                <c:pt idx="27">
                  <c:v>26.969966629588434</c:v>
                </c:pt>
                <c:pt idx="28">
                  <c:v>27.968854282536153</c:v>
                </c:pt>
                <c:pt idx="29">
                  <c:v>28.967741935483872</c:v>
                </c:pt>
                <c:pt idx="30">
                  <c:v>29.966629588431594</c:v>
                </c:pt>
                <c:pt idx="31">
                  <c:v>30.965517241379313</c:v>
                </c:pt>
                <c:pt idx="32">
                  <c:v>31.964404894327032</c:v>
                </c:pt>
                <c:pt idx="33">
                  <c:v>32.963292547274747</c:v>
                </c:pt>
                <c:pt idx="34">
                  <c:v>33.96218020022247</c:v>
                </c:pt>
                <c:pt idx="35">
                  <c:v>34.961067853170192</c:v>
                </c:pt>
                <c:pt idx="36">
                  <c:v>35.959955506117915</c:v>
                </c:pt>
                <c:pt idx="37">
                  <c:v>36.95884315906563</c:v>
                </c:pt>
                <c:pt idx="38">
                  <c:v>37.957730812013352</c:v>
                </c:pt>
                <c:pt idx="39">
                  <c:v>38.956618464961068</c:v>
                </c:pt>
                <c:pt idx="40">
                  <c:v>39.95550611790879</c:v>
                </c:pt>
                <c:pt idx="41">
                  <c:v>40.954393770856505</c:v>
                </c:pt>
                <c:pt idx="42">
                  <c:v>41.953281423804135</c:v>
                </c:pt>
                <c:pt idx="43">
                  <c:v>42.952169076751851</c:v>
                </c:pt>
                <c:pt idx="44">
                  <c:v>43.951056729699566</c:v>
                </c:pt>
                <c:pt idx="45">
                  <c:v>44.949944382647288</c:v>
                </c:pt>
                <c:pt idx="46">
                  <c:v>45.948832035595011</c:v>
                </c:pt>
                <c:pt idx="47">
                  <c:v>46.947719688542733</c:v>
                </c:pt>
                <c:pt idx="48">
                  <c:v>47.946607341490449</c:v>
                </c:pt>
                <c:pt idx="49">
                  <c:v>48.945494994438164</c:v>
                </c:pt>
                <c:pt idx="50">
                  <c:v>49.944382647385893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D51-B917-33A40264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85152"/>
        <c:axId val="445385480"/>
      </c:scatterChart>
      <c:valAx>
        <c:axId val="4453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480"/>
        <c:crosses val="autoZero"/>
        <c:crossBetween val="midCat"/>
      </c:valAx>
      <c:valAx>
        <c:axId val="4453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6.emf"/><Relationship Id="rId7" Type="http://schemas.openxmlformats.org/officeDocument/2006/relationships/image" Target="../media/image8.emf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7.emf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2</xdr:row>
          <xdr:rowOff>47625</xdr:rowOff>
        </xdr:from>
        <xdr:to>
          <xdr:col>1</xdr:col>
          <xdr:colOff>1276350</xdr:colOff>
          <xdr:row>7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390525</xdr:colOff>
          <xdr:row>8</xdr:row>
          <xdr:rowOff>85725</xdr:rowOff>
        </xdr:from>
        <xdr:to>
          <xdr:col>4</xdr:col>
          <xdr:colOff>619125</xdr:colOff>
          <xdr:row>14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15</xdr:row>
      <xdr:rowOff>114300</xdr:rowOff>
    </xdr:from>
    <xdr:to>
      <xdr:col>2</xdr:col>
      <xdr:colOff>715313</xdr:colOff>
      <xdr:row>20</xdr:row>
      <xdr:rowOff>38101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076575"/>
          <a:ext cx="2182163" cy="8763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0</xdr:row>
          <xdr:rowOff>104775</xdr:rowOff>
        </xdr:from>
        <xdr:to>
          <xdr:col>20</xdr:col>
          <xdr:colOff>504825</xdr:colOff>
          <xdr:row>4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1047750</xdr:colOff>
      <xdr:row>7</xdr:row>
      <xdr:rowOff>38100</xdr:rowOff>
    </xdr:from>
    <xdr:to>
      <xdr:col>8</xdr:col>
      <xdr:colOff>1247775</xdr:colOff>
      <xdr:row>10</xdr:row>
      <xdr:rowOff>174532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067" t="18723" r="45681" b="65810"/>
        <a:stretch/>
      </xdr:blipFill>
      <xdr:spPr>
        <a:xfrm>
          <a:off x="11525250" y="1371600"/>
          <a:ext cx="1809750" cy="70793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36</xdr:row>
      <xdr:rowOff>95251</xdr:rowOff>
    </xdr:from>
    <xdr:to>
      <xdr:col>3</xdr:col>
      <xdr:colOff>352425</xdr:colOff>
      <xdr:row>39</xdr:row>
      <xdr:rowOff>152401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593"/>
        <a:stretch/>
      </xdr:blipFill>
      <xdr:spPr bwMode="auto">
        <a:xfrm>
          <a:off x="381000" y="7124701"/>
          <a:ext cx="31908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561975</xdr:colOff>
      <xdr:row>36</xdr:row>
      <xdr:rowOff>57150</xdr:rowOff>
    </xdr:from>
    <xdr:to>
      <xdr:col>5</xdr:col>
      <xdr:colOff>1047750</xdr:colOff>
      <xdr:row>40</xdr:row>
      <xdr:rowOff>9525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7086600"/>
          <a:ext cx="40671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1752600</xdr:colOff>
      <xdr:row>98</xdr:row>
      <xdr:rowOff>114299</xdr:rowOff>
    </xdr:from>
    <xdr:to>
      <xdr:col>8</xdr:col>
      <xdr:colOff>571500</xdr:colOff>
      <xdr:row>134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99</xdr:row>
      <xdr:rowOff>19050</xdr:rowOff>
    </xdr:from>
    <xdr:to>
      <xdr:col>12</xdr:col>
      <xdr:colOff>419100</xdr:colOff>
      <xdr:row>114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228600</xdr:colOff>
      <xdr:row>29</xdr:row>
      <xdr:rowOff>76200</xdr:rowOff>
    </xdr:from>
    <xdr:to>
      <xdr:col>3</xdr:col>
      <xdr:colOff>1457325</xdr:colOff>
      <xdr:row>32</xdr:row>
      <xdr:rowOff>161925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5762625"/>
          <a:ext cx="44481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22</xdr:row>
      <xdr:rowOff>104775</xdr:rowOff>
    </xdr:from>
    <xdr:to>
      <xdr:col>2</xdr:col>
      <xdr:colOff>800100</xdr:colOff>
      <xdr:row>26</xdr:row>
      <xdr:rowOff>152400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448175"/>
          <a:ext cx="2314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1704975</xdr:colOff>
      <xdr:row>35</xdr:row>
      <xdr:rowOff>133350</xdr:rowOff>
    </xdr:from>
    <xdr:ext cx="7058151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8505825" y="6972300"/>
              <a:ext cx="7058151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𝑇𝐷𝑆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=(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)+(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𝑐𝑜h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𝑐𝑜h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8505825" y="6972300"/>
              <a:ext cx="7058151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𝑇𝐷𝑆=(𝑆_𝑖𝑛𝑐^𝑡𝑜𝑡𝑎𝑙∗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̅_</a:t>
              </a:r>
              <a:r>
                <a:rPr lang="en-US" sz="2000" b="0" i="0">
                  <a:latin typeface="Cambria Math" panose="02040503050406030204" pitchFamily="18" charset="0"/>
                </a:rPr>
                <a:t>𝑖𝑛𝑐−𝑆_𝑖𝑛𝑐^𝑒𝑙∗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̅_𝑖𝑛𝑐</a:t>
              </a:r>
              <a:r>
                <a:rPr lang="en-US" sz="2000" b="0" i="0">
                  <a:latin typeface="Cambria Math" panose="02040503050406030204" pitchFamily="18" charset="0"/>
                </a:rPr>
                <a:t>)+(𝑆_𝑖𝑛𝑐^𝑡𝑜𝑡𝑎𝑙∗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̅_𝑐𝑜ℎ</a:t>
              </a:r>
              <a:r>
                <a:rPr lang="en-US" sz="2000" b="0" i="0">
                  <a:latin typeface="Cambria Math" panose="02040503050406030204" pitchFamily="18" charset="0"/>
                </a:rPr>
                <a:t>−𝑆_𝐼𝑛𝑐^𝑒𝑙∗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̅_𝑐𝑜ℎ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6</xdr:col>
      <xdr:colOff>276225</xdr:colOff>
      <xdr:row>34</xdr:row>
      <xdr:rowOff>114300</xdr:rowOff>
    </xdr:from>
    <xdr:to>
      <xdr:col>8</xdr:col>
      <xdr:colOff>47625</xdr:colOff>
      <xdr:row>39</xdr:row>
      <xdr:rowOff>19050</xdr:rowOff>
    </xdr:to>
    <xdr:sp macro="" textlink="">
      <xdr:nvSpPr>
        <xdr:cNvPr id="19" name="Rectangle 18"/>
        <xdr:cNvSpPr/>
      </xdr:nvSpPr>
      <xdr:spPr>
        <a:xfrm>
          <a:off x="9277350" y="6762750"/>
          <a:ext cx="3019425" cy="857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457200</xdr:colOff>
      <xdr:row>39</xdr:row>
      <xdr:rowOff>85725</xdr:rowOff>
    </xdr:from>
    <xdr:to>
      <xdr:col>7</xdr:col>
      <xdr:colOff>1285875</xdr:colOff>
      <xdr:row>41</xdr:row>
      <xdr:rowOff>152400</xdr:rowOff>
    </xdr:to>
    <xdr:sp macro="" textlink="">
      <xdr:nvSpPr>
        <xdr:cNvPr id="20" name="TextBox 19"/>
        <xdr:cNvSpPr txBox="1"/>
      </xdr:nvSpPr>
      <xdr:spPr>
        <a:xfrm>
          <a:off x="9458325" y="7686675"/>
          <a:ext cx="24669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Incoherent inelastic</a:t>
          </a:r>
          <a:r>
            <a:rPr lang="en-US" sz="1400" b="1"/>
            <a:t> scattering</a:t>
          </a:r>
        </a:p>
      </xdr:txBody>
    </xdr:sp>
    <xdr:clientData/>
  </xdr:twoCellAnchor>
  <xdr:twoCellAnchor>
    <xdr:from>
      <xdr:col>8</xdr:col>
      <xdr:colOff>238125</xdr:colOff>
      <xdr:row>34</xdr:row>
      <xdr:rowOff>95250</xdr:rowOff>
    </xdr:from>
    <xdr:to>
      <xdr:col>12</xdr:col>
      <xdr:colOff>95250</xdr:colOff>
      <xdr:row>39</xdr:row>
      <xdr:rowOff>0</xdr:rowOff>
    </xdr:to>
    <xdr:sp macro="" textlink="">
      <xdr:nvSpPr>
        <xdr:cNvPr id="21" name="Rectangle 20"/>
        <xdr:cNvSpPr/>
      </xdr:nvSpPr>
      <xdr:spPr>
        <a:xfrm>
          <a:off x="12487275" y="6743700"/>
          <a:ext cx="3019425" cy="857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552450</xdr:colOff>
      <xdr:row>39</xdr:row>
      <xdr:rowOff>114300</xdr:rowOff>
    </xdr:from>
    <xdr:to>
      <xdr:col>11</xdr:col>
      <xdr:colOff>428625</xdr:colOff>
      <xdr:row>41</xdr:row>
      <xdr:rowOff>180975</xdr:rowOff>
    </xdr:to>
    <xdr:sp macro="" textlink="">
      <xdr:nvSpPr>
        <xdr:cNvPr id="22" name="TextBox 21"/>
        <xdr:cNvSpPr txBox="1"/>
      </xdr:nvSpPr>
      <xdr:spPr>
        <a:xfrm>
          <a:off x="12801600" y="7715250"/>
          <a:ext cx="24288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Coherent inelastic</a:t>
          </a:r>
          <a:r>
            <a:rPr lang="en-US" sz="1400" b="1"/>
            <a:t> scattering</a:t>
          </a:r>
        </a:p>
      </xdr:txBody>
    </xdr:sp>
    <xdr:clientData/>
  </xdr:twoCellAnchor>
  <xdr:twoCellAnchor>
    <xdr:from>
      <xdr:col>13</xdr:col>
      <xdr:colOff>238125</xdr:colOff>
      <xdr:row>41</xdr:row>
      <xdr:rowOff>361950</xdr:rowOff>
    </xdr:from>
    <xdr:to>
      <xdr:col>20</xdr:col>
      <xdr:colOff>542925</xdr:colOff>
      <xdr:row>54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5</xdr:row>
      <xdr:rowOff>95250</xdr:rowOff>
    </xdr:from>
    <xdr:to>
      <xdr:col>10</xdr:col>
      <xdr:colOff>304800</xdr:colOff>
      <xdr:row>9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047750"/>
          <a:ext cx="40671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485775</xdr:colOff>
      <xdr:row>10</xdr:row>
      <xdr:rowOff>19050</xdr:rowOff>
    </xdr:from>
    <xdr:to>
      <xdr:col>11</xdr:col>
      <xdr:colOff>57150</xdr:colOff>
      <xdr:row>13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924050"/>
          <a:ext cx="44481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552450</xdr:colOff>
      <xdr:row>1</xdr:row>
      <xdr:rowOff>66675</xdr:rowOff>
    </xdr:from>
    <xdr:to>
      <xdr:col>9</xdr:col>
      <xdr:colOff>85725</xdr:colOff>
      <xdr:row>4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2478"/>
        <a:stretch/>
      </xdr:blipFill>
      <xdr:spPr bwMode="auto">
        <a:xfrm>
          <a:off x="2381250" y="257175"/>
          <a:ext cx="31908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561975</xdr:colOff>
      <xdr:row>13</xdr:row>
      <xdr:rowOff>171450</xdr:rowOff>
    </xdr:from>
    <xdr:to>
      <xdr:col>7</xdr:col>
      <xdr:colOff>438150</xdr:colOff>
      <xdr:row>18</xdr:row>
      <xdr:rowOff>28575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647950"/>
          <a:ext cx="23145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419100</xdr:colOff>
      <xdr:row>3</xdr:row>
      <xdr:rowOff>85725</xdr:rowOff>
    </xdr:from>
    <xdr:ext cx="7058151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124700" y="657225"/>
              <a:ext cx="7058151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𝑇𝐷𝑆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=(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)+(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𝑐𝑜h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𝐼𝑛𝑐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  <m:r>
                      <a:rPr lang="en-US" sz="20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𝑐𝑜h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124700" y="657225"/>
              <a:ext cx="7058151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𝑇𝐷𝑆=(𝑆_𝑖𝑛𝑐^𝑡𝑜𝑡𝑎𝑙∗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̅_</a:t>
              </a:r>
              <a:r>
                <a:rPr lang="en-US" sz="2000" b="0" i="0">
                  <a:latin typeface="Cambria Math" panose="02040503050406030204" pitchFamily="18" charset="0"/>
                </a:rPr>
                <a:t>𝑖𝑛𝑐−𝑆_𝑖𝑛𝑐^𝑒𝑙∗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 ̅_𝑖𝑛𝑐</a:t>
              </a:r>
              <a:r>
                <a:rPr lang="en-US" sz="2000" b="0" i="0">
                  <a:latin typeface="Cambria Math" panose="02040503050406030204" pitchFamily="18" charset="0"/>
                </a:rPr>
                <a:t>)+(𝑆_𝑖𝑛𝑐^𝑡𝑜𝑡𝑎𝑙∗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 ̅_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𝑐𝑜ℎ</a:t>
              </a:r>
              <a:r>
                <a:rPr lang="en-US" sz="2000" b="0" i="0">
                  <a:latin typeface="Cambria Math" panose="02040503050406030204" pitchFamily="18" charset="0"/>
                </a:rPr>
                <a:t>−𝑆_𝐼𝑛𝑐^𝑒𝑙∗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 ̅_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𝑐𝑜ℎ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12</xdr:col>
      <xdr:colOff>581025</xdr:colOff>
      <xdr:row>2</xdr:row>
      <xdr:rowOff>66675</xdr:rowOff>
    </xdr:from>
    <xdr:to>
      <xdr:col>17</xdr:col>
      <xdr:colOff>552450</xdr:colOff>
      <xdr:row>6</xdr:row>
      <xdr:rowOff>161925</xdr:rowOff>
    </xdr:to>
    <xdr:sp macro="" textlink="">
      <xdr:nvSpPr>
        <xdr:cNvPr id="7" name="Rectangle 6"/>
        <xdr:cNvSpPr/>
      </xdr:nvSpPr>
      <xdr:spPr>
        <a:xfrm>
          <a:off x="7896225" y="447675"/>
          <a:ext cx="3019425" cy="857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7</xdr:row>
      <xdr:rowOff>47625</xdr:rowOff>
    </xdr:from>
    <xdr:to>
      <xdr:col>17</xdr:col>
      <xdr:colOff>200025</xdr:colOff>
      <xdr:row>9</xdr:row>
      <xdr:rowOff>114300</xdr:rowOff>
    </xdr:to>
    <xdr:sp macro="" textlink="">
      <xdr:nvSpPr>
        <xdr:cNvPr id="8" name="TextBox 7"/>
        <xdr:cNvSpPr txBox="1"/>
      </xdr:nvSpPr>
      <xdr:spPr>
        <a:xfrm>
          <a:off x="8096250" y="1381125"/>
          <a:ext cx="24669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Incoherent inelastic</a:t>
          </a:r>
          <a:r>
            <a:rPr lang="en-US" sz="1400" b="1"/>
            <a:t> scattering</a:t>
          </a:r>
        </a:p>
      </xdr:txBody>
    </xdr:sp>
    <xdr:clientData/>
  </xdr:twoCellAnchor>
  <xdr:twoCellAnchor>
    <xdr:from>
      <xdr:col>18</xdr:col>
      <xdr:colOff>133350</xdr:colOff>
      <xdr:row>2</xdr:row>
      <xdr:rowOff>47625</xdr:rowOff>
    </xdr:from>
    <xdr:to>
      <xdr:col>23</xdr:col>
      <xdr:colOff>104775</xdr:colOff>
      <xdr:row>6</xdr:row>
      <xdr:rowOff>142875</xdr:rowOff>
    </xdr:to>
    <xdr:sp macro="" textlink="">
      <xdr:nvSpPr>
        <xdr:cNvPr id="9" name="Rectangle 8"/>
        <xdr:cNvSpPr/>
      </xdr:nvSpPr>
      <xdr:spPr>
        <a:xfrm>
          <a:off x="11106150" y="428625"/>
          <a:ext cx="3019425" cy="857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466725</xdr:colOff>
      <xdr:row>7</xdr:row>
      <xdr:rowOff>76200</xdr:rowOff>
    </xdr:from>
    <xdr:to>
      <xdr:col>22</xdr:col>
      <xdr:colOff>457200</xdr:colOff>
      <xdr:row>9</xdr:row>
      <xdr:rowOff>142875</xdr:rowOff>
    </xdr:to>
    <xdr:sp macro="" textlink="">
      <xdr:nvSpPr>
        <xdr:cNvPr id="11" name="TextBox 10"/>
        <xdr:cNvSpPr txBox="1"/>
      </xdr:nvSpPr>
      <xdr:spPr>
        <a:xfrm>
          <a:off x="11439525" y="1409700"/>
          <a:ext cx="24288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Coherent inelastic</a:t>
          </a:r>
          <a:r>
            <a:rPr lang="en-US" sz="1400" b="1"/>
            <a:t> scattering</a:t>
          </a:r>
        </a:p>
      </xdr:txBody>
    </xdr:sp>
    <xdr:clientData/>
  </xdr:twoCellAnchor>
  <xdr:twoCellAnchor>
    <xdr:from>
      <xdr:col>4</xdr:col>
      <xdr:colOff>28575</xdr:colOff>
      <xdr:row>19</xdr:row>
      <xdr:rowOff>47625</xdr:rowOff>
    </xdr:from>
    <xdr:to>
      <xdr:col>9</xdr:col>
      <xdr:colOff>19050</xdr:colOff>
      <xdr:row>21</xdr:row>
      <xdr:rowOff>114300</xdr:rowOff>
    </xdr:to>
    <xdr:sp macro="" textlink="">
      <xdr:nvSpPr>
        <xdr:cNvPr id="12" name="TextBox 11"/>
        <xdr:cNvSpPr txBox="1"/>
      </xdr:nvSpPr>
      <xdr:spPr>
        <a:xfrm>
          <a:off x="2466975" y="3667125"/>
          <a:ext cx="30384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J. Appl. Cryst. (2012). 45, 603–607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2</xdr:row>
      <xdr:rowOff>76200</xdr:rowOff>
    </xdr:from>
    <xdr:to>
      <xdr:col>22</xdr:col>
      <xdr:colOff>485774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S%20and%20Absorption%20scattering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"/>
      <sheetName val="Absorption"/>
    </sheetNames>
    <sheetDataSet>
      <sheetData sheetId="0">
        <row r="41">
          <cell r="D41">
            <v>0.01</v>
          </cell>
          <cell r="E41">
            <v>51.540525800396402</v>
          </cell>
        </row>
        <row r="42">
          <cell r="D42">
            <v>0.1</v>
          </cell>
          <cell r="E42">
            <v>51.542015746768094</v>
          </cell>
        </row>
        <row r="43">
          <cell r="D43">
            <v>0.2</v>
          </cell>
          <cell r="E43">
            <v>51.546530735773231</v>
          </cell>
        </row>
        <row r="44">
          <cell r="D44">
            <v>0.3</v>
          </cell>
          <cell r="E44">
            <v>51.554055717448456</v>
          </cell>
        </row>
        <row r="45">
          <cell r="D45">
            <v>0.4</v>
          </cell>
          <cell r="E45">
            <v>51.564590691793782</v>
          </cell>
        </row>
        <row r="46">
          <cell r="D46">
            <v>0.5</v>
          </cell>
          <cell r="E46">
            <v>51.578135658809217</v>
          </cell>
        </row>
        <row r="47">
          <cell r="D47">
            <v>0.6</v>
          </cell>
          <cell r="E47">
            <v>51.594690618494731</v>
          </cell>
        </row>
        <row r="48">
          <cell r="D48">
            <v>0.7</v>
          </cell>
          <cell r="E48">
            <v>51.614255570850339</v>
          </cell>
        </row>
        <row r="49">
          <cell r="D49">
            <v>0.8</v>
          </cell>
          <cell r="E49">
            <v>51.636830515876042</v>
          </cell>
        </row>
        <row r="50">
          <cell r="D50">
            <v>0.9</v>
          </cell>
          <cell r="E50">
            <v>51.662415453571839</v>
          </cell>
        </row>
        <row r="51">
          <cell r="D51">
            <v>1</v>
          </cell>
          <cell r="E51">
            <v>51.691010383937723</v>
          </cell>
        </row>
        <row r="52">
          <cell r="D52">
            <v>1.1000000000000001</v>
          </cell>
          <cell r="E52">
            <v>51.722615306973708</v>
          </cell>
        </row>
        <row r="53">
          <cell r="D53">
            <v>1.2</v>
          </cell>
          <cell r="E53">
            <v>51.757230222679773</v>
          </cell>
        </row>
        <row r="54">
          <cell r="D54">
            <v>1.3</v>
          </cell>
          <cell r="E54">
            <v>51.794855131055954</v>
          </cell>
        </row>
        <row r="55">
          <cell r="D55">
            <v>1.4</v>
          </cell>
          <cell r="E55">
            <v>51.835490032102214</v>
          </cell>
        </row>
        <row r="56">
          <cell r="D56">
            <v>1.5</v>
          </cell>
          <cell r="E56">
            <v>51.879134925818576</v>
          </cell>
        </row>
        <row r="57">
          <cell r="D57">
            <v>1.6</v>
          </cell>
          <cell r="E57">
            <v>51.925789812205025</v>
          </cell>
        </row>
        <row r="58">
          <cell r="D58">
            <v>1.7</v>
          </cell>
          <cell r="E58">
            <v>51.975454691261568</v>
          </cell>
        </row>
        <row r="59">
          <cell r="D59">
            <v>1.8</v>
          </cell>
          <cell r="E59">
            <v>52.028129562988212</v>
          </cell>
        </row>
        <row r="60">
          <cell r="D60">
            <v>1.9</v>
          </cell>
          <cell r="E60">
            <v>52.083814427384937</v>
          </cell>
        </row>
        <row r="61">
          <cell r="D61">
            <v>2</v>
          </cell>
          <cell r="E61">
            <v>52.142509284451762</v>
          </cell>
        </row>
        <row r="62">
          <cell r="D62">
            <v>2.1</v>
          </cell>
          <cell r="E62">
            <v>52.204214134188689</v>
          </cell>
        </row>
        <row r="63">
          <cell r="D63">
            <v>2.2000000000000002</v>
          </cell>
          <cell r="E63">
            <v>52.268928976595703</v>
          </cell>
        </row>
        <row r="64">
          <cell r="D64">
            <v>2.2999999999999998</v>
          </cell>
          <cell r="E64">
            <v>52.336653811672811</v>
          </cell>
        </row>
        <row r="65">
          <cell r="D65">
            <v>2.4</v>
          </cell>
          <cell r="E65">
            <v>52.407388639420006</v>
          </cell>
        </row>
        <row r="66">
          <cell r="D66">
            <v>2.5</v>
          </cell>
          <cell r="E66">
            <v>52.481133459837302</v>
          </cell>
        </row>
        <row r="67">
          <cell r="D67">
            <v>2.6</v>
          </cell>
          <cell r="E67">
            <v>52.557888272924693</v>
          </cell>
        </row>
        <row r="68">
          <cell r="D68">
            <v>2.7</v>
          </cell>
          <cell r="E68">
            <v>52.637653078682177</v>
          </cell>
        </row>
        <row r="69">
          <cell r="D69">
            <v>2.8</v>
          </cell>
          <cell r="E69">
            <v>52.720427877109749</v>
          </cell>
        </row>
        <row r="70">
          <cell r="D70">
            <v>2.9</v>
          </cell>
          <cell r="E70">
            <v>52.806212668207422</v>
          </cell>
        </row>
        <row r="71">
          <cell r="D71">
            <v>3</v>
          </cell>
          <cell r="E71">
            <v>52.895007451975182</v>
          </cell>
        </row>
        <row r="72">
          <cell r="D72">
            <v>3.1</v>
          </cell>
          <cell r="E72">
            <v>52.986812228413029</v>
          </cell>
        </row>
        <row r="73">
          <cell r="D73">
            <v>3.2</v>
          </cell>
          <cell r="E73">
            <v>53.081626997520978</v>
          </cell>
        </row>
        <row r="74">
          <cell r="D74">
            <v>3.3</v>
          </cell>
          <cell r="E74">
            <v>53.179451759299027</v>
          </cell>
        </row>
        <row r="75">
          <cell r="D75">
            <v>3.4</v>
          </cell>
          <cell r="E75">
            <v>53.280286513747157</v>
          </cell>
        </row>
        <row r="76">
          <cell r="D76">
            <v>3.5</v>
          </cell>
          <cell r="E76">
            <v>53.384131260865395</v>
          </cell>
        </row>
        <row r="77">
          <cell r="D77">
            <v>3.6</v>
          </cell>
          <cell r="E77">
            <v>53.49098600065372</v>
          </cell>
        </row>
        <row r="78">
          <cell r="D78">
            <v>3.7</v>
          </cell>
          <cell r="E78">
            <v>53.600850733112132</v>
          </cell>
        </row>
        <row r="79">
          <cell r="D79">
            <v>3.8</v>
          </cell>
          <cell r="E79">
            <v>53.713725458240653</v>
          </cell>
        </row>
        <row r="80">
          <cell r="D80">
            <v>3.9</v>
          </cell>
          <cell r="E80">
            <v>53.829610176039253</v>
          </cell>
        </row>
        <row r="81">
          <cell r="D81">
            <v>4</v>
          </cell>
          <cell r="E81">
            <v>53.948504886507948</v>
          </cell>
        </row>
        <row r="82">
          <cell r="D82">
            <v>4.0999999999999996</v>
          </cell>
          <cell r="E82">
            <v>54.070409589646751</v>
          </cell>
        </row>
        <row r="83">
          <cell r="D83">
            <v>4.2</v>
          </cell>
          <cell r="E83">
            <v>54.195324285455627</v>
          </cell>
        </row>
        <row r="84">
          <cell r="D84">
            <v>4.3</v>
          </cell>
          <cell r="E84">
            <v>54.323248973934618</v>
          </cell>
        </row>
        <row r="85">
          <cell r="D85">
            <v>4.4000000000000004</v>
          </cell>
          <cell r="E85">
            <v>54.454183655083682</v>
          </cell>
        </row>
        <row r="86">
          <cell r="D86">
            <v>4.5</v>
          </cell>
          <cell r="E86">
            <v>54.58812832890284</v>
          </cell>
        </row>
        <row r="87">
          <cell r="D87">
            <v>4.5999999999999996</v>
          </cell>
          <cell r="E87">
            <v>54.725082995392093</v>
          </cell>
        </row>
        <row r="88">
          <cell r="D88">
            <v>4.7</v>
          </cell>
          <cell r="E88">
            <v>54.865047654551461</v>
          </cell>
        </row>
        <row r="89">
          <cell r="D89">
            <v>4.8</v>
          </cell>
          <cell r="E89">
            <v>55.008022306380909</v>
          </cell>
        </row>
        <row r="90">
          <cell r="D90">
            <v>4.9000000000000004</v>
          </cell>
          <cell r="E90">
            <v>55.154006950880444</v>
          </cell>
        </row>
        <row r="91">
          <cell r="D91">
            <v>5</v>
          </cell>
          <cell r="E91">
            <v>55.303001588050101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"/>
  <sheetViews>
    <sheetView tabSelected="1" topLeftCell="A31" workbookViewId="0">
      <selection activeCell="F26" sqref="F26"/>
    </sheetView>
  </sheetViews>
  <sheetFormatPr defaultRowHeight="15" x14ac:dyDescent="0.25"/>
  <cols>
    <col min="2" max="2" width="19.5703125" bestFit="1" customWidth="1"/>
    <col min="3" max="3" width="19.5703125" customWidth="1"/>
    <col min="4" max="4" width="25.28515625" bestFit="1" customWidth="1"/>
    <col min="5" max="5" width="28.42578125" bestFit="1" customWidth="1"/>
    <col min="6" max="6" width="33" bestFit="1" customWidth="1"/>
    <col min="7" max="7" width="24.5703125" bestFit="1" customWidth="1"/>
    <col min="8" max="8" width="24.140625" bestFit="1" customWidth="1"/>
    <col min="9" max="9" width="20" bestFit="1" customWidth="1"/>
    <col min="10" max="10" width="14.7109375" bestFit="1" customWidth="1"/>
    <col min="12" max="12" width="33.140625" bestFit="1" customWidth="1"/>
    <col min="13" max="13" width="15.7109375" bestFit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/>
      <c r="L1" s="2"/>
      <c r="M1" s="2" t="s">
        <v>10</v>
      </c>
      <c r="N1">
        <v>1</v>
      </c>
      <c r="O1">
        <f>1/(EXP(N1/$B$8)*N1^2)</f>
        <v>0.22313016014842985</v>
      </c>
    </row>
    <row r="2" spans="1:15" x14ac:dyDescent="0.25">
      <c r="A2" s="1" t="s">
        <v>11</v>
      </c>
      <c r="B2" s="1">
        <v>58.693399999999997</v>
      </c>
      <c r="C2">
        <f>B2/D2*10^-3</f>
        <v>9.7497342192691035E-26</v>
      </c>
      <c r="D2" s="2">
        <f>6.02E+23</f>
        <v>6.02E+23</v>
      </c>
      <c r="E2" s="2">
        <f>6.62607004*10^(-34)*10^20</f>
        <v>6.6260700400000013E-14</v>
      </c>
      <c r="F2" s="3">
        <f>1.38064852E-23*10^20</f>
        <v>1.3806485199999998E-3</v>
      </c>
      <c r="G2" s="1">
        <v>300</v>
      </c>
      <c r="H2" s="1">
        <v>450</v>
      </c>
      <c r="I2" s="1">
        <v>3.5238</v>
      </c>
      <c r="J2">
        <v>1</v>
      </c>
      <c r="K2">
        <v>1</v>
      </c>
      <c r="L2">
        <v>1</v>
      </c>
      <c r="M2">
        <f>$I$2/((J2^2+K2^2+L2^2)^(1/2))</f>
        <v>2.0344668785704032</v>
      </c>
      <c r="N2">
        <v>2</v>
      </c>
      <c r="O2">
        <f t="shared" ref="O2:O34" si="0">1/(EXP(N2/$B$8)*N2^2)</f>
        <v>1.2446767091965986E-2</v>
      </c>
    </row>
    <row r="3" spans="1:15" x14ac:dyDescent="0.25">
      <c r="C3" t="s">
        <v>21</v>
      </c>
      <c r="J3">
        <v>2</v>
      </c>
      <c r="K3">
        <v>0</v>
      </c>
      <c r="L3">
        <v>0</v>
      </c>
      <c r="M3">
        <f t="shared" ref="M3:M20" si="1">$I$2/((J3^2+K3^2+L3^2)^(1/2))</f>
        <v>1.7619</v>
      </c>
      <c r="N3">
        <v>3</v>
      </c>
      <c r="O3">
        <f t="shared" si="0"/>
        <v>1.2343329486935897E-3</v>
      </c>
    </row>
    <row r="4" spans="1:15" ht="15.75" x14ac:dyDescent="0.25">
      <c r="C4">
        <f>1.675*10^-27</f>
        <v>1.6750000000000003E-27</v>
      </c>
      <c r="F4" s="5" t="s">
        <v>12</v>
      </c>
      <c r="J4">
        <v>2</v>
      </c>
      <c r="K4">
        <v>2</v>
      </c>
      <c r="L4">
        <v>0</v>
      </c>
      <c r="M4">
        <f t="shared" si="1"/>
        <v>1.245851437772578</v>
      </c>
      <c r="N4">
        <v>4</v>
      </c>
      <c r="O4">
        <f t="shared" si="0"/>
        <v>1.5492201104164741E-4</v>
      </c>
    </row>
    <row r="5" spans="1:15" x14ac:dyDescent="0.25">
      <c r="C5" t="s">
        <v>22</v>
      </c>
      <c r="F5" s="1" t="s">
        <v>11</v>
      </c>
      <c r="G5" s="1">
        <f>58.6934</f>
        <v>58.693399999999997</v>
      </c>
      <c r="J5">
        <v>3</v>
      </c>
      <c r="K5">
        <v>1</v>
      </c>
      <c r="L5">
        <v>1</v>
      </c>
      <c r="M5">
        <f t="shared" si="1"/>
        <v>1.0624656760231235</v>
      </c>
      <c r="N5">
        <v>5</v>
      </c>
      <c r="O5">
        <f t="shared" si="0"/>
        <v>2.2123374805913344E-5</v>
      </c>
    </row>
    <row r="6" spans="1:15" x14ac:dyDescent="0.25">
      <c r="C6">
        <f>C2/C4</f>
        <v>58.207368473248373</v>
      </c>
      <c r="J6">
        <v>2</v>
      </c>
      <c r="K6">
        <v>2</v>
      </c>
      <c r="L6">
        <v>2</v>
      </c>
      <c r="M6">
        <f t="shared" si="1"/>
        <v>1.0172334392852016</v>
      </c>
      <c r="N6">
        <v>6</v>
      </c>
      <c r="O6">
        <f t="shared" si="0"/>
        <v>3.4280501135188763E-6</v>
      </c>
    </row>
    <row r="7" spans="1:15" x14ac:dyDescent="0.25">
      <c r="J7">
        <v>4</v>
      </c>
      <c r="K7">
        <v>0</v>
      </c>
      <c r="L7">
        <v>0</v>
      </c>
      <c r="M7">
        <f t="shared" si="1"/>
        <v>0.88095000000000001</v>
      </c>
      <c r="N7">
        <v>7</v>
      </c>
      <c r="O7">
        <f t="shared" si="0"/>
        <v>5.6196835407647263E-7</v>
      </c>
    </row>
    <row r="8" spans="1:15" ht="18.75" x14ac:dyDescent="0.3">
      <c r="B8" s="4">
        <f>G2/H2</f>
        <v>0.66666666666666663</v>
      </c>
      <c r="J8">
        <v>3</v>
      </c>
      <c r="K8">
        <v>3</v>
      </c>
      <c r="L8">
        <v>1</v>
      </c>
      <c r="M8">
        <f t="shared" si="1"/>
        <v>0.80841516301308547</v>
      </c>
      <c r="N8">
        <v>8</v>
      </c>
      <c r="O8">
        <f t="shared" si="0"/>
        <v>9.6003318020753278E-8</v>
      </c>
    </row>
    <row r="9" spans="1:15" x14ac:dyDescent="0.25">
      <c r="J9">
        <v>4</v>
      </c>
      <c r="K9">
        <v>2</v>
      </c>
      <c r="L9">
        <v>0</v>
      </c>
      <c r="M9">
        <f t="shared" si="1"/>
        <v>0.78794563391137584</v>
      </c>
      <c r="N9">
        <v>9</v>
      </c>
      <c r="O9">
        <f t="shared" si="0"/>
        <v>1.6925420819556597E-8</v>
      </c>
    </row>
    <row r="10" spans="1:15" x14ac:dyDescent="0.25">
      <c r="J10">
        <v>4</v>
      </c>
      <c r="K10">
        <v>2</v>
      </c>
      <c r="L10">
        <v>2</v>
      </c>
      <c r="M10">
        <f t="shared" si="1"/>
        <v>0.71929266296828032</v>
      </c>
      <c r="N10">
        <v>10</v>
      </c>
      <c r="O10">
        <f t="shared" si="0"/>
        <v>3.0590232050182581E-9</v>
      </c>
    </row>
    <row r="11" spans="1:15" x14ac:dyDescent="0.25">
      <c r="J11">
        <v>5</v>
      </c>
      <c r="K11">
        <v>1</v>
      </c>
      <c r="L11">
        <v>1</v>
      </c>
      <c r="M11">
        <f t="shared" si="1"/>
        <v>0.67815562619013436</v>
      </c>
      <c r="N11">
        <v>11</v>
      </c>
      <c r="O11">
        <f t="shared" si="0"/>
        <v>5.6409945258965866E-10</v>
      </c>
    </row>
    <row r="12" spans="1:15" x14ac:dyDescent="0.25">
      <c r="J12">
        <v>3</v>
      </c>
      <c r="K12">
        <v>3</v>
      </c>
      <c r="L12">
        <v>3</v>
      </c>
      <c r="M12">
        <f t="shared" si="1"/>
        <v>0.67815562619013436</v>
      </c>
      <c r="N12">
        <v>12</v>
      </c>
      <c r="O12">
        <f t="shared" si="0"/>
        <v>1.0576374822717104E-10</v>
      </c>
    </row>
    <row r="13" spans="1:15" x14ac:dyDescent="0.25">
      <c r="J13">
        <v>4</v>
      </c>
      <c r="K13">
        <v>4</v>
      </c>
      <c r="L13">
        <v>0</v>
      </c>
      <c r="M13">
        <f t="shared" si="1"/>
        <v>0.622925718886289</v>
      </c>
      <c r="N13">
        <v>13</v>
      </c>
      <c r="O13">
        <f t="shared" si="0"/>
        <v>2.0108093606479713E-11</v>
      </c>
    </row>
    <row r="14" spans="1:15" x14ac:dyDescent="0.25">
      <c r="J14">
        <v>5</v>
      </c>
      <c r="K14">
        <v>3</v>
      </c>
      <c r="L14">
        <v>1</v>
      </c>
      <c r="M14">
        <f t="shared" si="1"/>
        <v>0.59563091256246936</v>
      </c>
      <c r="N14">
        <v>14</v>
      </c>
      <c r="O14">
        <f t="shared" si="0"/>
        <v>3.8686532795468914E-12</v>
      </c>
    </row>
    <row r="15" spans="1:15" ht="18.75" x14ac:dyDescent="0.3">
      <c r="B15" s="4">
        <f>1/2+2*(B8*LN(1-EXP(-1/B8))+B8^2*((PI()^2)/6-O35))</f>
        <v>1.4148604143858694</v>
      </c>
      <c r="J15">
        <v>4</v>
      </c>
      <c r="K15">
        <v>4</v>
      </c>
      <c r="L15">
        <v>2</v>
      </c>
      <c r="M15">
        <f t="shared" si="1"/>
        <v>0.58730000000000004</v>
      </c>
      <c r="N15">
        <v>15</v>
      </c>
      <c r="O15">
        <f t="shared" si="0"/>
        <v>7.5195463227339124E-13</v>
      </c>
    </row>
    <row r="16" spans="1:15" x14ac:dyDescent="0.25">
      <c r="E16" t="s">
        <v>11</v>
      </c>
      <c r="F16" t="s">
        <v>19</v>
      </c>
      <c r="G16" t="s">
        <v>18</v>
      </c>
      <c r="H16" t="s">
        <v>20</v>
      </c>
      <c r="I16" t="s">
        <v>15</v>
      </c>
      <c r="J16">
        <v>6</v>
      </c>
      <c r="K16">
        <v>0</v>
      </c>
      <c r="L16">
        <v>0</v>
      </c>
      <c r="M16">
        <f t="shared" si="1"/>
        <v>0.58730000000000004</v>
      </c>
      <c r="N16">
        <v>16</v>
      </c>
      <c r="O16">
        <f t="shared" si="0"/>
        <v>1.4746619313590225E-13</v>
      </c>
    </row>
    <row r="17" spans="2:15" x14ac:dyDescent="0.25">
      <c r="E17">
        <f>100-(F17+G17+H17+I17)</f>
        <v>53.72</v>
      </c>
      <c r="F17">
        <v>18.8</v>
      </c>
      <c r="G17">
        <v>19.399999999999999</v>
      </c>
      <c r="H17">
        <v>3.05</v>
      </c>
      <c r="I17">
        <v>5.03</v>
      </c>
      <c r="J17">
        <v>5</v>
      </c>
      <c r="K17">
        <v>3</v>
      </c>
      <c r="L17">
        <v>3</v>
      </c>
      <c r="M17">
        <f t="shared" si="1"/>
        <v>0.5373744621380323</v>
      </c>
      <c r="N17">
        <v>17</v>
      </c>
      <c r="O17">
        <f t="shared" si="0"/>
        <v>2.9146933406465912E-14</v>
      </c>
    </row>
    <row r="18" spans="2:15" x14ac:dyDescent="0.25">
      <c r="J18">
        <v>6</v>
      </c>
      <c r="K18">
        <v>2</v>
      </c>
      <c r="L18">
        <v>2</v>
      </c>
      <c r="M18">
        <f t="shared" si="1"/>
        <v>0.53123283801156174</v>
      </c>
      <c r="N18">
        <v>18</v>
      </c>
      <c r="O18">
        <f t="shared" si="0"/>
        <v>5.8010148658613681E-15</v>
      </c>
    </row>
    <row r="19" spans="2:15" x14ac:dyDescent="0.25">
      <c r="E19" s="8" t="s">
        <v>24</v>
      </c>
      <c r="F19" t="s">
        <v>36</v>
      </c>
      <c r="G19" t="s">
        <v>13</v>
      </c>
      <c r="H19" t="s">
        <v>14</v>
      </c>
      <c r="I19" t="s">
        <v>37</v>
      </c>
      <c r="J19">
        <v>4</v>
      </c>
      <c r="K19">
        <v>4</v>
      </c>
      <c r="L19">
        <v>4</v>
      </c>
      <c r="M19">
        <f t="shared" si="1"/>
        <v>0.5086167196426008</v>
      </c>
      <c r="N19">
        <v>19</v>
      </c>
      <c r="O19">
        <f t="shared" si="0"/>
        <v>1.1617162488585997E-15</v>
      </c>
    </row>
    <row r="20" spans="2:15" x14ac:dyDescent="0.25">
      <c r="D20" t="s">
        <v>15</v>
      </c>
      <c r="E20">
        <v>2.3999999999999998E-3</v>
      </c>
      <c r="F20">
        <v>92.906000000000006</v>
      </c>
      <c r="G20">
        <v>7.0540000000000003</v>
      </c>
      <c r="H20" s="11">
        <v>0</v>
      </c>
      <c r="I20">
        <f>H20*G20</f>
        <v>0</v>
      </c>
      <c r="J20">
        <v>5</v>
      </c>
      <c r="K20">
        <v>5</v>
      </c>
      <c r="L20">
        <v>1</v>
      </c>
      <c r="M20">
        <f t="shared" si="1"/>
        <v>0.49343069600979006</v>
      </c>
      <c r="N20">
        <v>20</v>
      </c>
      <c r="O20">
        <f t="shared" si="0"/>
        <v>2.3394057422100435E-16</v>
      </c>
    </row>
    <row r="21" spans="2:15" ht="18.75" x14ac:dyDescent="0.3">
      <c r="B21" s="6">
        <f>(3*E2^2*B15)/(C2*F2*H2)</f>
        <v>0.30765110033160575</v>
      </c>
      <c r="D21" s="1" t="s">
        <v>11</v>
      </c>
      <c r="E21">
        <v>5.2</v>
      </c>
      <c r="F21">
        <v>58.693399999999997</v>
      </c>
      <c r="G21" s="1">
        <v>10.3</v>
      </c>
      <c r="H21" s="11">
        <v>1</v>
      </c>
      <c r="I21">
        <f t="shared" ref="I21:I25" si="2">H21*G21</f>
        <v>10.3</v>
      </c>
      <c r="J21" s="1" t="s">
        <v>16</v>
      </c>
      <c r="N21">
        <v>21</v>
      </c>
      <c r="O21">
        <f t="shared" si="0"/>
        <v>4.7346211148433868E-17</v>
      </c>
    </row>
    <row r="22" spans="2:15" x14ac:dyDescent="0.25">
      <c r="D22" s="1" t="s">
        <v>17</v>
      </c>
      <c r="E22">
        <v>8.2000000000000007E-3</v>
      </c>
      <c r="F22">
        <v>26.981000000000002</v>
      </c>
      <c r="G22" s="1">
        <v>3.49</v>
      </c>
      <c r="H22" s="11">
        <v>0</v>
      </c>
      <c r="I22">
        <f t="shared" si="2"/>
        <v>0</v>
      </c>
      <c r="J22" s="1">
        <f>SUM(I20:I25)</f>
        <v>10.3</v>
      </c>
      <c r="N22">
        <v>22</v>
      </c>
      <c r="O22">
        <f t="shared" si="0"/>
        <v>9.6257978204615653E-18</v>
      </c>
    </row>
    <row r="23" spans="2:15" x14ac:dyDescent="0.25">
      <c r="D23" t="s">
        <v>18</v>
      </c>
      <c r="E23">
        <v>1.83</v>
      </c>
      <c r="F23">
        <v>51.996099999999998</v>
      </c>
      <c r="G23">
        <v>3.6349999999999998</v>
      </c>
      <c r="H23" s="11">
        <v>0</v>
      </c>
      <c r="I23">
        <f t="shared" si="2"/>
        <v>0</v>
      </c>
      <c r="N23">
        <v>23</v>
      </c>
      <c r="O23">
        <f t="shared" si="0"/>
        <v>1.9651002110968279E-18</v>
      </c>
    </row>
    <row r="24" spans="2:15" x14ac:dyDescent="0.25">
      <c r="D24" t="s">
        <v>19</v>
      </c>
      <c r="E24">
        <v>0.4</v>
      </c>
      <c r="F24">
        <v>55.844999999999999</v>
      </c>
      <c r="G24">
        <v>9.4499999999999993</v>
      </c>
      <c r="H24" s="11">
        <v>0</v>
      </c>
      <c r="I24">
        <f t="shared" si="2"/>
        <v>0</v>
      </c>
      <c r="N24">
        <v>24</v>
      </c>
      <c r="O24">
        <f t="shared" si="0"/>
        <v>4.0269493580617528E-19</v>
      </c>
    </row>
    <row r="25" spans="2:15" x14ac:dyDescent="0.25">
      <c r="D25" t="s">
        <v>20</v>
      </c>
      <c r="E25">
        <v>0.04</v>
      </c>
      <c r="F25">
        <v>95.95</v>
      </c>
      <c r="G25">
        <v>6.1749999999999998</v>
      </c>
      <c r="H25" s="11">
        <v>0</v>
      </c>
      <c r="I25">
        <f t="shared" si="2"/>
        <v>0</v>
      </c>
      <c r="N25">
        <v>25</v>
      </c>
      <c r="O25">
        <f t="shared" si="0"/>
        <v>8.2808880092829892E-20</v>
      </c>
    </row>
    <row r="26" spans="2:15" x14ac:dyDescent="0.25">
      <c r="D26" t="s">
        <v>35</v>
      </c>
      <c r="E26" s="2">
        <f>E20*H20+E21*H21+E22*H22+E23*H23+E24*H24+E25*H25</f>
        <v>5.2</v>
      </c>
      <c r="F26" s="2">
        <f>(F20*H20+F21*H21+F22*H22+F23*H23+F24*H24+F25*H25)</f>
        <v>58.693399999999997</v>
      </c>
      <c r="I26" s="2">
        <f>SUM(I20:I25)</f>
        <v>10.3</v>
      </c>
      <c r="N26">
        <v>26</v>
      </c>
      <c r="O26">
        <f t="shared" si="0"/>
        <v>1.7083171853573649E-20</v>
      </c>
    </row>
    <row r="27" spans="2:15" x14ac:dyDescent="0.25">
      <c r="N27">
        <v>27</v>
      </c>
      <c r="O27">
        <f t="shared" si="0"/>
        <v>3.5346462402674637E-21</v>
      </c>
    </row>
    <row r="28" spans="2:15" ht="18.75" x14ac:dyDescent="0.3">
      <c r="B28" s="4">
        <f>(4*PI()*((G21*H21+G20*H20+G23*H23+G24*H24)*10^-5)^2)*4</f>
        <v>5.3326650339094602E-7</v>
      </c>
      <c r="C28">
        <f>B28*10^10</f>
        <v>5332.6650339094604</v>
      </c>
      <c r="N28">
        <v>28</v>
      </c>
      <c r="O28">
        <f t="shared" si="0"/>
        <v>7.3335743167009696E-22</v>
      </c>
    </row>
    <row r="29" spans="2:15" x14ac:dyDescent="0.25">
      <c r="B29" s="7"/>
      <c r="N29">
        <v>29</v>
      </c>
      <c r="O29">
        <f t="shared" si="0"/>
        <v>1.5254361755157965E-22</v>
      </c>
    </row>
    <row r="30" spans="2:15" x14ac:dyDescent="0.25">
      <c r="B30" s="7"/>
      <c r="N30">
        <v>30</v>
      </c>
      <c r="O30">
        <f t="shared" si="0"/>
        <v>3.1805762006104373E-23</v>
      </c>
    </row>
    <row r="31" spans="2:15" x14ac:dyDescent="0.25">
      <c r="B31" s="7"/>
      <c r="E31" s="8" t="s">
        <v>24</v>
      </c>
      <c r="F31" t="s">
        <v>23</v>
      </c>
      <c r="G31" t="s">
        <v>14</v>
      </c>
      <c r="H31" t="s">
        <v>26</v>
      </c>
      <c r="I31" t="s">
        <v>25</v>
      </c>
      <c r="J31" t="s">
        <v>27</v>
      </c>
      <c r="K31" t="s">
        <v>28</v>
      </c>
      <c r="L31" t="s">
        <v>29</v>
      </c>
      <c r="M31" t="s">
        <v>30</v>
      </c>
      <c r="N31">
        <v>31</v>
      </c>
      <c r="O31">
        <f t="shared" si="0"/>
        <v>6.6463499407475767E-24</v>
      </c>
    </row>
    <row r="32" spans="2:15" x14ac:dyDescent="0.25">
      <c r="B32" s="7"/>
      <c r="E32">
        <f>3.225*10^-8</f>
        <v>3.2250000000000001E-8</v>
      </c>
      <c r="F32">
        <f>8.558*10^-5</f>
        <v>8.5580000000000004E-5</v>
      </c>
      <c r="G32">
        <v>1</v>
      </c>
      <c r="H32" s="2">
        <f>C2</f>
        <v>9.7497342192691035E-26</v>
      </c>
      <c r="I32" s="7">
        <v>1.6749999999999999E-27</v>
      </c>
      <c r="J32">
        <f>B8</f>
        <v>0.66666666666666663</v>
      </c>
      <c r="K32">
        <v>1.3835200000000001</v>
      </c>
      <c r="L32">
        <v>0.48322999999999999</v>
      </c>
      <c r="M32" s="7">
        <f>B21</f>
        <v>0.30765110033160575</v>
      </c>
      <c r="N32">
        <v>32</v>
      </c>
      <c r="O32">
        <f t="shared" si="0"/>
        <v>1.3917617995516945E-24</v>
      </c>
    </row>
    <row r="33" spans="1:15" x14ac:dyDescent="0.25">
      <c r="B33" s="7"/>
      <c r="H33" t="s">
        <v>22</v>
      </c>
      <c r="N33">
        <v>33</v>
      </c>
      <c r="O33">
        <f t="shared" si="0"/>
        <v>2.9200834712559684E-25</v>
      </c>
    </row>
    <row r="34" spans="1:15" ht="18.75" x14ac:dyDescent="0.3">
      <c r="B34" s="6">
        <f>(4*PI()*(H20*(G20*10^-5)^2+H21*(G21*10^-5)^2+H23*(G23*10^-5)^2+H24*(G24*10^-5)^2+H25*(G25*10^-5)^2-(I26*10^-5)^2)+E26*10^-8)*4</f>
        <v>2.0800000000000001E-7</v>
      </c>
      <c r="C34" s="7">
        <f>B34*10^10</f>
        <v>2080</v>
      </c>
      <c r="H34" s="7">
        <f>H32/I32</f>
        <v>58.20736847324838</v>
      </c>
      <c r="N34">
        <v>34</v>
      </c>
      <c r="O34">
        <f t="shared" si="0"/>
        <v>6.1379534275819237E-26</v>
      </c>
    </row>
    <row r="35" spans="1:15" x14ac:dyDescent="0.25">
      <c r="B35" s="7">
        <f>(H20*G20*G20+H21*G21*G21+H23*G23*G23+H24*G24*G24+H25*G25*G25)</f>
        <v>106.09000000000002</v>
      </c>
      <c r="C35">
        <f>(H20*G20+H21*G21+H23*G23+H24*G24+H25*G25)^2</f>
        <v>106.09000000000002</v>
      </c>
      <c r="D35">
        <f>(E20*H20+E21*H21+E23*H23+E24*H24+E25*H25)*100</f>
        <v>520</v>
      </c>
      <c r="N35" s="2" t="s">
        <v>38</v>
      </c>
      <c r="O35" s="2">
        <f>SUM(O1:O34)</f>
        <v>0.23699241227594239</v>
      </c>
    </row>
    <row r="36" spans="1:15" x14ac:dyDescent="0.25">
      <c r="B36" s="7"/>
    </row>
    <row r="37" spans="1:15" x14ac:dyDescent="0.25">
      <c r="B37" s="7"/>
    </row>
    <row r="38" spans="1:15" x14ac:dyDescent="0.25">
      <c r="B38" s="7"/>
    </row>
    <row r="39" spans="1:15" x14ac:dyDescent="0.25">
      <c r="B39" s="7"/>
    </row>
    <row r="40" spans="1:15" x14ac:dyDescent="0.25">
      <c r="B40" s="7"/>
    </row>
    <row r="41" spans="1:15" x14ac:dyDescent="0.25">
      <c r="B41" s="7"/>
    </row>
    <row r="42" spans="1:15" ht="48" customHeight="1" x14ac:dyDescent="0.35">
      <c r="B42" s="7"/>
      <c r="C42" t="s">
        <v>39</v>
      </c>
      <c r="D42" s="2" t="s">
        <v>32</v>
      </c>
      <c r="E42" t="s">
        <v>44</v>
      </c>
      <c r="F42" s="4" t="s">
        <v>40</v>
      </c>
      <c r="H42" s="7"/>
      <c r="J42" s="4" t="s">
        <v>32</v>
      </c>
      <c r="K42" t="s">
        <v>41</v>
      </c>
      <c r="L42" s="4" t="s">
        <v>42</v>
      </c>
      <c r="M42" s="10" t="s">
        <v>43</v>
      </c>
    </row>
    <row r="43" spans="1:15" ht="15.75" x14ac:dyDescent="0.25">
      <c r="A43">
        <v>0.01</v>
      </c>
      <c r="B43" s="7">
        <f t="shared" ref="B43:B74" si="3">(A43)^2/(2*$B$21)*(1-EXP(-2*$B$21/A43^2))*$B$28</f>
        <v>8.6667413640997517E-11</v>
      </c>
      <c r="C43" s="7">
        <f>B43*10^8</f>
        <v>8.6667413640997525E-3</v>
      </c>
      <c r="D43" s="2">
        <v>0.01</v>
      </c>
      <c r="E43" s="7">
        <f t="shared" ref="E43:E74" si="4">($H$34/($H$34+1))^2*(1+(9*$I$32^2*$K$32*$L$32*D43^2)/(2*$H$32^2*$M$32))*$B$28*10^8</f>
        <v>51.540525626432647</v>
      </c>
      <c r="F43" s="9">
        <f>E43-C43</f>
        <v>51.531858885068544</v>
      </c>
      <c r="G43">
        <v>0.01</v>
      </c>
      <c r="H43" s="7">
        <f>(G43)^2/(2*$B$21)*(1-EXP(-2*$B$21/G43^2))*$B$34</f>
        <v>3.3804527234878166E-11</v>
      </c>
      <c r="I43" s="7">
        <f>H43*10^8</f>
        <v>3.3804527234878165E-3</v>
      </c>
      <c r="J43" s="2">
        <v>0.01</v>
      </c>
      <c r="K43" s="7">
        <f>($H$34/($H$34+1))^2*(1+(9*$I$32^2*$K$32*$L$32*J43^2)/(2*$H$32^2*$M$32))*$B$34*10^8</f>
        <v>20.103324064288127</v>
      </c>
      <c r="L43" s="9">
        <f>K43-I43</f>
        <v>20.09994361156464</v>
      </c>
      <c r="M43" s="5">
        <f>F43+L43</f>
        <v>71.631802496633185</v>
      </c>
    </row>
    <row r="44" spans="1:15" ht="15.75" x14ac:dyDescent="0.25">
      <c r="A44">
        <v>0.1</v>
      </c>
      <c r="B44" s="7">
        <f t="shared" si="3"/>
        <v>8.666741364099752E-9</v>
      </c>
      <c r="C44" s="7">
        <f>B44*10^8</f>
        <v>0.86667413640997515</v>
      </c>
      <c r="D44" s="2">
        <v>0.1</v>
      </c>
      <c r="E44" s="7">
        <f t="shared" si="4"/>
        <v>51.541998350393385</v>
      </c>
      <c r="F44" s="9">
        <f>E44-C44</f>
        <v>50.675324213983409</v>
      </c>
      <c r="G44">
        <v>0.1</v>
      </c>
      <c r="H44" s="7">
        <f t="shared" ref="H44:H93" si="5">(G44)^2/(2*$B$21)*(1-EXP(-2*$B$21/G44^2))*$B$34</f>
        <v>3.3804527234878165E-9</v>
      </c>
      <c r="I44" s="7">
        <f>H44*10^8</f>
        <v>0.33804527234878168</v>
      </c>
      <c r="J44" s="2">
        <v>0.1</v>
      </c>
      <c r="K44" s="7">
        <f t="shared" ref="K44:K93" si="6">($H$34/($H$34+1))^2*(1+(9*$I$32^2*$K$32*$L$32*J44^2)/(2*$H$32^2*$M$32))*$B$34*10^8</f>
        <v>20.103898498612963</v>
      </c>
      <c r="L44" s="9">
        <f>K44-I44</f>
        <v>19.765853226264181</v>
      </c>
      <c r="M44" s="5">
        <f t="shared" ref="M44:M93" si="7">F44+L44</f>
        <v>70.441177440247586</v>
      </c>
    </row>
    <row r="45" spans="1:15" ht="15.75" x14ac:dyDescent="0.25">
      <c r="A45">
        <v>0.2</v>
      </c>
      <c r="B45" s="7">
        <f t="shared" si="3"/>
        <v>3.4666958222756095E-8</v>
      </c>
      <c r="C45" s="7">
        <f t="shared" ref="C45:C93" si="8">B45*10^8</f>
        <v>3.4666958222756095</v>
      </c>
      <c r="D45" s="2">
        <v>0.2</v>
      </c>
      <c r="E45" s="7">
        <f t="shared" si="4"/>
        <v>51.546461150274439</v>
      </c>
      <c r="F45" s="9">
        <f t="shared" ref="F45:F93" si="9">E45-C45</f>
        <v>48.079765327998828</v>
      </c>
      <c r="G45">
        <v>0.2</v>
      </c>
      <c r="H45" s="7">
        <f t="shared" si="5"/>
        <v>1.3521808072476982E-8</v>
      </c>
      <c r="I45" s="7">
        <f t="shared" ref="I45:I93" si="10">H45*10^8</f>
        <v>1.3521808072476982</v>
      </c>
      <c r="J45" s="2">
        <v>0.2</v>
      </c>
      <c r="K45" s="7">
        <f t="shared" si="6"/>
        <v>20.105639208688235</v>
      </c>
      <c r="L45" s="9">
        <f t="shared" ref="L45:L93" si="11">K45-I45</f>
        <v>18.753458401440536</v>
      </c>
      <c r="M45" s="5">
        <f t="shared" si="7"/>
        <v>66.833223729439368</v>
      </c>
    </row>
    <row r="46" spans="1:15" ht="15.75" x14ac:dyDescent="0.25">
      <c r="A46">
        <v>0.3</v>
      </c>
      <c r="B46" s="7">
        <f t="shared" si="3"/>
        <v>7.7916926846559699E-8</v>
      </c>
      <c r="C46" s="7">
        <f t="shared" si="8"/>
        <v>7.7916926846559695</v>
      </c>
      <c r="D46" s="2">
        <v>0.3</v>
      </c>
      <c r="E46" s="7">
        <f t="shared" si="4"/>
        <v>51.553899150076163</v>
      </c>
      <c r="F46" s="9">
        <f t="shared" si="9"/>
        <v>43.762206465420192</v>
      </c>
      <c r="G46">
        <v>0.3</v>
      </c>
      <c r="H46" s="7">
        <f t="shared" si="5"/>
        <v>3.0391409700457064E-8</v>
      </c>
      <c r="I46" s="7">
        <f t="shared" si="10"/>
        <v>3.0391409700457066</v>
      </c>
      <c r="J46" s="2">
        <v>0.3</v>
      </c>
      <c r="K46" s="7">
        <f t="shared" si="6"/>
        <v>20.10854039214702</v>
      </c>
      <c r="L46" s="9">
        <f t="shared" si="11"/>
        <v>17.069399422101313</v>
      </c>
      <c r="M46" s="5">
        <f t="shared" si="7"/>
        <v>60.831605887521505</v>
      </c>
    </row>
    <row r="47" spans="1:15" ht="15.75" x14ac:dyDescent="0.25">
      <c r="A47">
        <v>0.4</v>
      </c>
      <c r="B47" s="7">
        <f t="shared" si="3"/>
        <v>1.3570414893759513E-7</v>
      </c>
      <c r="C47" s="7">
        <f t="shared" si="8"/>
        <v>13.570414893759514</v>
      </c>
      <c r="D47" s="2">
        <v>0.4</v>
      </c>
      <c r="E47" s="7">
        <f t="shared" si="4"/>
        <v>51.564312349798591</v>
      </c>
      <c r="F47" s="9">
        <f t="shared" si="9"/>
        <v>37.993897456039079</v>
      </c>
      <c r="G47">
        <v>0.4</v>
      </c>
      <c r="H47" s="7">
        <f t="shared" si="5"/>
        <v>5.2931250696476857E-8</v>
      </c>
      <c r="I47" s="7">
        <f t="shared" si="10"/>
        <v>5.2931250696476857</v>
      </c>
      <c r="J47" s="2">
        <v>0.4</v>
      </c>
      <c r="K47" s="7">
        <f t="shared" si="6"/>
        <v>20.112602048989313</v>
      </c>
      <c r="L47" s="9">
        <f t="shared" si="11"/>
        <v>14.819476979341626</v>
      </c>
      <c r="M47" s="5">
        <f t="shared" si="7"/>
        <v>52.813374435380709</v>
      </c>
    </row>
    <row r="48" spans="1:15" ht="15.75" x14ac:dyDescent="0.25">
      <c r="A48">
        <v>0.5</v>
      </c>
      <c r="B48" s="7">
        <f t="shared" si="3"/>
        <v>1.9817983122170221E-7</v>
      </c>
      <c r="C48" s="7">
        <f t="shared" si="8"/>
        <v>19.817983122170222</v>
      </c>
      <c r="D48" s="2">
        <v>0.5</v>
      </c>
      <c r="E48" s="7">
        <f t="shared" si="4"/>
        <v>51.577700749441718</v>
      </c>
      <c r="F48" s="9">
        <f t="shared" si="9"/>
        <v>31.759717627271495</v>
      </c>
      <c r="G48">
        <v>0.5</v>
      </c>
      <c r="H48" s="7">
        <f t="shared" si="5"/>
        <v>7.7299820318723456E-8</v>
      </c>
      <c r="I48" s="7">
        <f t="shared" si="10"/>
        <v>7.7299820318723453</v>
      </c>
      <c r="J48" s="2">
        <v>0.5</v>
      </c>
      <c r="K48" s="7">
        <f t="shared" si="6"/>
        <v>20.117824179215123</v>
      </c>
      <c r="L48" s="9">
        <f t="shared" si="11"/>
        <v>12.387842147342777</v>
      </c>
      <c r="M48" s="5">
        <f t="shared" si="7"/>
        <v>44.147559774614272</v>
      </c>
    </row>
    <row r="49" spans="1:13" ht="15.75" x14ac:dyDescent="0.25">
      <c r="A49">
        <v>0.6</v>
      </c>
      <c r="B49" s="7">
        <f t="shared" si="3"/>
        <v>2.5552537557691834E-7</v>
      </c>
      <c r="C49" s="7">
        <f t="shared" si="8"/>
        <v>25.552537557691835</v>
      </c>
      <c r="D49" s="2">
        <v>0.6</v>
      </c>
      <c r="E49" s="7">
        <f t="shared" si="4"/>
        <v>51.594064349005528</v>
      </c>
      <c r="F49" s="9">
        <f t="shared" si="9"/>
        <v>26.041526791313693</v>
      </c>
      <c r="G49">
        <v>0.6</v>
      </c>
      <c r="H49" s="7">
        <f t="shared" si="5"/>
        <v>9.9667385410544808E-8</v>
      </c>
      <c r="I49" s="7">
        <f t="shared" si="10"/>
        <v>9.9667385410544806</v>
      </c>
      <c r="J49" s="2">
        <v>0.6</v>
      </c>
      <c r="K49" s="7">
        <f t="shared" si="6"/>
        <v>20.124206782824444</v>
      </c>
      <c r="L49" s="9">
        <f t="shared" si="11"/>
        <v>10.157468241769964</v>
      </c>
      <c r="M49" s="5">
        <f t="shared" si="7"/>
        <v>36.198995033083655</v>
      </c>
    </row>
    <row r="50" spans="1:13" ht="15.75" x14ac:dyDescent="0.25">
      <c r="A50">
        <v>0.7</v>
      </c>
      <c r="B50" s="7">
        <f t="shared" si="3"/>
        <v>3.0369405940114686E-7</v>
      </c>
      <c r="C50" s="7">
        <f t="shared" si="8"/>
        <v>30.369405940114685</v>
      </c>
      <c r="D50" s="2">
        <v>0.7</v>
      </c>
      <c r="E50" s="7">
        <f t="shared" si="4"/>
        <v>51.613403148490036</v>
      </c>
      <c r="F50" s="9">
        <f t="shared" si="9"/>
        <v>21.243997208375351</v>
      </c>
      <c r="G50">
        <v>0.7</v>
      </c>
      <c r="H50" s="7">
        <f t="shared" si="5"/>
        <v>1.1845552637145264E-7</v>
      </c>
      <c r="I50" s="7">
        <f t="shared" si="10"/>
        <v>11.845552637145264</v>
      </c>
      <c r="J50" s="2">
        <v>0.7</v>
      </c>
      <c r="K50" s="7">
        <f t="shared" si="6"/>
        <v>20.131749859817276</v>
      </c>
      <c r="L50" s="9">
        <f t="shared" si="11"/>
        <v>8.286197222672012</v>
      </c>
      <c r="M50" s="5">
        <f t="shared" si="7"/>
        <v>29.530194431047363</v>
      </c>
    </row>
    <row r="51" spans="1:13" ht="15.75" x14ac:dyDescent="0.25">
      <c r="A51">
        <v>0.8</v>
      </c>
      <c r="B51" s="7">
        <f t="shared" si="3"/>
        <v>3.425908744537115E-7</v>
      </c>
      <c r="C51" s="7">
        <f t="shared" si="8"/>
        <v>34.259087445371151</v>
      </c>
      <c r="D51" s="2">
        <v>0.8</v>
      </c>
      <c r="E51" s="7">
        <f t="shared" si="4"/>
        <v>51.635717147895235</v>
      </c>
      <c r="F51" s="9">
        <f t="shared" si="9"/>
        <v>17.376629702524085</v>
      </c>
      <c r="G51">
        <v>0.8</v>
      </c>
      <c r="H51" s="7">
        <f t="shared" si="5"/>
        <v>1.3362718534400609E-7</v>
      </c>
      <c r="I51" s="7">
        <f t="shared" si="10"/>
        <v>13.362718534400608</v>
      </c>
      <c r="J51" s="2">
        <v>0.8</v>
      </c>
      <c r="K51" s="7">
        <f t="shared" si="6"/>
        <v>20.140453410193626</v>
      </c>
      <c r="L51" s="9">
        <f t="shared" si="11"/>
        <v>6.7777348757930174</v>
      </c>
      <c r="M51" s="5">
        <f t="shared" si="7"/>
        <v>24.1543645783171</v>
      </c>
    </row>
    <row r="52" spans="1:13" ht="15.75" x14ac:dyDescent="0.25">
      <c r="A52">
        <v>0.9</v>
      </c>
      <c r="B52" s="7">
        <f t="shared" si="3"/>
        <v>3.7358066456952406E-7</v>
      </c>
      <c r="C52" s="7">
        <f t="shared" si="8"/>
        <v>37.358066456952407</v>
      </c>
      <c r="D52" s="2">
        <v>0.9</v>
      </c>
      <c r="E52" s="7">
        <f t="shared" si="4"/>
        <v>51.661006347221139</v>
      </c>
      <c r="F52" s="9">
        <f t="shared" si="9"/>
        <v>14.302939890268732</v>
      </c>
      <c r="G52">
        <v>0.9</v>
      </c>
      <c r="H52" s="7">
        <f t="shared" si="5"/>
        <v>1.4571471813127257E-7</v>
      </c>
      <c r="I52" s="7">
        <f t="shared" si="10"/>
        <v>14.571471813127257</v>
      </c>
      <c r="J52" s="2">
        <v>0.9</v>
      </c>
      <c r="K52" s="7">
        <f t="shared" si="6"/>
        <v>20.150317433953489</v>
      </c>
      <c r="L52" s="9">
        <f t="shared" si="11"/>
        <v>5.5788456208262325</v>
      </c>
      <c r="M52" s="5">
        <f t="shared" si="7"/>
        <v>19.881785511094964</v>
      </c>
    </row>
    <row r="53" spans="1:13" ht="15.75" x14ac:dyDescent="0.25">
      <c r="A53">
        <v>1</v>
      </c>
      <c r="B53" s="7">
        <f t="shared" si="3"/>
        <v>3.9825623295228617E-7</v>
      </c>
      <c r="C53" s="7">
        <f t="shared" si="8"/>
        <v>39.825623295228617</v>
      </c>
      <c r="D53" s="2">
        <v>1</v>
      </c>
      <c r="E53" s="7">
        <f t="shared" si="4"/>
        <v>51.68927074646772</v>
      </c>
      <c r="F53" s="9">
        <f t="shared" si="9"/>
        <v>11.863647451239103</v>
      </c>
      <c r="G53">
        <v>1</v>
      </c>
      <c r="H53" s="7">
        <f t="shared" si="5"/>
        <v>1.553393958317802E-7</v>
      </c>
      <c r="I53" s="7">
        <f t="shared" si="10"/>
        <v>15.53393958317802</v>
      </c>
      <c r="J53" s="2">
        <v>1</v>
      </c>
      <c r="K53" s="7">
        <f t="shared" si="6"/>
        <v>20.16134193109686</v>
      </c>
      <c r="L53" s="9">
        <f t="shared" si="11"/>
        <v>4.6274023479188404</v>
      </c>
      <c r="M53" s="5">
        <f t="shared" si="7"/>
        <v>16.491049799157942</v>
      </c>
    </row>
    <row r="54" spans="1:13" ht="15.75" x14ac:dyDescent="0.25">
      <c r="A54">
        <v>1.1000000000000001</v>
      </c>
      <c r="B54" s="7">
        <f t="shared" si="3"/>
        <v>4.1801424926401056E-7</v>
      </c>
      <c r="C54" s="7">
        <f t="shared" si="8"/>
        <v>41.801424926401054</v>
      </c>
      <c r="D54" s="2">
        <v>1.1000000000000001</v>
      </c>
      <c r="E54" s="7">
        <f t="shared" si="4"/>
        <v>51.720510345634999</v>
      </c>
      <c r="F54" s="9">
        <f t="shared" si="9"/>
        <v>9.9190854192339444</v>
      </c>
      <c r="G54">
        <v>1.1000000000000001</v>
      </c>
      <c r="H54" s="7">
        <f t="shared" si="5"/>
        <v>1.6304598787666965E-7</v>
      </c>
      <c r="I54" s="7">
        <f t="shared" si="10"/>
        <v>16.304598787666965</v>
      </c>
      <c r="J54" s="2">
        <v>1.1000000000000001</v>
      </c>
      <c r="K54" s="7">
        <f t="shared" si="6"/>
        <v>20.173526901623749</v>
      </c>
      <c r="L54" s="9">
        <f t="shared" si="11"/>
        <v>3.8689281139567839</v>
      </c>
      <c r="M54" s="5">
        <f t="shared" si="7"/>
        <v>13.788013533190728</v>
      </c>
    </row>
    <row r="55" spans="1:13" ht="15.75" x14ac:dyDescent="0.25">
      <c r="A55">
        <v>1.2</v>
      </c>
      <c r="B55" s="7">
        <f t="shared" si="3"/>
        <v>4.3396793327169226E-7</v>
      </c>
      <c r="C55" s="7">
        <f t="shared" si="8"/>
        <v>43.396793327169227</v>
      </c>
      <c r="D55" s="2">
        <v>1.2</v>
      </c>
      <c r="E55" s="7">
        <f t="shared" si="4"/>
        <v>51.754725144722983</v>
      </c>
      <c r="F55" s="9">
        <f t="shared" si="9"/>
        <v>8.3579318175537551</v>
      </c>
      <c r="G55">
        <v>1.2</v>
      </c>
      <c r="H55" s="7">
        <f t="shared" si="5"/>
        <v>1.6926870438426369E-7</v>
      </c>
      <c r="I55" s="7">
        <f t="shared" si="10"/>
        <v>16.92687043842637</v>
      </c>
      <c r="J55" s="2">
        <v>1.2</v>
      </c>
      <c r="K55" s="7">
        <f t="shared" si="6"/>
        <v>20.186872345534148</v>
      </c>
      <c r="L55" s="9">
        <f t="shared" si="11"/>
        <v>3.2600019071077782</v>
      </c>
      <c r="M55" s="5">
        <f t="shared" si="7"/>
        <v>11.617933724661533</v>
      </c>
    </row>
    <row r="56" spans="1:13" ht="15.75" x14ac:dyDescent="0.25">
      <c r="A56">
        <v>1.3</v>
      </c>
      <c r="B56" s="7">
        <f t="shared" si="3"/>
        <v>4.4697218434479182E-7</v>
      </c>
      <c r="C56" s="7">
        <f t="shared" si="8"/>
        <v>44.697218434479183</v>
      </c>
      <c r="D56" s="2">
        <v>1.3</v>
      </c>
      <c r="E56" s="7">
        <f t="shared" si="4"/>
        <v>51.791915143731643</v>
      </c>
      <c r="F56" s="9">
        <f t="shared" si="9"/>
        <v>7.0946967092524602</v>
      </c>
      <c r="G56">
        <v>1.3</v>
      </c>
      <c r="H56" s="7">
        <f t="shared" si="5"/>
        <v>1.7434099789230297E-7</v>
      </c>
      <c r="I56" s="7">
        <f t="shared" si="10"/>
        <v>17.434099789230295</v>
      </c>
      <c r="J56" s="2">
        <v>1.3</v>
      </c>
      <c r="K56" s="7">
        <f t="shared" si="6"/>
        <v>20.201378262828058</v>
      </c>
      <c r="L56" s="9">
        <f t="shared" si="11"/>
        <v>2.7672784735977629</v>
      </c>
      <c r="M56" s="5">
        <f t="shared" si="7"/>
        <v>9.8619751828502231</v>
      </c>
    </row>
    <row r="57" spans="1:13" ht="15.75" x14ac:dyDescent="0.25">
      <c r="A57">
        <v>1.4</v>
      </c>
      <c r="B57" s="7">
        <f t="shared" si="3"/>
        <v>4.5767504270428372E-7</v>
      </c>
      <c r="C57" s="7">
        <f t="shared" si="8"/>
        <v>45.767504270428375</v>
      </c>
      <c r="D57" s="2">
        <v>1.4</v>
      </c>
      <c r="E57" s="7">
        <f t="shared" si="4"/>
        <v>51.832080342661008</v>
      </c>
      <c r="F57" s="9">
        <f t="shared" si="9"/>
        <v>6.064576072232633</v>
      </c>
      <c r="G57">
        <v>1.4</v>
      </c>
      <c r="H57" s="7">
        <f t="shared" si="5"/>
        <v>1.7851563576027021E-7</v>
      </c>
      <c r="I57" s="7">
        <f t="shared" si="10"/>
        <v>17.851563576027022</v>
      </c>
      <c r="J57" s="2">
        <v>1.4</v>
      </c>
      <c r="K57" s="7">
        <f t="shared" si="6"/>
        <v>20.217044653505489</v>
      </c>
      <c r="L57" s="9">
        <f t="shared" si="11"/>
        <v>2.3654810774784671</v>
      </c>
      <c r="M57" s="5">
        <f t="shared" si="7"/>
        <v>8.4300571497111001</v>
      </c>
    </row>
    <row r="58" spans="1:13" ht="15.75" x14ac:dyDescent="0.25">
      <c r="A58">
        <v>1.5</v>
      </c>
      <c r="B58" s="7">
        <f t="shared" si="3"/>
        <v>4.6656696916536872E-7</v>
      </c>
      <c r="C58" s="7">
        <f t="shared" si="8"/>
        <v>46.656696916536873</v>
      </c>
      <c r="D58" s="2">
        <v>1.5</v>
      </c>
      <c r="E58" s="7">
        <f t="shared" si="4"/>
        <v>51.875220741511072</v>
      </c>
      <c r="F58" s="9">
        <f t="shared" si="9"/>
        <v>5.2185238249741985</v>
      </c>
      <c r="G58">
        <v>1.5</v>
      </c>
      <c r="H58" s="7">
        <f t="shared" si="5"/>
        <v>1.8198392167762093E-7</v>
      </c>
      <c r="I58" s="7">
        <f t="shared" si="10"/>
        <v>18.198392167762094</v>
      </c>
      <c r="J58" s="2">
        <v>1.5</v>
      </c>
      <c r="K58" s="7">
        <f t="shared" si="6"/>
        <v>20.233871517566428</v>
      </c>
      <c r="L58" s="9">
        <f t="shared" si="11"/>
        <v>2.0354793498043335</v>
      </c>
      <c r="M58" s="5">
        <f t="shared" si="7"/>
        <v>7.2540031747785321</v>
      </c>
    </row>
    <row r="59" spans="1:13" ht="15.75" x14ac:dyDescent="0.25">
      <c r="A59">
        <v>1.6</v>
      </c>
      <c r="B59" s="7">
        <f t="shared" si="3"/>
        <v>4.7402069941667552E-7</v>
      </c>
      <c r="C59" s="7">
        <f t="shared" si="8"/>
        <v>47.402069941667548</v>
      </c>
      <c r="D59" s="2">
        <v>1.6</v>
      </c>
      <c r="E59" s="7">
        <f t="shared" si="4"/>
        <v>51.921336340281812</v>
      </c>
      <c r="F59" s="9">
        <f t="shared" si="9"/>
        <v>4.5192663986142634</v>
      </c>
      <c r="G59">
        <v>1.6</v>
      </c>
      <c r="H59" s="7">
        <f t="shared" si="5"/>
        <v>1.8489124078057086E-7</v>
      </c>
      <c r="I59" s="7">
        <f t="shared" si="10"/>
        <v>18.489124078057085</v>
      </c>
      <c r="J59" s="2">
        <v>1.6</v>
      </c>
      <c r="K59" s="7">
        <f t="shared" si="6"/>
        <v>20.251858855010877</v>
      </c>
      <c r="L59" s="9">
        <f t="shared" si="11"/>
        <v>1.762734776953792</v>
      </c>
      <c r="M59" s="5">
        <f t="shared" si="7"/>
        <v>6.2820011755680554</v>
      </c>
    </row>
    <row r="60" spans="1:13" ht="15.75" x14ac:dyDescent="0.25">
      <c r="A60">
        <v>1.7</v>
      </c>
      <c r="B60" s="7">
        <f t="shared" si="3"/>
        <v>4.803214922644077E-7</v>
      </c>
      <c r="C60" s="7">
        <f t="shared" si="8"/>
        <v>48.032149226440772</v>
      </c>
      <c r="D60" s="2">
        <v>1.7</v>
      </c>
      <c r="E60" s="7">
        <f t="shared" si="4"/>
        <v>51.970427138973257</v>
      </c>
      <c r="F60" s="9">
        <f t="shared" si="9"/>
        <v>3.9382779125324845</v>
      </c>
      <c r="G60">
        <v>1.7</v>
      </c>
      <c r="H60" s="7">
        <f t="shared" si="5"/>
        <v>1.8734885794571184E-7</v>
      </c>
      <c r="I60" s="7">
        <f t="shared" si="10"/>
        <v>18.734885794571184</v>
      </c>
      <c r="J60" s="2">
        <v>1.7</v>
      </c>
      <c r="K60" s="7">
        <f t="shared" si="6"/>
        <v>20.271006665838843</v>
      </c>
      <c r="L60" s="9">
        <f t="shared" si="11"/>
        <v>1.5361208712676593</v>
      </c>
      <c r="M60" s="5">
        <f t="shared" si="7"/>
        <v>5.4743987838001438</v>
      </c>
    </row>
    <row r="61" spans="1:13" ht="15.75" x14ac:dyDescent="0.25">
      <c r="A61">
        <v>1.8</v>
      </c>
      <c r="B61" s="7">
        <f t="shared" si="3"/>
        <v>4.8568949600393116E-7</v>
      </c>
      <c r="C61" s="7">
        <f t="shared" si="8"/>
        <v>48.568949600393118</v>
      </c>
      <c r="D61" s="2">
        <v>1.8</v>
      </c>
      <c r="E61" s="7">
        <f t="shared" si="4"/>
        <v>52.022493137585393</v>
      </c>
      <c r="F61" s="9">
        <f t="shared" si="9"/>
        <v>3.4535435371922745</v>
      </c>
      <c r="G61">
        <v>1.8</v>
      </c>
      <c r="H61" s="7">
        <f t="shared" si="5"/>
        <v>1.8944264176809893E-7</v>
      </c>
      <c r="I61" s="7">
        <f t="shared" si="10"/>
        <v>18.944264176809892</v>
      </c>
      <c r="J61" s="2">
        <v>1.8</v>
      </c>
      <c r="K61" s="7">
        <f t="shared" si="6"/>
        <v>20.291314950050317</v>
      </c>
      <c r="L61" s="9">
        <f t="shared" si="11"/>
        <v>1.3470507732404258</v>
      </c>
      <c r="M61" s="5">
        <f t="shared" si="7"/>
        <v>4.8005943104327002</v>
      </c>
    </row>
    <row r="62" spans="1:13" ht="15.75" x14ac:dyDescent="0.25">
      <c r="A62">
        <v>1.9</v>
      </c>
      <c r="B62" s="7">
        <f t="shared" si="3"/>
        <v>4.9029613395872159E-7</v>
      </c>
      <c r="C62" s="7">
        <f t="shared" si="8"/>
        <v>49.029613395872161</v>
      </c>
      <c r="D62" s="2">
        <v>1.9</v>
      </c>
      <c r="E62" s="7">
        <f t="shared" si="4"/>
        <v>52.077534336118227</v>
      </c>
      <c r="F62" s="9">
        <f t="shared" si="9"/>
        <v>3.0479209402460654</v>
      </c>
      <c r="G62">
        <v>1.9</v>
      </c>
      <c r="H62" s="7">
        <f t="shared" si="5"/>
        <v>1.9123945572229161E-7</v>
      </c>
      <c r="I62" s="7">
        <f t="shared" si="10"/>
        <v>19.123945572229161</v>
      </c>
      <c r="J62" s="2">
        <v>1.9</v>
      </c>
      <c r="K62" s="7">
        <f t="shared" si="6"/>
        <v>20.312783707645309</v>
      </c>
      <c r="L62" s="9">
        <f t="shared" si="11"/>
        <v>1.1888381354161481</v>
      </c>
      <c r="M62" s="5">
        <f t="shared" si="7"/>
        <v>4.2367590756622135</v>
      </c>
    </row>
    <row r="63" spans="1:13" ht="15.75" x14ac:dyDescent="0.25">
      <c r="A63">
        <v>2</v>
      </c>
      <c r="B63" s="7">
        <f t="shared" si="3"/>
        <v>4.9427609869843783E-7</v>
      </c>
      <c r="C63" s="7">
        <f t="shared" si="8"/>
        <v>49.427609869843785</v>
      </c>
      <c r="D63" s="2">
        <v>2</v>
      </c>
      <c r="E63" s="7">
        <f t="shared" si="4"/>
        <v>52.135550734571744</v>
      </c>
      <c r="F63" s="9">
        <f t="shared" si="9"/>
        <v>2.7079408647279593</v>
      </c>
      <c r="G63">
        <v>2</v>
      </c>
      <c r="H63" s="7">
        <f t="shared" si="5"/>
        <v>1.927918364936263E-7</v>
      </c>
      <c r="I63" s="7">
        <f t="shared" si="10"/>
        <v>19.279183649362629</v>
      </c>
      <c r="J63" s="2">
        <v>2</v>
      </c>
      <c r="K63" s="7">
        <f t="shared" si="6"/>
        <v>20.335412938623811</v>
      </c>
      <c r="L63" s="9">
        <f t="shared" si="11"/>
        <v>1.0562292892611822</v>
      </c>
      <c r="M63" s="5">
        <f t="shared" si="7"/>
        <v>3.7641701539891415</v>
      </c>
    </row>
    <row r="64" spans="1:13" ht="15.75" x14ac:dyDescent="0.25">
      <c r="A64">
        <v>2.1</v>
      </c>
      <c r="B64" s="7">
        <f t="shared" si="3"/>
        <v>4.9773616431949481E-7</v>
      </c>
      <c r="C64" s="7">
        <f t="shared" si="8"/>
        <v>49.773616431949478</v>
      </c>
      <c r="D64" s="2">
        <v>2.1</v>
      </c>
      <c r="E64" s="7">
        <f t="shared" si="4"/>
        <v>52.19654233294596</v>
      </c>
      <c r="F64" s="9">
        <f t="shared" si="9"/>
        <v>2.4229259009964821</v>
      </c>
      <c r="G64">
        <v>2.1</v>
      </c>
      <c r="H64" s="7">
        <f t="shared" si="5"/>
        <v>1.9414143119834417E-7</v>
      </c>
      <c r="I64" s="7">
        <f t="shared" si="10"/>
        <v>19.414143119834417</v>
      </c>
      <c r="J64" s="2">
        <v>2.1</v>
      </c>
      <c r="K64" s="7">
        <f t="shared" si="6"/>
        <v>20.359202642985828</v>
      </c>
      <c r="L64" s="9">
        <f t="shared" si="11"/>
        <v>0.94505952315141073</v>
      </c>
      <c r="M64" s="5">
        <f t="shared" si="7"/>
        <v>3.3679854241478928</v>
      </c>
    </row>
    <row r="65" spans="1:13" ht="15.75" x14ac:dyDescent="0.25">
      <c r="A65">
        <v>2.2000000000000002</v>
      </c>
      <c r="B65" s="7">
        <f t="shared" si="3"/>
        <v>5.0076170081388306E-7</v>
      </c>
      <c r="C65" s="7">
        <f t="shared" si="8"/>
        <v>50.076170081388305</v>
      </c>
      <c r="D65" s="2">
        <v>2.2000000000000002</v>
      </c>
      <c r="E65" s="7">
        <f t="shared" si="4"/>
        <v>52.260509131240873</v>
      </c>
      <c r="F65" s="9">
        <f t="shared" si="9"/>
        <v>2.1843390498525679</v>
      </c>
      <c r="G65">
        <v>2.2000000000000002</v>
      </c>
      <c r="H65" s="7">
        <f t="shared" si="5"/>
        <v>1.9532153830582437E-7</v>
      </c>
      <c r="I65" s="7">
        <f t="shared" si="10"/>
        <v>19.532153830582438</v>
      </c>
      <c r="J65" s="2">
        <v>2.2000000000000002</v>
      </c>
      <c r="K65" s="7">
        <f t="shared" si="6"/>
        <v>20.384152820731362</v>
      </c>
      <c r="L65" s="9">
        <f t="shared" si="11"/>
        <v>0.85199899014892466</v>
      </c>
      <c r="M65" s="5">
        <f t="shared" si="7"/>
        <v>3.0363380400014925</v>
      </c>
    </row>
    <row r="66" spans="1:13" ht="15.75" x14ac:dyDescent="0.25">
      <c r="A66">
        <v>2.2999999999999998</v>
      </c>
      <c r="B66" s="7">
        <f t="shared" si="3"/>
        <v>5.0342152569842786E-7</v>
      </c>
      <c r="C66" s="7">
        <f t="shared" si="8"/>
        <v>50.342152569842789</v>
      </c>
      <c r="D66" s="2">
        <v>2.2999999999999998</v>
      </c>
      <c r="E66" s="7">
        <f t="shared" si="4"/>
        <v>52.327451129456485</v>
      </c>
      <c r="F66" s="9">
        <f t="shared" si="9"/>
        <v>1.9852985596136961</v>
      </c>
      <c r="G66">
        <v>2.2999999999999998</v>
      </c>
      <c r="H66" s="7">
        <f t="shared" si="5"/>
        <v>1.9635900001112055E-7</v>
      </c>
      <c r="I66" s="7">
        <f t="shared" si="10"/>
        <v>19.635900001112056</v>
      </c>
      <c r="J66" s="2">
        <v>2.2999999999999998</v>
      </c>
      <c r="K66" s="7">
        <f t="shared" si="6"/>
        <v>20.410263471860407</v>
      </c>
      <c r="L66" s="9">
        <f t="shared" si="11"/>
        <v>0.77436347074835155</v>
      </c>
      <c r="M66" s="5">
        <f t="shared" si="7"/>
        <v>2.7596620303620476</v>
      </c>
    </row>
    <row r="67" spans="1:13" ht="15.75" x14ac:dyDescent="0.25">
      <c r="A67">
        <v>2.4</v>
      </c>
      <c r="B67" s="7">
        <f t="shared" si="3"/>
        <v>5.0577154658784627E-7</v>
      </c>
      <c r="C67" s="7">
        <f t="shared" si="8"/>
        <v>50.577154658784629</v>
      </c>
      <c r="D67" s="2">
        <v>2.4</v>
      </c>
      <c r="E67" s="7">
        <f t="shared" si="4"/>
        <v>52.397368327592787</v>
      </c>
      <c r="F67" s="9">
        <f t="shared" si="9"/>
        <v>1.820213668808158</v>
      </c>
      <c r="G67">
        <v>2.4</v>
      </c>
      <c r="H67" s="7">
        <f t="shared" si="5"/>
        <v>1.9727562301648621E-7</v>
      </c>
      <c r="I67" s="7">
        <f t="shared" si="10"/>
        <v>19.727562301648621</v>
      </c>
      <c r="J67" s="2">
        <v>2.4</v>
      </c>
      <c r="K67" s="7">
        <f t="shared" si="6"/>
        <v>20.437534596372963</v>
      </c>
      <c r="L67" s="9">
        <f t="shared" si="11"/>
        <v>0.70997229472434142</v>
      </c>
      <c r="M67" s="5">
        <f t="shared" si="7"/>
        <v>2.5301859635324995</v>
      </c>
    </row>
    <row r="68" spans="1:13" ht="15.75" x14ac:dyDescent="0.25">
      <c r="A68">
        <v>2.5</v>
      </c>
      <c r="B68" s="7">
        <f t="shared" si="3"/>
        <v>5.0785751882602493E-7</v>
      </c>
      <c r="C68" s="7">
        <f t="shared" si="8"/>
        <v>50.78575188260249</v>
      </c>
      <c r="D68" s="2">
        <v>2.5</v>
      </c>
      <c r="E68" s="7">
        <f t="shared" si="4"/>
        <v>52.470260725649766</v>
      </c>
      <c r="F68" s="9">
        <f t="shared" si="9"/>
        <v>1.6845088430472757</v>
      </c>
      <c r="G68">
        <v>2.5</v>
      </c>
      <c r="H68" s="7">
        <f t="shared" si="5"/>
        <v>1.9808925414235327E-7</v>
      </c>
      <c r="I68" s="7">
        <f t="shared" si="10"/>
        <v>19.808925414235329</v>
      </c>
      <c r="J68" s="2">
        <v>2.5</v>
      </c>
      <c r="K68" s="7">
        <f t="shared" si="6"/>
        <v>20.465966194269029</v>
      </c>
      <c r="L68" s="9">
        <f t="shared" si="11"/>
        <v>0.65704078003370014</v>
      </c>
      <c r="M68" s="5">
        <f t="shared" si="7"/>
        <v>2.3415496230809758</v>
      </c>
    </row>
    <row r="69" spans="1:13" ht="15.75" x14ac:dyDescent="0.25">
      <c r="A69">
        <v>2.6</v>
      </c>
      <c r="B69" s="7">
        <f t="shared" si="3"/>
        <v>5.0971715056976415E-7</v>
      </c>
      <c r="C69" s="7">
        <f t="shared" si="8"/>
        <v>50.971715056976414</v>
      </c>
      <c r="D69" s="2">
        <v>2.6</v>
      </c>
      <c r="E69" s="7">
        <f t="shared" si="4"/>
        <v>52.546128323627471</v>
      </c>
      <c r="F69" s="9">
        <f t="shared" si="9"/>
        <v>1.5744132666510566</v>
      </c>
      <c r="G69">
        <v>2.6</v>
      </c>
      <c r="H69" s="7">
        <f t="shared" si="5"/>
        <v>1.9881460141287962E-7</v>
      </c>
      <c r="I69" s="7">
        <f t="shared" si="10"/>
        <v>19.881460141287963</v>
      </c>
      <c r="J69" s="2">
        <v>2.6</v>
      </c>
      <c r="K69" s="7">
        <f t="shared" si="6"/>
        <v>20.495558265548617</v>
      </c>
      <c r="L69" s="9">
        <f t="shared" si="11"/>
        <v>0.61409812426065358</v>
      </c>
      <c r="M69" s="5">
        <f t="shared" si="7"/>
        <v>2.1885113909117102</v>
      </c>
    </row>
    <row r="70" spans="1:13" ht="15.75" x14ac:dyDescent="0.25">
      <c r="A70">
        <v>2.7</v>
      </c>
      <c r="B70" s="7">
        <f t="shared" si="3"/>
        <v>5.1138172289425479E-7</v>
      </c>
      <c r="C70" s="7">
        <f t="shared" si="8"/>
        <v>51.138172289425476</v>
      </c>
      <c r="D70" s="2">
        <v>2.7</v>
      </c>
      <c r="E70" s="7">
        <f t="shared" si="4"/>
        <v>52.624971121525832</v>
      </c>
      <c r="F70" s="9">
        <f t="shared" si="9"/>
        <v>1.4867988321003551</v>
      </c>
      <c r="G70">
        <v>2.7</v>
      </c>
      <c r="H70" s="7">
        <f t="shared" si="5"/>
        <v>1.9946386597626853E-7</v>
      </c>
      <c r="I70" s="7">
        <f t="shared" si="10"/>
        <v>19.946386597626852</v>
      </c>
      <c r="J70" s="2">
        <v>2.7</v>
      </c>
      <c r="K70" s="7">
        <f t="shared" si="6"/>
        <v>20.526310810211712</v>
      </c>
      <c r="L70" s="9">
        <f t="shared" si="11"/>
        <v>0.57992421258486004</v>
      </c>
      <c r="M70" s="5">
        <f t="shared" si="7"/>
        <v>2.0667230446852152</v>
      </c>
    </row>
    <row r="71" spans="1:13" ht="15.75" x14ac:dyDescent="0.25">
      <c r="A71">
        <v>2.8</v>
      </c>
      <c r="B71" s="7">
        <f t="shared" si="3"/>
        <v>5.1287734656500897E-7</v>
      </c>
      <c r="C71" s="7">
        <f t="shared" si="8"/>
        <v>51.287734656500895</v>
      </c>
      <c r="D71" s="2">
        <v>2.8</v>
      </c>
      <c r="E71" s="7">
        <f t="shared" si="4"/>
        <v>52.706789119344911</v>
      </c>
      <c r="F71" s="9">
        <f t="shared" si="9"/>
        <v>1.4190544628440165</v>
      </c>
      <c r="G71">
        <v>2.8</v>
      </c>
      <c r="H71" s="7">
        <f t="shared" si="5"/>
        <v>2.0004723230724695E-7</v>
      </c>
      <c r="I71" s="7">
        <f t="shared" si="10"/>
        <v>20.004723230724693</v>
      </c>
      <c r="J71" s="2">
        <v>2.8</v>
      </c>
      <c r="K71" s="7">
        <f t="shared" si="6"/>
        <v>20.558223828258317</v>
      </c>
      <c r="L71" s="9">
        <f t="shared" si="11"/>
        <v>0.55350059753362402</v>
      </c>
      <c r="M71" s="5">
        <f t="shared" si="7"/>
        <v>1.9725550603776405</v>
      </c>
    </row>
    <row r="72" spans="1:13" ht="15.75" x14ac:dyDescent="0.25">
      <c r="A72">
        <v>2.9</v>
      </c>
      <c r="B72" s="7">
        <f t="shared" si="3"/>
        <v>5.1422594443401806E-7</v>
      </c>
      <c r="C72" s="7">
        <f t="shared" si="8"/>
        <v>51.422594443401806</v>
      </c>
      <c r="D72" s="2">
        <v>2.9</v>
      </c>
      <c r="E72" s="7">
        <f t="shared" si="4"/>
        <v>52.791582317084675</v>
      </c>
      <c r="F72" s="9">
        <f t="shared" si="9"/>
        <v>1.3689878736828689</v>
      </c>
      <c r="G72">
        <v>2.9</v>
      </c>
      <c r="H72" s="7">
        <f t="shared" si="5"/>
        <v>2.0057325138958234E-7</v>
      </c>
      <c r="I72" s="7">
        <f t="shared" si="10"/>
        <v>20.057325138958234</v>
      </c>
      <c r="J72" s="2">
        <v>2.9</v>
      </c>
      <c r="K72" s="7">
        <f t="shared" si="6"/>
        <v>20.59129731968844</v>
      </c>
      <c r="L72" s="9">
        <f t="shared" si="11"/>
        <v>0.53397218073020625</v>
      </c>
      <c r="M72" s="5">
        <f t="shared" si="7"/>
        <v>1.9029600544130751</v>
      </c>
    </row>
    <row r="73" spans="1:13" ht="15.75" x14ac:dyDescent="0.25">
      <c r="A73">
        <v>3</v>
      </c>
      <c r="B73" s="7">
        <f t="shared" si="3"/>
        <v>5.154460250122597E-7</v>
      </c>
      <c r="C73" s="7">
        <f t="shared" si="8"/>
        <v>51.544602501225967</v>
      </c>
      <c r="D73" s="2">
        <v>3</v>
      </c>
      <c r="E73" s="7">
        <f t="shared" si="4"/>
        <v>52.879350714745136</v>
      </c>
      <c r="F73" s="9">
        <f t="shared" si="9"/>
        <v>1.3347482135191697</v>
      </c>
      <c r="G73">
        <v>3</v>
      </c>
      <c r="H73" s="7">
        <f t="shared" si="5"/>
        <v>2.0104914244716897E-7</v>
      </c>
      <c r="I73" s="7">
        <f t="shared" si="10"/>
        <v>20.104914244716898</v>
      </c>
      <c r="J73" s="2">
        <v>3</v>
      </c>
      <c r="K73" s="7">
        <f t="shared" si="6"/>
        <v>20.625531284502074</v>
      </c>
      <c r="L73" s="9">
        <f t="shared" si="11"/>
        <v>0.52061703978517571</v>
      </c>
      <c r="M73" s="5">
        <f t="shared" si="7"/>
        <v>1.8553652533043454</v>
      </c>
    </row>
    <row r="74" spans="1:13" ht="15.75" x14ac:dyDescent="0.25">
      <c r="A74">
        <v>3.1</v>
      </c>
      <c r="B74" s="7">
        <f t="shared" si="3"/>
        <v>5.1655329589651676E-7</v>
      </c>
      <c r="C74" s="7">
        <f t="shared" si="8"/>
        <v>51.655329589651679</v>
      </c>
      <c r="D74" s="2">
        <v>3.1</v>
      </c>
      <c r="E74" s="7">
        <f t="shared" si="4"/>
        <v>52.970094312326289</v>
      </c>
      <c r="F74" s="9">
        <f t="shared" si="9"/>
        <v>1.3147647226746102</v>
      </c>
      <c r="G74">
        <v>3.1</v>
      </c>
      <c r="H74" s="7">
        <f t="shared" si="5"/>
        <v>2.0148103221046922E-7</v>
      </c>
      <c r="I74" s="7">
        <f t="shared" si="10"/>
        <v>20.148103221046924</v>
      </c>
      <c r="J74" s="2">
        <v>3.1</v>
      </c>
      <c r="K74" s="7">
        <f t="shared" si="6"/>
        <v>20.660925722699222</v>
      </c>
      <c r="L74" s="9">
        <f t="shared" si="11"/>
        <v>0.51282250165229826</v>
      </c>
      <c r="M74" s="5">
        <f t="shared" si="7"/>
        <v>1.8275872243269085</v>
      </c>
    </row>
    <row r="75" spans="1:13" ht="15.75" x14ac:dyDescent="0.25">
      <c r="A75">
        <v>3.2</v>
      </c>
      <c r="B75" s="7">
        <f t="shared" ref="B75:B93" si="12">(A75)^2/(2*$B$21)*(1-EXP(-2*$B$21/A75^2))*$B$28</f>
        <v>5.1756115347518997E-7</v>
      </c>
      <c r="C75" s="7">
        <f t="shared" si="8"/>
        <v>51.756115347519</v>
      </c>
      <c r="D75" s="2">
        <v>3.2</v>
      </c>
      <c r="E75" s="7">
        <f t="shared" ref="E75:E93" si="13">($H$34/($H$34+1))^2*(1+(9*$I$32^2*$K$32*$L$32*D75^2)/(2*$H$32^2*$M$32))*$B$28*10^8</f>
        <v>53.063813109828125</v>
      </c>
      <c r="F75" s="9">
        <f t="shared" si="9"/>
        <v>1.3076977623091253</v>
      </c>
      <c r="G75">
        <v>3.2</v>
      </c>
      <c r="H75" s="7">
        <f t="shared" si="5"/>
        <v>2.0187414592571481E-7</v>
      </c>
      <c r="I75" s="7">
        <f t="shared" si="10"/>
        <v>20.187414592571482</v>
      </c>
      <c r="J75" s="2">
        <v>3.2</v>
      </c>
      <c r="K75" s="7">
        <f t="shared" si="6"/>
        <v>20.697480634279877</v>
      </c>
      <c r="L75" s="9">
        <f t="shared" si="11"/>
        <v>0.51006604170839509</v>
      </c>
      <c r="M75" s="5">
        <f t="shared" si="7"/>
        <v>1.8177638040175204</v>
      </c>
    </row>
    <row r="76" spans="1:13" ht="15.75" x14ac:dyDescent="0.25">
      <c r="A76">
        <v>3.3</v>
      </c>
      <c r="B76" s="7">
        <f t="shared" si="12"/>
        <v>5.1848107637391534E-7</v>
      </c>
      <c r="C76" s="7">
        <f t="shared" si="8"/>
        <v>51.848107637391536</v>
      </c>
      <c r="D76" s="2">
        <v>3.3</v>
      </c>
      <c r="E76" s="7">
        <f t="shared" si="13"/>
        <v>53.160507107250673</v>
      </c>
      <c r="F76" s="9">
        <f t="shared" si="9"/>
        <v>1.3123994698591375</v>
      </c>
      <c r="G76">
        <v>3.3</v>
      </c>
      <c r="H76" s="7">
        <f t="shared" si="5"/>
        <v>2.0223296081792751E-7</v>
      </c>
      <c r="I76" s="7">
        <f t="shared" si="10"/>
        <v>20.22329608179275</v>
      </c>
      <c r="J76" s="2">
        <v>3.3</v>
      </c>
      <c r="K76" s="7">
        <f t="shared" si="6"/>
        <v>20.735196019244057</v>
      </c>
      <c r="L76" s="9">
        <f t="shared" si="11"/>
        <v>0.51189993745130735</v>
      </c>
      <c r="M76" s="5">
        <f t="shared" si="7"/>
        <v>1.8242994073104448</v>
      </c>
    </row>
    <row r="77" spans="1:13" ht="15.75" x14ac:dyDescent="0.25">
      <c r="A77">
        <v>3.4</v>
      </c>
      <c r="B77" s="7">
        <f t="shared" si="12"/>
        <v>5.1932294349557383E-7</v>
      </c>
      <c r="C77" s="7">
        <f t="shared" si="8"/>
        <v>51.932294349557381</v>
      </c>
      <c r="D77" s="2">
        <v>3.4</v>
      </c>
      <c r="E77" s="7">
        <f t="shared" si="13"/>
        <v>53.260176304593905</v>
      </c>
      <c r="F77" s="9">
        <f t="shared" si="9"/>
        <v>1.3278819550365242</v>
      </c>
      <c r="G77">
        <v>3.4</v>
      </c>
      <c r="H77" s="7">
        <f t="shared" si="5"/>
        <v>2.0256133014206748E-7</v>
      </c>
      <c r="I77" s="7">
        <f t="shared" si="10"/>
        <v>20.256133014206746</v>
      </c>
      <c r="J77" s="2">
        <v>3.4</v>
      </c>
      <c r="K77" s="7">
        <f t="shared" si="6"/>
        <v>20.774071877591744</v>
      </c>
      <c r="L77" s="9">
        <f t="shared" si="11"/>
        <v>0.51793886338499817</v>
      </c>
      <c r="M77" s="5">
        <f t="shared" si="7"/>
        <v>1.8458208184215223</v>
      </c>
    </row>
    <row r="78" spans="1:13" ht="15.75" x14ac:dyDescent="0.25">
      <c r="A78">
        <v>3.5</v>
      </c>
      <c r="B78" s="7">
        <f t="shared" si="12"/>
        <v>5.2009529260474084E-7</v>
      </c>
      <c r="C78" s="7">
        <f t="shared" si="8"/>
        <v>52.009529260474082</v>
      </c>
      <c r="D78" s="2">
        <v>3.5</v>
      </c>
      <c r="E78" s="7">
        <f t="shared" si="13"/>
        <v>53.362820701857828</v>
      </c>
      <c r="F78" s="9">
        <f t="shared" si="9"/>
        <v>1.353291441383746</v>
      </c>
      <c r="G78">
        <v>3.5</v>
      </c>
      <c r="H78" s="7">
        <f t="shared" si="5"/>
        <v>2.0286258404360675E-7</v>
      </c>
      <c r="I78" s="7">
        <f t="shared" si="10"/>
        <v>20.286258404360673</v>
      </c>
      <c r="J78" s="2">
        <v>3.5</v>
      </c>
      <c r="K78" s="7">
        <f t="shared" si="6"/>
        <v>20.814108209322939</v>
      </c>
      <c r="L78" s="9">
        <f t="shared" si="11"/>
        <v>0.52784980496226552</v>
      </c>
      <c r="M78" s="5">
        <f t="shared" si="7"/>
        <v>1.8811412463460115</v>
      </c>
    </row>
    <row r="79" spans="1:13" ht="15.75" x14ac:dyDescent="0.25">
      <c r="A79">
        <v>3.6</v>
      </c>
      <c r="B79" s="7">
        <f t="shared" si="12"/>
        <v>5.2080553173913429E-7</v>
      </c>
      <c r="C79" s="7">
        <f t="shared" si="8"/>
        <v>52.08055317391343</v>
      </c>
      <c r="D79" s="2">
        <v>3.6</v>
      </c>
      <c r="E79" s="7">
        <f t="shared" si="13"/>
        <v>53.468440299042449</v>
      </c>
      <c r="F79" s="9">
        <f t="shared" si="9"/>
        <v>1.3878871251290192</v>
      </c>
      <c r="G79">
        <v>3.6</v>
      </c>
      <c r="H79" s="7">
        <f t="shared" si="5"/>
        <v>2.0313961201932707E-7</v>
      </c>
      <c r="I79" s="7">
        <f t="shared" si="10"/>
        <v>20.313961201932706</v>
      </c>
      <c r="J79" s="2">
        <v>3.6</v>
      </c>
      <c r="K79" s="7">
        <f t="shared" si="6"/>
        <v>20.855305014437654</v>
      </c>
      <c r="L79" s="9">
        <f t="shared" si="11"/>
        <v>0.54134381250494812</v>
      </c>
      <c r="M79" s="5">
        <f t="shared" si="7"/>
        <v>1.9292309376339674</v>
      </c>
    </row>
    <row r="80" spans="1:13" ht="15.75" x14ac:dyDescent="0.25">
      <c r="A80">
        <v>3.7</v>
      </c>
      <c r="B80" s="7">
        <f t="shared" si="12"/>
        <v>5.2146011296884353E-7</v>
      </c>
      <c r="C80" s="7">
        <f t="shared" si="8"/>
        <v>52.146011296884353</v>
      </c>
      <c r="D80" s="2">
        <v>3.7</v>
      </c>
      <c r="E80" s="7">
        <f t="shared" si="13"/>
        <v>53.577035096147775</v>
      </c>
      <c r="F80" s="9">
        <f t="shared" si="9"/>
        <v>1.4310237992634214</v>
      </c>
      <c r="G80">
        <v>3.7</v>
      </c>
      <c r="H80" s="7">
        <f t="shared" si="5"/>
        <v>2.0339493069191153E-7</v>
      </c>
      <c r="I80" s="7">
        <f t="shared" si="10"/>
        <v>20.339493069191153</v>
      </c>
      <c r="J80" s="2">
        <v>3.7</v>
      </c>
      <c r="K80" s="7">
        <f t="shared" si="6"/>
        <v>20.89766229293588</v>
      </c>
      <c r="L80" s="9">
        <f t="shared" si="11"/>
        <v>0.55816922374472711</v>
      </c>
      <c r="M80" s="5">
        <f t="shared" si="7"/>
        <v>1.9891930230081485</v>
      </c>
    </row>
    <row r="81" spans="1:13" ht="15.75" x14ac:dyDescent="0.25">
      <c r="A81">
        <v>3.8</v>
      </c>
      <c r="B81" s="7">
        <f t="shared" si="12"/>
        <v>5.2206467593025724E-7</v>
      </c>
      <c r="C81" s="7">
        <f t="shared" si="8"/>
        <v>52.206467593025721</v>
      </c>
      <c r="D81" s="2">
        <v>3.8</v>
      </c>
      <c r="E81" s="7">
        <f t="shared" si="13"/>
        <v>53.68860509317377</v>
      </c>
      <c r="F81" s="9">
        <f t="shared" si="9"/>
        <v>1.482137500148049</v>
      </c>
      <c r="G81">
        <v>3.8</v>
      </c>
      <c r="H81" s="7">
        <f t="shared" si="5"/>
        <v>2.0363073979519182E-7</v>
      </c>
      <c r="I81" s="7">
        <f t="shared" si="10"/>
        <v>20.363073979519182</v>
      </c>
      <c r="J81" s="2">
        <v>3.8</v>
      </c>
      <c r="K81" s="7">
        <f t="shared" si="6"/>
        <v>20.941180044817617</v>
      </c>
      <c r="L81" s="9">
        <f t="shared" si="11"/>
        <v>0.57810606529843511</v>
      </c>
      <c r="M81" s="5">
        <f t="shared" si="7"/>
        <v>2.0602435654464841</v>
      </c>
    </row>
    <row r="82" spans="1:13" ht="15.75" x14ac:dyDescent="0.25">
      <c r="A82">
        <v>3.9</v>
      </c>
      <c r="B82" s="7">
        <f t="shared" si="12"/>
        <v>5.2262416696349561E-7</v>
      </c>
      <c r="C82" s="7">
        <f t="shared" si="8"/>
        <v>52.262416696349561</v>
      </c>
      <c r="D82" s="2">
        <v>3.9</v>
      </c>
      <c r="E82" s="7">
        <f t="shared" si="13"/>
        <v>53.80315029012047</v>
      </c>
      <c r="F82" s="9">
        <f t="shared" si="9"/>
        <v>1.5407335937709092</v>
      </c>
      <c r="G82">
        <v>3.9</v>
      </c>
      <c r="H82" s="7">
        <f t="shared" si="5"/>
        <v>2.0384896864356987E-7</v>
      </c>
      <c r="I82" s="7">
        <f t="shared" si="10"/>
        <v>20.384896864356985</v>
      </c>
      <c r="J82" s="2">
        <v>3.9</v>
      </c>
      <c r="K82" s="7">
        <f t="shared" si="6"/>
        <v>20.985858270082868</v>
      </c>
      <c r="L82" s="9">
        <f t="shared" si="11"/>
        <v>0.60096140572588297</v>
      </c>
      <c r="M82" s="5">
        <f t="shared" si="7"/>
        <v>2.1416949994967922</v>
      </c>
    </row>
    <row r="83" spans="1:13" ht="15.75" x14ac:dyDescent="0.25">
      <c r="A83">
        <v>4</v>
      </c>
      <c r="B83" s="7">
        <f t="shared" si="12"/>
        <v>5.2314293845477985E-7</v>
      </c>
      <c r="C83" s="7">
        <f t="shared" si="8"/>
        <v>52.314293845477984</v>
      </c>
      <c r="D83" s="2">
        <v>4</v>
      </c>
      <c r="E83" s="7">
        <f t="shared" si="13"/>
        <v>53.920670686987876</v>
      </c>
      <c r="F83" s="9">
        <f t="shared" si="9"/>
        <v>1.606376841509892</v>
      </c>
      <c r="G83">
        <v>4</v>
      </c>
      <c r="H83" s="7">
        <f t="shared" si="5"/>
        <v>2.0405131488039697E-7</v>
      </c>
      <c r="I83" s="7">
        <f t="shared" si="10"/>
        <v>20.405131488039697</v>
      </c>
      <c r="J83" s="2">
        <v>4</v>
      </c>
      <c r="K83" s="7">
        <f t="shared" si="6"/>
        <v>21.031696968731637</v>
      </c>
      <c r="L83" s="9">
        <f t="shared" si="11"/>
        <v>0.62656548069194073</v>
      </c>
      <c r="M83" s="5">
        <f t="shared" si="7"/>
        <v>2.2329423222018328</v>
      </c>
    </row>
    <row r="84" spans="1:13" ht="15.75" x14ac:dyDescent="0.25">
      <c r="A84">
        <v>4.0999999999999996</v>
      </c>
      <c r="B84" s="7">
        <f t="shared" si="12"/>
        <v>5.2362483203661144E-7</v>
      </c>
      <c r="C84" s="7">
        <f t="shared" si="8"/>
        <v>52.362483203661142</v>
      </c>
      <c r="D84" s="2">
        <v>4.0999999999999996</v>
      </c>
      <c r="E84" s="7">
        <f t="shared" si="13"/>
        <v>54.041166283775951</v>
      </c>
      <c r="F84" s="9">
        <f t="shared" si="9"/>
        <v>1.6786830801148085</v>
      </c>
      <c r="G84">
        <v>4.0999999999999996</v>
      </c>
      <c r="H84" s="7">
        <f t="shared" si="5"/>
        <v>2.0423927693011058E-7</v>
      </c>
      <c r="I84" s="7">
        <f t="shared" si="10"/>
        <v>20.423927693011059</v>
      </c>
      <c r="J84" s="2">
        <v>4.0999999999999996</v>
      </c>
      <c r="K84" s="7">
        <f t="shared" si="6"/>
        <v>21.078696140763913</v>
      </c>
      <c r="L84" s="9">
        <f t="shared" si="11"/>
        <v>0.65476844775285414</v>
      </c>
      <c r="M84" s="5">
        <f t="shared" si="7"/>
        <v>2.3334515278676626</v>
      </c>
    </row>
    <row r="85" spans="1:13" ht="15.75" x14ac:dyDescent="0.25">
      <c r="A85">
        <v>4.2</v>
      </c>
      <c r="B85" s="7">
        <f t="shared" si="12"/>
        <v>5.2407324856126196E-7</v>
      </c>
      <c r="C85" s="7">
        <f t="shared" si="8"/>
        <v>52.407324856126195</v>
      </c>
      <c r="D85" s="2">
        <v>4.2</v>
      </c>
      <c r="E85" s="7">
        <f t="shared" si="13"/>
        <v>54.164637080484745</v>
      </c>
      <c r="F85" s="9">
        <f t="shared" si="9"/>
        <v>1.7573122243585502</v>
      </c>
      <c r="G85">
        <v>4.2</v>
      </c>
      <c r="H85" s="7">
        <f t="shared" si="5"/>
        <v>2.04414181291315E-7</v>
      </c>
      <c r="I85" s="7">
        <f t="shared" si="10"/>
        <v>20.441418129131499</v>
      </c>
      <c r="J85" s="2">
        <v>4.2</v>
      </c>
      <c r="K85" s="7">
        <f t="shared" si="6"/>
        <v>21.1268557861797</v>
      </c>
      <c r="L85" s="9">
        <f t="shared" si="11"/>
        <v>0.68543765704820103</v>
      </c>
      <c r="M85" s="5">
        <f t="shared" si="7"/>
        <v>2.4427498814067512</v>
      </c>
    </row>
    <row r="86" spans="1:13" ht="15.75" x14ac:dyDescent="0.25">
      <c r="A86">
        <v>4.3</v>
      </c>
      <c r="B86" s="7">
        <f t="shared" si="12"/>
        <v>5.2449120718662253E-7</v>
      </c>
      <c r="C86" s="7">
        <f t="shared" si="8"/>
        <v>52.44912071866225</v>
      </c>
      <c r="D86" s="2">
        <v>4.3</v>
      </c>
      <c r="E86" s="7">
        <f t="shared" si="13"/>
        <v>54.291083077114209</v>
      </c>
      <c r="F86" s="9">
        <f t="shared" si="9"/>
        <v>1.8419623584519584</v>
      </c>
      <c r="G86">
        <v>4.3</v>
      </c>
      <c r="H86" s="7">
        <f t="shared" si="5"/>
        <v>2.0457720558315071E-7</v>
      </c>
      <c r="I86" s="7">
        <f t="shared" si="10"/>
        <v>20.457720558315071</v>
      </c>
      <c r="J86" s="2">
        <v>4.3</v>
      </c>
      <c r="K86" s="7">
        <f t="shared" si="6"/>
        <v>21.176175904979004</v>
      </c>
      <c r="L86" s="9">
        <f t="shared" si="11"/>
        <v>0.71845534666393362</v>
      </c>
      <c r="M86" s="5">
        <f t="shared" si="7"/>
        <v>2.5604177051158921</v>
      </c>
    </row>
    <row r="87" spans="1:13" ht="15.75" x14ac:dyDescent="0.25">
      <c r="A87">
        <v>4.4000000000000004</v>
      </c>
      <c r="B87" s="7">
        <f t="shared" si="12"/>
        <v>5.2488139546023229E-7</v>
      </c>
      <c r="C87" s="7">
        <f t="shared" si="8"/>
        <v>52.488139546023227</v>
      </c>
      <c r="D87" s="2">
        <v>4.4000000000000004</v>
      </c>
      <c r="E87" s="7">
        <f t="shared" si="13"/>
        <v>54.420504273664378</v>
      </c>
      <c r="F87" s="9">
        <f t="shared" si="9"/>
        <v>1.9323647276411506</v>
      </c>
      <c r="G87">
        <v>4.4000000000000004</v>
      </c>
      <c r="H87" s="7">
        <f t="shared" si="5"/>
        <v>2.0472939808051318E-7</v>
      </c>
      <c r="I87" s="7">
        <f t="shared" si="10"/>
        <v>20.472939808051319</v>
      </c>
      <c r="J87" s="2">
        <v>4.4000000000000004</v>
      </c>
      <c r="K87" s="7">
        <f t="shared" si="6"/>
        <v>21.226656497161823</v>
      </c>
      <c r="L87" s="9">
        <f t="shared" si="11"/>
        <v>0.75371668911050449</v>
      </c>
      <c r="M87" s="5">
        <f t="shared" si="7"/>
        <v>2.6860814167516551</v>
      </c>
    </row>
    <row r="88" spans="1:13" ht="15.75" x14ac:dyDescent="0.25">
      <c r="A88">
        <v>4.5</v>
      </c>
      <c r="B88" s="7">
        <f t="shared" si="12"/>
        <v>5.2524621192925336E-7</v>
      </c>
      <c r="C88" s="7">
        <f t="shared" si="8"/>
        <v>52.524621192925338</v>
      </c>
      <c r="D88" s="2">
        <v>4.5</v>
      </c>
      <c r="E88" s="7">
        <f t="shared" si="13"/>
        <v>54.552900670135244</v>
      </c>
      <c r="F88" s="9">
        <f t="shared" si="9"/>
        <v>2.0282794772099066</v>
      </c>
      <c r="G88">
        <v>4.5</v>
      </c>
      <c r="H88" s="7">
        <f t="shared" si="5"/>
        <v>2.0487169433402597E-7</v>
      </c>
      <c r="I88" s="7">
        <f t="shared" si="10"/>
        <v>20.487169433402599</v>
      </c>
      <c r="J88" s="2">
        <v>4.5</v>
      </c>
      <c r="K88" s="7">
        <f t="shared" si="6"/>
        <v>21.278297562728152</v>
      </c>
      <c r="L88" s="9">
        <f t="shared" si="11"/>
        <v>0.79112812932555343</v>
      </c>
      <c r="M88" s="5">
        <f t="shared" si="7"/>
        <v>2.8194076065354601</v>
      </c>
    </row>
    <row r="89" spans="1:13" ht="15.75" x14ac:dyDescent="0.25">
      <c r="A89">
        <v>4.5999999999999996</v>
      </c>
      <c r="B89" s="7">
        <f t="shared" si="12"/>
        <v>5.2558780251960887E-7</v>
      </c>
      <c r="C89" s="7">
        <f t="shared" si="8"/>
        <v>52.55878025196089</v>
      </c>
      <c r="D89" s="2">
        <v>4.5999999999999996</v>
      </c>
      <c r="E89" s="7">
        <f t="shared" si="13"/>
        <v>54.688272266526795</v>
      </c>
      <c r="F89" s="9">
        <f t="shared" si="9"/>
        <v>2.1294920145659049</v>
      </c>
      <c r="G89">
        <v>4.5999999999999996</v>
      </c>
      <c r="H89" s="7">
        <f t="shared" si="5"/>
        <v>2.0500493135968223E-7</v>
      </c>
      <c r="I89" s="7">
        <f t="shared" si="10"/>
        <v>20.500493135968224</v>
      </c>
      <c r="J89" s="2">
        <v>4.5999999999999996</v>
      </c>
      <c r="K89" s="7">
        <f t="shared" si="6"/>
        <v>21.331099101677996</v>
      </c>
      <c r="L89" s="9">
        <f t="shared" si="11"/>
        <v>0.83060596570977197</v>
      </c>
      <c r="M89" s="5">
        <f t="shared" si="7"/>
        <v>2.9600979802756768</v>
      </c>
    </row>
    <row r="90" spans="1:13" ht="15.75" x14ac:dyDescent="0.25">
      <c r="A90">
        <v>4.7</v>
      </c>
      <c r="B90" s="7">
        <f t="shared" si="12"/>
        <v>5.2590809170058205E-7</v>
      </c>
      <c r="C90" s="7">
        <f t="shared" si="8"/>
        <v>52.590809170058208</v>
      </c>
      <c r="D90" s="2">
        <v>4.7</v>
      </c>
      <c r="E90" s="7">
        <f t="shared" si="13"/>
        <v>54.826619062839043</v>
      </c>
      <c r="F90" s="9">
        <f t="shared" si="9"/>
        <v>2.2358098927808356</v>
      </c>
      <c r="G90">
        <v>4.7</v>
      </c>
      <c r="H90" s="7">
        <f t="shared" si="5"/>
        <v>2.0512985979456199E-7</v>
      </c>
      <c r="I90" s="7">
        <f t="shared" si="10"/>
        <v>20.5129859794562</v>
      </c>
      <c r="J90" s="2">
        <v>4.7</v>
      </c>
      <c r="K90" s="7">
        <f t="shared" si="6"/>
        <v>21.38506111401135</v>
      </c>
      <c r="L90" s="9">
        <f t="shared" si="11"/>
        <v>0.87207513455514984</v>
      </c>
      <c r="M90" s="5">
        <f t="shared" si="7"/>
        <v>3.1078850273359855</v>
      </c>
    </row>
    <row r="91" spans="1:13" ht="15.75" x14ac:dyDescent="0.25">
      <c r="A91">
        <v>4.8</v>
      </c>
      <c r="B91" s="7">
        <f t="shared" si="12"/>
        <v>5.2620880926900424E-7</v>
      </c>
      <c r="C91" s="7">
        <f t="shared" si="8"/>
        <v>52.620880926900426</v>
      </c>
      <c r="D91" s="2">
        <v>4.8</v>
      </c>
      <c r="E91" s="7">
        <f t="shared" si="13"/>
        <v>54.96794105907199</v>
      </c>
      <c r="F91" s="9">
        <f t="shared" si="9"/>
        <v>2.3470601321715634</v>
      </c>
      <c r="G91">
        <v>4.8</v>
      </c>
      <c r="H91" s="7">
        <f t="shared" si="5"/>
        <v>2.0524715434397411E-7</v>
      </c>
      <c r="I91" s="7">
        <f t="shared" si="10"/>
        <v>20.524715434397411</v>
      </c>
      <c r="J91" s="2">
        <v>4.8</v>
      </c>
      <c r="K91" s="7">
        <f t="shared" si="6"/>
        <v>21.440183599728222</v>
      </c>
      <c r="L91" s="9">
        <f t="shared" si="11"/>
        <v>0.91546816533081099</v>
      </c>
      <c r="M91" s="5">
        <f t="shared" si="7"/>
        <v>3.2625282975023744</v>
      </c>
    </row>
    <row r="92" spans="1:13" ht="15.75" x14ac:dyDescent="0.25">
      <c r="A92">
        <v>4.9000000000000004</v>
      </c>
      <c r="B92" s="7">
        <f t="shared" si="12"/>
        <v>5.2649151344055897E-7</v>
      </c>
      <c r="C92" s="7">
        <f t="shared" si="8"/>
        <v>52.649151344055895</v>
      </c>
      <c r="D92" s="2">
        <v>4.9000000000000004</v>
      </c>
      <c r="E92" s="7">
        <f t="shared" si="13"/>
        <v>55.112238255225627</v>
      </c>
      <c r="F92" s="9">
        <f t="shared" si="9"/>
        <v>2.4630869111697322</v>
      </c>
      <c r="G92">
        <v>4.9000000000000004</v>
      </c>
      <c r="H92" s="7">
        <f t="shared" si="5"/>
        <v>2.0535742278819375E-7</v>
      </c>
      <c r="I92" s="7">
        <f t="shared" si="10"/>
        <v>20.535742278819374</v>
      </c>
      <c r="J92" s="2">
        <v>4.9000000000000004</v>
      </c>
      <c r="K92" s="7">
        <f t="shared" si="6"/>
        <v>21.496466558828605</v>
      </c>
      <c r="L92" s="9">
        <f t="shared" si="11"/>
        <v>0.96072428000923082</v>
      </c>
      <c r="M92" s="5">
        <f t="shared" si="7"/>
        <v>3.423811191178963</v>
      </c>
    </row>
    <row r="93" spans="1:13" ht="15.75" x14ac:dyDescent="0.25">
      <c r="A93">
        <v>5</v>
      </c>
      <c r="B93" s="7">
        <f t="shared" si="12"/>
        <v>5.2675761081704782E-7</v>
      </c>
      <c r="C93" s="7">
        <f t="shared" si="8"/>
        <v>52.675761081704785</v>
      </c>
      <c r="D93" s="2">
        <v>5</v>
      </c>
      <c r="E93" s="7">
        <f t="shared" si="13"/>
        <v>55.259510651299962</v>
      </c>
      <c r="F93" s="9">
        <f t="shared" si="9"/>
        <v>2.5837495695951773</v>
      </c>
      <c r="G93">
        <v>5</v>
      </c>
      <c r="H93" s="7">
        <f t="shared" si="5"/>
        <v>2.0546121377067202E-7</v>
      </c>
      <c r="I93" s="7">
        <f t="shared" si="10"/>
        <v>20.546121377067202</v>
      </c>
      <c r="J93" s="2">
        <v>5</v>
      </c>
      <c r="K93" s="7">
        <f t="shared" si="6"/>
        <v>21.553909991312501</v>
      </c>
      <c r="L93" s="9">
        <f t="shared" si="11"/>
        <v>1.0077886142452996</v>
      </c>
      <c r="M93" s="5">
        <f t="shared" si="7"/>
        <v>3.591538183840477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409575</xdr:colOff>
                <xdr:row>2</xdr:row>
                <xdr:rowOff>47625</xdr:rowOff>
              </from>
              <to>
                <xdr:col>1</xdr:col>
                <xdr:colOff>1276350</xdr:colOff>
                <xdr:row>7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0</xdr:col>
                <xdr:colOff>390525</xdr:colOff>
                <xdr:row>8</xdr:row>
                <xdr:rowOff>85725</xdr:rowOff>
              </from>
              <to>
                <xdr:col>4</xdr:col>
                <xdr:colOff>619125</xdr:colOff>
                <xdr:row>14</xdr:row>
                <xdr:rowOff>19050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15</xdr:col>
                <xdr:colOff>66675</xdr:colOff>
                <xdr:row>0</xdr:row>
                <xdr:rowOff>104775</xdr:rowOff>
              </from>
              <to>
                <xdr:col>20</xdr:col>
                <xdr:colOff>504825</xdr:colOff>
                <xdr:row>4</xdr:row>
                <xdr:rowOff>76200</xdr:rowOff>
              </to>
            </anchor>
          </objectPr>
        </oleObject>
      </mc:Choice>
      <mc:Fallback>
        <oleObject progId="Equation.3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20.28515625" bestFit="1" customWidth="1"/>
    <col min="9" max="9" width="15.85546875" bestFit="1" customWidth="1"/>
  </cols>
  <sheetData>
    <row r="1" spans="1:9" x14ac:dyDescent="0.25">
      <c r="A1" t="s">
        <v>11</v>
      </c>
      <c r="B1" t="s">
        <v>31</v>
      </c>
      <c r="D1" t="s">
        <v>11</v>
      </c>
      <c r="E1" t="s">
        <v>19</v>
      </c>
      <c r="F1" t="s">
        <v>18</v>
      </c>
      <c r="G1" t="s">
        <v>20</v>
      </c>
      <c r="H1" t="s">
        <v>15</v>
      </c>
    </row>
    <row r="2" spans="1:9" x14ac:dyDescent="0.25">
      <c r="B2" s="2">
        <f>(D3*D2+E3*E2+F3*F2+G3*G2+H3*H2)/100</f>
        <v>4.49</v>
      </c>
      <c r="D2">
        <v>100</v>
      </c>
      <c r="E2">
        <v>0</v>
      </c>
      <c r="F2">
        <v>0</v>
      </c>
      <c r="G2">
        <v>0</v>
      </c>
      <c r="H2">
        <v>0</v>
      </c>
      <c r="I2" t="s">
        <v>14</v>
      </c>
    </row>
    <row r="3" spans="1:9" x14ac:dyDescent="0.25">
      <c r="A3" s="2" t="s">
        <v>33</v>
      </c>
      <c r="B3" s="2" t="s">
        <v>34</v>
      </c>
      <c r="D3">
        <v>4.49</v>
      </c>
      <c r="E3">
        <v>2.56</v>
      </c>
      <c r="F3">
        <v>3.05</v>
      </c>
      <c r="G3">
        <v>2.48</v>
      </c>
      <c r="H3">
        <v>1.1499999999999999</v>
      </c>
      <c r="I3" t="s">
        <v>31</v>
      </c>
    </row>
    <row r="4" spans="1:9" x14ac:dyDescent="0.25">
      <c r="A4" s="2">
        <v>0</v>
      </c>
      <c r="B4" s="2">
        <f>($B$2/1.798)*A4*4</f>
        <v>0</v>
      </c>
    </row>
    <row r="5" spans="1:9" x14ac:dyDescent="0.25">
      <c r="A5" s="2">
        <v>0.1</v>
      </c>
      <c r="B5" s="2">
        <f t="shared" ref="B5:B54" si="0">($B$2/1.798)*A5*4</f>
        <v>0.99888765294771975</v>
      </c>
    </row>
    <row r="6" spans="1:9" x14ac:dyDescent="0.25">
      <c r="A6" s="2">
        <v>0.2</v>
      </c>
      <c r="B6" s="2">
        <f t="shared" si="0"/>
        <v>1.9977753058954395</v>
      </c>
    </row>
    <row r="7" spans="1:9" x14ac:dyDescent="0.25">
      <c r="A7" s="2">
        <v>0.3</v>
      </c>
      <c r="B7" s="2">
        <f t="shared" si="0"/>
        <v>2.9966629588431593</v>
      </c>
    </row>
    <row r="8" spans="1:9" x14ac:dyDescent="0.25">
      <c r="A8" s="2">
        <v>0.4</v>
      </c>
      <c r="B8" s="2">
        <f t="shared" si="0"/>
        <v>3.995550611790879</v>
      </c>
    </row>
    <row r="9" spans="1:9" x14ac:dyDescent="0.25">
      <c r="A9" s="2">
        <v>0.5</v>
      </c>
      <c r="B9" s="2">
        <f t="shared" si="0"/>
        <v>4.9944382647385988</v>
      </c>
    </row>
    <row r="10" spans="1:9" x14ac:dyDescent="0.25">
      <c r="A10" s="2">
        <v>0.6</v>
      </c>
      <c r="B10" s="2">
        <f t="shared" si="0"/>
        <v>5.9933259176863185</v>
      </c>
    </row>
    <row r="11" spans="1:9" x14ac:dyDescent="0.25">
      <c r="A11" s="2">
        <v>0.7</v>
      </c>
      <c r="B11" s="2">
        <f t="shared" si="0"/>
        <v>6.9922135706340383</v>
      </c>
    </row>
    <row r="12" spans="1:9" x14ac:dyDescent="0.25">
      <c r="A12" s="2">
        <v>0.8</v>
      </c>
      <c r="B12" s="2">
        <f t="shared" si="0"/>
        <v>7.991101223581758</v>
      </c>
    </row>
    <row r="13" spans="1:9" x14ac:dyDescent="0.25">
      <c r="A13" s="2">
        <v>0.9</v>
      </c>
      <c r="B13" s="2">
        <f t="shared" si="0"/>
        <v>8.9899888765294786</v>
      </c>
    </row>
    <row r="14" spans="1:9" x14ac:dyDescent="0.25">
      <c r="A14" s="2">
        <v>1</v>
      </c>
      <c r="B14" s="2">
        <f t="shared" si="0"/>
        <v>9.9888765294771975</v>
      </c>
    </row>
    <row r="15" spans="1:9" x14ac:dyDescent="0.25">
      <c r="A15" s="2">
        <v>1.1000000000000001</v>
      </c>
      <c r="B15" s="2">
        <f t="shared" si="0"/>
        <v>10.987764182424918</v>
      </c>
    </row>
    <row r="16" spans="1:9" x14ac:dyDescent="0.25">
      <c r="A16" s="2">
        <v>1.2</v>
      </c>
      <c r="B16" s="2">
        <f t="shared" si="0"/>
        <v>11.986651835372637</v>
      </c>
    </row>
    <row r="17" spans="1:2" x14ac:dyDescent="0.25">
      <c r="A17" s="2">
        <v>1.3</v>
      </c>
      <c r="B17" s="2">
        <f t="shared" si="0"/>
        <v>12.985539488320358</v>
      </c>
    </row>
    <row r="18" spans="1:2" x14ac:dyDescent="0.25">
      <c r="A18" s="2">
        <v>1.4</v>
      </c>
      <c r="B18" s="2">
        <f t="shared" si="0"/>
        <v>13.984427141268077</v>
      </c>
    </row>
    <row r="19" spans="1:2" x14ac:dyDescent="0.25">
      <c r="A19" s="2">
        <v>1.5</v>
      </c>
      <c r="B19" s="2">
        <f t="shared" si="0"/>
        <v>14.983314794215797</v>
      </c>
    </row>
    <row r="20" spans="1:2" x14ac:dyDescent="0.25">
      <c r="A20" s="2">
        <v>1.6</v>
      </c>
      <c r="B20" s="2">
        <f t="shared" si="0"/>
        <v>15.982202447163516</v>
      </c>
    </row>
    <row r="21" spans="1:2" x14ac:dyDescent="0.25">
      <c r="A21" s="2">
        <v>1.7</v>
      </c>
      <c r="B21" s="2">
        <f t="shared" si="0"/>
        <v>16.981090100111235</v>
      </c>
    </row>
    <row r="22" spans="1:2" x14ac:dyDescent="0.25">
      <c r="A22" s="2">
        <v>1.8</v>
      </c>
      <c r="B22" s="2">
        <f t="shared" si="0"/>
        <v>17.979977753058957</v>
      </c>
    </row>
    <row r="23" spans="1:2" x14ac:dyDescent="0.25">
      <c r="A23" s="2">
        <v>1.9</v>
      </c>
      <c r="B23" s="2">
        <f t="shared" si="0"/>
        <v>18.978865406006676</v>
      </c>
    </row>
    <row r="24" spans="1:2" x14ac:dyDescent="0.25">
      <c r="A24" s="2">
        <v>2</v>
      </c>
      <c r="B24" s="2">
        <f t="shared" si="0"/>
        <v>19.977753058954395</v>
      </c>
    </row>
    <row r="25" spans="1:2" x14ac:dyDescent="0.25">
      <c r="A25" s="2">
        <v>2.1</v>
      </c>
      <c r="B25" s="2">
        <f t="shared" si="0"/>
        <v>20.976640711902114</v>
      </c>
    </row>
    <row r="26" spans="1:2" x14ac:dyDescent="0.25">
      <c r="A26" s="2">
        <v>2.2000000000000002</v>
      </c>
      <c r="B26" s="2">
        <f t="shared" si="0"/>
        <v>21.975528364849836</v>
      </c>
    </row>
    <row r="27" spans="1:2" x14ac:dyDescent="0.25">
      <c r="A27" s="2">
        <v>2.2999999999999998</v>
      </c>
      <c r="B27" s="2">
        <f t="shared" si="0"/>
        <v>22.974416017797552</v>
      </c>
    </row>
    <row r="28" spans="1:2" x14ac:dyDescent="0.25">
      <c r="A28" s="2">
        <v>2.4</v>
      </c>
      <c r="B28" s="2">
        <f t="shared" si="0"/>
        <v>23.973303670745274</v>
      </c>
    </row>
    <row r="29" spans="1:2" x14ac:dyDescent="0.25">
      <c r="A29" s="2">
        <v>2.5</v>
      </c>
      <c r="B29" s="2">
        <f t="shared" si="0"/>
        <v>24.972191323692993</v>
      </c>
    </row>
    <row r="30" spans="1:2" x14ac:dyDescent="0.25">
      <c r="A30" s="2">
        <v>2.6</v>
      </c>
      <c r="B30" s="2">
        <f t="shared" si="0"/>
        <v>25.971078976640715</v>
      </c>
    </row>
    <row r="31" spans="1:2" x14ac:dyDescent="0.25">
      <c r="A31" s="2">
        <v>2.7</v>
      </c>
      <c r="B31" s="2">
        <f t="shared" si="0"/>
        <v>26.969966629588434</v>
      </c>
    </row>
    <row r="32" spans="1:2" x14ac:dyDescent="0.25">
      <c r="A32" s="2">
        <v>2.8</v>
      </c>
      <c r="B32" s="2">
        <f t="shared" si="0"/>
        <v>27.968854282536153</v>
      </c>
    </row>
    <row r="33" spans="1:2" x14ac:dyDescent="0.25">
      <c r="A33" s="2">
        <v>2.9</v>
      </c>
      <c r="B33" s="2">
        <f t="shared" si="0"/>
        <v>28.967741935483872</v>
      </c>
    </row>
    <row r="34" spans="1:2" x14ac:dyDescent="0.25">
      <c r="A34" s="2">
        <v>3</v>
      </c>
      <c r="B34" s="2">
        <f t="shared" si="0"/>
        <v>29.966629588431594</v>
      </c>
    </row>
    <row r="35" spans="1:2" x14ac:dyDescent="0.25">
      <c r="A35" s="2">
        <v>3.1</v>
      </c>
      <c r="B35" s="2">
        <f t="shared" si="0"/>
        <v>30.965517241379313</v>
      </c>
    </row>
    <row r="36" spans="1:2" x14ac:dyDescent="0.25">
      <c r="A36" s="2">
        <v>3.2</v>
      </c>
      <c r="B36" s="2">
        <f t="shared" si="0"/>
        <v>31.964404894327032</v>
      </c>
    </row>
    <row r="37" spans="1:2" x14ac:dyDescent="0.25">
      <c r="A37" s="2">
        <v>3.3</v>
      </c>
      <c r="B37" s="2">
        <f t="shared" si="0"/>
        <v>32.963292547274747</v>
      </c>
    </row>
    <row r="38" spans="1:2" x14ac:dyDescent="0.25">
      <c r="A38" s="2">
        <v>3.4</v>
      </c>
      <c r="B38" s="2">
        <f t="shared" si="0"/>
        <v>33.96218020022247</v>
      </c>
    </row>
    <row r="39" spans="1:2" x14ac:dyDescent="0.25">
      <c r="A39" s="2">
        <v>3.5</v>
      </c>
      <c r="B39" s="2">
        <f t="shared" si="0"/>
        <v>34.961067853170192</v>
      </c>
    </row>
    <row r="40" spans="1:2" x14ac:dyDescent="0.25">
      <c r="A40" s="2">
        <v>3.6</v>
      </c>
      <c r="B40" s="2">
        <f t="shared" si="0"/>
        <v>35.959955506117915</v>
      </c>
    </row>
    <row r="41" spans="1:2" x14ac:dyDescent="0.25">
      <c r="A41" s="2">
        <v>3.7</v>
      </c>
      <c r="B41" s="2">
        <f t="shared" si="0"/>
        <v>36.95884315906563</v>
      </c>
    </row>
    <row r="42" spans="1:2" x14ac:dyDescent="0.25">
      <c r="A42" s="2">
        <v>3.8</v>
      </c>
      <c r="B42" s="2">
        <f t="shared" si="0"/>
        <v>37.957730812013352</v>
      </c>
    </row>
    <row r="43" spans="1:2" x14ac:dyDescent="0.25">
      <c r="A43" s="2">
        <v>3.9</v>
      </c>
      <c r="B43" s="2">
        <f t="shared" si="0"/>
        <v>38.956618464961068</v>
      </c>
    </row>
    <row r="44" spans="1:2" x14ac:dyDescent="0.25">
      <c r="A44" s="2">
        <v>4</v>
      </c>
      <c r="B44" s="2">
        <f t="shared" si="0"/>
        <v>39.95550611790879</v>
      </c>
    </row>
    <row r="45" spans="1:2" x14ac:dyDescent="0.25">
      <c r="A45" s="2">
        <v>4.0999999999999996</v>
      </c>
      <c r="B45" s="2">
        <f t="shared" si="0"/>
        <v>40.954393770856505</v>
      </c>
    </row>
    <row r="46" spans="1:2" x14ac:dyDescent="0.25">
      <c r="A46" s="2">
        <v>4.1999999999999904</v>
      </c>
      <c r="B46" s="2">
        <f t="shared" si="0"/>
        <v>41.953281423804135</v>
      </c>
    </row>
    <row r="47" spans="1:2" x14ac:dyDescent="0.25">
      <c r="A47" s="2">
        <v>4.2999999999999901</v>
      </c>
      <c r="B47" s="2">
        <f t="shared" si="0"/>
        <v>42.952169076751851</v>
      </c>
    </row>
    <row r="48" spans="1:2" x14ac:dyDescent="0.25">
      <c r="A48" s="2">
        <v>4.3999999999999897</v>
      </c>
      <c r="B48" s="2">
        <f t="shared" si="0"/>
        <v>43.951056729699566</v>
      </c>
    </row>
    <row r="49" spans="1:2" x14ac:dyDescent="0.25">
      <c r="A49" s="2">
        <v>4.4999999999999902</v>
      </c>
      <c r="B49" s="2">
        <f t="shared" si="0"/>
        <v>44.949944382647288</v>
      </c>
    </row>
    <row r="50" spans="1:2" x14ac:dyDescent="0.25">
      <c r="A50" s="2">
        <v>4.5999999999999899</v>
      </c>
      <c r="B50" s="2">
        <f t="shared" si="0"/>
        <v>45.948832035595011</v>
      </c>
    </row>
    <row r="51" spans="1:2" x14ac:dyDescent="0.25">
      <c r="A51" s="2">
        <v>4.6999999999999904</v>
      </c>
      <c r="B51" s="2">
        <f t="shared" si="0"/>
        <v>46.947719688542733</v>
      </c>
    </row>
    <row r="52" spans="1:2" x14ac:dyDescent="0.25">
      <c r="A52" s="2">
        <v>4.7999999999999901</v>
      </c>
      <c r="B52" s="2">
        <f t="shared" si="0"/>
        <v>47.946607341490449</v>
      </c>
    </row>
    <row r="53" spans="1:2" x14ac:dyDescent="0.25">
      <c r="A53" s="2">
        <v>4.8999999999999897</v>
      </c>
      <c r="B53" s="2">
        <f t="shared" si="0"/>
        <v>48.945494994438164</v>
      </c>
    </row>
    <row r="54" spans="1:2" x14ac:dyDescent="0.25">
      <c r="A54" s="2">
        <v>4.9999999999999902</v>
      </c>
      <c r="B54" s="2">
        <f t="shared" si="0"/>
        <v>49.944382647385893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TDS</vt:lpstr>
      <vt:lpstr>TDS Equiation</vt:lpstr>
      <vt:lpstr>Absorption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Gian</dc:creator>
  <cp:lastModifiedBy>Song, Gian</cp:lastModifiedBy>
  <dcterms:created xsi:type="dcterms:W3CDTF">2016-09-27T16:42:33Z</dcterms:created>
  <dcterms:modified xsi:type="dcterms:W3CDTF">2016-10-17T00:49:59Z</dcterms:modified>
</cp:coreProperties>
</file>