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PE exam\"/>
    </mc:Choice>
  </mc:AlternateContent>
  <xr:revisionPtr revIDLastSave="0" documentId="13_ncr:1_{A48121E8-E77E-4383-8CB5-BB101E17D2FC}" xr6:coauthVersionLast="45" xr6:coauthVersionMax="45" xr10:uidLastSave="{00000000-0000-0000-0000-000000000000}"/>
  <bookViews>
    <workbookView xWindow="-120" yWindow="-120" windowWidth="20730" windowHeight="11160" activeTab="3" xr2:uid="{D567EDDC-1623-42EC-9981-BB75A71B5908}"/>
  </bookViews>
  <sheets>
    <sheet name="Sheet1" sheetId="1" r:id="rId1"/>
    <sheet name="Test-AM" sheetId="2" r:id="rId2"/>
    <sheet name="New Test-AM" sheetId="4" r:id="rId3"/>
    <sheet name="Tests-PM" sheetId="3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89" i="1" l="1"/>
  <c r="T85" i="1"/>
  <c r="S85" i="1"/>
  <c r="R87" i="1"/>
  <c r="Q86" i="1"/>
  <c r="Q85" i="1"/>
  <c r="S79" i="1"/>
  <c r="S78" i="1"/>
  <c r="S77" i="1"/>
  <c r="S76" i="1"/>
  <c r="S75" i="1"/>
  <c r="R79" i="1"/>
  <c r="R78" i="1"/>
  <c r="R77" i="1"/>
  <c r="R76" i="1"/>
  <c r="R75" i="1"/>
  <c r="B85" i="1"/>
  <c r="D90" i="1"/>
  <c r="D89" i="1"/>
  <c r="AI31" i="1"/>
  <c r="AF35" i="1"/>
  <c r="AH35" i="1"/>
  <c r="AI35" i="1" s="1"/>
  <c r="AD30" i="1"/>
  <c r="AC29" i="1"/>
  <c r="AJ25" i="1"/>
  <c r="AF27" i="1"/>
  <c r="AF26" i="1"/>
  <c r="AH26" i="1"/>
  <c r="AH25" i="1"/>
  <c r="AG30" i="1"/>
  <c r="AF33" i="1"/>
  <c r="AF34" i="1"/>
  <c r="AG34" i="1"/>
  <c r="AL28" i="1"/>
  <c r="AL27" i="1"/>
  <c r="AQ29" i="1"/>
  <c r="AQ27" i="1"/>
  <c r="AQ34" i="1"/>
  <c r="AQ32" i="1"/>
  <c r="AN33" i="1"/>
  <c r="AL31" i="1"/>
  <c r="AK29" i="1"/>
  <c r="AJ28" i="1"/>
  <c r="AI28" i="1"/>
  <c r="AH31" i="1"/>
  <c r="AH32" i="1" s="1"/>
  <c r="AF30" i="1"/>
  <c r="AL35" i="1"/>
  <c r="AK35" i="1"/>
  <c r="AK34" i="1"/>
  <c r="AK33" i="1"/>
  <c r="AJ34" i="1"/>
  <c r="AJ33" i="1"/>
  <c r="AJ32" i="1"/>
  <c r="AO28" i="1"/>
  <c r="AM30" i="1"/>
  <c r="AN30" i="1" s="1"/>
  <c r="AO30" i="1" s="1"/>
  <c r="AN22" i="1"/>
  <c r="AQ16" i="1"/>
  <c r="AQ17" i="1"/>
  <c r="AS23" i="1"/>
  <c r="AS22" i="1"/>
  <c r="AS19" i="1"/>
  <c r="AR19" i="1"/>
  <c r="AR18" i="1"/>
  <c r="AR17" i="1"/>
  <c r="AO17" i="1"/>
  <c r="AL25" i="1"/>
  <c r="AP25" i="1"/>
  <c r="AN25" i="1"/>
  <c r="AO25" i="1"/>
  <c r="AR20" i="1"/>
  <c r="AP23" i="1"/>
  <c r="AQ23" i="1" s="1"/>
  <c r="AP22" i="1"/>
  <c r="AP21" i="1"/>
  <c r="AP20" i="1"/>
  <c r="AP19" i="1"/>
  <c r="AO20" i="1"/>
  <c r="AO19" i="1"/>
  <c r="AL20" i="1" l="1"/>
  <c r="AI22" i="1"/>
  <c r="AJ22" i="1" s="1"/>
  <c r="AI21" i="1"/>
  <c r="AJ21" i="1" s="1"/>
  <c r="AI20" i="1"/>
  <c r="AJ20" i="1" s="1"/>
  <c r="AI19" i="1"/>
  <c r="AJ19" i="1" s="1"/>
  <c r="AI18" i="1"/>
  <c r="AJ18" i="1" s="1"/>
  <c r="AE18" i="1"/>
  <c r="AE19" i="1" s="1"/>
  <c r="AE20" i="1" s="1"/>
  <c r="AC21" i="1"/>
  <c r="AC20" i="1"/>
  <c r="AC19" i="1"/>
  <c r="AC18" i="1"/>
  <c r="AB22" i="1"/>
  <c r="AC22" i="1" s="1"/>
  <c r="AL21" i="1" l="1"/>
  <c r="U11" i="1"/>
  <c r="T11" i="1"/>
  <c r="U10" i="1"/>
  <c r="T10" i="1"/>
  <c r="U9" i="1"/>
  <c r="T9" i="1"/>
  <c r="U8" i="1"/>
  <c r="T8" i="1"/>
  <c r="U7" i="1"/>
  <c r="T7" i="1"/>
  <c r="U6" i="1"/>
  <c r="T6" i="1"/>
  <c r="U5" i="1"/>
  <c r="T5" i="1"/>
  <c r="M64" i="1"/>
  <c r="M65" i="1"/>
  <c r="N65" i="1"/>
  <c r="N64" i="1"/>
  <c r="O59" i="1"/>
  <c r="Q59" i="1" s="1"/>
  <c r="O58" i="1"/>
  <c r="Q58" i="1" s="1"/>
  <c r="O57" i="1"/>
  <c r="Q57" i="1" s="1"/>
  <c r="O51" i="1"/>
  <c r="Q51" i="1" s="1"/>
  <c r="O50" i="1"/>
  <c r="Q50" i="1" s="1"/>
  <c r="O49" i="1"/>
  <c r="Q49" i="1" s="1"/>
  <c r="M46" i="1"/>
  <c r="M45" i="1"/>
  <c r="M44" i="1"/>
  <c r="I37" i="1"/>
  <c r="I38" i="1" s="1"/>
  <c r="I39" i="1" s="1"/>
  <c r="N36" i="1"/>
  <c r="N37" i="1" s="1"/>
  <c r="M38" i="1" s="1"/>
  <c r="Q34" i="1"/>
  <c r="Q33" i="1"/>
  <c r="Q32" i="1"/>
  <c r="M32" i="1"/>
  <c r="K34" i="1"/>
  <c r="K35" i="1" s="1"/>
  <c r="H33" i="1"/>
  <c r="I33" i="1" s="1"/>
  <c r="F29" i="1"/>
  <c r="F31" i="1" s="1"/>
  <c r="J29" i="1"/>
  <c r="K29" i="1" s="1"/>
  <c r="L29" i="1" s="1"/>
  <c r="H26" i="1"/>
  <c r="G25" i="1"/>
  <c r="H25" i="1" s="1"/>
  <c r="E24" i="1"/>
  <c r="E25" i="1" s="1"/>
  <c r="D20" i="1"/>
  <c r="C20" i="1"/>
  <c r="N19" i="1"/>
  <c r="N21" i="1" s="1"/>
  <c r="I19" i="1"/>
  <c r="I18" i="1"/>
  <c r="I17" i="1"/>
  <c r="I16" i="1"/>
  <c r="L11" i="1"/>
  <c r="K11" i="1"/>
  <c r="L10" i="1"/>
  <c r="K10" i="1"/>
  <c r="L9" i="1"/>
  <c r="K9" i="1"/>
  <c r="L8" i="1"/>
  <c r="K8" i="1"/>
  <c r="L7" i="1"/>
  <c r="K7" i="1"/>
  <c r="L6" i="1"/>
  <c r="K6" i="1"/>
  <c r="L5" i="1"/>
  <c r="K5" i="1"/>
  <c r="N45" i="1" l="1"/>
  <c r="E20" i="1"/>
  <c r="E22" i="1" s="1"/>
  <c r="F32" i="1"/>
  <c r="V6" i="1"/>
  <c r="F33" i="1"/>
  <c r="V5" i="1"/>
  <c r="P53" i="1"/>
  <c r="M8" i="1"/>
  <c r="I27" i="1"/>
  <c r="J27" i="1" s="1"/>
  <c r="V7" i="1"/>
  <c r="V9" i="1"/>
  <c r="V11" i="1"/>
  <c r="F34" i="1"/>
  <c r="M5" i="1"/>
  <c r="M7" i="1"/>
  <c r="V10" i="1"/>
  <c r="V8" i="1"/>
  <c r="W5" i="1"/>
  <c r="P61" i="1"/>
  <c r="M10" i="1"/>
  <c r="M9" i="1"/>
  <c r="M6" i="1"/>
  <c r="M11" i="1"/>
  <c r="W6" i="1" l="1"/>
  <c r="W7" i="1" s="1"/>
  <c r="V12" i="1"/>
  <c r="N5" i="1"/>
  <c r="N6" i="1" s="1"/>
  <c r="N7" i="1" s="1"/>
  <c r="N8" i="1" s="1"/>
  <c r="N9" i="1" s="1"/>
  <c r="N10" i="1" s="1"/>
  <c r="N11" i="1" s="1"/>
  <c r="M12" i="1"/>
  <c r="W8" i="1"/>
  <c r="W9" i="1" s="1"/>
  <c r="W10" i="1" s="1"/>
  <c r="W11" i="1" s="1"/>
</calcChain>
</file>

<file path=xl/sharedStrings.xml><?xml version="1.0" encoding="utf-8"?>
<sst xmlns="http://schemas.openxmlformats.org/spreadsheetml/2006/main" count="689" uniqueCount="403">
  <si>
    <t>Station</t>
  </si>
  <si>
    <t>20+00</t>
  </si>
  <si>
    <t>21+00</t>
  </si>
  <si>
    <t>22+00</t>
  </si>
  <si>
    <t>27+00</t>
  </si>
  <si>
    <r>
      <t>Excavation (yd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</si>
  <si>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r>
      <t>Embankment (yd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</si>
  <si>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r>
      <t>Cumulative work (yd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)</t>
    </r>
  </si>
  <si>
    <r>
      <t>Excavation area (yd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</si>
  <si>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r>
      <t>Embankment  area (yd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</si>
  <si>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r>
      <t>Excavation  volume (yd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)</t>
    </r>
  </si>
  <si>
    <r>
      <t>Embankment volume (yd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)</t>
    </r>
  </si>
  <si>
    <r>
      <t>Net volume (yd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)</t>
    </r>
  </si>
  <si>
    <t>23+00</t>
  </si>
  <si>
    <t>24+00</t>
  </si>
  <si>
    <t>25+00</t>
  </si>
  <si>
    <t>26+00</t>
  </si>
  <si>
    <r>
      <t>Mond</t>
    </r>
    <r>
      <rPr>
        <sz val="11"/>
        <color rgb="FF000000"/>
        <rFont val="Calibri"/>
        <family val="2"/>
        <scheme val="minor"/>
      </rPr>
      <t>ay</t>
    </r>
  </si>
  <si>
    <t>Tuesday</t>
  </si>
  <si>
    <t>Wednesday</t>
  </si>
  <si>
    <t>Thursday</t>
  </si>
  <si>
    <t>Friday</t>
  </si>
  <si>
    <t>Saturday</t>
  </si>
  <si>
    <t>Sunday</t>
  </si>
  <si>
    <t>AM1-Free</t>
  </si>
  <si>
    <t>PE.4</t>
  </si>
  <si>
    <t>PE.10</t>
  </si>
  <si>
    <t>N.101</t>
  </si>
  <si>
    <t>J.3-3</t>
  </si>
  <si>
    <t>Q.Aug16</t>
  </si>
  <si>
    <t>I.23</t>
  </si>
  <si>
    <t>PPE.29</t>
  </si>
  <si>
    <t>I.5</t>
  </si>
  <si>
    <t>Q.Sep4</t>
  </si>
  <si>
    <t>N.531</t>
  </si>
  <si>
    <t>J.3-13</t>
  </si>
  <si>
    <t>I.116</t>
  </si>
  <si>
    <t>N.130</t>
  </si>
  <si>
    <t>I.40</t>
  </si>
  <si>
    <t>L.FE</t>
  </si>
  <si>
    <t>I.221</t>
  </si>
  <si>
    <t>N.117</t>
  </si>
  <si>
    <t>I.102</t>
  </si>
  <si>
    <t>Q.Aug24</t>
  </si>
  <si>
    <t>I.124</t>
  </si>
  <si>
    <t>Q.Sep9</t>
  </si>
  <si>
    <t>J.3-24</t>
  </si>
  <si>
    <t>I.1</t>
  </si>
  <si>
    <t>PE.6</t>
  </si>
  <si>
    <t>N.125</t>
  </si>
  <si>
    <t>V.3-1</t>
  </si>
  <si>
    <t>N.510</t>
  </si>
  <si>
    <t>I.14</t>
  </si>
  <si>
    <t>O1</t>
  </si>
  <si>
    <t>Q.Sep8</t>
  </si>
  <si>
    <t>I.22</t>
  </si>
  <si>
    <t>O3</t>
  </si>
  <si>
    <t>N.133</t>
  </si>
  <si>
    <t>I.624</t>
  </si>
  <si>
    <t>O2</t>
  </si>
  <si>
    <t>Q.Sep27</t>
  </si>
  <si>
    <t>PE.8</t>
  </si>
  <si>
    <t>N.138</t>
  </si>
  <si>
    <t>N.136</t>
  </si>
  <si>
    <t>AM2</t>
  </si>
  <si>
    <t>AM3</t>
  </si>
  <si>
    <t>PM1-Free</t>
  </si>
  <si>
    <t>V.1-5</t>
  </si>
  <si>
    <t>PPE.10</t>
  </si>
  <si>
    <t>N.506</t>
  </si>
  <si>
    <t>I.132</t>
  </si>
  <si>
    <t>N.503</t>
  </si>
  <si>
    <t>L.73-7</t>
  </si>
  <si>
    <t>N.525</t>
  </si>
  <si>
    <t>PPE.20</t>
  </si>
  <si>
    <t>L.73-1</t>
  </si>
  <si>
    <t>N.501</t>
  </si>
  <si>
    <t>PPE.1</t>
  </si>
  <si>
    <t>N.127</t>
  </si>
  <si>
    <t>I.16</t>
  </si>
  <si>
    <t>V.2-15</t>
  </si>
  <si>
    <t>I.25</t>
  </si>
  <si>
    <t>N.516</t>
  </si>
  <si>
    <t>Q.Aug8</t>
  </si>
  <si>
    <t>I.12</t>
  </si>
  <si>
    <t>PPE.2</t>
  </si>
  <si>
    <t>N.523</t>
  </si>
  <si>
    <t>G.14</t>
  </si>
  <si>
    <t>I.127</t>
  </si>
  <si>
    <t>N.521</t>
  </si>
  <si>
    <t>PPE.6</t>
  </si>
  <si>
    <t>G.69</t>
  </si>
  <si>
    <t>O4</t>
  </si>
  <si>
    <t>N.507</t>
  </si>
  <si>
    <t>PPE.15</t>
  </si>
  <si>
    <t>PE.7</t>
  </si>
  <si>
    <t>G.48</t>
  </si>
  <si>
    <t>I.3</t>
  </si>
  <si>
    <t>I.533</t>
  </si>
  <si>
    <t>N.131</t>
  </si>
  <si>
    <t>I.112</t>
  </si>
  <si>
    <t>G.77</t>
  </si>
  <si>
    <t>N.108</t>
  </si>
  <si>
    <t>V.10-2</t>
  </si>
  <si>
    <t>PM2</t>
  </si>
  <si>
    <t>PM3</t>
  </si>
  <si>
    <t>N.102</t>
  </si>
  <si>
    <t>N.104</t>
  </si>
  <si>
    <t>N.102 *</t>
  </si>
  <si>
    <t>V.10-2*</t>
  </si>
  <si>
    <t>N.105</t>
  </si>
  <si>
    <t>N.139</t>
  </si>
  <si>
    <t>I.37</t>
  </si>
  <si>
    <t>I.6</t>
  </si>
  <si>
    <t>I.112*</t>
  </si>
  <si>
    <t>N.108*</t>
  </si>
  <si>
    <t>N.536</t>
  </si>
  <si>
    <t>N.536*</t>
  </si>
  <si>
    <t>G.5*</t>
  </si>
  <si>
    <t>I.106</t>
  </si>
  <si>
    <t>N.114</t>
  </si>
  <si>
    <t>I.27</t>
  </si>
  <si>
    <t>J.1-21</t>
  </si>
  <si>
    <t>J.2-15</t>
  </si>
  <si>
    <t>I.18</t>
  </si>
  <si>
    <t>I.123</t>
  </si>
  <si>
    <t>I.3-2*</t>
  </si>
  <si>
    <t>N.120</t>
  </si>
  <si>
    <t>I.124-1*</t>
  </si>
  <si>
    <t>N.506*</t>
  </si>
  <si>
    <t>V.1*</t>
  </si>
  <si>
    <t>N.514*</t>
  </si>
  <si>
    <t>New</t>
  </si>
  <si>
    <t>J.4-32</t>
  </si>
  <si>
    <t>J.1-5</t>
  </si>
  <si>
    <t>J.1-9</t>
  </si>
  <si>
    <t>J.2-7</t>
  </si>
  <si>
    <t>Q.Sep28</t>
  </si>
  <si>
    <t>G.77*</t>
  </si>
  <si>
    <t>N.525*</t>
  </si>
  <si>
    <t>Q.Aug21</t>
  </si>
  <si>
    <t>I.30</t>
  </si>
  <si>
    <t>I.301*</t>
  </si>
  <si>
    <t>N.118</t>
  </si>
  <si>
    <t>I.17*</t>
  </si>
  <si>
    <t>Q.Sep5</t>
  </si>
  <si>
    <t>I.627</t>
  </si>
  <si>
    <t>J.1-6</t>
  </si>
  <si>
    <t>N.106</t>
  </si>
  <si>
    <t>J.1-2</t>
  </si>
  <si>
    <t>J.1-10</t>
  </si>
  <si>
    <t>I-113</t>
  </si>
  <si>
    <t>J.3-13-2</t>
  </si>
  <si>
    <t>J.3-35</t>
  </si>
  <si>
    <t>I.7</t>
  </si>
  <si>
    <t>J.1-15</t>
  </si>
  <si>
    <t>N.107</t>
  </si>
  <si>
    <t>I.39</t>
  </si>
  <si>
    <t>PE.1</t>
  </si>
  <si>
    <t>I.101</t>
  </si>
  <si>
    <t>I.9</t>
  </si>
  <si>
    <t>N.124</t>
  </si>
  <si>
    <t>I.115</t>
  </si>
  <si>
    <t>I.120</t>
  </si>
  <si>
    <t>N.126</t>
  </si>
  <si>
    <t>N.511</t>
  </si>
  <si>
    <t>J.1-25</t>
  </si>
  <si>
    <t>I.431</t>
  </si>
  <si>
    <t>N.512*</t>
  </si>
  <si>
    <t>PE.3</t>
  </si>
  <si>
    <t>N.116</t>
  </si>
  <si>
    <t>Q.Nov16</t>
  </si>
  <si>
    <t>N.134</t>
  </si>
  <si>
    <t>J.2-23</t>
  </si>
  <si>
    <t>J.2-4</t>
  </si>
  <si>
    <t>N.135</t>
  </si>
  <si>
    <t>J.4-39</t>
  </si>
  <si>
    <t>Approach</t>
  </si>
  <si>
    <t>left</t>
  </si>
  <si>
    <t>Though</t>
  </si>
  <si>
    <t>right</t>
  </si>
  <si>
    <t>Control delay (sec)</t>
  </si>
  <si>
    <t>East</t>
  </si>
  <si>
    <t>South</t>
  </si>
  <si>
    <t>West</t>
  </si>
  <si>
    <t>Time</t>
  </si>
  <si>
    <t>Northbound</t>
  </si>
  <si>
    <t>Southbound</t>
  </si>
  <si>
    <t>Pedestrian volume</t>
  </si>
  <si>
    <t>7:15-7:30 AM</t>
  </si>
  <si>
    <t>7:30-7:45 AM</t>
  </si>
  <si>
    <t>7:45-8:00 AM</t>
  </si>
  <si>
    <t>4:00-4:15 PM</t>
  </si>
  <si>
    <t>4:15-4:30 PM</t>
  </si>
  <si>
    <t>4:30-4:45 PM</t>
  </si>
  <si>
    <t>4:45-5:00 PM</t>
  </si>
  <si>
    <r>
      <t>7</t>
    </r>
    <r>
      <rPr>
        <sz val="11"/>
        <color rgb="FF000000"/>
        <rFont val="Calibri"/>
        <family val="2"/>
        <scheme val="minor"/>
      </rPr>
      <t>:00-7:15 AM</t>
    </r>
  </si>
  <si>
    <t>* conceptual tests: 3</t>
  </si>
  <si>
    <t>L.72-2</t>
  </si>
  <si>
    <t>I.15</t>
  </si>
  <si>
    <t>N.129</t>
  </si>
  <si>
    <t>G.10</t>
  </si>
  <si>
    <t>N.505</t>
  </si>
  <si>
    <t>N.509</t>
  </si>
  <si>
    <t>G.35</t>
  </si>
  <si>
    <t>PPE.31</t>
  </si>
  <si>
    <t>I.509</t>
  </si>
  <si>
    <t>PPE.24</t>
  </si>
  <si>
    <t>I.530</t>
  </si>
  <si>
    <t>PPE.30</t>
  </si>
  <si>
    <t>L.72-5</t>
  </si>
  <si>
    <t>N.512</t>
  </si>
  <si>
    <t>PPE.25</t>
  </si>
  <si>
    <t>N.518</t>
  </si>
  <si>
    <t>G.51</t>
  </si>
  <si>
    <t>N.128</t>
  </si>
  <si>
    <t>G.75</t>
  </si>
  <si>
    <t>PE.2</t>
  </si>
  <si>
    <t>L.72-11</t>
  </si>
  <si>
    <t>N.524</t>
  </si>
  <si>
    <t>I.538</t>
  </si>
  <si>
    <t>G.68</t>
  </si>
  <si>
    <t>PPE.11</t>
  </si>
  <si>
    <t>G.33</t>
  </si>
  <si>
    <t>PE.9</t>
  </si>
  <si>
    <t>G.63</t>
  </si>
  <si>
    <t>PE.5</t>
  </si>
  <si>
    <t>I.17</t>
  </si>
  <si>
    <t>I.124-1</t>
  </si>
  <si>
    <t>I.301</t>
  </si>
  <si>
    <t>G.5</t>
  </si>
  <si>
    <t>N.514</t>
  </si>
  <si>
    <t>N.513</t>
  </si>
  <si>
    <t>Total</t>
  </si>
  <si>
    <t>I.33</t>
  </si>
  <si>
    <t>I.130</t>
  </si>
  <si>
    <t>N.537</t>
  </si>
  <si>
    <t>G.3</t>
  </si>
  <si>
    <t>V.3-7</t>
  </si>
  <si>
    <t>G.74</t>
  </si>
  <si>
    <t>AM-transp</t>
  </si>
  <si>
    <t>1. N.540</t>
  </si>
  <si>
    <t>3. G.43</t>
  </si>
  <si>
    <t>I.34</t>
  </si>
  <si>
    <t>Change 32 for both</t>
  </si>
  <si>
    <t>I.109-1</t>
  </si>
  <si>
    <t>21. I.121</t>
  </si>
  <si>
    <t>I.109-2</t>
  </si>
  <si>
    <t>29. PPE.32</t>
  </si>
  <si>
    <t>L.73-1-2*</t>
  </si>
  <si>
    <t>G.3*</t>
  </si>
  <si>
    <t>30. Q.Aug21</t>
  </si>
  <si>
    <t>PE.5-2</t>
  </si>
  <si>
    <t>N.502</t>
  </si>
  <si>
    <t>N.508</t>
  </si>
  <si>
    <t>I.528</t>
  </si>
  <si>
    <t>N.517</t>
  </si>
  <si>
    <t>N.526</t>
  </si>
  <si>
    <t>N.528</t>
  </si>
  <si>
    <t>N.527</t>
  </si>
  <si>
    <t>N.520</t>
  </si>
  <si>
    <t>N.530</t>
  </si>
  <si>
    <t>PPE.4</t>
  </si>
  <si>
    <t>PPE.17</t>
  </si>
  <si>
    <t>PPE.28</t>
  </si>
  <si>
    <t>PPE.33</t>
  </si>
  <si>
    <t>PPE.38</t>
  </si>
  <si>
    <t>I.133</t>
  </si>
  <si>
    <t>N.528*</t>
  </si>
  <si>
    <t>G.7</t>
  </si>
  <si>
    <t>G.66</t>
  </si>
  <si>
    <t>G.46</t>
  </si>
  <si>
    <t>G.62</t>
  </si>
  <si>
    <t>G.71</t>
  </si>
  <si>
    <t>V.1-32</t>
  </si>
  <si>
    <t>V.8-1</t>
  </si>
  <si>
    <t>I.537</t>
  </si>
  <si>
    <t>I.125</t>
  </si>
  <si>
    <t>G.73</t>
  </si>
  <si>
    <t>Cycle</t>
  </si>
  <si>
    <t>Right-turn counts</t>
  </si>
  <si>
    <t>NEW</t>
  </si>
  <si>
    <t>J.1-39</t>
  </si>
  <si>
    <t>news are O.</t>
  </si>
  <si>
    <t>Activity</t>
  </si>
  <si>
    <t>Predecessors</t>
  </si>
  <si>
    <t>A</t>
  </si>
  <si>
    <t>-</t>
  </si>
  <si>
    <t>B</t>
  </si>
  <si>
    <t>C</t>
  </si>
  <si>
    <t>D</t>
  </si>
  <si>
    <t>E</t>
  </si>
  <si>
    <t>Normal time (days)</t>
  </si>
  <si>
    <t>Crash time</t>
  </si>
  <si>
    <t>Normal cost (daily)</t>
  </si>
  <si>
    <t>Crash cost (daily)</t>
  </si>
  <si>
    <t>I.35</t>
  </si>
  <si>
    <t>9. New N.113</t>
  </si>
  <si>
    <t>10. N.109</t>
  </si>
  <si>
    <t>11. N.119</t>
  </si>
  <si>
    <t>12. J.4-10</t>
  </si>
  <si>
    <t>I.3*</t>
  </si>
  <si>
    <t>24 N.123</t>
  </si>
  <si>
    <t>Gauge No.</t>
  </si>
  <si>
    <t>Rainfall (in.)</t>
  </si>
  <si>
    <t>21 N.122</t>
  </si>
  <si>
    <t>22. New</t>
  </si>
  <si>
    <t>25 New</t>
  </si>
  <si>
    <t>26 J.4-27</t>
  </si>
  <si>
    <t>27. J.4-28</t>
  </si>
  <si>
    <t>28 New</t>
  </si>
  <si>
    <t>35 L.35-5</t>
  </si>
  <si>
    <t>Sample</t>
  </si>
  <si>
    <t>Weight (lb)</t>
  </si>
  <si>
    <t>Water content (%)</t>
  </si>
  <si>
    <t>Unit weight</t>
  </si>
  <si>
    <t>Dry unit weight</t>
  </si>
  <si>
    <t>38 N.137</t>
  </si>
  <si>
    <t>37 New</t>
  </si>
  <si>
    <t>40 New</t>
  </si>
  <si>
    <t>J.4-3</t>
  </si>
  <si>
    <t>G.43</t>
  </si>
  <si>
    <t>New N.113</t>
  </si>
  <si>
    <t>N.109</t>
  </si>
  <si>
    <t>N.119</t>
  </si>
  <si>
    <t>J.4-10</t>
  </si>
  <si>
    <t>N.122</t>
  </si>
  <si>
    <t>N.123</t>
  </si>
  <si>
    <t>J.4-28</t>
  </si>
  <si>
    <t>J 4-27</t>
  </si>
  <si>
    <t>L.35-5</t>
  </si>
  <si>
    <t>J.1-1</t>
  </si>
  <si>
    <t>36 J.1-1</t>
  </si>
  <si>
    <t>N.137</t>
  </si>
  <si>
    <t>AM4</t>
  </si>
  <si>
    <t>I.34*</t>
  </si>
  <si>
    <t>* took 28 to 30</t>
  </si>
  <si>
    <t>4. from PM3.40</t>
  </si>
  <si>
    <t>PPE.38*</t>
  </si>
  <si>
    <t>23. from PM3.39</t>
  </si>
  <si>
    <t>V.8-1*</t>
  </si>
  <si>
    <t>8. from PM3-34</t>
  </si>
  <si>
    <t>28. from PM2.4</t>
  </si>
  <si>
    <t>N.129*</t>
  </si>
  <si>
    <t>I.121*</t>
  </si>
  <si>
    <t>20 from AM2.21</t>
  </si>
  <si>
    <t>13 from PM1-36</t>
  </si>
  <si>
    <t>* took 30 to AM 4-15</t>
  </si>
  <si>
    <t>I-40</t>
  </si>
  <si>
    <t>* took 14 to AM 4-18</t>
  </si>
  <si>
    <t>* took 32 to AM 4-16</t>
  </si>
  <si>
    <t>* took 34 to AM 4-17</t>
  </si>
  <si>
    <r>
      <t xml:space="preserve">* took 38 to </t>
    </r>
    <r>
      <rPr>
        <sz val="12"/>
        <color rgb="FF00B050"/>
        <rFont val="Calibri"/>
        <family val="2"/>
        <scheme val="minor"/>
      </rPr>
      <t>AM1-14</t>
    </r>
  </si>
  <si>
    <t>* took 34 to AM4-34</t>
  </si>
  <si>
    <t>* took 35 to AM4-14</t>
  </si>
  <si>
    <t xml:space="preserve">* changes on Transport AMs: (1) Remove AM3(New AM-2)-6 (I.109-1); (2) Bring two new materials: one to New AM 1 (replacing -34 (New)), one to New AM2 (replacing -38(Q.Aug21)). </t>
  </si>
  <si>
    <t>* took 6 to AM4-33</t>
  </si>
  <si>
    <t>* took 31 to AM 4-19</t>
  </si>
  <si>
    <r>
      <t xml:space="preserve">* took 3 to </t>
    </r>
    <r>
      <rPr>
        <sz val="12"/>
        <color rgb="FF00B050"/>
        <rFont val="Calibri"/>
        <family val="2"/>
        <scheme val="minor"/>
      </rPr>
      <t>AM1-3</t>
    </r>
  </si>
  <si>
    <r>
      <t xml:space="preserve">* took 35 to </t>
    </r>
    <r>
      <rPr>
        <sz val="12"/>
        <color rgb="FF00B050"/>
        <rFont val="Calibri"/>
        <family val="2"/>
        <scheme val="minor"/>
      </rPr>
      <t>AM1-30</t>
    </r>
  </si>
  <si>
    <r>
      <t xml:space="preserve">* took 13 to </t>
    </r>
    <r>
      <rPr>
        <sz val="12"/>
        <color rgb="FF00B050"/>
        <rFont val="Calibri"/>
        <family val="2"/>
        <scheme val="minor"/>
      </rPr>
      <t>AM 2-32 (self)</t>
    </r>
  </si>
  <si>
    <r>
      <t xml:space="preserve">* took 30 to </t>
    </r>
    <r>
      <rPr>
        <sz val="12"/>
        <color rgb="FF00B050"/>
        <rFont val="Calibri"/>
        <family val="2"/>
        <scheme val="minor"/>
      </rPr>
      <t>AM2-31</t>
    </r>
  </si>
  <si>
    <r>
      <t xml:space="preserve">* took 9 to </t>
    </r>
    <r>
      <rPr>
        <sz val="12"/>
        <color rgb="FF00B050"/>
        <rFont val="Calibri"/>
        <family val="2"/>
        <scheme val="minor"/>
      </rPr>
      <t>AM2-13</t>
    </r>
  </si>
  <si>
    <t>* took 12 to AM4-9</t>
  </si>
  <si>
    <r>
      <t xml:space="preserve">* took 11 to </t>
    </r>
    <r>
      <rPr>
        <sz val="12"/>
        <color rgb="FF00B050"/>
        <rFont val="Calibri"/>
        <family val="2"/>
        <scheme val="minor"/>
      </rPr>
      <t>AM3-12</t>
    </r>
  </si>
  <si>
    <r>
      <t xml:space="preserve">* took 3 to </t>
    </r>
    <r>
      <rPr>
        <sz val="12"/>
        <color rgb="FF00B050"/>
        <rFont val="Calibri"/>
        <family val="2"/>
        <scheme val="minor"/>
      </rPr>
      <t>AM 3-6</t>
    </r>
  </si>
  <si>
    <r>
      <t xml:space="preserve">* took 37 to </t>
    </r>
    <r>
      <rPr>
        <sz val="12"/>
        <color rgb="FF00B050"/>
        <rFont val="Calibri"/>
        <family val="2"/>
        <scheme val="minor"/>
      </rPr>
      <t>AM3-38</t>
    </r>
  </si>
  <si>
    <r>
      <t xml:space="preserve">* took 9 to </t>
    </r>
    <r>
      <rPr>
        <sz val="12"/>
        <color rgb="FF00B050"/>
        <rFont val="Calibri"/>
        <family val="2"/>
        <scheme val="minor"/>
      </rPr>
      <t>AM3-35 (self)</t>
    </r>
  </si>
  <si>
    <r>
      <t xml:space="preserve">* took 12 to </t>
    </r>
    <r>
      <rPr>
        <sz val="12"/>
        <color rgb="FF00B050"/>
        <rFont val="Calibri"/>
        <family val="2"/>
        <scheme val="minor"/>
      </rPr>
      <t>AM3-9</t>
    </r>
  </si>
  <si>
    <t>30. NEW from AM4 materials</t>
  </si>
  <si>
    <r>
      <t xml:space="preserve">* took 37 to </t>
    </r>
    <r>
      <rPr>
        <sz val="12"/>
        <color rgb="FF00B050"/>
        <rFont val="Calibri"/>
        <family val="2"/>
        <scheme val="minor"/>
      </rPr>
      <t>AM 2-37</t>
    </r>
  </si>
  <si>
    <r>
      <t xml:space="preserve">* took 37 to </t>
    </r>
    <r>
      <rPr>
        <sz val="12"/>
        <color rgb="FF00B050"/>
        <rFont val="Calibri"/>
        <family val="2"/>
        <scheme val="minor"/>
      </rPr>
      <t>AM 1-37</t>
    </r>
  </si>
  <si>
    <t>Newly to 35</t>
  </si>
  <si>
    <t>AM 1-3 to 3</t>
  </si>
  <si>
    <t>AM 1-37 to 37</t>
  </si>
  <si>
    <t>Newly to 30</t>
  </si>
  <si>
    <t>* changes on AM-transport</t>
  </si>
  <si>
    <t>Interval</t>
  </si>
  <si>
    <t>Total volume on major</t>
  </si>
  <si>
    <t>Higher-volume on minor</t>
  </si>
  <si>
    <t>11:00-12:00 AM</t>
  </si>
  <si>
    <t>12:00-1:00 PM</t>
  </si>
  <si>
    <t>1:00- 2:00 PM</t>
  </si>
  <si>
    <t>2:00- 3:00 PM</t>
  </si>
  <si>
    <t>3:00- 4:00 PM</t>
  </si>
  <si>
    <t>4:00- 5:00 PM</t>
  </si>
  <si>
    <t>5:00- 6:00 PM</t>
  </si>
  <si>
    <t>7:00- 8:00 PM</t>
  </si>
  <si>
    <t>10:00-11:00 AM</t>
  </si>
  <si>
    <t>9:00-10:00 AM</t>
  </si>
  <si>
    <t>8:00-9:00 AM</t>
  </si>
  <si>
    <t>7:00-8:00 AM</t>
  </si>
  <si>
    <t>6:00-7:00 AM</t>
  </si>
  <si>
    <t>5:00-6:00 AM</t>
  </si>
  <si>
    <t>Condition A</t>
  </si>
  <si>
    <t>Condition B</t>
  </si>
  <si>
    <t>Condition A is met with: VPH on major &gt; 600 and VPH on minor&gt;150.</t>
  </si>
  <si>
    <t>Condition B is not met with: VPH on major &gt; 900 and VPH on minor&gt;75.</t>
  </si>
  <si>
    <t>√</t>
  </si>
  <si>
    <t>PPE.16</t>
  </si>
  <si>
    <t>Weight    (lb)</t>
  </si>
  <si>
    <t>Moisture content (%)</t>
  </si>
  <si>
    <t>* swaps made in the new PM exam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</si>
</sst>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164" formatCode="0.0"/>
    <numFmt numFmtId="165" formatCode="#,##0.0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C0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  <font>
      <sz val="12"/>
      <color rgb="FF00B050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002060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BE4D5"/>
        <bgColor indexed="64"/>
      </patternFill>
    </fill>
    <fill>
      <patternFill patternType="solid">
        <fgColor rgb="FFD9E2F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FF"/>
        <bgColor indexed="64"/>
      </patternFill>
    </fill>
  </fills>
  <borders count="4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BFBFBF"/>
      </left>
      <right style="medium">
        <color rgb="FFBFBFBF"/>
      </right>
      <top style="medium">
        <color indexed="64"/>
      </top>
      <bottom style="medium">
        <color rgb="FFBFBFBF"/>
      </bottom>
      <diagonal/>
    </border>
    <border>
      <left/>
      <right style="medium">
        <color rgb="FFBFBFBF"/>
      </right>
      <top style="medium">
        <color indexed="64"/>
      </top>
      <bottom style="medium">
        <color rgb="FFBFBFBF"/>
      </bottom>
      <diagonal/>
    </border>
    <border>
      <left style="medium">
        <color rgb="FFBFBFBF"/>
      </left>
      <right style="medium">
        <color rgb="FFBFBFBF"/>
      </right>
      <top/>
      <bottom style="medium">
        <color rgb="FFBFBFBF"/>
      </bottom>
      <diagonal/>
    </border>
    <border>
      <left/>
      <right style="medium">
        <color rgb="FFBFBFBF"/>
      </right>
      <top/>
      <bottom style="medium">
        <color rgb="FFBFBFBF"/>
      </bottom>
      <diagonal/>
    </border>
    <border>
      <left/>
      <right/>
      <top style="medium">
        <color indexed="64"/>
      </top>
      <bottom style="thick">
        <color rgb="FFF4B083"/>
      </bottom>
      <diagonal/>
    </border>
    <border>
      <left/>
      <right style="medium">
        <color rgb="FFF4B083"/>
      </right>
      <top/>
      <bottom style="medium">
        <color rgb="FFF4B083"/>
      </bottom>
      <diagonal/>
    </border>
    <border>
      <left/>
      <right/>
      <top/>
      <bottom style="medium">
        <color rgb="FFF4B083"/>
      </bottom>
      <diagonal/>
    </border>
    <border>
      <left/>
      <right/>
      <top/>
      <bottom style="thick">
        <color rgb="FF8EAADB"/>
      </bottom>
      <diagonal/>
    </border>
    <border>
      <left/>
      <right/>
      <top/>
      <bottom style="medium">
        <color rgb="FF8EAADB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 style="medium">
        <color indexed="64"/>
      </bottom>
      <diagonal/>
    </border>
    <border>
      <left/>
      <right style="medium">
        <color rgb="FFBFBFBF"/>
      </right>
      <top style="medium">
        <color rgb="FFBFBFBF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F4B083"/>
      </right>
      <top/>
      <bottom style="medium">
        <color indexed="64"/>
      </bottom>
      <diagonal/>
    </border>
    <border>
      <left style="medium">
        <color rgb="FFBFBFBF"/>
      </left>
      <right style="medium">
        <color rgb="FFBFBFBF"/>
      </right>
      <top style="medium">
        <color indexed="64"/>
      </top>
      <bottom style="medium">
        <color indexed="64"/>
      </bottom>
      <diagonal/>
    </border>
    <border>
      <left/>
      <right style="medium">
        <color rgb="FFBFBFBF"/>
      </right>
      <top style="medium">
        <color indexed="64"/>
      </top>
      <bottom style="medium">
        <color indexed="64"/>
      </bottom>
      <diagonal/>
    </border>
    <border>
      <left style="medium">
        <color rgb="FFBFBFBF"/>
      </left>
      <right style="medium">
        <color rgb="FFBFBFBF"/>
      </right>
      <top/>
      <bottom style="medium">
        <color indexed="64"/>
      </bottom>
      <diagonal/>
    </border>
    <border>
      <left/>
      <right style="medium">
        <color rgb="FFBFBFBF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8EAADB"/>
      </right>
      <top/>
      <bottom style="medium">
        <color rgb="FF8EAADB"/>
      </bottom>
      <diagonal/>
    </border>
    <border>
      <left/>
      <right style="medium">
        <color rgb="FF8EAADB"/>
      </right>
      <top/>
      <bottom style="medium">
        <color indexed="64"/>
      </bottom>
      <diagonal/>
    </border>
    <border>
      <left style="thin">
        <color rgb="FF00B050"/>
      </left>
      <right style="thin">
        <color rgb="FF00B050"/>
      </right>
      <top style="thin">
        <color rgb="FF00FFFF"/>
      </top>
      <bottom style="thin">
        <color rgb="FF00B050"/>
      </bottom>
      <diagonal/>
    </border>
  </borders>
  <cellStyleXfs count="1">
    <xf numFmtId="0" fontId="0" fillId="0" borderId="0"/>
  </cellStyleXfs>
  <cellXfs count="164">
    <xf numFmtId="0" fontId="0" fillId="0" borderId="0" xfId="0"/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 vertical="center" wrapText="1"/>
    </xf>
    <xf numFmtId="3" fontId="0" fillId="0" borderId="8" xfId="0" applyNumberFormat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3" fontId="0" fillId="0" borderId="0" xfId="0" applyNumberFormat="1" applyBorder="1" applyAlignment="1">
      <alignment horizontal="center" vertical="center"/>
    </xf>
    <xf numFmtId="3" fontId="0" fillId="0" borderId="6" xfId="0" applyNumberFormat="1" applyBorder="1" applyAlignment="1">
      <alignment horizontal="center" vertical="center"/>
    </xf>
    <xf numFmtId="3" fontId="0" fillId="0" borderId="11" xfId="0" applyNumberFormat="1" applyBorder="1" applyAlignment="1">
      <alignment horizontal="center" vertical="center"/>
    </xf>
    <xf numFmtId="3" fontId="0" fillId="0" borderId="8" xfId="0" applyNumberFormat="1" applyBorder="1" applyAlignment="1">
      <alignment horizontal="center" vertical="center"/>
    </xf>
    <xf numFmtId="3" fontId="0" fillId="0" borderId="9" xfId="0" applyNumberFormat="1" applyBorder="1" applyAlignment="1">
      <alignment horizontal="center" vertical="center"/>
    </xf>
    <xf numFmtId="3" fontId="0" fillId="0" borderId="12" xfId="0" applyNumberFormat="1" applyBorder="1" applyAlignment="1">
      <alignment horizontal="center" vertical="center"/>
    </xf>
    <xf numFmtId="0" fontId="1" fillId="0" borderId="13" xfId="0" applyFont="1" applyBorder="1" applyAlignment="1">
      <alignment vertical="center" wrapText="1"/>
    </xf>
    <xf numFmtId="3" fontId="1" fillId="0" borderId="14" xfId="0" applyNumberFormat="1" applyFont="1" applyBorder="1" applyAlignment="1">
      <alignment vertical="center" wrapText="1"/>
    </xf>
    <xf numFmtId="0" fontId="1" fillId="0" borderId="14" xfId="0" applyFont="1" applyBorder="1" applyAlignment="1">
      <alignment vertical="center" wrapText="1"/>
    </xf>
    <xf numFmtId="0" fontId="4" fillId="2" borderId="15" xfId="0" applyFont="1" applyFill="1" applyBorder="1" applyAlignment="1">
      <alignment vertical="center" wrapText="1"/>
    </xf>
    <xf numFmtId="3" fontId="5" fillId="2" borderId="16" xfId="0" applyNumberFormat="1" applyFont="1" applyFill="1" applyBorder="1" applyAlignment="1">
      <alignment vertical="center" wrapText="1"/>
    </xf>
    <xf numFmtId="0" fontId="1" fillId="0" borderId="15" xfId="0" applyFont="1" applyBorder="1" applyAlignment="1">
      <alignment vertical="center" wrapText="1"/>
    </xf>
    <xf numFmtId="3" fontId="0" fillId="0" borderId="16" xfId="0" applyNumberFormat="1" applyBorder="1" applyAlignment="1">
      <alignment vertical="center" wrapText="1"/>
    </xf>
    <xf numFmtId="0" fontId="0" fillId="3" borderId="17" xfId="0" applyFill="1" applyBorder="1" applyAlignment="1">
      <alignment horizontal="center" vertical="center" wrapText="1"/>
    </xf>
    <xf numFmtId="3" fontId="4" fillId="3" borderId="17" xfId="0" applyNumberFormat="1" applyFont="1" applyFill="1" applyBorder="1" applyAlignment="1">
      <alignment horizontal="center" vertical="center" wrapText="1"/>
    </xf>
    <xf numFmtId="0" fontId="5" fillId="4" borderId="18" xfId="0" applyFont="1" applyFill="1" applyBorder="1" applyAlignment="1">
      <alignment horizontal="center" vertical="center" wrapText="1"/>
    </xf>
    <xf numFmtId="3" fontId="5" fillId="4" borderId="19" xfId="0" applyNumberFormat="1" applyFont="1" applyFill="1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3" fontId="0" fillId="0" borderId="19" xfId="0" applyNumberFormat="1" applyBorder="1" applyAlignment="1">
      <alignment horizontal="center" vertical="center" wrapText="1"/>
    </xf>
    <xf numFmtId="3" fontId="1" fillId="3" borderId="20" xfId="0" applyNumberFormat="1" applyFont="1" applyFill="1" applyBorder="1" applyAlignment="1">
      <alignment horizontal="center" vertical="center" wrapText="1"/>
    </xf>
    <xf numFmtId="3" fontId="4" fillId="5" borderId="21" xfId="0" applyNumberFormat="1" applyFont="1" applyFill="1" applyBorder="1" applyAlignment="1">
      <alignment horizontal="center" vertical="center" wrapText="1"/>
    </xf>
    <xf numFmtId="3" fontId="1" fillId="0" borderId="21" xfId="0" applyNumberFormat="1" applyFont="1" applyBorder="1" applyAlignment="1">
      <alignment horizontal="center" vertical="center" wrapText="1"/>
    </xf>
    <xf numFmtId="0" fontId="6" fillId="6" borderId="22" xfId="0" applyFont="1" applyFill="1" applyBorder="1" applyAlignment="1">
      <alignment horizontal="center"/>
    </xf>
    <xf numFmtId="0" fontId="6" fillId="6" borderId="23" xfId="0" applyFont="1" applyFill="1" applyBorder="1" applyAlignment="1">
      <alignment horizontal="center"/>
    </xf>
    <xf numFmtId="0" fontId="6" fillId="7" borderId="23" xfId="0" applyFont="1" applyFill="1" applyBorder="1" applyAlignment="1">
      <alignment horizontal="center"/>
    </xf>
    <xf numFmtId="0" fontId="6" fillId="8" borderId="23" xfId="0" applyFont="1" applyFill="1" applyBorder="1" applyAlignment="1">
      <alignment horizontal="center"/>
    </xf>
    <xf numFmtId="0" fontId="6" fillId="9" borderId="24" xfId="0" applyFont="1" applyFill="1" applyBorder="1" applyAlignment="1">
      <alignment horizontal="center"/>
    </xf>
    <xf numFmtId="0" fontId="6" fillId="9" borderId="25" xfId="0" applyFont="1" applyFill="1" applyBorder="1" applyAlignment="1">
      <alignment horizontal="center"/>
    </xf>
    <xf numFmtId="0" fontId="6" fillId="9" borderId="26" xfId="0" applyFont="1" applyFill="1" applyBorder="1" applyAlignment="1">
      <alignment horizontal="center"/>
    </xf>
    <xf numFmtId="0" fontId="6" fillId="10" borderId="26" xfId="0" applyFont="1" applyFill="1" applyBorder="1" applyAlignment="1">
      <alignment horizontal="center"/>
    </xf>
    <xf numFmtId="0" fontId="6" fillId="11" borderId="26" xfId="0" applyFont="1" applyFill="1" applyBorder="1" applyAlignment="1">
      <alignment horizontal="center"/>
    </xf>
    <xf numFmtId="0" fontId="6" fillId="12" borderId="26" xfId="0" applyFont="1" applyFill="1" applyBorder="1" applyAlignment="1">
      <alignment horizontal="center"/>
    </xf>
    <xf numFmtId="0" fontId="6" fillId="12" borderId="27" xfId="0" applyFont="1" applyFill="1" applyBorder="1" applyAlignment="1">
      <alignment horizontal="center"/>
    </xf>
    <xf numFmtId="0" fontId="6" fillId="13" borderId="23" xfId="0" applyFont="1" applyFill="1" applyBorder="1" applyAlignment="1">
      <alignment horizontal="center"/>
    </xf>
    <xf numFmtId="0" fontId="7" fillId="6" borderId="5" xfId="0" applyFont="1" applyFill="1" applyBorder="1" applyAlignment="1">
      <alignment horizontal="center"/>
    </xf>
    <xf numFmtId="0" fontId="7" fillId="6" borderId="0" xfId="0" applyFont="1" applyFill="1" applyBorder="1" applyAlignment="1">
      <alignment horizontal="center"/>
    </xf>
    <xf numFmtId="0" fontId="7" fillId="7" borderId="0" xfId="0" applyFont="1" applyFill="1" applyBorder="1" applyAlignment="1">
      <alignment horizontal="center"/>
    </xf>
    <xf numFmtId="0" fontId="7" fillId="13" borderId="0" xfId="0" applyFont="1" applyFill="1" applyBorder="1" applyAlignment="1">
      <alignment horizontal="center"/>
    </xf>
    <xf numFmtId="0" fontId="7" fillId="8" borderId="0" xfId="0" applyFont="1" applyFill="1" applyBorder="1" applyAlignment="1">
      <alignment horizontal="center"/>
    </xf>
    <xf numFmtId="0" fontId="7" fillId="9" borderId="6" xfId="0" applyFont="1" applyFill="1" applyBorder="1" applyAlignment="1">
      <alignment horizontal="center"/>
    </xf>
    <xf numFmtId="0" fontId="7" fillId="9" borderId="7" xfId="0" applyFont="1" applyFill="1" applyBorder="1" applyAlignment="1">
      <alignment horizontal="center"/>
    </xf>
    <xf numFmtId="0" fontId="7" fillId="9" borderId="8" xfId="0" applyFont="1" applyFill="1" applyBorder="1" applyAlignment="1">
      <alignment horizontal="center"/>
    </xf>
    <xf numFmtId="0" fontId="7" fillId="10" borderId="8" xfId="0" applyFont="1" applyFill="1" applyBorder="1" applyAlignment="1">
      <alignment horizontal="center"/>
    </xf>
    <xf numFmtId="0" fontId="7" fillId="11" borderId="8" xfId="0" applyFont="1" applyFill="1" applyBorder="1" applyAlignment="1">
      <alignment horizontal="center"/>
    </xf>
    <xf numFmtId="0" fontId="7" fillId="12" borderId="8" xfId="0" applyFont="1" applyFill="1" applyBorder="1" applyAlignment="1">
      <alignment horizontal="center"/>
    </xf>
    <xf numFmtId="0" fontId="7" fillId="12" borderId="9" xfId="0" applyFont="1" applyFill="1" applyBorder="1" applyAlignment="1">
      <alignment horizontal="center"/>
    </xf>
    <xf numFmtId="0" fontId="6" fillId="13" borderId="22" xfId="0" applyFont="1" applyFill="1" applyBorder="1" applyAlignment="1">
      <alignment horizontal="center"/>
    </xf>
    <xf numFmtId="0" fontId="7" fillId="13" borderId="5" xfId="0" applyFont="1" applyFill="1" applyBorder="1" applyAlignment="1">
      <alignment horizontal="center"/>
    </xf>
    <xf numFmtId="0" fontId="6" fillId="14" borderId="23" xfId="0" applyFont="1" applyFill="1" applyBorder="1" applyAlignment="1">
      <alignment horizontal="center"/>
    </xf>
    <xf numFmtId="0" fontId="7" fillId="14" borderId="0" xfId="0" applyFont="1" applyFill="1" applyBorder="1" applyAlignment="1">
      <alignment horizontal="center"/>
    </xf>
    <xf numFmtId="0" fontId="6" fillId="7" borderId="26" xfId="0" applyFont="1" applyFill="1" applyBorder="1" applyAlignment="1">
      <alignment horizontal="center"/>
    </xf>
    <xf numFmtId="0" fontId="7" fillId="7" borderId="8" xfId="0" applyFont="1" applyFill="1" applyBorder="1" applyAlignment="1">
      <alignment horizontal="center"/>
    </xf>
    <xf numFmtId="0" fontId="6" fillId="15" borderId="26" xfId="0" applyFont="1" applyFill="1" applyBorder="1" applyAlignment="1">
      <alignment horizontal="center"/>
    </xf>
    <xf numFmtId="0" fontId="7" fillId="15" borderId="8" xfId="0" applyFont="1" applyFill="1" applyBorder="1" applyAlignment="1">
      <alignment horizontal="center"/>
    </xf>
    <xf numFmtId="0" fontId="6" fillId="16" borderId="26" xfId="0" applyFont="1" applyFill="1" applyBorder="1" applyAlignment="1">
      <alignment horizontal="center"/>
    </xf>
    <xf numFmtId="0" fontId="7" fillId="16" borderId="8" xfId="0" applyFont="1" applyFill="1" applyBorder="1" applyAlignment="1">
      <alignment horizontal="center"/>
    </xf>
    <xf numFmtId="0" fontId="6" fillId="17" borderId="26" xfId="0" applyFont="1" applyFill="1" applyBorder="1" applyAlignment="1">
      <alignment horizontal="center"/>
    </xf>
    <xf numFmtId="0" fontId="7" fillId="17" borderId="8" xfId="0" applyFont="1" applyFill="1" applyBorder="1" applyAlignment="1">
      <alignment horizontal="center"/>
    </xf>
    <xf numFmtId="0" fontId="6" fillId="18" borderId="27" xfId="0" applyFont="1" applyFill="1" applyBorder="1" applyAlignment="1">
      <alignment horizontal="center"/>
    </xf>
    <xf numFmtId="0" fontId="7" fillId="18" borderId="9" xfId="0" applyFont="1" applyFill="1" applyBorder="1" applyAlignment="1">
      <alignment horizontal="center"/>
    </xf>
    <xf numFmtId="0" fontId="1" fillId="3" borderId="17" xfId="0" applyFont="1" applyFill="1" applyBorder="1" applyAlignment="1">
      <alignment horizontal="center" vertical="center" wrapText="1"/>
    </xf>
    <xf numFmtId="0" fontId="4" fillId="4" borderId="19" xfId="0" applyFont="1" applyFill="1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3" fontId="1" fillId="0" borderId="14" xfId="0" applyNumberFormat="1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5" fillId="2" borderId="15" xfId="0" applyFont="1" applyFill="1" applyBorder="1" applyAlignment="1">
      <alignment horizontal="center" vertical="center" wrapText="1"/>
    </xf>
    <xf numFmtId="3" fontId="5" fillId="2" borderId="16" xfId="0" applyNumberFormat="1" applyFont="1" applyFill="1" applyBorder="1" applyAlignment="1">
      <alignment horizontal="center" vertical="center" wrapText="1"/>
    </xf>
    <xf numFmtId="0" fontId="5" fillId="2" borderId="16" xfId="0" applyFont="1" applyFill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3" fontId="0" fillId="0" borderId="16" xfId="0" applyNumberFormat="1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center" vertical="center" wrapText="1"/>
    </xf>
    <xf numFmtId="0" fontId="1" fillId="3" borderId="30" xfId="0" applyFont="1" applyFill="1" applyBorder="1" applyAlignment="1">
      <alignment horizontal="center" vertical="center" wrapText="1"/>
    </xf>
    <xf numFmtId="0" fontId="4" fillId="3" borderId="30" xfId="0" applyFont="1" applyFill="1" applyBorder="1" applyAlignment="1">
      <alignment horizontal="center" vertical="center" wrapText="1"/>
    </xf>
    <xf numFmtId="0" fontId="5" fillId="4" borderId="19" xfId="0" applyFont="1" applyFill="1" applyBorder="1" applyAlignment="1">
      <alignment horizontal="center" vertical="center" wrapText="1"/>
    </xf>
    <xf numFmtId="0" fontId="4" fillId="3" borderId="17" xfId="0" applyFont="1" applyFill="1" applyBorder="1" applyAlignment="1">
      <alignment horizontal="center" vertical="center" wrapText="1"/>
    </xf>
    <xf numFmtId="0" fontId="5" fillId="4" borderId="31" xfId="0" applyFont="1" applyFill="1" applyBorder="1" applyAlignment="1">
      <alignment horizontal="center" vertical="center" wrapText="1"/>
    </xf>
    <xf numFmtId="0" fontId="5" fillId="4" borderId="8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/>
    </xf>
    <xf numFmtId="3" fontId="0" fillId="0" borderId="1" xfId="0" applyNumberFormat="1" applyFill="1" applyBorder="1" applyAlignment="1">
      <alignment horizontal="center" vertical="center"/>
    </xf>
    <xf numFmtId="0" fontId="0" fillId="19" borderId="0" xfId="0" applyFill="1"/>
    <xf numFmtId="0" fontId="6" fillId="20" borderId="26" xfId="0" applyFont="1" applyFill="1" applyBorder="1" applyAlignment="1">
      <alignment horizontal="center"/>
    </xf>
    <xf numFmtId="0" fontId="7" fillId="20" borderId="8" xfId="0" applyFont="1" applyFill="1" applyBorder="1" applyAlignment="1">
      <alignment horizontal="center"/>
    </xf>
    <xf numFmtId="0" fontId="0" fillId="0" borderId="0" xfId="0" applyFill="1"/>
    <xf numFmtId="0" fontId="1" fillId="0" borderId="32" xfId="0" applyFont="1" applyBorder="1" applyAlignment="1">
      <alignment horizontal="center" vertical="center" wrapText="1"/>
    </xf>
    <xf numFmtId="0" fontId="1" fillId="0" borderId="33" xfId="0" applyFont="1" applyBorder="1" applyAlignment="1">
      <alignment horizontal="center" vertical="center" wrapText="1"/>
    </xf>
    <xf numFmtId="0" fontId="1" fillId="0" borderId="34" xfId="0" applyFont="1" applyBorder="1" applyAlignment="1">
      <alignment horizontal="center" vertical="center" wrapText="1"/>
    </xf>
    <xf numFmtId="0" fontId="0" fillId="0" borderId="35" xfId="0" applyBorder="1" applyAlignment="1">
      <alignment horizontal="center" vertical="center" wrapText="1"/>
    </xf>
    <xf numFmtId="0" fontId="7" fillId="21" borderId="0" xfId="0" applyFont="1" applyFill="1" applyBorder="1" applyAlignment="1">
      <alignment horizontal="center"/>
    </xf>
    <xf numFmtId="0" fontId="7" fillId="21" borderId="8" xfId="0" applyFont="1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6" fontId="0" fillId="0" borderId="0" xfId="0" applyNumberFormat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6" fontId="0" fillId="0" borderId="36" xfId="0" applyNumberFormat="1" applyBorder="1" applyAlignment="1">
      <alignment horizontal="center" vertical="center"/>
    </xf>
    <xf numFmtId="0" fontId="1" fillId="0" borderId="37" xfId="0" applyFont="1" applyBorder="1" applyAlignment="1">
      <alignment horizontal="center" vertical="center" wrapText="1"/>
    </xf>
    <xf numFmtId="0" fontId="0" fillId="21" borderId="0" xfId="0" applyFill="1"/>
    <xf numFmtId="0" fontId="9" fillId="0" borderId="1" xfId="0" applyFont="1" applyBorder="1" applyAlignment="1">
      <alignment vertical="center" wrapText="1"/>
    </xf>
    <xf numFmtId="0" fontId="10" fillId="0" borderId="38" xfId="0" applyFont="1" applyBorder="1" applyAlignment="1">
      <alignment vertical="center" wrapText="1"/>
    </xf>
    <xf numFmtId="0" fontId="9" fillId="0" borderId="12" xfId="0" applyFont="1" applyBorder="1" applyAlignment="1">
      <alignment vertical="center" wrapText="1"/>
    </xf>
    <xf numFmtId="0" fontId="10" fillId="0" borderId="9" xfId="0" applyFont="1" applyBorder="1" applyAlignment="1">
      <alignment vertical="center" wrapText="1"/>
    </xf>
    <xf numFmtId="0" fontId="8" fillId="0" borderId="0" xfId="0" applyFont="1"/>
    <xf numFmtId="0" fontId="0" fillId="0" borderId="0" xfId="0" applyFont="1"/>
    <xf numFmtId="0" fontId="9" fillId="3" borderId="30" xfId="0" applyFont="1" applyFill="1" applyBorder="1" applyAlignment="1">
      <alignment horizontal="center" vertical="center" wrapText="1"/>
    </xf>
    <xf numFmtId="0" fontId="11" fillId="3" borderId="30" xfId="0" applyFont="1" applyFill="1" applyBorder="1" applyAlignment="1">
      <alignment horizontal="center" vertical="center" wrapText="1"/>
    </xf>
    <xf numFmtId="0" fontId="12" fillId="5" borderId="39" xfId="0" applyFont="1" applyFill="1" applyBorder="1" applyAlignment="1">
      <alignment horizontal="center" vertical="center" wrapText="1"/>
    </xf>
    <xf numFmtId="9" fontId="12" fillId="5" borderId="21" xfId="0" applyNumberFormat="1" applyFont="1" applyFill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9" fontId="10" fillId="0" borderId="21" xfId="0" applyNumberFormat="1" applyFont="1" applyBorder="1" applyAlignment="1">
      <alignment horizontal="center" vertical="center" wrapText="1"/>
    </xf>
    <xf numFmtId="0" fontId="12" fillId="5" borderId="40" xfId="0" applyFont="1" applyFill="1" applyBorder="1" applyAlignment="1">
      <alignment horizontal="center" vertical="center" wrapText="1"/>
    </xf>
    <xf numFmtId="9" fontId="12" fillId="5" borderId="8" xfId="0" applyNumberFormat="1" applyFont="1" applyFill="1" applyBorder="1" applyAlignment="1">
      <alignment horizontal="center" vertical="center" wrapText="1"/>
    </xf>
    <xf numFmtId="164" fontId="12" fillId="5" borderId="21" xfId="0" applyNumberFormat="1" applyFont="1" applyFill="1" applyBorder="1" applyAlignment="1">
      <alignment horizontal="center" vertical="center" wrapText="1"/>
    </xf>
    <xf numFmtId="164" fontId="10" fillId="0" borderId="21" xfId="0" applyNumberFormat="1" applyFont="1" applyBorder="1" applyAlignment="1">
      <alignment horizontal="center" vertical="center" wrapText="1"/>
    </xf>
    <xf numFmtId="164" fontId="12" fillId="5" borderId="8" xfId="0" applyNumberFormat="1" applyFont="1" applyFill="1" applyBorder="1" applyAlignment="1">
      <alignment horizontal="center" vertical="center" wrapText="1"/>
    </xf>
    <xf numFmtId="165" fontId="12" fillId="5" borderId="21" xfId="0" applyNumberFormat="1" applyFont="1" applyFill="1" applyBorder="1" applyAlignment="1">
      <alignment horizontal="center" vertical="center" wrapText="1"/>
    </xf>
    <xf numFmtId="0" fontId="7" fillId="19" borderId="0" xfId="0" applyFont="1" applyFill="1" applyBorder="1" applyAlignment="1">
      <alignment horizontal="center"/>
    </xf>
    <xf numFmtId="0" fontId="7" fillId="19" borderId="8" xfId="0" applyFont="1" applyFill="1" applyBorder="1" applyAlignment="1">
      <alignment horizontal="center"/>
    </xf>
    <xf numFmtId="0" fontId="7" fillId="22" borderId="8" xfId="0" applyFont="1" applyFill="1" applyBorder="1" applyAlignment="1">
      <alignment horizontal="center"/>
    </xf>
    <xf numFmtId="0" fontId="7" fillId="22" borderId="0" xfId="0" applyFont="1" applyFill="1" applyBorder="1" applyAlignment="1">
      <alignment horizontal="center"/>
    </xf>
    <xf numFmtId="0" fontId="14" fillId="22" borderId="0" xfId="0" applyFont="1" applyFill="1"/>
    <xf numFmtId="0" fontId="7" fillId="21" borderId="41" xfId="0" applyFont="1" applyFill="1" applyBorder="1" applyAlignment="1">
      <alignment horizontal="center"/>
    </xf>
    <xf numFmtId="0" fontId="8" fillId="0" borderId="0" xfId="0" applyFont="1" applyFill="1"/>
    <xf numFmtId="0" fontId="0" fillId="0" borderId="0" xfId="0" applyAlignment="1"/>
    <xf numFmtId="0" fontId="10" fillId="0" borderId="0" xfId="0" applyFont="1"/>
    <xf numFmtId="0" fontId="15" fillId="23" borderId="0" xfId="0" applyFont="1" applyFill="1"/>
    <xf numFmtId="0" fontId="15" fillId="0" borderId="0" xfId="0" applyFont="1" applyFill="1"/>
    <xf numFmtId="0" fontId="0" fillId="23" borderId="0" xfId="0" applyFill="1"/>
    <xf numFmtId="2" fontId="0" fillId="0" borderId="0" xfId="0" applyNumberFormat="1"/>
    <xf numFmtId="0" fontId="9" fillId="3" borderId="17" xfId="0" applyFont="1" applyFill="1" applyBorder="1" applyAlignment="1">
      <alignment horizontal="center" vertical="center" wrapText="1"/>
    </xf>
    <xf numFmtId="0" fontId="11" fillId="3" borderId="17" xfId="0" applyFont="1" applyFill="1" applyBorder="1" applyAlignment="1">
      <alignment horizontal="center" vertical="center" wrapText="1"/>
    </xf>
    <xf numFmtId="0" fontId="12" fillId="4" borderId="18" xfId="0" applyFont="1" applyFill="1" applyBorder="1" applyAlignment="1">
      <alignment horizontal="center" vertical="center" wrapText="1"/>
    </xf>
    <xf numFmtId="0" fontId="12" fillId="4" borderId="19" xfId="0" applyFont="1" applyFill="1" applyBorder="1" applyAlignment="1">
      <alignment horizontal="center" vertical="center" wrapText="1"/>
    </xf>
    <xf numFmtId="0" fontId="10" fillId="0" borderId="18" xfId="0" applyFont="1" applyBorder="1" applyAlignment="1">
      <alignment horizontal="center" vertical="center" wrapText="1"/>
    </xf>
    <xf numFmtId="0" fontId="10" fillId="0" borderId="19" xfId="0" applyFont="1" applyBorder="1" applyAlignment="1">
      <alignment horizontal="center" vertical="center" wrapText="1"/>
    </xf>
    <xf numFmtId="0" fontId="10" fillId="0" borderId="31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10" fillId="0" borderId="0" xfId="0" applyFont="1" applyAlignment="1">
      <alignment horizontal="left" vertical="center" indent="8"/>
    </xf>
    <xf numFmtId="0" fontId="9" fillId="3" borderId="20" xfId="0" applyFont="1" applyFill="1" applyBorder="1" applyAlignment="1">
      <alignment vertical="center" wrapText="1"/>
    </xf>
    <xf numFmtId="0" fontId="11" fillId="3" borderId="20" xfId="0" applyFont="1" applyFill="1" applyBorder="1" applyAlignment="1">
      <alignment horizontal="center" vertical="center" wrapText="1"/>
    </xf>
    <xf numFmtId="0" fontId="12" fillId="5" borderId="39" xfId="0" applyFont="1" applyFill="1" applyBorder="1" applyAlignment="1">
      <alignment horizontal="right" vertical="center" wrapText="1"/>
    </xf>
    <xf numFmtId="9" fontId="12" fillId="5" borderId="21" xfId="0" applyNumberFormat="1" applyFont="1" applyFill="1" applyBorder="1" applyAlignment="1">
      <alignment horizontal="right" vertical="center" wrapText="1"/>
    </xf>
    <xf numFmtId="0" fontId="10" fillId="0" borderId="39" xfId="0" applyFont="1" applyBorder="1" applyAlignment="1">
      <alignment horizontal="right" vertical="center" wrapText="1"/>
    </xf>
    <xf numFmtId="9" fontId="10" fillId="0" borderId="21" xfId="0" applyNumberFormat="1" applyFont="1" applyBorder="1" applyAlignment="1">
      <alignment horizontal="right" vertical="center" wrapText="1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FF"/>
      <color rgb="FF00FFFF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39</xdr:col>
      <xdr:colOff>0</xdr:colOff>
      <xdr:row>24</xdr:row>
      <xdr:rowOff>0</xdr:rowOff>
    </xdr:from>
    <xdr:to>
      <xdr:col>39</xdr:col>
      <xdr:colOff>66675</xdr:colOff>
      <xdr:row>25</xdr:row>
      <xdr:rowOff>76200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EB958E5-7733-4162-870B-374D8D13B9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470225" y="5838825"/>
          <a:ext cx="66675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39</xdr:col>
      <xdr:colOff>0</xdr:colOff>
      <xdr:row>24</xdr:row>
      <xdr:rowOff>0</xdr:rowOff>
    </xdr:from>
    <xdr:to>
      <xdr:col>39</xdr:col>
      <xdr:colOff>66675</xdr:colOff>
      <xdr:row>25</xdr:row>
      <xdr:rowOff>76200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9A6F3CE-C60B-4A59-BEF6-E7C3E2CB1C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470225" y="5838825"/>
          <a:ext cx="66675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E5759-D466-4BC8-BEAF-2086F33E9B0A}">
  <dimension ref="B2:BI91"/>
  <sheetViews>
    <sheetView topLeftCell="J73" workbookViewId="0">
      <selection activeCell="S90" sqref="S90"/>
    </sheetView>
  </sheetViews>
  <sheetFormatPr defaultRowHeight="15" x14ac:dyDescent="0.25"/>
  <cols>
    <col min="5" max="5" width="11.28515625" customWidth="1"/>
    <col min="6" max="6" width="13" customWidth="1"/>
    <col min="9" max="9" width="14.7109375" customWidth="1"/>
    <col min="10" max="10" width="12.85546875" customWidth="1"/>
    <col min="11" max="12" width="14" customWidth="1"/>
    <col min="13" max="13" width="12.85546875" customWidth="1"/>
    <col min="14" max="14" width="13" customWidth="1"/>
    <col min="18" max="18" width="13" customWidth="1"/>
    <col min="19" max="19" width="13.42578125" customWidth="1"/>
    <col min="20" max="20" width="13.140625" customWidth="1"/>
    <col min="21" max="21" width="13.5703125" customWidth="1"/>
    <col min="22" max="22" width="12.42578125" customWidth="1"/>
    <col min="23" max="23" width="12.140625" customWidth="1"/>
    <col min="32" max="32" width="11.140625" customWidth="1"/>
    <col min="33" max="34" width="13.140625" customWidth="1"/>
    <col min="36" max="36" width="12.28515625" customWidth="1"/>
    <col min="37" max="37" width="11.5703125" customWidth="1"/>
  </cols>
  <sheetData>
    <row r="2" spans="4:61" ht="15.75" thickBot="1" x14ac:dyDescent="0.3"/>
    <row r="3" spans="4:61" ht="33.75" customHeight="1" x14ac:dyDescent="0.25">
      <c r="D3" s="1" t="s">
        <v>0</v>
      </c>
      <c r="E3" s="2" t="s">
        <v>5</v>
      </c>
      <c r="F3" s="3" t="s">
        <v>6</v>
      </c>
      <c r="H3" s="1" t="s">
        <v>0</v>
      </c>
      <c r="I3" s="2" t="s">
        <v>8</v>
      </c>
      <c r="J3" s="3" t="s">
        <v>9</v>
      </c>
      <c r="K3" s="2" t="s">
        <v>10</v>
      </c>
      <c r="L3" s="3" t="s">
        <v>11</v>
      </c>
      <c r="M3" s="10" t="s">
        <v>12</v>
      </c>
      <c r="N3" s="10" t="s">
        <v>7</v>
      </c>
      <c r="Q3" s="1" t="s">
        <v>0</v>
      </c>
      <c r="R3" s="2" t="s">
        <v>8</v>
      </c>
      <c r="S3" s="3" t="s">
        <v>9</v>
      </c>
      <c r="T3" s="2" t="s">
        <v>10</v>
      </c>
      <c r="U3" s="3" t="s">
        <v>11</v>
      </c>
      <c r="V3" s="10" t="s">
        <v>12</v>
      </c>
      <c r="W3" s="10" t="s">
        <v>7</v>
      </c>
      <c r="AF3" s="115" t="s">
        <v>284</v>
      </c>
      <c r="AG3" s="115" t="s">
        <v>285</v>
      </c>
      <c r="AH3" s="115" t="s">
        <v>292</v>
      </c>
      <c r="AI3" s="115" t="s">
        <v>293</v>
      </c>
      <c r="AJ3" s="115" t="s">
        <v>294</v>
      </c>
      <c r="AK3" s="115" t="s">
        <v>295</v>
      </c>
    </row>
    <row r="4" spans="4:61" x14ac:dyDescent="0.25">
      <c r="D4" s="4" t="s">
        <v>1</v>
      </c>
      <c r="E4" s="5">
        <v>0</v>
      </c>
      <c r="F4" s="6">
        <v>0</v>
      </c>
      <c r="H4" s="4" t="s">
        <v>1</v>
      </c>
      <c r="I4" s="5">
        <v>0</v>
      </c>
      <c r="J4" s="6">
        <v>0</v>
      </c>
      <c r="K4" s="12">
        <v>0</v>
      </c>
      <c r="L4" s="13">
        <v>0</v>
      </c>
      <c r="M4" s="14">
        <v>0</v>
      </c>
      <c r="N4" s="14">
        <v>0</v>
      </c>
      <c r="Q4" s="4" t="s">
        <v>1</v>
      </c>
      <c r="R4" s="5">
        <v>0</v>
      </c>
      <c r="S4" s="6">
        <v>0</v>
      </c>
      <c r="T4" s="12">
        <v>0</v>
      </c>
      <c r="U4" s="13">
        <v>0</v>
      </c>
      <c r="V4" s="14">
        <v>0</v>
      </c>
      <c r="W4" s="14">
        <v>0</v>
      </c>
      <c r="AF4" s="111" t="s">
        <v>286</v>
      </c>
      <c r="AG4" s="111" t="s">
        <v>287</v>
      </c>
      <c r="AH4" s="111">
        <v>7</v>
      </c>
      <c r="AI4" s="111">
        <v>4</v>
      </c>
      <c r="AJ4" s="112">
        <v>100</v>
      </c>
      <c r="AK4" s="112">
        <v>200</v>
      </c>
      <c r="AX4" t="s">
        <v>290</v>
      </c>
      <c r="AY4" t="s">
        <v>288</v>
      </c>
      <c r="AZ4">
        <v>2</v>
      </c>
      <c r="BA4">
        <v>1</v>
      </c>
      <c r="BB4">
        <v>100</v>
      </c>
      <c r="BC4">
        <v>150</v>
      </c>
      <c r="BD4" t="s">
        <v>291</v>
      </c>
      <c r="BE4" t="s">
        <v>289</v>
      </c>
      <c r="BF4">
        <v>6</v>
      </c>
      <c r="BG4">
        <v>3</v>
      </c>
      <c r="BH4">
        <v>90</v>
      </c>
      <c r="BI4">
        <v>200</v>
      </c>
    </row>
    <row r="5" spans="4:61" x14ac:dyDescent="0.25">
      <c r="D5" s="4" t="s">
        <v>2</v>
      </c>
      <c r="E5" s="5">
        <v>600</v>
      </c>
      <c r="F5" s="6">
        <v>300</v>
      </c>
      <c r="H5" s="4" t="s">
        <v>2</v>
      </c>
      <c r="I5" s="5">
        <v>600</v>
      </c>
      <c r="J5" s="6">
        <v>300</v>
      </c>
      <c r="K5" s="15">
        <f>(100/3)*(I4+I5)/2</f>
        <v>10000</v>
      </c>
      <c r="L5" s="16">
        <f t="shared" ref="L5:L11" si="0">(100/3)*(J4+J5)/2</f>
        <v>5000</v>
      </c>
      <c r="M5" s="17">
        <f>L5-K5</f>
        <v>-5000</v>
      </c>
      <c r="N5" s="17">
        <f>M5+N4</f>
        <v>-5000</v>
      </c>
      <c r="Q5" s="4" t="s">
        <v>2</v>
      </c>
      <c r="R5" s="5">
        <v>600</v>
      </c>
      <c r="S5" s="6">
        <v>300</v>
      </c>
      <c r="T5" s="15">
        <f>(100/3)*(R4+R5)/2</f>
        <v>10000</v>
      </c>
      <c r="U5" s="16">
        <f t="shared" ref="U5:U11" si="1">(100/3)*(S4+S5)/2</f>
        <v>5000</v>
      </c>
      <c r="V5" s="17">
        <f>U5-T5</f>
        <v>-5000</v>
      </c>
      <c r="W5" s="17">
        <f>V5+W4</f>
        <v>-5000</v>
      </c>
      <c r="AF5" s="111" t="s">
        <v>288</v>
      </c>
      <c r="AG5" s="111" t="s">
        <v>286</v>
      </c>
      <c r="AH5" s="111">
        <v>3</v>
      </c>
      <c r="AI5" s="111">
        <v>1</v>
      </c>
      <c r="AJ5" s="112">
        <v>120</v>
      </c>
      <c r="AK5" s="112">
        <v>200</v>
      </c>
    </row>
    <row r="6" spans="4:61" x14ac:dyDescent="0.25">
      <c r="D6" s="4" t="s">
        <v>3</v>
      </c>
      <c r="E6" s="5">
        <v>900</v>
      </c>
      <c r="F6" s="6">
        <v>300</v>
      </c>
      <c r="H6" s="4" t="s">
        <v>3</v>
      </c>
      <c r="I6" s="5">
        <v>900</v>
      </c>
      <c r="J6" s="6">
        <v>300</v>
      </c>
      <c r="K6" s="15">
        <f t="shared" ref="K6:K11" si="2">(100/3)*(I5+I6)/2</f>
        <v>25000</v>
      </c>
      <c r="L6" s="16">
        <f t="shared" si="0"/>
        <v>10000</v>
      </c>
      <c r="M6" s="17">
        <f t="shared" ref="M6:M11" si="3">L6-K6</f>
        <v>-15000</v>
      </c>
      <c r="N6" s="17">
        <f t="shared" ref="N6:N11" si="4">M6+N5</f>
        <v>-20000</v>
      </c>
      <c r="Q6" s="4" t="s">
        <v>3</v>
      </c>
      <c r="R6" s="5">
        <v>1100</v>
      </c>
      <c r="S6" s="6">
        <v>500</v>
      </c>
      <c r="T6" s="15">
        <f t="shared" ref="T6:T11" si="5">(100/3)*(R5+R6)/2</f>
        <v>28333.333333333336</v>
      </c>
      <c r="U6" s="16">
        <f t="shared" si="1"/>
        <v>13333.333333333334</v>
      </c>
      <c r="V6" s="17">
        <f t="shared" ref="V6:V11" si="6">U6-T6</f>
        <v>-15000.000000000002</v>
      </c>
      <c r="W6" s="17">
        <f t="shared" ref="W6:W11" si="7">V6+W5</f>
        <v>-20000</v>
      </c>
      <c r="AF6" s="111" t="s">
        <v>289</v>
      </c>
      <c r="AG6" s="111" t="s">
        <v>286</v>
      </c>
      <c r="AH6" s="111">
        <v>5</v>
      </c>
      <c r="AI6" s="111">
        <v>3</v>
      </c>
      <c r="AJ6" s="112">
        <v>220</v>
      </c>
      <c r="AK6" s="112">
        <v>320</v>
      </c>
    </row>
    <row r="7" spans="4:61" x14ac:dyDescent="0.25">
      <c r="D7" s="4" t="s">
        <v>13</v>
      </c>
      <c r="E7" s="5">
        <v>600</v>
      </c>
      <c r="F7" s="6">
        <v>600</v>
      </c>
      <c r="H7" s="4" t="s">
        <v>13</v>
      </c>
      <c r="I7" s="5">
        <v>600</v>
      </c>
      <c r="J7" s="6">
        <v>600</v>
      </c>
      <c r="K7" s="15">
        <f t="shared" si="2"/>
        <v>25000</v>
      </c>
      <c r="L7" s="16">
        <f t="shared" si="0"/>
        <v>15000.000000000002</v>
      </c>
      <c r="M7" s="17">
        <f t="shared" si="3"/>
        <v>-9999.9999999999982</v>
      </c>
      <c r="N7" s="17">
        <f t="shared" si="4"/>
        <v>-30000</v>
      </c>
      <c r="Q7" s="4" t="s">
        <v>13</v>
      </c>
      <c r="R7" s="5">
        <v>700</v>
      </c>
      <c r="S7" s="6">
        <v>600</v>
      </c>
      <c r="T7" s="15">
        <f t="shared" si="5"/>
        <v>30000.000000000004</v>
      </c>
      <c r="U7" s="16">
        <f t="shared" si="1"/>
        <v>18333.333333333336</v>
      </c>
      <c r="V7" s="17">
        <f t="shared" si="6"/>
        <v>-11666.666666666668</v>
      </c>
      <c r="W7" s="17">
        <f t="shared" si="7"/>
        <v>-31666.666666666668</v>
      </c>
      <c r="AF7" s="111" t="s">
        <v>290</v>
      </c>
      <c r="AG7" s="111" t="s">
        <v>288</v>
      </c>
      <c r="AH7" s="111">
        <v>4</v>
      </c>
      <c r="AI7" s="111">
        <v>2</v>
      </c>
      <c r="AJ7" s="112">
        <v>210</v>
      </c>
      <c r="AK7" s="112">
        <v>270</v>
      </c>
    </row>
    <row r="8" spans="4:61" x14ac:dyDescent="0.25">
      <c r="D8" s="4" t="s">
        <v>14</v>
      </c>
      <c r="E8" s="5">
        <v>300</v>
      </c>
      <c r="F8" s="6">
        <v>900</v>
      </c>
      <c r="H8" s="4" t="s">
        <v>14</v>
      </c>
      <c r="I8" s="5">
        <v>300</v>
      </c>
      <c r="J8" s="6">
        <v>900</v>
      </c>
      <c r="K8" s="15">
        <f t="shared" si="2"/>
        <v>15000.000000000002</v>
      </c>
      <c r="L8" s="16">
        <f t="shared" si="0"/>
        <v>25000</v>
      </c>
      <c r="M8" s="17">
        <f t="shared" si="3"/>
        <v>9999.9999999999982</v>
      </c>
      <c r="N8" s="17">
        <f t="shared" si="4"/>
        <v>-20000</v>
      </c>
      <c r="Q8" s="4" t="s">
        <v>14</v>
      </c>
      <c r="R8" s="5">
        <v>600</v>
      </c>
      <c r="S8" s="6">
        <v>900</v>
      </c>
      <c r="T8" s="15">
        <f t="shared" si="5"/>
        <v>21666.666666666668</v>
      </c>
      <c r="U8" s="16">
        <f t="shared" si="1"/>
        <v>25000</v>
      </c>
      <c r="V8" s="17">
        <f t="shared" si="6"/>
        <v>3333.3333333333321</v>
      </c>
      <c r="W8" s="17">
        <f t="shared" si="7"/>
        <v>-28333.333333333336</v>
      </c>
      <c r="AF8" s="113" t="s">
        <v>291</v>
      </c>
      <c r="AG8" s="113" t="s">
        <v>289</v>
      </c>
      <c r="AH8" s="113">
        <v>3</v>
      </c>
      <c r="AI8" s="113">
        <v>1</v>
      </c>
      <c r="AJ8" s="114">
        <v>240</v>
      </c>
      <c r="AK8" s="114">
        <v>280</v>
      </c>
    </row>
    <row r="9" spans="4:61" x14ac:dyDescent="0.25">
      <c r="D9" s="4" t="s">
        <v>15</v>
      </c>
      <c r="E9" s="5">
        <v>0</v>
      </c>
      <c r="F9" s="6">
        <v>600</v>
      </c>
      <c r="H9" s="4" t="s">
        <v>15</v>
      </c>
      <c r="I9" s="5">
        <v>0</v>
      </c>
      <c r="J9" s="6">
        <v>600</v>
      </c>
      <c r="K9" s="15">
        <f t="shared" si="2"/>
        <v>5000</v>
      </c>
      <c r="L9" s="16">
        <f t="shared" si="0"/>
        <v>25000</v>
      </c>
      <c r="M9" s="17">
        <f t="shared" si="3"/>
        <v>20000</v>
      </c>
      <c r="N9" s="17">
        <f t="shared" si="4"/>
        <v>0</v>
      </c>
      <c r="Q9" s="4" t="s">
        <v>15</v>
      </c>
      <c r="R9" s="5">
        <v>100</v>
      </c>
      <c r="S9" s="6">
        <v>600</v>
      </c>
      <c r="T9" s="15">
        <f t="shared" si="5"/>
        <v>11666.666666666668</v>
      </c>
      <c r="U9" s="16">
        <f t="shared" si="1"/>
        <v>25000</v>
      </c>
      <c r="V9" s="17">
        <f t="shared" si="6"/>
        <v>13333.333333333332</v>
      </c>
      <c r="W9" s="17">
        <f t="shared" si="7"/>
        <v>-15000.000000000004</v>
      </c>
    </row>
    <row r="10" spans="4:61" x14ac:dyDescent="0.25">
      <c r="D10" s="4" t="s">
        <v>16</v>
      </c>
      <c r="E10" s="5">
        <v>600</v>
      </c>
      <c r="F10" s="6">
        <v>300</v>
      </c>
      <c r="H10" s="4" t="s">
        <v>16</v>
      </c>
      <c r="I10" s="5">
        <v>600</v>
      </c>
      <c r="J10" s="6">
        <v>300</v>
      </c>
      <c r="K10" s="15">
        <f t="shared" si="2"/>
        <v>10000</v>
      </c>
      <c r="L10" s="16">
        <f t="shared" si="0"/>
        <v>15000.000000000002</v>
      </c>
      <c r="M10" s="17">
        <f t="shared" si="3"/>
        <v>5000.0000000000018</v>
      </c>
      <c r="N10" s="17">
        <f t="shared" si="4"/>
        <v>5000.0000000000018</v>
      </c>
      <c r="Q10" s="4" t="s">
        <v>16</v>
      </c>
      <c r="R10" s="5">
        <v>500</v>
      </c>
      <c r="S10" s="6">
        <v>300</v>
      </c>
      <c r="T10" s="15">
        <f t="shared" si="5"/>
        <v>10000</v>
      </c>
      <c r="U10" s="16">
        <f t="shared" si="1"/>
        <v>15000.000000000002</v>
      </c>
      <c r="V10" s="17">
        <f t="shared" si="6"/>
        <v>5000.0000000000018</v>
      </c>
      <c r="W10" s="17">
        <f t="shared" si="7"/>
        <v>-10000.000000000002</v>
      </c>
    </row>
    <row r="11" spans="4:61" ht="15.75" thickBot="1" x14ac:dyDescent="0.3">
      <c r="D11" s="7" t="s">
        <v>4</v>
      </c>
      <c r="E11" s="8">
        <v>300</v>
      </c>
      <c r="F11" s="9">
        <v>300</v>
      </c>
      <c r="H11" s="7" t="s">
        <v>4</v>
      </c>
      <c r="I11" s="11">
        <v>300</v>
      </c>
      <c r="J11" s="9">
        <v>300</v>
      </c>
      <c r="K11" s="18">
        <f t="shared" si="2"/>
        <v>15000.000000000002</v>
      </c>
      <c r="L11" s="19">
        <f t="shared" si="0"/>
        <v>10000</v>
      </c>
      <c r="M11" s="20">
        <f t="shared" si="3"/>
        <v>-5000.0000000000018</v>
      </c>
      <c r="N11" s="20">
        <f t="shared" si="4"/>
        <v>0</v>
      </c>
      <c r="Q11" s="7" t="s">
        <v>4</v>
      </c>
      <c r="R11" s="11">
        <v>100</v>
      </c>
      <c r="S11" s="9">
        <v>300</v>
      </c>
      <c r="T11" s="18">
        <f t="shared" si="5"/>
        <v>10000</v>
      </c>
      <c r="U11" s="19">
        <f t="shared" si="1"/>
        <v>10000</v>
      </c>
      <c r="V11" s="20">
        <f t="shared" si="6"/>
        <v>0</v>
      </c>
      <c r="W11" s="20">
        <f t="shared" si="7"/>
        <v>-10000.000000000002</v>
      </c>
    </row>
    <row r="12" spans="4:61" ht="15.75" thickBot="1" x14ac:dyDescent="0.3">
      <c r="L12" t="s">
        <v>233</v>
      </c>
      <c r="M12" s="100">
        <f>SUM(M4:M11)</f>
        <v>0</v>
      </c>
      <c r="U12" t="s">
        <v>233</v>
      </c>
      <c r="V12" s="100">
        <f>SUM(V4:V11)</f>
        <v>-10000.000000000002</v>
      </c>
    </row>
    <row r="13" spans="4:61" ht="15.75" thickBot="1" x14ac:dyDescent="0.3"/>
    <row r="14" spans="4:61" ht="15.75" thickBot="1" x14ac:dyDescent="0.3">
      <c r="AF14" s="117" t="s">
        <v>303</v>
      </c>
      <c r="AG14" s="118">
        <v>1</v>
      </c>
      <c r="AH14" s="118">
        <v>2</v>
      </c>
      <c r="AI14" s="118">
        <v>3</v>
      </c>
      <c r="AJ14" s="118">
        <v>4</v>
      </c>
      <c r="AK14" s="118">
        <v>5</v>
      </c>
      <c r="AL14" s="118">
        <v>6</v>
      </c>
      <c r="AM14" s="118">
        <v>7</v>
      </c>
    </row>
    <row r="15" spans="4:61" ht="29.25" thickBot="1" x14ac:dyDescent="0.3">
      <c r="AF15" s="119" t="s">
        <v>304</v>
      </c>
      <c r="AG15" s="120">
        <v>2.5</v>
      </c>
      <c r="AH15" s="120">
        <v>4.2</v>
      </c>
      <c r="AI15" s="120">
        <v>3.5</v>
      </c>
      <c r="AJ15" s="120">
        <v>1.9</v>
      </c>
      <c r="AK15" s="120">
        <v>2.1</v>
      </c>
      <c r="AL15" s="120">
        <v>3.1</v>
      </c>
      <c r="AM15" s="120">
        <v>3.3</v>
      </c>
    </row>
    <row r="16" spans="4:61" ht="41.25" customHeight="1" thickBot="1" x14ac:dyDescent="0.3">
      <c r="G16" s="21">
        <v>110</v>
      </c>
      <c r="H16" s="22">
        <v>1100</v>
      </c>
      <c r="I16" s="23">
        <f>G16/H16</f>
        <v>0.1</v>
      </c>
      <c r="K16" s="28" t="s">
        <v>17</v>
      </c>
      <c r="L16" s="29">
        <v>9150</v>
      </c>
      <c r="Q16" s="1" t="s">
        <v>0</v>
      </c>
      <c r="R16" s="2" t="s">
        <v>10</v>
      </c>
      <c r="S16" s="3" t="s">
        <v>11</v>
      </c>
      <c r="T16" s="10" t="s">
        <v>12</v>
      </c>
      <c r="U16" s="10" t="s">
        <v>7</v>
      </c>
      <c r="AQ16">
        <f>0.35 * (1*12) * 210</f>
        <v>881.99999999999989</v>
      </c>
    </row>
    <row r="17" spans="3:45" ht="45.75" thickBot="1" x14ac:dyDescent="0.3">
      <c r="G17" s="24">
        <v>520</v>
      </c>
      <c r="H17" s="25">
        <v>2500</v>
      </c>
      <c r="I17" s="23">
        <f>G17/H17</f>
        <v>0.20799999999999999</v>
      </c>
      <c r="K17" s="30" t="s">
        <v>18</v>
      </c>
      <c r="L17" s="31">
        <v>6850</v>
      </c>
      <c r="Q17" s="4" t="s">
        <v>1</v>
      </c>
      <c r="R17" s="12">
        <v>0</v>
      </c>
      <c r="S17" s="13">
        <v>0</v>
      </c>
      <c r="T17" s="14">
        <v>0</v>
      </c>
      <c r="U17" s="14">
        <v>0</v>
      </c>
      <c r="W17" s="88">
        <v>700</v>
      </c>
      <c r="X17" s="81">
        <v>4700</v>
      </c>
      <c r="Y17" s="81">
        <v>900</v>
      </c>
      <c r="AA17" s="105" t="s">
        <v>279</v>
      </c>
      <c r="AB17" s="106" t="s">
        <v>280</v>
      </c>
      <c r="AF17" s="123" t="s">
        <v>312</v>
      </c>
      <c r="AG17" s="124" t="s">
        <v>313</v>
      </c>
      <c r="AH17" s="124" t="s">
        <v>314</v>
      </c>
      <c r="AI17" s="124" t="s">
        <v>315</v>
      </c>
      <c r="AJ17" s="124" t="s">
        <v>316</v>
      </c>
      <c r="AO17">
        <f>2/(2.6*62.4)</f>
        <v>1.2327416173570018E-2</v>
      </c>
      <c r="AQ17">
        <f xml:space="preserve"> 0.35 * (1*12) * 210</f>
        <v>881.99999999999989</v>
      </c>
      <c r="AR17">
        <f xml:space="preserve"> 110*16</f>
        <v>1760</v>
      </c>
    </row>
    <row r="18" spans="3:45" ht="15.75" thickBot="1" x14ac:dyDescent="0.3">
      <c r="G18" s="26">
        <v>210</v>
      </c>
      <c r="H18" s="27">
        <v>1600</v>
      </c>
      <c r="I18" s="23">
        <f>G18/H18</f>
        <v>0.13125000000000001</v>
      </c>
      <c r="K18" s="32" t="s">
        <v>19</v>
      </c>
      <c r="L18" s="33">
        <v>6750</v>
      </c>
      <c r="Q18" s="4" t="s">
        <v>2</v>
      </c>
      <c r="R18" s="15">
        <v>10000</v>
      </c>
      <c r="S18" s="16">
        <v>5000</v>
      </c>
      <c r="T18" s="17">
        <v>-5000</v>
      </c>
      <c r="U18" s="17">
        <v>-5000</v>
      </c>
      <c r="W18" s="89">
        <v>1100</v>
      </c>
      <c r="X18" s="84">
        <v>1500</v>
      </c>
      <c r="Y18" s="84">
        <v>500</v>
      </c>
      <c r="AA18" s="89">
        <v>1</v>
      </c>
      <c r="AB18" s="84">
        <v>11</v>
      </c>
      <c r="AC18">
        <f>AB18^2</f>
        <v>121</v>
      </c>
      <c r="AE18">
        <f>798-4*14*14</f>
        <v>14</v>
      </c>
      <c r="AF18" s="125">
        <v>1</v>
      </c>
      <c r="AG18" s="125">
        <v>4.2</v>
      </c>
      <c r="AH18" s="126">
        <v>0.09</v>
      </c>
      <c r="AI18" s="131">
        <f>AG18*30</f>
        <v>126</v>
      </c>
      <c r="AJ18" s="134">
        <f>AI18/(1+AH18)</f>
        <v>115.59633027522935</v>
      </c>
      <c r="AR18">
        <f xml:space="preserve"> 1760 + 105*30</f>
        <v>4910</v>
      </c>
    </row>
    <row r="19" spans="3:45" ht="15.75" thickBot="1" x14ac:dyDescent="0.3">
      <c r="G19" s="24">
        <v>730</v>
      </c>
      <c r="H19" s="25">
        <v>2100</v>
      </c>
      <c r="I19" s="23">
        <f>G19/H19</f>
        <v>0.34761904761904761</v>
      </c>
      <c r="K19" s="30" t="s">
        <v>20</v>
      </c>
      <c r="L19" s="31">
        <v>7750</v>
      </c>
      <c r="N19">
        <f>7150/L19</f>
        <v>0.92258064516129035</v>
      </c>
      <c r="Q19" s="4" t="s">
        <v>3</v>
      </c>
      <c r="R19" s="15">
        <v>25000</v>
      </c>
      <c r="S19" s="16">
        <v>10000</v>
      </c>
      <c r="T19" s="17">
        <v>-15000</v>
      </c>
      <c r="U19" s="17">
        <v>-20000</v>
      </c>
      <c r="W19" s="90"/>
      <c r="X19" s="87">
        <v>3700</v>
      </c>
      <c r="Y19" s="87">
        <v>1400</v>
      </c>
      <c r="AA19" s="90">
        <v>2</v>
      </c>
      <c r="AB19" s="87">
        <v>16</v>
      </c>
      <c r="AC19">
        <f t="shared" ref="AC19:AC21" si="8">AB19^2</f>
        <v>256</v>
      </c>
      <c r="AE19">
        <f>AE18/3</f>
        <v>4.666666666666667</v>
      </c>
      <c r="AF19" s="127">
        <v>2</v>
      </c>
      <c r="AG19" s="127">
        <v>4.5</v>
      </c>
      <c r="AH19" s="128">
        <v>0.11</v>
      </c>
      <c r="AI19" s="132">
        <f t="shared" ref="AI19:AI22" si="9">AG19*30</f>
        <v>135</v>
      </c>
      <c r="AJ19" s="132">
        <f t="shared" ref="AJ19:AJ22" si="10">AI19/(1+AH19)</f>
        <v>121.62162162162161</v>
      </c>
      <c r="AO19">
        <f>2*12 + 2*9 + 2*3</f>
        <v>48</v>
      </c>
      <c r="AP19">
        <f xml:space="preserve">  (9-5.6)/(2.7-1.4)</f>
        <v>2.615384615384615</v>
      </c>
      <c r="AR19">
        <f>62.4* (8 + 30)</f>
        <v>2371.1999999999998</v>
      </c>
      <c r="AS19">
        <f>AR18-AR19</f>
        <v>2538.8000000000002</v>
      </c>
    </row>
    <row r="20" spans="3:45" ht="15.75" thickBot="1" x14ac:dyDescent="0.3">
      <c r="C20">
        <f>1.47*55*3</f>
        <v>242.54999999999998</v>
      </c>
      <c r="D20">
        <f>1.075*55*55/11.2</f>
        <v>290.34598214285717</v>
      </c>
      <c r="E20">
        <f>C20+D20</f>
        <v>532.89598214285718</v>
      </c>
      <c r="K20" s="32" t="s">
        <v>21</v>
      </c>
      <c r="L20" s="33">
        <v>9600</v>
      </c>
      <c r="Q20" s="4" t="s">
        <v>13</v>
      </c>
      <c r="R20" s="15">
        <v>25000</v>
      </c>
      <c r="S20" s="16">
        <v>15000.000000000002</v>
      </c>
      <c r="T20" s="17">
        <v>-9999.9999999999982</v>
      </c>
      <c r="U20" s="17">
        <v>-30000</v>
      </c>
      <c r="W20" s="89">
        <v>1000</v>
      </c>
      <c r="X20" s="84">
        <v>2500</v>
      </c>
      <c r="Y20" s="84">
        <v>700</v>
      </c>
      <c r="AA20" s="89">
        <v>3</v>
      </c>
      <c r="AB20" s="84">
        <v>15</v>
      </c>
      <c r="AC20">
        <f t="shared" si="8"/>
        <v>225</v>
      </c>
      <c r="AE20">
        <f>AE19^0.5</f>
        <v>2.1602468994692869</v>
      </c>
      <c r="AF20" s="125">
        <v>3</v>
      </c>
      <c r="AG20" s="125">
        <v>4.0999999999999996</v>
      </c>
      <c r="AH20" s="126">
        <v>0.12</v>
      </c>
      <c r="AI20" s="131">
        <f t="shared" si="9"/>
        <v>122.99999999999999</v>
      </c>
      <c r="AJ20" s="131">
        <f t="shared" si="10"/>
        <v>109.82142857142856</v>
      </c>
      <c r="AL20">
        <f>3.5/0.033</f>
        <v>106.06060606060606</v>
      </c>
      <c r="AO20">
        <f>480/(3*5)</f>
        <v>32</v>
      </c>
      <c r="AP20">
        <f>(7.5-9)/(3-2.7)</f>
        <v>-5.0000000000000027</v>
      </c>
      <c r="AR20" s="143">
        <f xml:space="preserve"> 44000/3000</f>
        <v>14.666666666666666</v>
      </c>
    </row>
    <row r="21" spans="3:45" ht="15.75" thickBot="1" x14ac:dyDescent="0.3">
      <c r="K21" s="30" t="s">
        <v>22</v>
      </c>
      <c r="L21" s="31">
        <v>7500</v>
      </c>
      <c r="N21">
        <f>N19*7736</f>
        <v>7137.0838709677419</v>
      </c>
      <c r="Q21" s="4" t="s">
        <v>14</v>
      </c>
      <c r="R21" s="15">
        <v>15000.000000000002</v>
      </c>
      <c r="S21" s="16">
        <v>25000</v>
      </c>
      <c r="T21" s="17">
        <v>9999.9999999999982</v>
      </c>
      <c r="U21" s="17">
        <v>-20000</v>
      </c>
      <c r="AA21" s="107">
        <v>4</v>
      </c>
      <c r="AB21" s="108">
        <v>14</v>
      </c>
      <c r="AC21">
        <f t="shared" si="8"/>
        <v>196</v>
      </c>
      <c r="AF21" s="127">
        <v>4</v>
      </c>
      <c r="AG21" s="127">
        <v>3.7</v>
      </c>
      <c r="AH21" s="128">
        <v>0.15</v>
      </c>
      <c r="AI21" s="132">
        <f t="shared" si="9"/>
        <v>111</v>
      </c>
      <c r="AJ21" s="132">
        <f>AI21/(1+AH21)</f>
        <v>96.521739130434796</v>
      </c>
      <c r="AL21">
        <f>AL20/AJ19</f>
        <v>0.87205387205387208</v>
      </c>
      <c r="AP21">
        <f xml:space="preserve">  (9.2-9)/(3.9-2.7)</f>
        <v>0.1666666666666661</v>
      </c>
    </row>
    <row r="22" spans="3:45" ht="15.75" thickBot="1" x14ac:dyDescent="0.3">
      <c r="E22">
        <f>E20*28.65/900</f>
        <v>16.963855431547621</v>
      </c>
      <c r="K22" s="32" t="s">
        <v>23</v>
      </c>
      <c r="L22" s="33">
        <v>6550</v>
      </c>
      <c r="Q22" s="4" t="s">
        <v>15</v>
      </c>
      <c r="R22" s="15">
        <v>5000</v>
      </c>
      <c r="S22" s="16">
        <v>25000</v>
      </c>
      <c r="T22" s="17">
        <v>20000</v>
      </c>
      <c r="U22" s="17">
        <v>0</v>
      </c>
      <c r="AB22">
        <f>_xlfn.STDEV.S(AB18:AB21)</f>
        <v>2.1602468994692869</v>
      </c>
      <c r="AC22">
        <f>AB22/2</f>
        <v>1.0801234497346435</v>
      </c>
      <c r="AF22" s="129">
        <v>5</v>
      </c>
      <c r="AG22" s="129">
        <v>3.9</v>
      </c>
      <c r="AH22" s="130">
        <v>0.16</v>
      </c>
      <c r="AI22" s="133">
        <f t="shared" si="9"/>
        <v>117</v>
      </c>
      <c r="AJ22" s="133">
        <f t="shared" si="10"/>
        <v>100.86206896551725</v>
      </c>
      <c r="AN22">
        <f>3.14*(1^2)/4</f>
        <v>0.78500000000000003</v>
      </c>
      <c r="AP22" s="143">
        <f xml:space="preserve"> 1.6*9000 + 15000</f>
        <v>29400</v>
      </c>
      <c r="AS22">
        <f>(3000-2000)/( 2100-1400)</f>
        <v>1.4285714285714286</v>
      </c>
    </row>
    <row r="23" spans="3:45" ht="16.5" x14ac:dyDescent="0.25">
      <c r="E23">
        <v>0.95699999999999996</v>
      </c>
      <c r="Q23" s="4" t="s">
        <v>16</v>
      </c>
      <c r="R23" s="15">
        <v>10000</v>
      </c>
      <c r="S23" s="16">
        <v>15000.000000000002</v>
      </c>
      <c r="T23" s="17">
        <v>5000.0000000000018</v>
      </c>
      <c r="U23" s="17">
        <v>5000.0000000000018</v>
      </c>
      <c r="AP23" s="143">
        <f>30000/24000</f>
        <v>1.25</v>
      </c>
      <c r="AQ23">
        <f>AP23*AP22</f>
        <v>36750</v>
      </c>
      <c r="AS23">
        <f>(3000*1400-2000*2100)/1000</f>
        <v>0</v>
      </c>
    </row>
    <row r="24" spans="3:45" ht="15.75" thickBot="1" x14ac:dyDescent="0.3">
      <c r="E24">
        <f>1-E23</f>
        <v>4.3000000000000038E-2</v>
      </c>
      <c r="Q24" s="7" t="s">
        <v>4</v>
      </c>
      <c r="R24" s="18">
        <v>15000.000000000002</v>
      </c>
      <c r="S24" s="19">
        <v>10000</v>
      </c>
      <c r="T24" s="20">
        <v>-5000.0000000000018</v>
      </c>
      <c r="U24" s="20">
        <v>0</v>
      </c>
    </row>
    <row r="25" spans="3:45" x14ac:dyDescent="0.25">
      <c r="E25">
        <f>900*E24</f>
        <v>38.700000000000031</v>
      </c>
      <c r="G25">
        <f>16/12</f>
        <v>1.3333333333333333</v>
      </c>
      <c r="H25">
        <f>(G25)^0.6667</f>
        <v>1.2114253453441928</v>
      </c>
      <c r="AH25">
        <f>2100/2+(400*(18 - (5+9)/2))/7</f>
        <v>1678.5714285714284</v>
      </c>
      <c r="AJ25">
        <f>1.47*40*11</f>
        <v>646.79999999999995</v>
      </c>
      <c r="AL25">
        <f>1-2/(2.6*0.0405*62.4)</f>
        <v>0.69561935373901185</v>
      </c>
      <c r="AN25" s="143">
        <f>6*1.5+9*0.75</f>
        <v>15.75</v>
      </c>
      <c r="AO25">
        <f>24*12/20</f>
        <v>14.4</v>
      </c>
      <c r="AP25" s="143">
        <f xml:space="preserve"> (11*3 + 14*1) *150 + 6*14*120</f>
        <v>17130</v>
      </c>
    </row>
    <row r="26" spans="3:45" x14ac:dyDescent="0.25">
      <c r="G26">
        <v>3.0000000000000001E-3</v>
      </c>
      <c r="H26">
        <f>G26^0.5</f>
        <v>5.4772255750516613E-2</v>
      </c>
      <c r="AF26">
        <f xml:space="preserve"> 12365 - 11750</f>
        <v>615</v>
      </c>
      <c r="AH26">
        <f>(((800*2100*(18 - (5+9)/2))/7))^0.5</f>
        <v>1624.807680927192</v>
      </c>
    </row>
    <row r="27" spans="3:45" x14ac:dyDescent="0.25">
      <c r="I27">
        <f>(1.486/0.025)*H25*H26</f>
        <v>3.9439925309218058</v>
      </c>
      <c r="J27">
        <f>I27*16</f>
        <v>63.103880494748893</v>
      </c>
      <c r="AF27">
        <f>321-0.04 * 615</f>
        <v>296.39999999999998</v>
      </c>
      <c r="AL27">
        <f>((4.5-(-5))*(360)^2)/(400+3.5*360)</f>
        <v>741.68674698795178</v>
      </c>
      <c r="AQ27">
        <f>((280)^2)/(6*900)</f>
        <v>14.518518518518519</v>
      </c>
    </row>
    <row r="28" spans="3:45" x14ac:dyDescent="0.25">
      <c r="AI28">
        <f>1/(1+0.09*(2-1))</f>
        <v>0.9174311926605504</v>
      </c>
      <c r="AJ28">
        <f>2700/(0.9*2*0.917)</f>
        <v>1635.7688113413303</v>
      </c>
      <c r="AL28">
        <f>2*360 -(400+3.5*360)/9.5</f>
        <v>545.26315789473688</v>
      </c>
      <c r="AO28">
        <f>35*5280/2100</f>
        <v>88</v>
      </c>
    </row>
    <row r="29" spans="3:45" x14ac:dyDescent="0.25">
      <c r="F29">
        <f>25*3.14/4</f>
        <v>19.625</v>
      </c>
      <c r="J29">
        <f>20*43560</f>
        <v>871200</v>
      </c>
      <c r="K29">
        <f>J29/63.1</f>
        <v>13806.656101426308</v>
      </c>
      <c r="L29">
        <f>K29/3600</f>
        <v>3.8351822503961968</v>
      </c>
      <c r="AC29">
        <f>50^2/(30*(11.2/32.2+0.03))</f>
        <v>220.56003068661303</v>
      </c>
      <c r="AK29">
        <f>1635/55</f>
        <v>29.727272727272727</v>
      </c>
      <c r="AQ29">
        <f>(280/200)* (5729.5/900)</f>
        <v>8.9125555555555547</v>
      </c>
    </row>
    <row r="30" spans="3:45" x14ac:dyDescent="0.25">
      <c r="AD30">
        <f>1.47*50*2.5</f>
        <v>183.75</v>
      </c>
      <c r="AF30">
        <f>(1.2*2000)*60/(1.2*2000+750)</f>
        <v>45.714285714285715</v>
      </c>
      <c r="AG30">
        <f>3465 + 941</f>
        <v>4406</v>
      </c>
      <c r="AM30">
        <f>(3600 )/2100</f>
        <v>1.7142857142857142</v>
      </c>
      <c r="AN30">
        <f>AM30*5280/3600</f>
        <v>2.5142857142857142</v>
      </c>
      <c r="AO30" s="147">
        <f>AN30*35</f>
        <v>88</v>
      </c>
    </row>
    <row r="31" spans="3:45" ht="15.75" thickBot="1" x14ac:dyDescent="0.3">
      <c r="E31" s="34">
        <v>52800</v>
      </c>
      <c r="F31">
        <f>E31/$F$29</f>
        <v>2690.4458598726114</v>
      </c>
      <c r="AH31">
        <f xml:space="preserve"> 990 + 870 + 670 + 640</f>
        <v>3170</v>
      </c>
      <c r="AI31">
        <f>1 * 1440 *  31.4/95</f>
        <v>475.95789473684209</v>
      </c>
      <c r="AL31">
        <f>5729.6/5</f>
        <v>1145.92</v>
      </c>
    </row>
    <row r="32" spans="3:45" ht="16.5" thickTop="1" thickBot="1" x14ac:dyDescent="0.3">
      <c r="E32" s="35">
        <v>52400</v>
      </c>
      <c r="F32">
        <f>E32/$F$29</f>
        <v>2670.063694267516</v>
      </c>
      <c r="M32">
        <f>300*0.015</f>
        <v>4.5</v>
      </c>
      <c r="P32">
        <v>200000</v>
      </c>
      <c r="Q32">
        <f>P32/(12*1500)</f>
        <v>11.111111111111111</v>
      </c>
      <c r="AH32">
        <f>AH31/(4*990)</f>
        <v>0.8005050505050505</v>
      </c>
      <c r="AJ32">
        <f>(52*10^6)/(365 * 6 * 0.7)</f>
        <v>33920.417482061319</v>
      </c>
      <c r="AQ32">
        <f>4223.6-244.7</f>
        <v>3978.9000000000005</v>
      </c>
    </row>
    <row r="33" spans="5:43" ht="15.75" thickBot="1" x14ac:dyDescent="0.3">
      <c r="E33" s="36">
        <v>47500</v>
      </c>
      <c r="F33">
        <f>E33/$F$29</f>
        <v>2420.3821656050955</v>
      </c>
      <c r="H33">
        <f>(11.5-4.6)/0.04</f>
        <v>172.5</v>
      </c>
      <c r="I33">
        <f>H33/1.14</f>
        <v>151.31578947368422</v>
      </c>
      <c r="P33">
        <v>10000</v>
      </c>
      <c r="Q33">
        <f>P33/(12*1500)</f>
        <v>0.55555555555555558</v>
      </c>
      <c r="AF33">
        <f>(-5)/((-3.5-5)/1600)</f>
        <v>941.17647058823525</v>
      </c>
      <c r="AJ33" s="143">
        <f xml:space="preserve"> 18 + 1.4 * 2.3 + 2.3 * 1.9 + 0.1 * 95</f>
        <v>35.089999999999996</v>
      </c>
      <c r="AK33">
        <f>2000/(4*0.9)</f>
        <v>555.55555555555554</v>
      </c>
      <c r="AN33">
        <f>360*647/(2*3.14*1100)</f>
        <v>33.717429067747538</v>
      </c>
    </row>
    <row r="34" spans="5:43" ht="15.75" thickBot="1" x14ac:dyDescent="0.3">
      <c r="E34" s="35">
        <v>50500</v>
      </c>
      <c r="F34">
        <f>E34/$F$29</f>
        <v>2573.248407643312</v>
      </c>
      <c r="K34">
        <f>65*65/(15*1250)</f>
        <v>0.22533333333333333</v>
      </c>
      <c r="P34">
        <v>12000</v>
      </c>
      <c r="Q34">
        <f>P34/1500</f>
        <v>8</v>
      </c>
      <c r="AF34">
        <f xml:space="preserve"> (-0.05*700)/(-0.02-0.05)</f>
        <v>499.99999999999994</v>
      </c>
      <c r="AG34">
        <f>(-5)/((-3.5-5)/1600)</f>
        <v>941.17647058823525</v>
      </c>
      <c r="AJ34" s="143">
        <f xml:space="preserve"> 35.09*2200</f>
        <v>77198.000000000015</v>
      </c>
      <c r="AK34">
        <f>556/(15*25)</f>
        <v>1.4826666666666666</v>
      </c>
      <c r="AQ34">
        <f xml:space="preserve"> -1057.3 - 226.2</f>
        <v>-1283.5</v>
      </c>
    </row>
    <row r="35" spans="5:43" x14ac:dyDescent="0.25">
      <c r="K35">
        <f>K34-0.11</f>
        <v>0.11533333333333333</v>
      </c>
      <c r="Q35">
        <v>5</v>
      </c>
      <c r="AF35">
        <f>3600/2.5</f>
        <v>1440</v>
      </c>
      <c r="AH35">
        <f>(12+2)*55</f>
        <v>770</v>
      </c>
      <c r="AI35">
        <f>AH35/2</f>
        <v>385</v>
      </c>
      <c r="AK35">
        <f>0.7/600</f>
        <v>1.1666666666666665E-3</v>
      </c>
      <c r="AL35">
        <f>AK35*3600</f>
        <v>4.1999999999999993</v>
      </c>
    </row>
    <row r="36" spans="5:43" ht="15.75" thickBot="1" x14ac:dyDescent="0.3">
      <c r="N36">
        <f>1000/55</f>
        <v>18.181818181818183</v>
      </c>
    </row>
    <row r="37" spans="5:43" ht="15.75" thickBot="1" x14ac:dyDescent="0.3">
      <c r="E37" s="75">
        <v>58</v>
      </c>
      <c r="I37">
        <f>300000/7.48</f>
        <v>40106.951871657751</v>
      </c>
      <c r="N37">
        <f>N36-10</f>
        <v>8.1818181818181834</v>
      </c>
    </row>
    <row r="38" spans="5:43" ht="16.5" thickTop="1" thickBot="1" x14ac:dyDescent="0.3">
      <c r="E38" s="76">
        <v>65</v>
      </c>
      <c r="I38">
        <f>I37/3</f>
        <v>13368.98395721925</v>
      </c>
      <c r="M38">
        <f>((7.6-N37*0.2)^2)/(7.6+N37*0.8)</f>
        <v>2.5142322972657158</v>
      </c>
    </row>
    <row r="39" spans="5:43" ht="15.75" thickBot="1" x14ac:dyDescent="0.3">
      <c r="E39" s="78">
        <v>77</v>
      </c>
      <c r="I39">
        <f>I38/3600</f>
        <v>3.713606654783125</v>
      </c>
    </row>
    <row r="40" spans="5:43" ht="15.75" thickBot="1" x14ac:dyDescent="0.3">
      <c r="E40" s="76">
        <v>71</v>
      </c>
    </row>
    <row r="41" spans="5:43" ht="15.75" thickBot="1" x14ac:dyDescent="0.3">
      <c r="E41" s="78">
        <v>69</v>
      </c>
    </row>
    <row r="42" spans="5:43" ht="15.75" thickBot="1" x14ac:dyDescent="0.3">
      <c r="E42" s="76">
        <v>67</v>
      </c>
    </row>
    <row r="43" spans="5:43" ht="15.75" thickBot="1" x14ac:dyDescent="0.3">
      <c r="E43" s="78">
        <v>70</v>
      </c>
    </row>
    <row r="44" spans="5:43" ht="15.75" thickBot="1" x14ac:dyDescent="0.3">
      <c r="E44" s="76">
        <v>54</v>
      </c>
      <c r="I44" s="79">
        <v>1</v>
      </c>
      <c r="J44" s="80">
        <v>2800</v>
      </c>
      <c r="K44" s="81">
        <v>600</v>
      </c>
      <c r="L44" s="81">
        <v>15</v>
      </c>
      <c r="M44">
        <f>K44*L44</f>
        <v>9000</v>
      </c>
    </row>
    <row r="45" spans="5:43" ht="15.75" thickBot="1" x14ac:dyDescent="0.3">
      <c r="E45" s="78">
        <v>67</v>
      </c>
      <c r="I45" s="82">
        <v>2</v>
      </c>
      <c r="J45" s="83">
        <v>5200</v>
      </c>
      <c r="K45" s="83">
        <v>4200</v>
      </c>
      <c r="L45" s="84">
        <v>35</v>
      </c>
      <c r="M45">
        <f>K45*L45</f>
        <v>147000</v>
      </c>
      <c r="N45">
        <f>J45*M44/SUM(M44:M46)</f>
        <v>184.54258675078864</v>
      </c>
    </row>
    <row r="46" spans="5:43" ht="15.75" thickBot="1" x14ac:dyDescent="0.3">
      <c r="E46" s="76">
        <v>69</v>
      </c>
      <c r="I46" s="85">
        <v>3</v>
      </c>
      <c r="J46" s="86">
        <v>1100</v>
      </c>
      <c r="K46" s="86">
        <v>1600</v>
      </c>
      <c r="L46" s="87">
        <v>61</v>
      </c>
      <c r="M46">
        <f>K46*L46</f>
        <v>97600</v>
      </c>
    </row>
    <row r="47" spans="5:43" ht="15.75" thickBot="1" x14ac:dyDescent="0.3">
      <c r="E47" s="78">
        <v>65</v>
      </c>
    </row>
    <row r="48" spans="5:43" ht="30.75" thickBot="1" x14ac:dyDescent="0.3">
      <c r="E48" s="76">
        <v>63</v>
      </c>
      <c r="I48" s="91" t="s">
        <v>177</v>
      </c>
      <c r="J48" s="92" t="s">
        <v>178</v>
      </c>
      <c r="K48" s="92" t="s">
        <v>179</v>
      </c>
      <c r="L48" s="92" t="s">
        <v>180</v>
      </c>
      <c r="M48" s="92" t="s">
        <v>181</v>
      </c>
    </row>
    <row r="49" spans="9:17" ht="15.75" thickBot="1" x14ac:dyDescent="0.3">
      <c r="I49" s="89" t="s">
        <v>182</v>
      </c>
      <c r="J49" s="88">
        <v>55</v>
      </c>
      <c r="K49" s="81">
        <v>430</v>
      </c>
      <c r="L49" s="81"/>
      <c r="M49" s="81">
        <v>12</v>
      </c>
      <c r="O49">
        <f>SUM(J49:L49)</f>
        <v>485</v>
      </c>
      <c r="Q49">
        <f>M49*O49</f>
        <v>5820</v>
      </c>
    </row>
    <row r="50" spans="9:17" ht="15.75" thickBot="1" x14ac:dyDescent="0.3">
      <c r="I50" s="90" t="s">
        <v>183</v>
      </c>
      <c r="J50" s="89">
        <v>95</v>
      </c>
      <c r="K50" s="84">
        <v>150</v>
      </c>
      <c r="L50" s="84">
        <v>55</v>
      </c>
      <c r="M50" s="84">
        <v>12</v>
      </c>
      <c r="O50">
        <f>SUM(J50:L50)</f>
        <v>300</v>
      </c>
      <c r="Q50">
        <f>M50*O50</f>
        <v>3600</v>
      </c>
    </row>
    <row r="51" spans="9:17" ht="15.75" thickBot="1" x14ac:dyDescent="0.3">
      <c r="I51" s="89" t="s">
        <v>184</v>
      </c>
      <c r="J51" s="90"/>
      <c r="K51" s="87">
        <v>375</v>
      </c>
      <c r="L51" s="87">
        <v>140</v>
      </c>
      <c r="M51" s="87">
        <v>15</v>
      </c>
      <c r="O51">
        <f>SUM(J51:L51)</f>
        <v>515</v>
      </c>
      <c r="Q51">
        <f>M51*O51</f>
        <v>7725</v>
      </c>
    </row>
    <row r="53" spans="9:17" x14ac:dyDescent="0.25">
      <c r="P53">
        <f>SUM(Q49:Q51)/SUM(O49:O51)</f>
        <v>13.188461538461539</v>
      </c>
    </row>
    <row r="55" spans="9:17" ht="15.75" thickBot="1" x14ac:dyDescent="0.3"/>
    <row r="56" spans="9:17" ht="30.75" thickBot="1" x14ac:dyDescent="0.3">
      <c r="I56" s="91" t="s">
        <v>177</v>
      </c>
      <c r="J56" s="92" t="s">
        <v>178</v>
      </c>
      <c r="K56" s="92" t="s">
        <v>179</v>
      </c>
      <c r="L56" s="92" t="s">
        <v>180</v>
      </c>
      <c r="M56" s="92" t="s">
        <v>181</v>
      </c>
    </row>
    <row r="57" spans="9:17" ht="15.75" thickBot="1" x14ac:dyDescent="0.3">
      <c r="I57" s="89" t="s">
        <v>182</v>
      </c>
      <c r="J57" s="88">
        <v>72</v>
      </c>
      <c r="K57" s="81">
        <v>400</v>
      </c>
      <c r="L57" s="81"/>
      <c r="M57" s="81">
        <v>12</v>
      </c>
      <c r="O57">
        <f>SUM(J57:L57)</f>
        <v>472</v>
      </c>
      <c r="Q57">
        <f>M57*O57</f>
        <v>5664</v>
      </c>
    </row>
    <row r="58" spans="9:17" ht="15.75" thickBot="1" x14ac:dyDescent="0.3">
      <c r="I58" s="90" t="s">
        <v>183</v>
      </c>
      <c r="J58" s="89">
        <v>115</v>
      </c>
      <c r="K58" s="84"/>
      <c r="L58" s="84">
        <v>36</v>
      </c>
      <c r="M58" s="84">
        <v>13.5</v>
      </c>
      <c r="O58">
        <f>SUM(J58:L58)</f>
        <v>151</v>
      </c>
      <c r="Q58">
        <f>M58*O58</f>
        <v>2038.5</v>
      </c>
    </row>
    <row r="59" spans="9:17" ht="15.75" thickBot="1" x14ac:dyDescent="0.3">
      <c r="I59" s="89" t="s">
        <v>184</v>
      </c>
      <c r="J59" s="90"/>
      <c r="K59" s="87">
        <v>365</v>
      </c>
      <c r="L59" s="87">
        <v>125</v>
      </c>
      <c r="M59" s="87">
        <v>14</v>
      </c>
      <c r="O59">
        <f>SUM(J59:L59)</f>
        <v>490</v>
      </c>
      <c r="Q59">
        <f>M59*O59</f>
        <v>6860</v>
      </c>
    </row>
    <row r="61" spans="9:17" x14ac:dyDescent="0.25">
      <c r="P61">
        <f>SUM(Q57:Q59)/SUM(O57:O59)</f>
        <v>13.084007187780772</v>
      </c>
    </row>
    <row r="62" spans="9:17" ht="15.75" thickBot="1" x14ac:dyDescent="0.3"/>
    <row r="63" spans="9:17" ht="30.75" thickBot="1" x14ac:dyDescent="0.3">
      <c r="I63" s="93" t="s">
        <v>185</v>
      </c>
      <c r="J63" s="94" t="s">
        <v>186</v>
      </c>
      <c r="K63" s="94" t="s">
        <v>187</v>
      </c>
      <c r="L63" s="94" t="s">
        <v>188</v>
      </c>
    </row>
    <row r="64" spans="9:17" ht="15.75" thickBot="1" x14ac:dyDescent="0.3">
      <c r="I64" s="28" t="s">
        <v>196</v>
      </c>
      <c r="J64" s="96">
        <v>150</v>
      </c>
      <c r="K64" s="96">
        <v>110</v>
      </c>
      <c r="L64" s="96">
        <v>21</v>
      </c>
      <c r="M64">
        <f>SUM(J64:J67)+SUM(K64:K67)</f>
        <v>1180</v>
      </c>
      <c r="N64">
        <f>SUM(L64:L67)</f>
        <v>109</v>
      </c>
    </row>
    <row r="65" spans="9:19" ht="16.5" thickTop="1" thickBot="1" x14ac:dyDescent="0.3">
      <c r="I65" s="30" t="s">
        <v>189</v>
      </c>
      <c r="J65" s="30">
        <v>190</v>
      </c>
      <c r="K65" s="30">
        <v>140</v>
      </c>
      <c r="L65" s="95">
        <v>22</v>
      </c>
      <c r="M65">
        <f>SUM(J68:K71)</f>
        <v>1360</v>
      </c>
      <c r="N65">
        <f>SUM(L68:L71)</f>
        <v>56</v>
      </c>
    </row>
    <row r="66" spans="9:19" ht="15.75" thickBot="1" x14ac:dyDescent="0.3">
      <c r="I66" s="32" t="s">
        <v>190</v>
      </c>
      <c r="J66" s="32">
        <v>180</v>
      </c>
      <c r="K66" s="32">
        <v>90</v>
      </c>
      <c r="L66" s="77">
        <v>31</v>
      </c>
    </row>
    <row r="67" spans="9:19" ht="15.75" thickBot="1" x14ac:dyDescent="0.3">
      <c r="I67" s="30" t="s">
        <v>191</v>
      </c>
      <c r="J67" s="30">
        <v>210</v>
      </c>
      <c r="K67" s="30">
        <v>110</v>
      </c>
      <c r="L67" s="95">
        <v>35</v>
      </c>
    </row>
    <row r="68" spans="9:19" ht="15.75" thickBot="1" x14ac:dyDescent="0.3">
      <c r="I68" s="32" t="s">
        <v>192</v>
      </c>
      <c r="J68" s="32">
        <v>140</v>
      </c>
      <c r="K68" s="32">
        <v>180</v>
      </c>
      <c r="L68" s="77">
        <v>16</v>
      </c>
    </row>
    <row r="69" spans="9:19" ht="15.75" thickBot="1" x14ac:dyDescent="0.3">
      <c r="I69" s="30" t="s">
        <v>193</v>
      </c>
      <c r="J69" s="30">
        <v>130</v>
      </c>
      <c r="K69" s="30">
        <v>200</v>
      </c>
      <c r="L69" s="95">
        <v>17</v>
      </c>
    </row>
    <row r="70" spans="9:19" ht="15.75" thickBot="1" x14ac:dyDescent="0.3">
      <c r="I70" s="32" t="s">
        <v>194</v>
      </c>
      <c r="J70" s="32">
        <v>160</v>
      </c>
      <c r="K70" s="32">
        <v>190</v>
      </c>
      <c r="L70" s="77">
        <v>14</v>
      </c>
    </row>
    <row r="71" spans="9:19" ht="15.75" thickBot="1" x14ac:dyDescent="0.3">
      <c r="I71" s="97" t="s">
        <v>195</v>
      </c>
      <c r="J71" s="97">
        <v>150</v>
      </c>
      <c r="K71" s="97">
        <v>210</v>
      </c>
      <c r="L71" s="98">
        <v>9</v>
      </c>
    </row>
    <row r="73" spans="9:19" ht="15.75" thickBot="1" x14ac:dyDescent="0.3"/>
    <row r="74" spans="9:19" ht="57.75" thickBot="1" x14ac:dyDescent="0.3">
      <c r="I74" s="148" t="s">
        <v>377</v>
      </c>
      <c r="J74" s="149" t="s">
        <v>378</v>
      </c>
      <c r="K74" s="149" t="s">
        <v>379</v>
      </c>
      <c r="L74" s="149" t="s">
        <v>394</v>
      </c>
      <c r="M74" s="149" t="s">
        <v>395</v>
      </c>
      <c r="O74" s="157" t="s">
        <v>312</v>
      </c>
      <c r="P74" s="158" t="s">
        <v>400</v>
      </c>
      <c r="Q74" s="158" t="s">
        <v>401</v>
      </c>
    </row>
    <row r="75" spans="9:19" ht="16.5" thickTop="1" thickBot="1" x14ac:dyDescent="0.3">
      <c r="I75" s="150" t="s">
        <v>393</v>
      </c>
      <c r="J75" s="150">
        <v>150</v>
      </c>
      <c r="K75" s="151">
        <v>50</v>
      </c>
      <c r="L75" s="150" t="s">
        <v>287</v>
      </c>
      <c r="M75" s="151" t="s">
        <v>287</v>
      </c>
      <c r="O75" s="159">
        <v>1</v>
      </c>
      <c r="P75" s="159">
        <v>3.1</v>
      </c>
      <c r="Q75" s="160">
        <v>0.1</v>
      </c>
      <c r="R75">
        <f>P75*30</f>
        <v>93</v>
      </c>
      <c r="S75" s="163">
        <f>R75/(1+Q75)</f>
        <v>84.545454545454533</v>
      </c>
    </row>
    <row r="76" spans="9:19" ht="15.75" thickBot="1" x14ac:dyDescent="0.3">
      <c r="I76" s="152" t="s">
        <v>392</v>
      </c>
      <c r="J76" s="152">
        <v>420</v>
      </c>
      <c r="K76" s="153">
        <v>70</v>
      </c>
      <c r="L76" s="152" t="s">
        <v>287</v>
      </c>
      <c r="M76" s="153" t="s">
        <v>287</v>
      </c>
      <c r="O76" s="161">
        <v>2</v>
      </c>
      <c r="P76" s="161">
        <v>3.4</v>
      </c>
      <c r="Q76" s="162">
        <v>0.12</v>
      </c>
      <c r="R76">
        <f t="shared" ref="R76:R79" si="11">P76*30</f>
        <v>102</v>
      </c>
      <c r="S76" s="163">
        <f t="shared" ref="S76:S79" si="12">R76/(1+Q76)</f>
        <v>91.071428571428569</v>
      </c>
    </row>
    <row r="77" spans="9:19" ht="15.75" thickBot="1" x14ac:dyDescent="0.3">
      <c r="I77" s="152" t="s">
        <v>391</v>
      </c>
      <c r="J77" s="150">
        <v>950</v>
      </c>
      <c r="K77" s="151">
        <v>260</v>
      </c>
      <c r="L77" s="150" t="s">
        <v>398</v>
      </c>
      <c r="M77" s="150" t="s">
        <v>398</v>
      </c>
      <c r="O77" s="159">
        <v>3</v>
      </c>
      <c r="P77" s="159">
        <v>3.5</v>
      </c>
      <c r="Q77" s="160">
        <v>0.15</v>
      </c>
      <c r="R77">
        <f t="shared" si="11"/>
        <v>105</v>
      </c>
      <c r="S77" s="163">
        <f t="shared" si="12"/>
        <v>91.304347826086968</v>
      </c>
    </row>
    <row r="78" spans="9:19" ht="15.75" thickBot="1" x14ac:dyDescent="0.3">
      <c r="I78" s="152" t="s">
        <v>390</v>
      </c>
      <c r="J78" s="152">
        <v>610</v>
      </c>
      <c r="K78" s="153">
        <v>210</v>
      </c>
      <c r="L78" s="153" t="s">
        <v>398</v>
      </c>
      <c r="M78" s="153" t="s">
        <v>287</v>
      </c>
      <c r="O78" s="161">
        <v>4</v>
      </c>
      <c r="P78" s="161">
        <v>3.7</v>
      </c>
      <c r="Q78" s="162">
        <v>0.18</v>
      </c>
      <c r="R78">
        <f t="shared" si="11"/>
        <v>111</v>
      </c>
      <c r="S78" s="163">
        <f t="shared" si="12"/>
        <v>94.067796610169495</v>
      </c>
    </row>
    <row r="79" spans="9:19" ht="15.75" thickBot="1" x14ac:dyDescent="0.3">
      <c r="I79" s="152" t="s">
        <v>389</v>
      </c>
      <c r="J79" s="150">
        <v>410</v>
      </c>
      <c r="K79" s="151">
        <v>140</v>
      </c>
      <c r="L79" s="150" t="s">
        <v>287</v>
      </c>
      <c r="M79" s="151" t="s">
        <v>287</v>
      </c>
      <c r="O79" s="159">
        <v>5</v>
      </c>
      <c r="P79" s="159">
        <v>3.6</v>
      </c>
      <c r="Q79" s="160">
        <v>0.21</v>
      </c>
      <c r="R79">
        <f t="shared" si="11"/>
        <v>108</v>
      </c>
      <c r="S79" s="163">
        <f t="shared" si="12"/>
        <v>89.256198347107443</v>
      </c>
    </row>
    <row r="80" spans="9:19" ht="15.75" thickBot="1" x14ac:dyDescent="0.3">
      <c r="I80" s="152" t="s">
        <v>388</v>
      </c>
      <c r="J80" s="152">
        <v>370</v>
      </c>
      <c r="K80" s="153">
        <v>150</v>
      </c>
      <c r="L80" s="152" t="s">
        <v>287</v>
      </c>
      <c r="M80" s="153" t="s">
        <v>287</v>
      </c>
    </row>
    <row r="81" spans="2:20" ht="15.75" thickBot="1" x14ac:dyDescent="0.3">
      <c r="I81" s="150" t="s">
        <v>380</v>
      </c>
      <c r="J81" s="150">
        <v>450</v>
      </c>
      <c r="K81" s="151">
        <v>170</v>
      </c>
      <c r="L81" s="150" t="s">
        <v>287</v>
      </c>
      <c r="M81" s="151" t="s">
        <v>287</v>
      </c>
    </row>
    <row r="82" spans="2:20" ht="15.75" thickBot="1" x14ac:dyDescent="0.3">
      <c r="I82" s="152" t="s">
        <v>381</v>
      </c>
      <c r="J82" s="152">
        <v>720</v>
      </c>
      <c r="K82" s="153">
        <v>230</v>
      </c>
      <c r="L82" s="152" t="s">
        <v>398</v>
      </c>
      <c r="M82" s="153" t="s">
        <v>287</v>
      </c>
    </row>
    <row r="83" spans="2:20" ht="15.75" thickBot="1" x14ac:dyDescent="0.3">
      <c r="I83" s="150" t="s">
        <v>382</v>
      </c>
      <c r="J83" s="150">
        <v>650</v>
      </c>
      <c r="K83" s="151">
        <v>220</v>
      </c>
      <c r="L83" s="150" t="s">
        <v>398</v>
      </c>
      <c r="M83" s="151" t="s">
        <v>287</v>
      </c>
    </row>
    <row r="84" spans="2:20" ht="15.75" thickBot="1" x14ac:dyDescent="0.3">
      <c r="I84" s="152" t="s">
        <v>383</v>
      </c>
      <c r="J84" s="152">
        <v>510</v>
      </c>
      <c r="K84" s="153">
        <v>210</v>
      </c>
      <c r="L84" s="152" t="s">
        <v>287</v>
      </c>
      <c r="M84" s="153" t="s">
        <v>287</v>
      </c>
    </row>
    <row r="85" spans="2:20" ht="15.75" thickBot="1" x14ac:dyDescent="0.3">
      <c r="B85">
        <f>3.1/(1/30)</f>
        <v>93</v>
      </c>
      <c r="I85" s="150" t="s">
        <v>384</v>
      </c>
      <c r="J85" s="150">
        <v>690</v>
      </c>
      <c r="K85" s="151">
        <v>240</v>
      </c>
      <c r="L85" s="150" t="s">
        <v>398</v>
      </c>
      <c r="M85" s="151" t="s">
        <v>287</v>
      </c>
      <c r="Q85">
        <f>1* 0.013 + 1* 0.213</f>
        <v>0.22600000000000001</v>
      </c>
      <c r="S85">
        <f>1* 0.041 + 2 * 0.534</f>
        <v>1.109</v>
      </c>
      <c r="T85">
        <f>S85/Q85</f>
        <v>4.9070796460176993</v>
      </c>
    </row>
    <row r="86" spans="2:20" ht="15.75" thickBot="1" x14ac:dyDescent="0.3">
      <c r="I86" s="152" t="s">
        <v>385</v>
      </c>
      <c r="J86" s="152">
        <v>730</v>
      </c>
      <c r="K86" s="153">
        <v>280</v>
      </c>
      <c r="L86" s="152" t="s">
        <v>398</v>
      </c>
      <c r="M86" s="153" t="s">
        <v>287</v>
      </c>
      <c r="Q86">
        <f xml:space="preserve"> 1* 0.041 + 2 * 0.401</f>
        <v>0.84300000000000008</v>
      </c>
    </row>
    <row r="87" spans="2:20" ht="15.75" thickBot="1" x14ac:dyDescent="0.3">
      <c r="I87" s="150" t="s">
        <v>386</v>
      </c>
      <c r="J87" s="150">
        <v>1190</v>
      </c>
      <c r="K87" s="151">
        <v>320</v>
      </c>
      <c r="L87" s="150" t="s">
        <v>398</v>
      </c>
      <c r="M87" s="150" t="s">
        <v>398</v>
      </c>
      <c r="R87">
        <f xml:space="preserve">  0.843/0.226</f>
        <v>3.7300884955752212</v>
      </c>
    </row>
    <row r="88" spans="2:20" ht="15.75" thickBot="1" x14ac:dyDescent="0.3">
      <c r="I88" s="154" t="s">
        <v>387</v>
      </c>
      <c r="J88" s="154">
        <v>650</v>
      </c>
      <c r="K88" s="155">
        <v>160</v>
      </c>
      <c r="L88" s="154" t="s">
        <v>398</v>
      </c>
      <c r="M88" s="155" t="s">
        <v>287</v>
      </c>
    </row>
    <row r="89" spans="2:20" x14ac:dyDescent="0.25">
      <c r="D89">
        <f xml:space="preserve"> 3*(1432-50)^0.5</f>
        <v>111.52578177264664</v>
      </c>
      <c r="S89">
        <f xml:space="preserve"> 3*(1+0.04)^10</f>
        <v>4.4407328547550335</v>
      </c>
    </row>
    <row r="90" spans="2:20" x14ac:dyDescent="0.25">
      <c r="D90">
        <f>125 * 1.1 + 85 * 2.5</f>
        <v>350</v>
      </c>
      <c r="I90" s="156" t="s">
        <v>396</v>
      </c>
    </row>
    <row r="91" spans="2:20" x14ac:dyDescent="0.25">
      <c r="I91" s="156" t="s">
        <v>397</v>
      </c>
    </row>
  </sheetData>
  <phoneticPr fontId="3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F26800-880F-4FD0-9731-03EFEBFCE555}">
  <dimension ref="B2:W33"/>
  <sheetViews>
    <sheetView zoomScale="90" zoomScaleNormal="90" workbookViewId="0">
      <selection activeCell="M6" sqref="M6"/>
    </sheetView>
  </sheetViews>
  <sheetFormatPr defaultRowHeight="15" x14ac:dyDescent="0.25"/>
  <cols>
    <col min="1" max="1" width="3.42578125" customWidth="1"/>
    <col min="2" max="2" width="4" customWidth="1"/>
    <col min="3" max="3" width="6.28515625" customWidth="1"/>
    <col min="5" max="5" width="10.140625" customWidth="1"/>
    <col min="6" max="6" width="10" customWidth="1"/>
    <col min="7" max="7" width="10.85546875" customWidth="1"/>
    <col min="19" max="19" width="10.7109375" customWidth="1"/>
  </cols>
  <sheetData>
    <row r="2" spans="2:23" ht="15.75" thickBot="1" x14ac:dyDescent="0.3">
      <c r="D2" t="s">
        <v>24</v>
      </c>
    </row>
    <row r="3" spans="2:23" ht="15.75" x14ac:dyDescent="0.25">
      <c r="D3" s="37">
        <v>1</v>
      </c>
      <c r="E3" s="38">
        <v>2</v>
      </c>
      <c r="F3" s="38">
        <v>3</v>
      </c>
      <c r="G3" s="38">
        <v>4</v>
      </c>
      <c r="H3" s="39">
        <v>5</v>
      </c>
      <c r="I3" s="39">
        <v>6</v>
      </c>
      <c r="J3" s="39">
        <v>7</v>
      </c>
      <c r="K3" s="48">
        <v>8</v>
      </c>
      <c r="L3" s="48">
        <v>9</v>
      </c>
      <c r="M3" s="48">
        <v>10</v>
      </c>
      <c r="N3" s="48">
        <v>11</v>
      </c>
      <c r="O3" s="48">
        <v>12</v>
      </c>
      <c r="P3" s="48">
        <v>13</v>
      </c>
      <c r="Q3" s="40">
        <v>14</v>
      </c>
      <c r="R3" s="40">
        <v>15</v>
      </c>
      <c r="S3" s="40">
        <v>16</v>
      </c>
      <c r="T3" s="40">
        <v>17</v>
      </c>
      <c r="U3" s="40">
        <v>18</v>
      </c>
      <c r="V3" s="40">
        <v>19</v>
      </c>
      <c r="W3" s="41">
        <v>20</v>
      </c>
    </row>
    <row r="4" spans="2:23" ht="15.75" x14ac:dyDescent="0.25">
      <c r="D4" s="49" t="s">
        <v>25</v>
      </c>
      <c r="E4" s="50" t="s">
        <v>26</v>
      </c>
      <c r="F4" s="50" t="s">
        <v>27</v>
      </c>
      <c r="G4" s="50" t="s">
        <v>28</v>
      </c>
      <c r="H4" s="51" t="s">
        <v>29</v>
      </c>
      <c r="I4" s="51" t="s">
        <v>30</v>
      </c>
      <c r="J4" s="51" t="s">
        <v>31</v>
      </c>
      <c r="K4" s="52" t="s">
        <v>32</v>
      </c>
      <c r="L4" s="52" t="s">
        <v>33</v>
      </c>
      <c r="M4" s="52" t="s">
        <v>34</v>
      </c>
      <c r="N4" s="52" t="s">
        <v>152</v>
      </c>
      <c r="O4" s="52" t="s">
        <v>36</v>
      </c>
      <c r="P4" s="52" t="s">
        <v>37</v>
      </c>
      <c r="Q4" s="53" t="s">
        <v>38</v>
      </c>
      <c r="R4" s="53" t="s">
        <v>39</v>
      </c>
      <c r="S4" s="53" t="s">
        <v>40</v>
      </c>
      <c r="T4" s="53" t="s">
        <v>41</v>
      </c>
      <c r="U4" s="53" t="s">
        <v>42</v>
      </c>
      <c r="V4" s="53" t="s">
        <v>43</v>
      </c>
      <c r="W4" s="54" t="s">
        <v>44</v>
      </c>
    </row>
    <row r="5" spans="2:23" ht="15.75" x14ac:dyDescent="0.25">
      <c r="D5" s="42">
        <v>21</v>
      </c>
      <c r="E5" s="43">
        <v>22</v>
      </c>
      <c r="F5" s="43">
        <v>23</v>
      </c>
      <c r="G5" s="43">
        <v>24</v>
      </c>
      <c r="H5" s="43">
        <v>25</v>
      </c>
      <c r="I5" s="43">
        <v>26</v>
      </c>
      <c r="J5" s="44">
        <v>27</v>
      </c>
      <c r="K5" s="44">
        <v>28</v>
      </c>
      <c r="L5" s="44">
        <v>29</v>
      </c>
      <c r="M5" s="45">
        <v>30</v>
      </c>
      <c r="N5" s="45">
        <v>31</v>
      </c>
      <c r="O5" s="45">
        <v>32</v>
      </c>
      <c r="P5" s="45">
        <v>33</v>
      </c>
      <c r="Q5" s="45">
        <v>34</v>
      </c>
      <c r="R5" s="45">
        <v>35</v>
      </c>
      <c r="S5" s="46">
        <v>36</v>
      </c>
      <c r="T5" s="46">
        <v>37</v>
      </c>
      <c r="U5" s="46">
        <v>38</v>
      </c>
      <c r="V5" s="46">
        <v>39</v>
      </c>
      <c r="W5" s="47">
        <v>40</v>
      </c>
    </row>
    <row r="6" spans="2:23" ht="16.5" thickBot="1" x14ac:dyDescent="0.3">
      <c r="D6" s="55" t="s">
        <v>45</v>
      </c>
      <c r="E6" s="56" t="s">
        <v>46</v>
      </c>
      <c r="F6" s="56" t="s">
        <v>47</v>
      </c>
      <c r="G6" s="56" t="s">
        <v>48</v>
      </c>
      <c r="H6" s="56" t="s">
        <v>49</v>
      </c>
      <c r="I6" s="56" t="s">
        <v>282</v>
      </c>
      <c r="J6" s="57" t="s">
        <v>50</v>
      </c>
      <c r="K6" s="57" t="s">
        <v>51</v>
      </c>
      <c r="L6" s="57" t="s">
        <v>52</v>
      </c>
      <c r="M6" s="58" t="s">
        <v>53</v>
      </c>
      <c r="N6" s="58" t="s">
        <v>54</v>
      </c>
      <c r="O6" s="58" t="s">
        <v>55</v>
      </c>
      <c r="P6" s="58" t="s">
        <v>56</v>
      </c>
      <c r="Q6" s="58" t="s">
        <v>57</v>
      </c>
      <c r="R6" s="58" t="s">
        <v>59</v>
      </c>
      <c r="S6" s="59" t="s">
        <v>58</v>
      </c>
      <c r="T6" s="59" t="s">
        <v>60</v>
      </c>
      <c r="U6" s="59" t="s">
        <v>61</v>
      </c>
      <c r="V6" s="59" t="s">
        <v>62</v>
      </c>
      <c r="W6" s="60" t="s">
        <v>63</v>
      </c>
    </row>
    <row r="8" spans="2:23" x14ac:dyDescent="0.25">
      <c r="D8" s="139" t="s">
        <v>355</v>
      </c>
    </row>
    <row r="9" spans="2:23" ht="15.75" thickBot="1" x14ac:dyDescent="0.3">
      <c r="D9" t="s">
        <v>64</v>
      </c>
    </row>
    <row r="10" spans="2:23" ht="15.75" x14ac:dyDescent="0.25">
      <c r="D10" s="37">
        <v>1</v>
      </c>
      <c r="E10" s="38">
        <v>2</v>
      </c>
      <c r="F10" s="38">
        <v>3</v>
      </c>
      <c r="G10" s="38">
        <v>4</v>
      </c>
      <c r="H10" s="39">
        <v>5</v>
      </c>
      <c r="I10" s="39">
        <v>6</v>
      </c>
      <c r="J10" s="39">
        <v>7</v>
      </c>
      <c r="K10" s="48">
        <v>8</v>
      </c>
      <c r="L10" s="48">
        <v>9</v>
      </c>
      <c r="M10" s="48">
        <v>10</v>
      </c>
      <c r="N10" s="48">
        <v>11</v>
      </c>
      <c r="O10" s="48">
        <v>12</v>
      </c>
      <c r="P10" s="48">
        <v>13</v>
      </c>
      <c r="Q10" s="40">
        <v>14</v>
      </c>
      <c r="R10" s="40">
        <v>15</v>
      </c>
      <c r="S10" s="40">
        <v>16</v>
      </c>
      <c r="T10" s="40">
        <v>17</v>
      </c>
      <c r="U10" s="40">
        <v>18</v>
      </c>
      <c r="V10" s="40">
        <v>19</v>
      </c>
      <c r="W10" s="41">
        <v>20</v>
      </c>
    </row>
    <row r="11" spans="2:23" ht="15.75" x14ac:dyDescent="0.25">
      <c r="D11" s="49" t="s">
        <v>108</v>
      </c>
      <c r="E11" s="50" t="s">
        <v>145</v>
      </c>
      <c r="F11" s="50" t="s">
        <v>146</v>
      </c>
      <c r="G11" s="50" t="s">
        <v>147</v>
      </c>
      <c r="H11" s="51" t="s">
        <v>148</v>
      </c>
      <c r="I11" s="51" t="s">
        <v>149</v>
      </c>
      <c r="J11" s="51" t="s">
        <v>150</v>
      </c>
      <c r="K11" s="52" t="s">
        <v>151</v>
      </c>
      <c r="L11" s="52" t="s">
        <v>35</v>
      </c>
      <c r="M11" s="52" t="s">
        <v>247</v>
      </c>
      <c r="N11" s="52" t="s">
        <v>153</v>
      </c>
      <c r="O11" s="52" t="s">
        <v>154</v>
      </c>
      <c r="P11" s="52" t="s">
        <v>155</v>
      </c>
      <c r="Q11" s="53" t="s">
        <v>143</v>
      </c>
      <c r="R11" s="53" t="s">
        <v>156</v>
      </c>
      <c r="S11" s="53" t="s">
        <v>157</v>
      </c>
      <c r="T11" s="53" t="s">
        <v>158</v>
      </c>
      <c r="U11" s="53" t="s">
        <v>159</v>
      </c>
      <c r="V11" s="53" t="s">
        <v>160</v>
      </c>
      <c r="W11" s="54" t="s">
        <v>161</v>
      </c>
    </row>
    <row r="12" spans="2:23" ht="15.75" x14ac:dyDescent="0.25">
      <c r="D12" s="42">
        <v>21</v>
      </c>
      <c r="E12" s="43">
        <v>22</v>
      </c>
      <c r="F12" s="43">
        <v>23</v>
      </c>
      <c r="G12" s="43">
        <v>24</v>
      </c>
      <c r="H12" s="43">
        <v>25</v>
      </c>
      <c r="I12" s="43">
        <v>26</v>
      </c>
      <c r="J12" s="44">
        <v>27</v>
      </c>
      <c r="K12" s="44">
        <v>28</v>
      </c>
      <c r="L12" s="44">
        <v>29</v>
      </c>
      <c r="M12" s="45">
        <v>30</v>
      </c>
      <c r="N12" s="45">
        <v>31</v>
      </c>
      <c r="O12" s="45">
        <v>32</v>
      </c>
      <c r="P12" s="45">
        <v>33</v>
      </c>
      <c r="Q12" s="45">
        <v>34</v>
      </c>
      <c r="R12" s="45">
        <v>35</v>
      </c>
      <c r="S12" s="46">
        <v>36</v>
      </c>
      <c r="T12" s="46">
        <v>37</v>
      </c>
      <c r="U12" s="46">
        <v>38</v>
      </c>
      <c r="V12" s="46">
        <v>39</v>
      </c>
      <c r="W12" s="47">
        <v>40</v>
      </c>
    </row>
    <row r="13" spans="2:23" ht="16.5" thickBot="1" x14ac:dyDescent="0.3">
      <c r="D13" s="55" t="s">
        <v>144</v>
      </c>
      <c r="E13" s="56" t="s">
        <v>162</v>
      </c>
      <c r="F13" s="56" t="s">
        <v>132</v>
      </c>
      <c r="G13" s="56" t="s">
        <v>163</v>
      </c>
      <c r="H13" s="56" t="s">
        <v>164</v>
      </c>
      <c r="I13" s="56" t="s">
        <v>167</v>
      </c>
      <c r="J13" s="57" t="s">
        <v>165</v>
      </c>
      <c r="K13" s="57" t="s">
        <v>166</v>
      </c>
      <c r="L13" s="57" t="s">
        <v>168</v>
      </c>
      <c r="M13" s="58" t="s">
        <v>249</v>
      </c>
      <c r="N13" s="58" t="s">
        <v>169</v>
      </c>
      <c r="O13" s="58" t="s">
        <v>170</v>
      </c>
      <c r="P13" s="58" t="s">
        <v>171</v>
      </c>
      <c r="Q13" s="58" t="s">
        <v>132</v>
      </c>
      <c r="R13" s="58" t="s">
        <v>172</v>
      </c>
      <c r="S13" s="59" t="s">
        <v>173</v>
      </c>
      <c r="T13" s="59" t="s">
        <v>252</v>
      </c>
      <c r="U13" s="59" t="s">
        <v>174</v>
      </c>
      <c r="V13" s="59" t="s">
        <v>175</v>
      </c>
      <c r="W13" s="60" t="s">
        <v>176</v>
      </c>
    </row>
    <row r="14" spans="2:23" x14ac:dyDescent="0.25">
      <c r="B14" s="142" t="s">
        <v>240</v>
      </c>
      <c r="C14" s="142"/>
      <c r="D14" t="s">
        <v>241</v>
      </c>
      <c r="E14" t="s">
        <v>246</v>
      </c>
      <c r="F14" t="s">
        <v>248</v>
      </c>
      <c r="G14" t="s">
        <v>251</v>
      </c>
      <c r="H14" s="116" t="s">
        <v>369</v>
      </c>
    </row>
    <row r="16" spans="2:23" ht="15.75" thickBot="1" x14ac:dyDescent="0.3">
      <c r="D16" t="s">
        <v>65</v>
      </c>
    </row>
    <row r="17" spans="2:23" ht="15.75" x14ac:dyDescent="0.25">
      <c r="D17" s="37">
        <v>1</v>
      </c>
      <c r="E17" s="38">
        <v>2</v>
      </c>
      <c r="F17" s="38">
        <v>3</v>
      </c>
      <c r="G17" s="38">
        <v>4</v>
      </c>
      <c r="H17" s="39">
        <v>5</v>
      </c>
      <c r="I17" s="39">
        <v>6</v>
      </c>
      <c r="J17" s="39">
        <v>7</v>
      </c>
      <c r="K17" s="48">
        <v>8</v>
      </c>
      <c r="L17" s="48">
        <v>9</v>
      </c>
      <c r="M17" s="48">
        <v>10</v>
      </c>
      <c r="N17" s="48">
        <v>11</v>
      </c>
      <c r="O17" s="48">
        <v>12</v>
      </c>
      <c r="P17" s="48">
        <v>13</v>
      </c>
      <c r="Q17" s="40">
        <v>14</v>
      </c>
      <c r="R17" s="40">
        <v>15</v>
      </c>
      <c r="S17" s="40">
        <v>16</v>
      </c>
      <c r="T17" s="40">
        <v>17</v>
      </c>
      <c r="U17" s="40">
        <v>18</v>
      </c>
      <c r="V17" s="40">
        <v>19</v>
      </c>
      <c r="W17" s="41">
        <v>20</v>
      </c>
    </row>
    <row r="18" spans="2:23" ht="15.75" x14ac:dyDescent="0.25">
      <c r="D18" s="50" t="s">
        <v>296</v>
      </c>
      <c r="E18" s="50" t="s">
        <v>107</v>
      </c>
      <c r="F18" s="50" t="s">
        <v>109</v>
      </c>
      <c r="G18" s="50" t="s">
        <v>110</v>
      </c>
      <c r="H18" s="51" t="s">
        <v>111</v>
      </c>
      <c r="I18" s="51" t="s">
        <v>245</v>
      </c>
      <c r="J18" s="51" t="s">
        <v>267</v>
      </c>
      <c r="K18" s="52" t="s">
        <v>113</v>
      </c>
      <c r="L18" s="52" t="s">
        <v>114</v>
      </c>
      <c r="M18" s="52" t="s">
        <v>115</v>
      </c>
      <c r="N18" s="52" t="s">
        <v>117</v>
      </c>
      <c r="O18" s="52" t="s">
        <v>118</v>
      </c>
      <c r="P18" s="52" t="s">
        <v>119</v>
      </c>
      <c r="Q18" s="53" t="s">
        <v>120</v>
      </c>
      <c r="R18" s="53" t="s">
        <v>121</v>
      </c>
      <c r="S18" s="53" t="s">
        <v>135</v>
      </c>
      <c r="T18" s="53" t="s">
        <v>122</v>
      </c>
      <c r="U18" s="53" t="s">
        <v>123</v>
      </c>
      <c r="V18" s="53" t="s">
        <v>124</v>
      </c>
      <c r="W18" s="54" t="s">
        <v>125</v>
      </c>
    </row>
    <row r="19" spans="2:23" ht="15.75" x14ac:dyDescent="0.25">
      <c r="D19" s="42">
        <v>21</v>
      </c>
      <c r="E19" s="43">
        <v>22</v>
      </c>
      <c r="F19" s="43">
        <v>23</v>
      </c>
      <c r="G19" s="43">
        <v>24</v>
      </c>
      <c r="H19" s="43">
        <v>25</v>
      </c>
      <c r="I19" s="43">
        <v>26</v>
      </c>
      <c r="J19" s="44">
        <v>27</v>
      </c>
      <c r="K19" s="44">
        <v>28</v>
      </c>
      <c r="L19" s="44">
        <v>29</v>
      </c>
      <c r="M19" s="45">
        <v>30</v>
      </c>
      <c r="N19" s="45">
        <v>31</v>
      </c>
      <c r="O19" s="45">
        <v>32</v>
      </c>
      <c r="P19" s="45">
        <v>33</v>
      </c>
      <c r="Q19" s="45">
        <v>34</v>
      </c>
      <c r="R19" s="45">
        <v>35</v>
      </c>
      <c r="S19" s="46">
        <v>36</v>
      </c>
      <c r="T19" s="46">
        <v>37</v>
      </c>
      <c r="U19" s="46">
        <v>38</v>
      </c>
      <c r="V19" s="46">
        <v>39</v>
      </c>
      <c r="W19" s="47">
        <v>40</v>
      </c>
    </row>
    <row r="20" spans="2:23" ht="16.5" thickBot="1" x14ac:dyDescent="0.3">
      <c r="D20" s="55" t="s">
        <v>126</v>
      </c>
      <c r="E20" s="110" t="s">
        <v>301</v>
      </c>
      <c r="F20" s="56" t="s">
        <v>127</v>
      </c>
      <c r="G20" s="56" t="s">
        <v>128</v>
      </c>
      <c r="H20" s="56" t="s">
        <v>129</v>
      </c>
      <c r="I20" s="56" t="s">
        <v>130</v>
      </c>
      <c r="J20" s="57" t="s">
        <v>268</v>
      </c>
      <c r="K20" s="57" t="s">
        <v>131</v>
      </c>
      <c r="L20" s="57" t="s">
        <v>132</v>
      </c>
      <c r="M20" s="58" t="s">
        <v>133</v>
      </c>
      <c r="N20" s="58" t="s">
        <v>132</v>
      </c>
      <c r="O20" s="58" t="s">
        <v>134</v>
      </c>
      <c r="P20" s="58" t="s">
        <v>136</v>
      </c>
      <c r="Q20" s="58" t="s">
        <v>137</v>
      </c>
      <c r="R20" s="58" t="s">
        <v>138</v>
      </c>
      <c r="S20" s="59" t="s">
        <v>250</v>
      </c>
      <c r="T20" s="59" t="s">
        <v>139</v>
      </c>
      <c r="U20" s="56" t="s">
        <v>140</v>
      </c>
      <c r="V20" s="59" t="s">
        <v>141</v>
      </c>
      <c r="W20" s="60" t="s">
        <v>142</v>
      </c>
    </row>
    <row r="21" spans="2:23" x14ac:dyDescent="0.25">
      <c r="B21" s="142" t="s">
        <v>240</v>
      </c>
      <c r="C21" s="142"/>
      <c r="D21" s="116"/>
      <c r="E21" t="s">
        <v>242</v>
      </c>
      <c r="F21" t="s">
        <v>297</v>
      </c>
      <c r="G21" t="s">
        <v>298</v>
      </c>
      <c r="H21" t="s">
        <v>299</v>
      </c>
      <c r="I21" t="s">
        <v>300</v>
      </c>
      <c r="J21" t="s">
        <v>305</v>
      </c>
      <c r="K21" t="s">
        <v>306</v>
      </c>
      <c r="L21" t="s">
        <v>302</v>
      </c>
      <c r="M21" t="s">
        <v>307</v>
      </c>
      <c r="N21" t="s">
        <v>308</v>
      </c>
      <c r="O21" t="s">
        <v>309</v>
      </c>
      <c r="P21" t="s">
        <v>310</v>
      </c>
      <c r="Q21" s="122" t="s">
        <v>311</v>
      </c>
      <c r="R21" s="122" t="s">
        <v>332</v>
      </c>
      <c r="S21" s="122" t="s">
        <v>318</v>
      </c>
      <c r="T21" s="122" t="s">
        <v>317</v>
      </c>
      <c r="U21" s="122" t="s">
        <v>319</v>
      </c>
      <c r="V21" s="141"/>
      <c r="W21" s="121"/>
    </row>
    <row r="22" spans="2:23" x14ac:dyDescent="0.25">
      <c r="F22" s="101" t="s">
        <v>244</v>
      </c>
    </row>
    <row r="23" spans="2:23" x14ac:dyDescent="0.25">
      <c r="D23" s="101" t="s">
        <v>283</v>
      </c>
    </row>
    <row r="26" spans="2:23" ht="15.75" thickBot="1" x14ac:dyDescent="0.3">
      <c r="D26" t="s">
        <v>334</v>
      </c>
    </row>
    <row r="27" spans="2:23" ht="15.75" x14ac:dyDescent="0.25">
      <c r="D27" s="37">
        <v>1</v>
      </c>
      <c r="E27" s="38">
        <v>2</v>
      </c>
      <c r="F27" s="38">
        <v>3</v>
      </c>
      <c r="G27" s="38">
        <v>4</v>
      </c>
      <c r="H27" s="39">
        <v>5</v>
      </c>
      <c r="I27" s="39">
        <v>6</v>
      </c>
      <c r="J27" s="39">
        <v>7</v>
      </c>
      <c r="K27" s="48">
        <v>8</v>
      </c>
      <c r="L27" s="48">
        <v>9</v>
      </c>
      <c r="M27" s="48">
        <v>10</v>
      </c>
      <c r="N27" s="48">
        <v>11</v>
      </c>
      <c r="O27" s="48">
        <v>12</v>
      </c>
      <c r="P27" s="48">
        <v>13</v>
      </c>
      <c r="Q27" s="40">
        <v>14</v>
      </c>
      <c r="R27" s="40">
        <v>15</v>
      </c>
      <c r="S27" s="40">
        <v>16</v>
      </c>
      <c r="T27" s="40">
        <v>17</v>
      </c>
      <c r="U27" s="40">
        <v>18</v>
      </c>
      <c r="V27" s="40">
        <v>19</v>
      </c>
      <c r="W27" s="41">
        <v>20</v>
      </c>
    </row>
    <row r="28" spans="2:23" ht="15.75" x14ac:dyDescent="0.25">
      <c r="D28" s="50"/>
      <c r="E28" s="109" t="s">
        <v>320</v>
      </c>
      <c r="F28" s="50" t="s">
        <v>321</v>
      </c>
      <c r="G28" s="50" t="s">
        <v>335</v>
      </c>
      <c r="H28" s="51"/>
      <c r="I28" s="51"/>
      <c r="J28" s="51"/>
      <c r="K28" s="52" t="s">
        <v>340</v>
      </c>
      <c r="L28" s="52" t="s">
        <v>322</v>
      </c>
      <c r="M28" s="52" t="s">
        <v>323</v>
      </c>
      <c r="N28" s="52" t="s">
        <v>324</v>
      </c>
      <c r="O28" s="52" t="s">
        <v>325</v>
      </c>
      <c r="P28" s="52" t="s">
        <v>99</v>
      </c>
      <c r="Q28" s="53"/>
      <c r="R28" s="53"/>
      <c r="S28" s="53"/>
      <c r="T28" s="53"/>
      <c r="U28" s="53"/>
      <c r="V28" s="53"/>
      <c r="W28" s="54" t="s">
        <v>344</v>
      </c>
    </row>
    <row r="29" spans="2:23" ht="15.75" x14ac:dyDescent="0.25">
      <c r="D29" s="42">
        <v>21</v>
      </c>
      <c r="E29" s="43">
        <v>22</v>
      </c>
      <c r="F29" s="43">
        <v>23</v>
      </c>
      <c r="G29" s="43">
        <v>24</v>
      </c>
      <c r="H29" s="43">
        <v>25</v>
      </c>
      <c r="I29" s="43">
        <v>26</v>
      </c>
      <c r="J29" s="44">
        <v>27</v>
      </c>
      <c r="K29" s="44">
        <v>28</v>
      </c>
      <c r="L29" s="44">
        <v>29</v>
      </c>
      <c r="M29" s="45">
        <v>30</v>
      </c>
      <c r="N29" s="45">
        <v>31</v>
      </c>
      <c r="O29" s="45">
        <v>32</v>
      </c>
      <c r="P29" s="45">
        <v>33</v>
      </c>
      <c r="Q29" s="45">
        <v>34</v>
      </c>
      <c r="R29" s="45">
        <v>35</v>
      </c>
      <c r="S29" s="46">
        <v>36</v>
      </c>
      <c r="T29" s="46">
        <v>37</v>
      </c>
      <c r="U29" s="46">
        <v>38</v>
      </c>
      <c r="V29" s="46">
        <v>39</v>
      </c>
      <c r="W29" s="47">
        <v>40</v>
      </c>
    </row>
    <row r="30" spans="2:23" ht="16.5" thickBot="1" x14ac:dyDescent="0.3">
      <c r="D30" s="55" t="s">
        <v>326</v>
      </c>
      <c r="E30" s="56" t="s">
        <v>132</v>
      </c>
      <c r="F30" s="56" t="s">
        <v>338</v>
      </c>
      <c r="G30" s="56" t="s">
        <v>327</v>
      </c>
      <c r="H30" s="56" t="s">
        <v>132</v>
      </c>
      <c r="I30" s="56" t="s">
        <v>329</v>
      </c>
      <c r="J30" s="57" t="s">
        <v>328</v>
      </c>
      <c r="K30" s="57" t="s">
        <v>343</v>
      </c>
      <c r="L30" s="57"/>
      <c r="M30" s="58" t="s">
        <v>132</v>
      </c>
      <c r="N30" s="58"/>
      <c r="O30" s="58"/>
      <c r="P30" s="58"/>
      <c r="Q30" s="58"/>
      <c r="R30" s="58" t="s">
        <v>330</v>
      </c>
      <c r="S30" s="59" t="s">
        <v>331</v>
      </c>
      <c r="T30" s="59" t="s">
        <v>132</v>
      </c>
      <c r="U30" s="59" t="s">
        <v>333</v>
      </c>
      <c r="V30" s="59"/>
      <c r="W30" s="60" t="s">
        <v>132</v>
      </c>
    </row>
    <row r="31" spans="2:23" x14ac:dyDescent="0.25">
      <c r="D31" s="116"/>
      <c r="E31" t="s">
        <v>336</v>
      </c>
      <c r="Q31" s="122"/>
      <c r="R31" s="122"/>
      <c r="S31" s="122"/>
      <c r="T31" s="122"/>
      <c r="U31" s="122"/>
      <c r="V31" s="121"/>
      <c r="W31" s="121"/>
    </row>
    <row r="32" spans="2:23" x14ac:dyDescent="0.25">
      <c r="E32" t="s">
        <v>337</v>
      </c>
      <c r="J32" t="s">
        <v>341</v>
      </c>
      <c r="L32" t="s">
        <v>346</v>
      </c>
      <c r="W32" t="s">
        <v>345</v>
      </c>
    </row>
    <row r="33" spans="5:7" x14ac:dyDescent="0.25">
      <c r="E33" t="s">
        <v>339</v>
      </c>
      <c r="G33" t="s">
        <v>342</v>
      </c>
    </row>
  </sheetData>
  <mergeCells count="2">
    <mergeCell ref="B14:C14"/>
    <mergeCell ref="B21:C2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BF953-EB22-415D-A7CA-13483BD68ED2}">
  <dimension ref="B1:AA33"/>
  <sheetViews>
    <sheetView topLeftCell="A2" zoomScale="80" zoomScaleNormal="80" workbookViewId="0">
      <selection activeCell="J6" sqref="J6"/>
    </sheetView>
  </sheetViews>
  <sheetFormatPr defaultRowHeight="15" x14ac:dyDescent="0.25"/>
  <cols>
    <col min="1" max="1" width="3.42578125" customWidth="1"/>
    <col min="2" max="2" width="4" customWidth="1"/>
    <col min="3" max="3" width="6.28515625" customWidth="1"/>
    <col min="5" max="5" width="10.140625" customWidth="1"/>
    <col min="6" max="6" width="10" customWidth="1"/>
    <col min="7" max="7" width="10.85546875" customWidth="1"/>
    <col min="19" max="19" width="10.7109375" customWidth="1"/>
  </cols>
  <sheetData>
    <row r="1" spans="2:25" hidden="1" x14ac:dyDescent="0.25"/>
    <row r="2" spans="2:25" ht="15.75" thickBot="1" x14ac:dyDescent="0.3">
      <c r="D2" t="s">
        <v>24</v>
      </c>
    </row>
    <row r="3" spans="2:25" ht="15.75" x14ac:dyDescent="0.25">
      <c r="D3" s="37">
        <v>1</v>
      </c>
      <c r="E3" s="38">
        <v>2</v>
      </c>
      <c r="F3" s="38">
        <v>3</v>
      </c>
      <c r="G3" s="38">
        <v>4</v>
      </c>
      <c r="H3" s="39">
        <v>5</v>
      </c>
      <c r="I3" s="39">
        <v>6</v>
      </c>
      <c r="J3" s="39">
        <v>7</v>
      </c>
      <c r="K3" s="48">
        <v>8</v>
      </c>
      <c r="L3" s="48">
        <v>9</v>
      </c>
      <c r="M3" s="48">
        <v>10</v>
      </c>
      <c r="N3" s="48">
        <v>11</v>
      </c>
      <c r="O3" s="48">
        <v>12</v>
      </c>
      <c r="P3" s="48">
        <v>13</v>
      </c>
      <c r="Q3" s="40">
        <v>14</v>
      </c>
      <c r="R3" s="40">
        <v>15</v>
      </c>
      <c r="S3" s="40">
        <v>16</v>
      </c>
      <c r="T3" s="40">
        <v>17</v>
      </c>
      <c r="U3" s="40">
        <v>18</v>
      </c>
      <c r="V3" s="40">
        <v>19</v>
      </c>
      <c r="W3" s="41">
        <v>20</v>
      </c>
      <c r="Y3" s="53" t="s">
        <v>370</v>
      </c>
    </row>
    <row r="4" spans="2:25" ht="16.5" thickBot="1" x14ac:dyDescent="0.3">
      <c r="D4" s="49" t="s">
        <v>25</v>
      </c>
      <c r="E4" s="50" t="s">
        <v>26</v>
      </c>
      <c r="F4" s="138" t="s">
        <v>321</v>
      </c>
      <c r="G4" s="50" t="s">
        <v>28</v>
      </c>
      <c r="H4" s="51" t="s">
        <v>29</v>
      </c>
      <c r="I4" s="51" t="s">
        <v>30</v>
      </c>
      <c r="J4" s="51" t="s">
        <v>31</v>
      </c>
      <c r="K4" s="52" t="s">
        <v>32</v>
      </c>
      <c r="L4" s="52" t="s">
        <v>33</v>
      </c>
      <c r="M4" s="52" t="s">
        <v>34</v>
      </c>
      <c r="N4" s="52" t="s">
        <v>152</v>
      </c>
      <c r="O4" s="52" t="s">
        <v>36</v>
      </c>
      <c r="P4" s="52" t="s">
        <v>37</v>
      </c>
      <c r="Q4" s="137" t="s">
        <v>140</v>
      </c>
      <c r="R4" s="53" t="s">
        <v>39</v>
      </c>
      <c r="S4" s="53" t="s">
        <v>40</v>
      </c>
      <c r="T4" s="53" t="s">
        <v>41</v>
      </c>
      <c r="U4" s="53" t="s">
        <v>42</v>
      </c>
      <c r="V4" s="53" t="s">
        <v>43</v>
      </c>
      <c r="W4" s="54" t="s">
        <v>44</v>
      </c>
      <c r="Y4" s="53" t="s">
        <v>347</v>
      </c>
    </row>
    <row r="5" spans="2:25" ht="15.75" x14ac:dyDescent="0.25">
      <c r="D5" s="42">
        <v>21</v>
      </c>
      <c r="E5" s="43">
        <v>22</v>
      </c>
      <c r="F5" s="43">
        <v>23</v>
      </c>
      <c r="G5" s="43">
        <v>24</v>
      </c>
      <c r="H5" s="43">
        <v>25</v>
      </c>
      <c r="I5" s="43">
        <v>26</v>
      </c>
      <c r="J5" s="44">
        <v>27</v>
      </c>
      <c r="K5" s="44">
        <v>28</v>
      </c>
      <c r="L5" s="44">
        <v>29</v>
      </c>
      <c r="M5" s="45">
        <v>30</v>
      </c>
      <c r="N5" s="45">
        <v>31</v>
      </c>
      <c r="O5" s="45">
        <v>32</v>
      </c>
      <c r="P5" s="45">
        <v>33</v>
      </c>
      <c r="Q5" s="45">
        <v>34</v>
      </c>
      <c r="R5" s="45">
        <v>35</v>
      </c>
      <c r="S5" s="46">
        <v>36</v>
      </c>
      <c r="T5" s="46">
        <v>37</v>
      </c>
      <c r="U5" s="46">
        <v>38</v>
      </c>
      <c r="V5" s="46">
        <v>39</v>
      </c>
      <c r="W5" s="47">
        <v>40</v>
      </c>
      <c r="Y5" s="53" t="s">
        <v>365</v>
      </c>
    </row>
    <row r="6" spans="2:25" ht="16.5" thickBot="1" x14ac:dyDescent="0.3">
      <c r="D6" s="55" t="s">
        <v>45</v>
      </c>
      <c r="E6" s="56" t="s">
        <v>46</v>
      </c>
      <c r="F6" s="56" t="s">
        <v>47</v>
      </c>
      <c r="G6" s="56" t="s">
        <v>48</v>
      </c>
      <c r="H6" s="56" t="s">
        <v>49</v>
      </c>
      <c r="I6" s="56" t="s">
        <v>282</v>
      </c>
      <c r="J6" s="57" t="s">
        <v>50</v>
      </c>
      <c r="K6" s="57" t="s">
        <v>51</v>
      </c>
      <c r="L6" s="57" t="s">
        <v>52</v>
      </c>
      <c r="M6" s="137" t="s">
        <v>330</v>
      </c>
      <c r="N6" s="58" t="s">
        <v>54</v>
      </c>
      <c r="O6" s="58" t="s">
        <v>55</v>
      </c>
      <c r="P6" s="58" t="s">
        <v>56</v>
      </c>
      <c r="Q6" s="58" t="s">
        <v>57</v>
      </c>
      <c r="R6" s="58" t="s">
        <v>59</v>
      </c>
      <c r="S6" s="59" t="s">
        <v>58</v>
      </c>
      <c r="T6" s="137" t="s">
        <v>252</v>
      </c>
      <c r="U6" s="59" t="s">
        <v>61</v>
      </c>
      <c r="V6" s="59" t="s">
        <v>62</v>
      </c>
      <c r="W6" s="60" t="s">
        <v>63</v>
      </c>
      <c r="Y6" s="53" t="s">
        <v>349</v>
      </c>
    </row>
    <row r="7" spans="2:25" ht="0.75" customHeight="1" x14ac:dyDescent="0.25"/>
    <row r="8" spans="2:25" ht="9" customHeight="1" x14ac:dyDescent="0.25"/>
    <row r="9" spans="2:25" ht="15.75" thickBot="1" x14ac:dyDescent="0.3">
      <c r="D9" t="s">
        <v>64</v>
      </c>
    </row>
    <row r="10" spans="2:25" ht="15.75" x14ac:dyDescent="0.25">
      <c r="D10" s="37">
        <v>1</v>
      </c>
      <c r="E10" s="38">
        <v>2</v>
      </c>
      <c r="F10" s="38">
        <v>3</v>
      </c>
      <c r="G10" s="38">
        <v>4</v>
      </c>
      <c r="H10" s="39">
        <v>5</v>
      </c>
      <c r="I10" s="39">
        <v>6</v>
      </c>
      <c r="J10" s="39">
        <v>7</v>
      </c>
      <c r="K10" s="48">
        <v>8</v>
      </c>
      <c r="L10" s="48">
        <v>9</v>
      </c>
      <c r="M10" s="48">
        <v>10</v>
      </c>
      <c r="N10" s="48">
        <v>11</v>
      </c>
      <c r="O10" s="48">
        <v>12</v>
      </c>
      <c r="P10" s="48">
        <v>13</v>
      </c>
      <c r="Q10" s="40">
        <v>14</v>
      </c>
      <c r="R10" s="40">
        <v>15</v>
      </c>
      <c r="S10" s="40">
        <v>16</v>
      </c>
      <c r="T10" s="40">
        <v>17</v>
      </c>
      <c r="U10" s="40">
        <v>18</v>
      </c>
      <c r="V10" s="40">
        <v>19</v>
      </c>
      <c r="W10" s="41">
        <v>20</v>
      </c>
      <c r="Y10" s="53" t="s">
        <v>350</v>
      </c>
    </row>
    <row r="11" spans="2:25" ht="15.75" x14ac:dyDescent="0.25">
      <c r="D11" s="49" t="s">
        <v>108</v>
      </c>
      <c r="E11" s="50" t="s">
        <v>145</v>
      </c>
      <c r="F11" s="50" t="s">
        <v>146</v>
      </c>
      <c r="G11" s="50" t="s">
        <v>147</v>
      </c>
      <c r="H11" s="51" t="s">
        <v>148</v>
      </c>
      <c r="I11" s="51" t="s">
        <v>149</v>
      </c>
      <c r="J11" s="51" t="s">
        <v>150</v>
      </c>
      <c r="K11" s="52" t="s">
        <v>151</v>
      </c>
      <c r="L11" s="52" t="s">
        <v>35</v>
      </c>
      <c r="M11" s="52" t="s">
        <v>247</v>
      </c>
      <c r="N11" s="52" t="s">
        <v>153</v>
      </c>
      <c r="O11" s="52" t="s">
        <v>154</v>
      </c>
      <c r="P11" s="138" t="s">
        <v>322</v>
      </c>
      <c r="Q11" s="53" t="s">
        <v>143</v>
      </c>
      <c r="R11" s="53" t="s">
        <v>156</v>
      </c>
      <c r="S11" s="53" t="s">
        <v>157</v>
      </c>
      <c r="T11" s="53" t="s">
        <v>158</v>
      </c>
      <c r="U11" s="53" t="s">
        <v>159</v>
      </c>
      <c r="V11" s="53" t="s">
        <v>160</v>
      </c>
      <c r="W11" s="54" t="s">
        <v>161</v>
      </c>
      <c r="Y11" s="53" t="s">
        <v>351</v>
      </c>
    </row>
    <row r="12" spans="2:25" ht="15.75" x14ac:dyDescent="0.25">
      <c r="D12" s="42">
        <v>21</v>
      </c>
      <c r="E12" s="43">
        <v>22</v>
      </c>
      <c r="F12" s="43">
        <v>23</v>
      </c>
      <c r="G12" s="43">
        <v>24</v>
      </c>
      <c r="H12" s="43">
        <v>25</v>
      </c>
      <c r="I12" s="43">
        <v>26</v>
      </c>
      <c r="J12" s="44">
        <v>27</v>
      </c>
      <c r="K12" s="44">
        <v>28</v>
      </c>
      <c r="L12" s="44">
        <v>29</v>
      </c>
      <c r="M12" s="45">
        <v>30</v>
      </c>
      <c r="N12" s="45">
        <v>31</v>
      </c>
      <c r="O12" s="45">
        <v>32</v>
      </c>
      <c r="P12" s="45">
        <v>33</v>
      </c>
      <c r="Q12" s="45">
        <v>34</v>
      </c>
      <c r="R12" s="45">
        <v>35</v>
      </c>
      <c r="S12" s="46">
        <v>36</v>
      </c>
      <c r="T12" s="46">
        <v>37</v>
      </c>
      <c r="U12" s="46">
        <v>38</v>
      </c>
      <c r="V12" s="46">
        <v>39</v>
      </c>
      <c r="W12" s="47">
        <v>40</v>
      </c>
      <c r="Y12" s="53" t="s">
        <v>360</v>
      </c>
    </row>
    <row r="13" spans="2:25" ht="16.5" thickBot="1" x14ac:dyDescent="0.3">
      <c r="D13" s="55" t="s">
        <v>144</v>
      </c>
      <c r="E13" s="56" t="s">
        <v>162</v>
      </c>
      <c r="F13" s="56" t="s">
        <v>132</v>
      </c>
      <c r="G13" s="56" t="s">
        <v>163</v>
      </c>
      <c r="H13" s="56" t="s">
        <v>164</v>
      </c>
      <c r="I13" s="56" t="s">
        <v>167</v>
      </c>
      <c r="J13" s="57" t="s">
        <v>165</v>
      </c>
      <c r="K13" s="57" t="s">
        <v>166</v>
      </c>
      <c r="L13" s="57" t="s">
        <v>168</v>
      </c>
      <c r="M13" s="58" t="s">
        <v>249</v>
      </c>
      <c r="N13" s="137" t="s">
        <v>132</v>
      </c>
      <c r="O13" s="138" t="s">
        <v>155</v>
      </c>
      <c r="P13" s="58" t="s">
        <v>171</v>
      </c>
      <c r="Q13" s="140" t="s">
        <v>132</v>
      </c>
      <c r="R13" s="58" t="s">
        <v>172</v>
      </c>
      <c r="S13" s="59" t="s">
        <v>173</v>
      </c>
      <c r="T13" s="137" t="s">
        <v>60</v>
      </c>
      <c r="U13" s="59" t="s">
        <v>174</v>
      </c>
      <c r="V13" s="59" t="s">
        <v>175</v>
      </c>
      <c r="W13" s="60" t="s">
        <v>176</v>
      </c>
      <c r="Y13" s="53" t="s">
        <v>357</v>
      </c>
    </row>
    <row r="14" spans="2:25" ht="15.75" x14ac:dyDescent="0.25">
      <c r="B14" s="142" t="s">
        <v>240</v>
      </c>
      <c r="C14" s="142"/>
      <c r="D14" t="s">
        <v>241</v>
      </c>
      <c r="E14" t="s">
        <v>246</v>
      </c>
      <c r="F14" t="s">
        <v>248</v>
      </c>
      <c r="G14" t="s">
        <v>251</v>
      </c>
      <c r="I14" s="144" t="s">
        <v>374</v>
      </c>
      <c r="K14" s="144" t="s">
        <v>375</v>
      </c>
      <c r="Y14" s="53" t="s">
        <v>371</v>
      </c>
    </row>
    <row r="15" spans="2:25" ht="4.5" customHeight="1" x14ac:dyDescent="0.25">
      <c r="K15" s="145"/>
    </row>
    <row r="16" spans="2:25" ht="15.75" thickBot="1" x14ac:dyDescent="0.3">
      <c r="D16" t="s">
        <v>65</v>
      </c>
      <c r="H16" s="144" t="s">
        <v>376</v>
      </c>
      <c r="I16" s="146"/>
      <c r="J16" s="146"/>
    </row>
    <row r="17" spans="2:27" ht="16.5" thickBot="1" x14ac:dyDescent="0.3">
      <c r="D17" s="37">
        <v>1</v>
      </c>
      <c r="E17" s="38">
        <v>2</v>
      </c>
      <c r="F17" s="38">
        <v>3</v>
      </c>
      <c r="G17" s="38">
        <v>4</v>
      </c>
      <c r="H17" s="39">
        <v>5</v>
      </c>
      <c r="I17" s="39">
        <v>6</v>
      </c>
      <c r="J17" s="39">
        <v>7</v>
      </c>
      <c r="K17" s="48">
        <v>8</v>
      </c>
      <c r="L17" s="48">
        <v>9</v>
      </c>
      <c r="M17" s="48">
        <v>10</v>
      </c>
      <c r="N17" s="48">
        <v>11</v>
      </c>
      <c r="O17" s="48">
        <v>12</v>
      </c>
      <c r="P17" s="48">
        <v>13</v>
      </c>
      <c r="Q17" s="40">
        <v>14</v>
      </c>
      <c r="R17" s="40">
        <v>15</v>
      </c>
      <c r="S17" s="40">
        <v>16</v>
      </c>
      <c r="T17" s="40">
        <v>17</v>
      </c>
      <c r="U17" s="40">
        <v>18</v>
      </c>
      <c r="V17" s="40">
        <v>19</v>
      </c>
      <c r="W17" s="41">
        <v>20</v>
      </c>
      <c r="Y17" s="53" t="s">
        <v>352</v>
      </c>
      <c r="AA17" s="56" t="s">
        <v>140</v>
      </c>
    </row>
    <row r="18" spans="2:27" ht="15.75" x14ac:dyDescent="0.25">
      <c r="D18" s="50" t="s">
        <v>296</v>
      </c>
      <c r="E18" s="50" t="s">
        <v>107</v>
      </c>
      <c r="F18" s="50" t="s">
        <v>109</v>
      </c>
      <c r="G18" s="50" t="s">
        <v>110</v>
      </c>
      <c r="H18" s="51" t="s">
        <v>111</v>
      </c>
      <c r="I18" s="138" t="s">
        <v>27</v>
      </c>
      <c r="J18" s="51" t="s">
        <v>267</v>
      </c>
      <c r="K18" s="52" t="s">
        <v>113</v>
      </c>
      <c r="L18" s="138" t="s">
        <v>325</v>
      </c>
      <c r="M18" s="52" t="s">
        <v>115</v>
      </c>
      <c r="N18" s="52" t="s">
        <v>117</v>
      </c>
      <c r="O18" s="138" t="s">
        <v>324</v>
      </c>
      <c r="P18" s="52" t="s">
        <v>119</v>
      </c>
      <c r="Q18" s="53" t="s">
        <v>120</v>
      </c>
      <c r="R18" s="53" t="s">
        <v>121</v>
      </c>
      <c r="S18" s="53" t="s">
        <v>135</v>
      </c>
      <c r="T18" s="53" t="s">
        <v>122</v>
      </c>
      <c r="U18" s="53" t="s">
        <v>123</v>
      </c>
      <c r="V18" s="53" t="s">
        <v>124</v>
      </c>
      <c r="W18" s="54" t="s">
        <v>125</v>
      </c>
      <c r="Y18" s="53" t="s">
        <v>353</v>
      </c>
    </row>
    <row r="19" spans="2:27" ht="15.75" x14ac:dyDescent="0.25">
      <c r="D19" s="42">
        <v>21</v>
      </c>
      <c r="E19" s="43">
        <v>22</v>
      </c>
      <c r="F19" s="43">
        <v>23</v>
      </c>
      <c r="G19" s="43">
        <v>24</v>
      </c>
      <c r="H19" s="43">
        <v>25</v>
      </c>
      <c r="I19" s="43">
        <v>26</v>
      </c>
      <c r="J19" s="44">
        <v>27</v>
      </c>
      <c r="K19" s="44">
        <v>28</v>
      </c>
      <c r="L19" s="44">
        <v>29</v>
      </c>
      <c r="M19" s="45">
        <v>30</v>
      </c>
      <c r="N19" s="45">
        <v>31</v>
      </c>
      <c r="O19" s="45">
        <v>32</v>
      </c>
      <c r="P19" s="45">
        <v>33</v>
      </c>
      <c r="Q19" s="45">
        <v>34</v>
      </c>
      <c r="R19" s="45">
        <v>35</v>
      </c>
      <c r="S19" s="46">
        <v>36</v>
      </c>
      <c r="T19" s="46">
        <v>37</v>
      </c>
      <c r="U19" s="46">
        <v>38</v>
      </c>
      <c r="V19" s="46">
        <v>39</v>
      </c>
      <c r="W19" s="47">
        <v>40</v>
      </c>
      <c r="Y19" s="53" t="s">
        <v>354</v>
      </c>
    </row>
    <row r="20" spans="2:27" ht="16.5" thickBot="1" x14ac:dyDescent="0.3">
      <c r="D20" s="55" t="s">
        <v>126</v>
      </c>
      <c r="E20" s="110" t="s">
        <v>301</v>
      </c>
      <c r="F20" s="56" t="s">
        <v>127</v>
      </c>
      <c r="G20" s="56" t="s">
        <v>128</v>
      </c>
      <c r="H20" s="56" t="s">
        <v>129</v>
      </c>
      <c r="I20" s="56" t="s">
        <v>130</v>
      </c>
      <c r="J20" s="57" t="s">
        <v>268</v>
      </c>
      <c r="K20" s="57" t="s">
        <v>131</v>
      </c>
      <c r="L20" s="57" t="s">
        <v>132</v>
      </c>
      <c r="M20" s="58" t="s">
        <v>133</v>
      </c>
      <c r="N20" s="58" t="s">
        <v>132</v>
      </c>
      <c r="O20" s="58" t="s">
        <v>134</v>
      </c>
      <c r="P20" s="58" t="s">
        <v>136</v>
      </c>
      <c r="Q20" s="140" t="s">
        <v>132</v>
      </c>
      <c r="R20" s="138" t="s">
        <v>114</v>
      </c>
      <c r="S20" s="59" t="s">
        <v>250</v>
      </c>
      <c r="T20" s="59" t="s">
        <v>139</v>
      </c>
      <c r="U20" s="137" t="s">
        <v>132</v>
      </c>
      <c r="V20" s="59" t="s">
        <v>141</v>
      </c>
      <c r="W20" s="60" t="s">
        <v>142</v>
      </c>
      <c r="Y20" s="53" t="s">
        <v>356</v>
      </c>
    </row>
    <row r="21" spans="2:27" ht="15.75" x14ac:dyDescent="0.25">
      <c r="B21" s="142" t="s">
        <v>240</v>
      </c>
      <c r="C21" s="142"/>
      <c r="D21" s="116"/>
      <c r="E21" t="s">
        <v>242</v>
      </c>
      <c r="F21" t="s">
        <v>297</v>
      </c>
      <c r="G21" t="s">
        <v>298</v>
      </c>
      <c r="H21" t="s">
        <v>299</v>
      </c>
      <c r="I21" t="s">
        <v>300</v>
      </c>
      <c r="J21" t="s">
        <v>305</v>
      </c>
      <c r="K21" t="s">
        <v>306</v>
      </c>
      <c r="L21" t="s">
        <v>302</v>
      </c>
      <c r="M21" t="s">
        <v>307</v>
      </c>
      <c r="N21" t="s">
        <v>308</v>
      </c>
      <c r="O21" t="s">
        <v>309</v>
      </c>
      <c r="P21" t="s">
        <v>310</v>
      </c>
      <c r="Q21" s="122" t="s">
        <v>311</v>
      </c>
      <c r="R21" s="122" t="s">
        <v>332</v>
      </c>
      <c r="S21" s="122" t="s">
        <v>318</v>
      </c>
      <c r="T21" s="122" t="s">
        <v>317</v>
      </c>
      <c r="U21" s="122" t="s">
        <v>319</v>
      </c>
      <c r="V21" s="121"/>
      <c r="W21" s="121"/>
      <c r="Y21" s="53" t="s">
        <v>363</v>
      </c>
    </row>
    <row r="22" spans="2:27" ht="15.75" x14ac:dyDescent="0.25">
      <c r="D22" s="101" t="s">
        <v>283</v>
      </c>
      <c r="F22" s="101" t="s">
        <v>244</v>
      </c>
      <c r="H22" s="144" t="s">
        <v>373</v>
      </c>
      <c r="J22" s="144" t="s">
        <v>372</v>
      </c>
      <c r="Y22" s="53" t="s">
        <v>367</v>
      </c>
    </row>
    <row r="23" spans="2:27" ht="7.5" customHeight="1" x14ac:dyDescent="0.25">
      <c r="H23" s="145"/>
      <c r="I23" s="104"/>
      <c r="J23" s="145"/>
    </row>
    <row r="24" spans="2:27" ht="3.75" customHeight="1" x14ac:dyDescent="0.25"/>
    <row r="25" spans="2:27" hidden="1" x14ac:dyDescent="0.25"/>
    <row r="26" spans="2:27" ht="15.75" thickBot="1" x14ac:dyDescent="0.3">
      <c r="D26" t="s">
        <v>334</v>
      </c>
    </row>
    <row r="27" spans="2:27" ht="15.75" x14ac:dyDescent="0.25">
      <c r="D27" s="37">
        <v>1</v>
      </c>
      <c r="E27" s="38">
        <v>2</v>
      </c>
      <c r="F27" s="38">
        <v>3</v>
      </c>
      <c r="G27" s="38">
        <v>4</v>
      </c>
      <c r="H27" s="39">
        <v>5</v>
      </c>
      <c r="I27" s="39">
        <v>6</v>
      </c>
      <c r="J27" s="39">
        <v>7</v>
      </c>
      <c r="K27" s="48">
        <v>8</v>
      </c>
      <c r="L27" s="48">
        <v>9</v>
      </c>
      <c r="M27" s="48">
        <v>10</v>
      </c>
      <c r="N27" s="48">
        <v>11</v>
      </c>
      <c r="O27" s="48">
        <v>12</v>
      </c>
      <c r="P27" s="48">
        <v>13</v>
      </c>
      <c r="Q27" s="40">
        <v>14</v>
      </c>
      <c r="R27" s="40">
        <v>15</v>
      </c>
      <c r="S27" s="40">
        <v>16</v>
      </c>
      <c r="T27" s="40">
        <v>17</v>
      </c>
      <c r="U27" s="40">
        <v>18</v>
      </c>
      <c r="V27" s="40">
        <v>19</v>
      </c>
      <c r="W27" s="41">
        <v>20</v>
      </c>
      <c r="Y27" s="53" t="s">
        <v>358</v>
      </c>
    </row>
    <row r="28" spans="2:27" ht="16.5" thickBot="1" x14ac:dyDescent="0.3">
      <c r="D28" s="49"/>
      <c r="E28" s="109" t="s">
        <v>320</v>
      </c>
      <c r="G28" s="50" t="s">
        <v>335</v>
      </c>
      <c r="H28" s="51"/>
      <c r="I28" s="51"/>
      <c r="J28" s="51"/>
      <c r="K28" s="52" t="s">
        <v>340</v>
      </c>
      <c r="L28" s="138" t="s">
        <v>118</v>
      </c>
      <c r="M28" s="52" t="s">
        <v>323</v>
      </c>
      <c r="P28" s="52" t="s">
        <v>99</v>
      </c>
      <c r="Q28" s="135" t="s">
        <v>138</v>
      </c>
      <c r="R28" s="135" t="s">
        <v>53</v>
      </c>
      <c r="S28" s="135" t="s">
        <v>170</v>
      </c>
      <c r="T28" s="135" t="s">
        <v>132</v>
      </c>
      <c r="U28" s="135" t="s">
        <v>348</v>
      </c>
      <c r="V28" s="136" t="s">
        <v>169</v>
      </c>
      <c r="W28" s="54" t="s">
        <v>344</v>
      </c>
      <c r="Y28" s="53" t="s">
        <v>362</v>
      </c>
    </row>
    <row r="29" spans="2:27" ht="15.75" x14ac:dyDescent="0.25">
      <c r="D29" s="42">
        <v>21</v>
      </c>
      <c r="E29" s="43">
        <v>22</v>
      </c>
      <c r="F29" s="43">
        <v>23</v>
      </c>
      <c r="G29" s="43">
        <v>24</v>
      </c>
      <c r="H29" s="43">
        <v>25</v>
      </c>
      <c r="I29" s="43">
        <v>26</v>
      </c>
      <c r="J29" s="44">
        <v>27</v>
      </c>
      <c r="K29" s="44">
        <v>28</v>
      </c>
      <c r="L29" s="44">
        <v>29</v>
      </c>
      <c r="M29" s="45">
        <v>30</v>
      </c>
      <c r="N29" s="45">
        <v>31</v>
      </c>
      <c r="O29" s="45">
        <v>32</v>
      </c>
      <c r="P29" s="45">
        <v>33</v>
      </c>
      <c r="Q29" s="45">
        <v>34</v>
      </c>
      <c r="R29" s="45">
        <v>35</v>
      </c>
      <c r="S29" s="46">
        <v>36</v>
      </c>
      <c r="T29" s="46">
        <v>37</v>
      </c>
      <c r="U29" s="46">
        <v>38</v>
      </c>
      <c r="V29" s="46">
        <v>39</v>
      </c>
      <c r="W29" s="47">
        <v>40</v>
      </c>
      <c r="Y29" s="53" t="s">
        <v>361</v>
      </c>
    </row>
    <row r="30" spans="2:27" ht="16.5" thickBot="1" x14ac:dyDescent="0.3">
      <c r="D30" s="55" t="s">
        <v>326</v>
      </c>
      <c r="E30" s="56" t="s">
        <v>132</v>
      </c>
      <c r="F30" s="56" t="s">
        <v>338</v>
      </c>
      <c r="G30" s="56" t="s">
        <v>327</v>
      </c>
      <c r="H30" s="56" t="s">
        <v>132</v>
      </c>
      <c r="I30" s="56" t="s">
        <v>329</v>
      </c>
      <c r="J30" s="57" t="s">
        <v>328</v>
      </c>
      <c r="K30" s="57" t="s">
        <v>343</v>
      </c>
      <c r="L30" s="57"/>
      <c r="N30" s="58"/>
      <c r="O30" s="58"/>
      <c r="P30" s="135" t="s">
        <v>245</v>
      </c>
      <c r="Q30" s="136" t="s">
        <v>137</v>
      </c>
      <c r="S30" s="59" t="s">
        <v>331</v>
      </c>
      <c r="U30" s="59" t="s">
        <v>333</v>
      </c>
      <c r="V30" s="59"/>
      <c r="W30" s="60" t="s">
        <v>132</v>
      </c>
      <c r="Y30" s="53" t="s">
        <v>359</v>
      </c>
    </row>
    <row r="31" spans="2:27" ht="12.75" customHeight="1" x14ac:dyDescent="0.25">
      <c r="D31" s="116"/>
      <c r="E31" t="s">
        <v>336</v>
      </c>
      <c r="Q31" s="122"/>
      <c r="R31" s="122"/>
      <c r="S31" s="122"/>
      <c r="T31" s="122"/>
      <c r="U31" s="122"/>
      <c r="V31" s="121"/>
      <c r="W31" s="121"/>
      <c r="Y31" s="53" t="s">
        <v>364</v>
      </c>
    </row>
    <row r="32" spans="2:27" ht="15.75" x14ac:dyDescent="0.25">
      <c r="E32" t="s">
        <v>337</v>
      </c>
      <c r="J32" t="s">
        <v>341</v>
      </c>
      <c r="L32" t="s">
        <v>346</v>
      </c>
      <c r="U32" t="s">
        <v>345</v>
      </c>
      <c r="Y32" s="53" t="s">
        <v>366</v>
      </c>
    </row>
    <row r="33" spans="5:25" ht="15.75" x14ac:dyDescent="0.25">
      <c r="E33" t="s">
        <v>339</v>
      </c>
      <c r="G33" t="s">
        <v>342</v>
      </c>
      <c r="Y33" s="53" t="s">
        <v>368</v>
      </c>
    </row>
  </sheetData>
  <mergeCells count="2">
    <mergeCell ref="B14:C14"/>
    <mergeCell ref="B21:C2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02A0C9-9193-4CAB-8615-2156DD855F91}">
  <dimension ref="C3:V23"/>
  <sheetViews>
    <sheetView tabSelected="1" zoomScale="90" zoomScaleNormal="90" workbookViewId="0">
      <selection activeCell="P9" sqref="P9"/>
    </sheetView>
  </sheetViews>
  <sheetFormatPr defaultRowHeight="15" x14ac:dyDescent="0.25"/>
  <cols>
    <col min="1" max="1" width="5" customWidth="1"/>
    <col min="2" max="2" width="4.85546875" customWidth="1"/>
    <col min="18" max="18" width="9.7109375" customWidth="1"/>
  </cols>
  <sheetData>
    <row r="3" spans="3:22" ht="15.75" thickBot="1" x14ac:dyDescent="0.3">
      <c r="C3" t="s">
        <v>66</v>
      </c>
    </row>
    <row r="4" spans="3:22" ht="15.75" x14ac:dyDescent="0.25">
      <c r="C4" s="61">
        <v>1</v>
      </c>
      <c r="D4" s="48">
        <v>2</v>
      </c>
      <c r="E4" s="48">
        <v>3</v>
      </c>
      <c r="F4" s="48">
        <v>4</v>
      </c>
      <c r="G4" s="48">
        <v>5</v>
      </c>
      <c r="H4" s="48">
        <v>6</v>
      </c>
      <c r="I4" s="48">
        <v>7</v>
      </c>
      <c r="J4" s="48">
        <v>8</v>
      </c>
      <c r="K4" s="48">
        <v>9</v>
      </c>
      <c r="L4" s="48">
        <v>10</v>
      </c>
      <c r="M4" s="48">
        <v>11</v>
      </c>
      <c r="N4" s="40">
        <v>12</v>
      </c>
      <c r="O4" s="40">
        <v>13</v>
      </c>
      <c r="P4" s="40">
        <v>14</v>
      </c>
      <c r="Q4" s="40">
        <v>15</v>
      </c>
      <c r="R4" s="63">
        <v>16</v>
      </c>
      <c r="S4" s="63">
        <v>17</v>
      </c>
      <c r="T4" s="63">
        <v>18</v>
      </c>
      <c r="U4" s="63">
        <v>19</v>
      </c>
      <c r="V4" s="41">
        <v>20</v>
      </c>
    </row>
    <row r="5" spans="3:22" ht="15.75" x14ac:dyDescent="0.25">
      <c r="C5" s="62" t="s">
        <v>67</v>
      </c>
      <c r="D5" s="52" t="s">
        <v>68</v>
      </c>
      <c r="E5" s="52" t="s">
        <v>69</v>
      </c>
      <c r="F5" s="52" t="s">
        <v>70</v>
      </c>
      <c r="G5" s="52" t="s">
        <v>71</v>
      </c>
      <c r="H5" s="52" t="s">
        <v>72</v>
      </c>
      <c r="I5" s="52" t="s">
        <v>73</v>
      </c>
      <c r="J5" s="52" t="s">
        <v>74</v>
      </c>
      <c r="K5" s="52" t="s">
        <v>75</v>
      </c>
      <c r="L5" s="52" t="s">
        <v>76</v>
      </c>
      <c r="M5" s="52" t="s">
        <v>77</v>
      </c>
      <c r="N5" s="53" t="s">
        <v>78</v>
      </c>
      <c r="O5" s="53" t="s">
        <v>79</v>
      </c>
      <c r="P5" s="53" t="s">
        <v>80</v>
      </c>
      <c r="Q5" s="53" t="s">
        <v>81</v>
      </c>
      <c r="R5" s="64" t="s">
        <v>238</v>
      </c>
      <c r="S5" s="64" t="s">
        <v>82</v>
      </c>
      <c r="T5" s="64" t="s">
        <v>83</v>
      </c>
      <c r="U5" s="64" t="s">
        <v>84</v>
      </c>
      <c r="V5" s="54" t="s">
        <v>85</v>
      </c>
    </row>
    <row r="6" spans="3:22" ht="15.75" x14ac:dyDescent="0.25">
      <c r="C6" s="42">
        <v>21</v>
      </c>
      <c r="D6" s="43">
        <v>22</v>
      </c>
      <c r="E6" s="43">
        <v>23</v>
      </c>
      <c r="F6" s="65">
        <v>24</v>
      </c>
      <c r="G6" s="65">
        <v>25</v>
      </c>
      <c r="H6" s="65">
        <v>26</v>
      </c>
      <c r="I6" s="65">
        <v>27</v>
      </c>
      <c r="J6" s="67">
        <v>28</v>
      </c>
      <c r="K6" s="67">
        <v>29</v>
      </c>
      <c r="L6" s="67">
        <v>30</v>
      </c>
      <c r="M6" s="46">
        <v>31</v>
      </c>
      <c r="N6" s="46">
        <v>32</v>
      </c>
      <c r="O6" s="46">
        <v>33</v>
      </c>
      <c r="P6" s="69">
        <v>34</v>
      </c>
      <c r="Q6" s="69">
        <v>35</v>
      </c>
      <c r="R6" s="71">
        <v>36</v>
      </c>
      <c r="S6" s="71">
        <v>37</v>
      </c>
      <c r="T6" s="71">
        <v>38</v>
      </c>
      <c r="U6" s="71">
        <v>39</v>
      </c>
      <c r="V6" s="73">
        <v>40</v>
      </c>
    </row>
    <row r="7" spans="3:22" ht="16.5" thickBot="1" x14ac:dyDescent="0.3">
      <c r="C7" s="55" t="s">
        <v>86</v>
      </c>
      <c r="D7" s="56" t="s">
        <v>87</v>
      </c>
      <c r="E7" s="56" t="s">
        <v>88</v>
      </c>
      <c r="F7" s="66" t="s">
        <v>89</v>
      </c>
      <c r="G7" s="66" t="s">
        <v>90</v>
      </c>
      <c r="H7" s="66" t="s">
        <v>91</v>
      </c>
      <c r="I7" s="66" t="s">
        <v>92</v>
      </c>
      <c r="J7" s="68" t="s">
        <v>93</v>
      </c>
      <c r="K7" s="68" t="s">
        <v>94</v>
      </c>
      <c r="L7" s="68" t="s">
        <v>399</v>
      </c>
      <c r="M7" s="59" t="s">
        <v>95</v>
      </c>
      <c r="N7" s="59" t="s">
        <v>34</v>
      </c>
      <c r="O7" s="59" t="s">
        <v>96</v>
      </c>
      <c r="P7" s="72" t="s">
        <v>99</v>
      </c>
      <c r="Q7" s="72" t="s">
        <v>100</v>
      </c>
      <c r="R7" s="72" t="s">
        <v>101</v>
      </c>
      <c r="S7" s="72" t="s">
        <v>102</v>
      </c>
      <c r="T7" s="70" t="s">
        <v>97</v>
      </c>
      <c r="U7" s="70" t="s">
        <v>98</v>
      </c>
      <c r="V7" s="74" t="s">
        <v>103</v>
      </c>
    </row>
    <row r="8" spans="3:22" ht="15.75" x14ac:dyDescent="0.25">
      <c r="C8" s="99"/>
      <c r="D8" s="99"/>
      <c r="E8" s="99"/>
      <c r="F8" s="99"/>
      <c r="G8" s="99"/>
      <c r="H8" s="99"/>
      <c r="I8" s="99"/>
      <c r="J8" s="99"/>
      <c r="K8" s="99"/>
      <c r="L8" s="99"/>
      <c r="M8" s="99"/>
      <c r="N8" s="99"/>
      <c r="O8" s="99"/>
      <c r="P8" t="s">
        <v>402</v>
      </c>
      <c r="V8" s="99"/>
    </row>
    <row r="10" spans="3:22" ht="15.75" thickBot="1" x14ac:dyDescent="0.3">
      <c r="C10" t="s">
        <v>104</v>
      </c>
    </row>
    <row r="11" spans="3:22" ht="15.75" x14ac:dyDescent="0.25">
      <c r="C11" s="61">
        <v>1</v>
      </c>
      <c r="D11" s="48">
        <v>2</v>
      </c>
      <c r="E11" s="48">
        <v>3</v>
      </c>
      <c r="F11" s="48">
        <v>4</v>
      </c>
      <c r="G11" s="48">
        <v>5</v>
      </c>
      <c r="H11" s="48">
        <v>6</v>
      </c>
      <c r="I11" s="48">
        <v>7</v>
      </c>
      <c r="J11" s="48">
        <v>8</v>
      </c>
      <c r="K11" s="48">
        <v>9</v>
      </c>
      <c r="L11" s="48">
        <v>10</v>
      </c>
      <c r="M11" s="48">
        <v>11</v>
      </c>
      <c r="N11" s="40">
        <v>12</v>
      </c>
      <c r="O11" s="40">
        <v>13</v>
      </c>
      <c r="P11" s="40">
        <v>14</v>
      </c>
      <c r="Q11" s="40">
        <v>15</v>
      </c>
      <c r="R11" s="63">
        <v>16</v>
      </c>
      <c r="S11" s="63">
        <v>17</v>
      </c>
      <c r="T11" s="63">
        <v>18</v>
      </c>
      <c r="U11" s="63">
        <v>19</v>
      </c>
      <c r="V11" s="41">
        <v>20</v>
      </c>
    </row>
    <row r="12" spans="3:22" ht="15.75" x14ac:dyDescent="0.25">
      <c r="C12" s="62" t="s">
        <v>202</v>
      </c>
      <c r="D12" s="52" t="s">
        <v>239</v>
      </c>
      <c r="E12" s="52" t="s">
        <v>75</v>
      </c>
      <c r="F12" s="52" t="s">
        <v>200</v>
      </c>
      <c r="G12" s="52" t="s">
        <v>201</v>
      </c>
      <c r="H12" s="52" t="s">
        <v>203</v>
      </c>
      <c r="I12" s="52" t="s">
        <v>204</v>
      </c>
      <c r="J12" s="52" t="s">
        <v>205</v>
      </c>
      <c r="K12" s="52" t="s">
        <v>206</v>
      </c>
      <c r="L12" s="52" t="s">
        <v>207</v>
      </c>
      <c r="M12" s="52" t="s">
        <v>208</v>
      </c>
      <c r="N12" s="53" t="s">
        <v>209</v>
      </c>
      <c r="O12" s="53" t="s">
        <v>210</v>
      </c>
      <c r="P12" s="53" t="s">
        <v>211</v>
      </c>
      <c r="Q12" s="53" t="s">
        <v>212</v>
      </c>
      <c r="R12" s="64" t="s">
        <v>213</v>
      </c>
      <c r="S12" s="64" t="s">
        <v>234</v>
      </c>
      <c r="T12" s="64" t="s">
        <v>215</v>
      </c>
      <c r="U12" s="64" t="s">
        <v>50</v>
      </c>
      <c r="V12" s="54" t="s">
        <v>87</v>
      </c>
    </row>
    <row r="13" spans="3:22" ht="15.75" x14ac:dyDescent="0.25">
      <c r="C13" s="42">
        <v>21</v>
      </c>
      <c r="D13" s="43">
        <v>22</v>
      </c>
      <c r="E13" s="43">
        <v>23</v>
      </c>
      <c r="F13" s="65">
        <v>24</v>
      </c>
      <c r="G13" s="65">
        <v>25</v>
      </c>
      <c r="H13" s="65">
        <v>26</v>
      </c>
      <c r="I13" s="65">
        <v>27</v>
      </c>
      <c r="J13" s="67">
        <v>28</v>
      </c>
      <c r="K13" s="67">
        <v>29</v>
      </c>
      <c r="L13" s="67">
        <v>30</v>
      </c>
      <c r="M13" s="46">
        <v>31</v>
      </c>
      <c r="N13" s="46">
        <v>32</v>
      </c>
      <c r="O13" s="46">
        <v>33</v>
      </c>
      <c r="P13" s="71">
        <v>34</v>
      </c>
      <c r="Q13" s="71">
        <v>35</v>
      </c>
      <c r="R13" s="71">
        <v>36</v>
      </c>
      <c r="S13" s="71">
        <v>37</v>
      </c>
      <c r="T13" s="102">
        <v>38</v>
      </c>
      <c r="U13" s="102">
        <v>39</v>
      </c>
      <c r="V13" s="73">
        <v>40</v>
      </c>
    </row>
    <row r="14" spans="3:22" ht="16.5" thickBot="1" x14ac:dyDescent="0.3">
      <c r="C14" s="55" t="s">
        <v>132</v>
      </c>
      <c r="D14" s="56" t="s">
        <v>216</v>
      </c>
      <c r="E14" s="56" t="s">
        <v>132</v>
      </c>
      <c r="F14" s="66" t="s">
        <v>217</v>
      </c>
      <c r="G14" s="66" t="s">
        <v>218</v>
      </c>
      <c r="H14" s="66" t="s">
        <v>219</v>
      </c>
      <c r="I14" s="66" t="s">
        <v>220</v>
      </c>
      <c r="J14" s="68" t="s">
        <v>221</v>
      </c>
      <c r="K14" s="68" t="s">
        <v>222</v>
      </c>
      <c r="L14" s="68" t="s">
        <v>223</v>
      </c>
      <c r="M14" s="59" t="s">
        <v>224</v>
      </c>
      <c r="N14" s="59" t="s">
        <v>225</v>
      </c>
      <c r="O14" s="59" t="s">
        <v>226</v>
      </c>
      <c r="P14" s="72" t="s">
        <v>237</v>
      </c>
      <c r="Q14" s="72" t="s">
        <v>229</v>
      </c>
      <c r="R14" s="72" t="s">
        <v>116</v>
      </c>
      <c r="S14" s="72" t="s">
        <v>230</v>
      </c>
      <c r="T14" s="103" t="s">
        <v>227</v>
      </c>
      <c r="U14" s="103" t="s">
        <v>228</v>
      </c>
      <c r="V14" s="74" t="s">
        <v>106</v>
      </c>
    </row>
    <row r="15" spans="3:22" x14ac:dyDescent="0.25">
      <c r="C15" t="s">
        <v>197</v>
      </c>
    </row>
    <row r="16" spans="3:22" ht="16.5" thickBot="1" x14ac:dyDescent="0.3">
      <c r="P16" s="72"/>
      <c r="Q16" s="72"/>
      <c r="R16" s="72"/>
      <c r="S16" s="72"/>
      <c r="T16" s="70"/>
      <c r="U16" s="70"/>
    </row>
    <row r="17" spans="3:22" ht="15.75" thickBot="1" x14ac:dyDescent="0.3">
      <c r="C17" t="s">
        <v>105</v>
      </c>
    </row>
    <row r="18" spans="3:22" ht="15.75" x14ac:dyDescent="0.25">
      <c r="C18" s="61">
        <v>1</v>
      </c>
      <c r="D18" s="48">
        <v>2</v>
      </c>
      <c r="E18" s="48">
        <v>3</v>
      </c>
      <c r="F18" s="48">
        <v>4</v>
      </c>
      <c r="G18" s="48">
        <v>5</v>
      </c>
      <c r="H18" s="48">
        <v>6</v>
      </c>
      <c r="I18" s="48">
        <v>7</v>
      </c>
      <c r="J18" s="48">
        <v>8</v>
      </c>
      <c r="K18" s="48">
        <v>9</v>
      </c>
      <c r="L18" s="48">
        <v>10</v>
      </c>
      <c r="M18" s="48">
        <v>11</v>
      </c>
      <c r="N18" s="40">
        <v>12</v>
      </c>
      <c r="O18" s="40">
        <v>13</v>
      </c>
      <c r="P18" s="40">
        <v>14</v>
      </c>
      <c r="Q18" s="40">
        <v>15</v>
      </c>
      <c r="R18" s="63">
        <v>16</v>
      </c>
      <c r="S18" s="63">
        <v>17</v>
      </c>
      <c r="T18" s="63">
        <v>18</v>
      </c>
      <c r="U18" s="63">
        <v>19</v>
      </c>
      <c r="V18" s="41">
        <v>20</v>
      </c>
    </row>
    <row r="19" spans="3:22" ht="15.75" x14ac:dyDescent="0.25">
      <c r="C19" s="62" t="s">
        <v>253</v>
      </c>
      <c r="D19" s="52" t="s">
        <v>273</v>
      </c>
      <c r="E19" s="52" t="s">
        <v>198</v>
      </c>
      <c r="F19" s="52" t="s">
        <v>278</v>
      </c>
      <c r="G19" s="52" t="s">
        <v>262</v>
      </c>
      <c r="H19" s="52" t="s">
        <v>132</v>
      </c>
      <c r="I19" s="109" t="s">
        <v>76</v>
      </c>
      <c r="J19" s="52" t="s">
        <v>272</v>
      </c>
      <c r="K19" s="52" t="s">
        <v>274</v>
      </c>
      <c r="L19" s="52" t="s">
        <v>254</v>
      </c>
      <c r="M19" s="52" t="s">
        <v>265</v>
      </c>
      <c r="N19" s="53" t="s">
        <v>231</v>
      </c>
      <c r="O19" s="53" t="s">
        <v>235</v>
      </c>
      <c r="P19" s="53" t="s">
        <v>255</v>
      </c>
      <c r="Q19" s="53" t="s">
        <v>232</v>
      </c>
      <c r="R19" s="64" t="s">
        <v>214</v>
      </c>
      <c r="S19" s="64" t="s">
        <v>277</v>
      </c>
      <c r="T19" s="64" t="s">
        <v>256</v>
      </c>
      <c r="U19" s="64" t="s">
        <v>132</v>
      </c>
      <c r="V19" s="52" t="s">
        <v>199</v>
      </c>
    </row>
    <row r="20" spans="3:22" ht="15.75" x14ac:dyDescent="0.25">
      <c r="C20" s="42">
        <v>21</v>
      </c>
      <c r="D20" s="43">
        <v>22</v>
      </c>
      <c r="E20" s="43">
        <v>23</v>
      </c>
      <c r="F20" s="65">
        <v>24</v>
      </c>
      <c r="G20" s="65">
        <v>25</v>
      </c>
      <c r="H20" s="65">
        <v>26</v>
      </c>
      <c r="I20" s="65">
        <v>27</v>
      </c>
      <c r="J20" s="67">
        <v>28</v>
      </c>
      <c r="K20" s="67">
        <v>29</v>
      </c>
      <c r="L20" s="67">
        <v>30</v>
      </c>
      <c r="M20" s="46">
        <v>31</v>
      </c>
      <c r="N20" s="46">
        <v>32</v>
      </c>
      <c r="O20" s="46">
        <v>33</v>
      </c>
      <c r="P20" s="71">
        <v>34</v>
      </c>
      <c r="Q20" s="71">
        <v>35</v>
      </c>
      <c r="R20" s="71">
        <v>36</v>
      </c>
      <c r="S20" s="71">
        <v>37</v>
      </c>
      <c r="T20" s="102">
        <v>38</v>
      </c>
      <c r="U20" s="102">
        <v>39</v>
      </c>
      <c r="V20" s="73">
        <v>40</v>
      </c>
    </row>
    <row r="21" spans="3:22" ht="16.5" thickBot="1" x14ac:dyDescent="0.3">
      <c r="C21" s="55" t="s">
        <v>260</v>
      </c>
      <c r="D21" s="56" t="s">
        <v>258</v>
      </c>
      <c r="E21" s="56" t="s">
        <v>132</v>
      </c>
      <c r="F21" s="66" t="s">
        <v>257</v>
      </c>
      <c r="G21" s="66" t="s">
        <v>132</v>
      </c>
      <c r="H21" s="66" t="s">
        <v>270</v>
      </c>
      <c r="I21" s="66" t="s">
        <v>259</v>
      </c>
      <c r="J21" s="68" t="s">
        <v>271</v>
      </c>
      <c r="K21" s="68" t="s">
        <v>261</v>
      </c>
      <c r="L21" s="68" t="s">
        <v>281</v>
      </c>
      <c r="M21" s="59" t="s">
        <v>263</v>
      </c>
      <c r="N21" s="59" t="s">
        <v>276</v>
      </c>
      <c r="O21" s="59" t="s">
        <v>281</v>
      </c>
      <c r="P21" s="72" t="s">
        <v>275</v>
      </c>
      <c r="Q21" s="72" t="s">
        <v>112</v>
      </c>
      <c r="R21" s="72" t="s">
        <v>236</v>
      </c>
      <c r="S21" s="72" t="s">
        <v>264</v>
      </c>
      <c r="T21" s="103" t="s">
        <v>269</v>
      </c>
      <c r="U21" s="103" t="s">
        <v>266</v>
      </c>
      <c r="V21" s="74" t="s">
        <v>243</v>
      </c>
    </row>
    <row r="23" spans="3:22" x14ac:dyDescent="0.25">
      <c r="P23" s="10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Test-AM</vt:lpstr>
      <vt:lpstr>New Test-AM</vt:lpstr>
      <vt:lpstr>Tests-PM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2022-08-24T00:23:38Z</cp:lastPrinted>
  <dcterms:created xsi:type="dcterms:W3CDTF">2022-08-15T16:10:24Z</dcterms:created>
  <dcterms:modified xsi:type="dcterms:W3CDTF">2022-09-28T18:44:08Z</dcterms:modified>
</cp:coreProperties>
</file>