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tega\Documents\"/>
    </mc:Choice>
  </mc:AlternateContent>
  <xr:revisionPtr revIDLastSave="0" documentId="13_ncr:1_{A85FA8DF-8A74-4295-89D8-912B771D97EA}" xr6:coauthVersionLast="47" xr6:coauthVersionMax="47" xr10:uidLastSave="{00000000-0000-0000-0000-000000000000}"/>
  <bookViews>
    <workbookView xWindow="-110" yWindow="-110" windowWidth="25820" windowHeight="15500" activeTab="1" xr2:uid="{4949AE1A-36DE-4EC3-B6EA-C87EB14157D9}"/>
  </bookViews>
  <sheets>
    <sheet name="Data" sheetId="1" r:id="rId1"/>
    <sheet name="Portfolio Model Sheet" sheetId="2" r:id="rId2"/>
    <sheet name="Individual Property Model Shee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3" l="1"/>
  <c r="E88" i="3" s="1"/>
  <c r="G12" i="3"/>
  <c r="E87" i="3" s="1"/>
  <c r="G11" i="3"/>
  <c r="E84" i="3" s="1"/>
  <c r="D21" i="3" s="1"/>
  <c r="D24" i="3" s="1"/>
  <c r="G10" i="3"/>
  <c r="G9" i="3"/>
  <c r="G8" i="3"/>
  <c r="G7" i="3"/>
  <c r="G6" i="3"/>
  <c r="I80" i="3" s="1"/>
  <c r="G5" i="3"/>
  <c r="H80" i="3" s="1"/>
  <c r="G4" i="3"/>
  <c r="G80" i="3" s="1"/>
  <c r="G3" i="3"/>
  <c r="F80" i="3" s="1"/>
  <c r="G2" i="3"/>
  <c r="E52" i="3" s="1"/>
  <c r="E74" i="3"/>
  <c r="E78" i="3"/>
  <c r="J28" i="1"/>
  <c r="D17" i="2" s="1"/>
  <c r="D20" i="2" s="1"/>
  <c r="L27" i="1"/>
  <c r="D7" i="2" s="1"/>
  <c r="D10" i="2" s="1"/>
  <c r="G27" i="1"/>
  <c r="G28" i="1" s="1"/>
  <c r="I66" i="2" s="1"/>
  <c r="F27" i="1"/>
  <c r="F28" i="1" s="1"/>
  <c r="H66" i="2" s="1"/>
  <c r="E27" i="1"/>
  <c r="E28" i="1" s="1"/>
  <c r="G66" i="2" s="1"/>
  <c r="D27" i="1"/>
  <c r="C27" i="1"/>
  <c r="H27" i="1"/>
  <c r="I27" i="1"/>
  <c r="J27" i="1"/>
  <c r="E71" i="2" s="1"/>
  <c r="K27" i="1"/>
  <c r="M27" i="1"/>
  <c r="E73" i="2" s="1"/>
  <c r="N27" i="1"/>
  <c r="E74" i="2" s="1"/>
  <c r="E86" i="3" l="1"/>
  <c r="L85" i="3" s="1"/>
  <c r="H86" i="3" s="1"/>
  <c r="E53" i="3"/>
  <c r="E54" i="3" s="1"/>
  <c r="J80" i="3" s="1"/>
  <c r="E85" i="3"/>
  <c r="D31" i="3" s="1"/>
  <c r="D34" i="3" s="1"/>
  <c r="F52" i="3"/>
  <c r="F53" i="3" s="1"/>
  <c r="E70" i="2"/>
  <c r="E72" i="2"/>
  <c r="L71" i="2" s="1"/>
  <c r="H72" i="2" s="1"/>
  <c r="D28" i="1"/>
  <c r="F66" i="2" s="1"/>
  <c r="C28" i="1"/>
  <c r="E38" i="2" s="1"/>
  <c r="F38" i="2" s="1"/>
  <c r="I86" i="3" l="1"/>
  <c r="F62" i="3" s="1"/>
  <c r="J86" i="3"/>
  <c r="K86" i="3"/>
  <c r="L86" i="3" s="1"/>
  <c r="H87" i="3" s="1"/>
  <c r="F54" i="3"/>
  <c r="G52" i="3"/>
  <c r="G53" i="3" s="1"/>
  <c r="I62" i="3"/>
  <c r="K80" i="3"/>
  <c r="E57" i="3" s="1"/>
  <c r="F57" i="3" s="1"/>
  <c r="G57" i="3" s="1"/>
  <c r="H57" i="3" s="1"/>
  <c r="I57" i="3" s="1"/>
  <c r="J57" i="3" s="1"/>
  <c r="K57" i="3" s="1"/>
  <c r="L57" i="3" s="1"/>
  <c r="M57" i="3" s="1"/>
  <c r="N57" i="3" s="1"/>
  <c r="O57" i="3" s="1"/>
  <c r="I72" i="2"/>
  <c r="J72" i="2"/>
  <c r="E39" i="2"/>
  <c r="E40" i="2" s="1"/>
  <c r="G38" i="2"/>
  <c r="F39" i="2"/>
  <c r="F40" i="2" s="1"/>
  <c r="L62" i="3" l="1"/>
  <c r="O62" i="3"/>
  <c r="G62" i="3"/>
  <c r="K62" i="3"/>
  <c r="J62" i="3"/>
  <c r="M62" i="3"/>
  <c r="I87" i="3"/>
  <c r="I88" i="3" s="1"/>
  <c r="I89" i="3" s="1"/>
  <c r="E62" i="3"/>
  <c r="H62" i="3"/>
  <c r="N62" i="3"/>
  <c r="J87" i="3"/>
  <c r="K87" i="3" s="1"/>
  <c r="L87" i="3" s="1"/>
  <c r="J88" i="3" s="1"/>
  <c r="H52" i="3"/>
  <c r="H53" i="3" s="1"/>
  <c r="G54" i="3"/>
  <c r="G59" i="3" s="1"/>
  <c r="H48" i="2"/>
  <c r="I73" i="2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E59" i="3"/>
  <c r="E41" i="3" s="1"/>
  <c r="F59" i="3"/>
  <c r="M48" i="2"/>
  <c r="J48" i="2"/>
  <c r="F48" i="2"/>
  <c r="O48" i="2"/>
  <c r="K72" i="2"/>
  <c r="L72" i="2" s="1"/>
  <c r="H73" i="2" s="1"/>
  <c r="I48" i="2"/>
  <c r="E48" i="2"/>
  <c r="L48" i="2"/>
  <c r="G48" i="2"/>
  <c r="K48" i="2"/>
  <c r="N48" i="2"/>
  <c r="J66" i="2"/>
  <c r="K66" i="2" s="1"/>
  <c r="E43" i="2" s="1"/>
  <c r="F43" i="2" s="1"/>
  <c r="G43" i="2" s="1"/>
  <c r="H43" i="2" s="1"/>
  <c r="I43" i="2" s="1"/>
  <c r="J43" i="2" s="1"/>
  <c r="K43" i="2" s="1"/>
  <c r="L43" i="2" s="1"/>
  <c r="M43" i="2" s="1"/>
  <c r="N43" i="2" s="1"/>
  <c r="O43" i="2" s="1"/>
  <c r="H38" i="2"/>
  <c r="G39" i="2"/>
  <c r="G40" i="2" s="1"/>
  <c r="G66" i="3" l="1"/>
  <c r="G22" i="3" s="1"/>
  <c r="G24" i="3" s="1"/>
  <c r="K88" i="3"/>
  <c r="H88" i="3"/>
  <c r="I52" i="3"/>
  <c r="I53" i="3" s="1"/>
  <c r="H54" i="3"/>
  <c r="H59" i="3" s="1"/>
  <c r="H32" i="3" s="1"/>
  <c r="H34" i="3" s="1"/>
  <c r="G32" i="3"/>
  <c r="G34" i="3" s="1"/>
  <c r="F32" i="3"/>
  <c r="F34" i="3" s="1"/>
  <c r="F66" i="3"/>
  <c r="F22" i="3" s="1"/>
  <c r="F24" i="3" s="1"/>
  <c r="I90" i="3"/>
  <c r="E66" i="3"/>
  <c r="E22" i="3" s="1"/>
  <c r="E24" i="3" s="1"/>
  <c r="E32" i="3"/>
  <c r="E34" i="3" s="1"/>
  <c r="J73" i="2"/>
  <c r="K73" i="2" s="1"/>
  <c r="L73" i="2" s="1"/>
  <c r="G45" i="2"/>
  <c r="E45" i="2"/>
  <c r="F45" i="2"/>
  <c r="I38" i="2"/>
  <c r="H39" i="2"/>
  <c r="H40" i="2" s="1"/>
  <c r="H45" i="2" s="1"/>
  <c r="L88" i="3" l="1"/>
  <c r="H89" i="3" s="1"/>
  <c r="H66" i="3"/>
  <c r="H22" i="3" s="1"/>
  <c r="H24" i="3" s="1"/>
  <c r="J52" i="3"/>
  <c r="J53" i="3" s="1"/>
  <c r="I54" i="3"/>
  <c r="I59" i="3" s="1"/>
  <c r="I32" i="3" s="1"/>
  <c r="I34" i="3" s="1"/>
  <c r="I91" i="3"/>
  <c r="H52" i="2"/>
  <c r="H8" i="2" s="1"/>
  <c r="H10" i="2" s="1"/>
  <c r="H18" i="2"/>
  <c r="H20" i="2" s="1"/>
  <c r="F52" i="2"/>
  <c r="F8" i="2" s="1"/>
  <c r="F10" i="2" s="1"/>
  <c r="F18" i="2"/>
  <c r="F20" i="2" s="1"/>
  <c r="E52" i="2"/>
  <c r="E8" i="2" s="1"/>
  <c r="E10" i="2" s="1"/>
  <c r="E18" i="2"/>
  <c r="E20" i="2" s="1"/>
  <c r="G52" i="2"/>
  <c r="G8" i="2" s="1"/>
  <c r="G10" i="2" s="1"/>
  <c r="G18" i="2"/>
  <c r="G20" i="2" s="1"/>
  <c r="H74" i="2"/>
  <c r="J74" i="2"/>
  <c r="K74" i="2" s="1"/>
  <c r="J38" i="2"/>
  <c r="I39" i="2"/>
  <c r="I40" i="2" s="1"/>
  <c r="I45" i="2" s="1"/>
  <c r="J89" i="3" l="1"/>
  <c r="K89" i="3" s="1"/>
  <c r="L89" i="3" s="1"/>
  <c r="H90" i="3" s="1"/>
  <c r="I66" i="3"/>
  <c r="I22" i="3" s="1"/>
  <c r="I24" i="3" s="1"/>
  <c r="J54" i="3"/>
  <c r="J59" i="3" s="1"/>
  <c r="J32" i="3" s="1"/>
  <c r="J34" i="3" s="1"/>
  <c r="K52" i="3"/>
  <c r="K53" i="3" s="1"/>
  <c r="I92" i="3"/>
  <c r="I52" i="2"/>
  <c r="I8" i="2" s="1"/>
  <c r="I10" i="2" s="1"/>
  <c r="I18" i="2"/>
  <c r="I20" i="2" s="1"/>
  <c r="L74" i="2"/>
  <c r="K38" i="2"/>
  <c r="J39" i="2"/>
  <c r="J40" i="2" s="1"/>
  <c r="J45" i="2" s="1"/>
  <c r="J66" i="3" l="1"/>
  <c r="J22" i="3" s="1"/>
  <c r="J24" i="3" s="1"/>
  <c r="J90" i="3"/>
  <c r="K90" i="3" s="1"/>
  <c r="L90" i="3" s="1"/>
  <c r="K54" i="3"/>
  <c r="K59" i="3" s="1"/>
  <c r="K66" i="3" s="1"/>
  <c r="K22" i="3" s="1"/>
  <c r="K24" i="3" s="1"/>
  <c r="L52" i="3"/>
  <c r="L53" i="3" s="1"/>
  <c r="I93" i="3"/>
  <c r="J52" i="2"/>
  <c r="J8" i="2" s="1"/>
  <c r="J10" i="2" s="1"/>
  <c r="J18" i="2"/>
  <c r="J20" i="2" s="1"/>
  <c r="H75" i="2"/>
  <c r="J75" i="2"/>
  <c r="K75" i="2" s="1"/>
  <c r="L38" i="2"/>
  <c r="K39" i="2"/>
  <c r="K40" i="2" s="1"/>
  <c r="K45" i="2" s="1"/>
  <c r="J91" i="3" l="1"/>
  <c r="K91" i="3" s="1"/>
  <c r="H91" i="3"/>
  <c r="K32" i="3"/>
  <c r="K34" i="3" s="1"/>
  <c r="L54" i="3"/>
  <c r="L59" i="3" s="1"/>
  <c r="L66" i="3" s="1"/>
  <c r="L22" i="3" s="1"/>
  <c r="L24" i="3" s="1"/>
  <c r="M52" i="3"/>
  <c r="M53" i="3" s="1"/>
  <c r="I94" i="3"/>
  <c r="K52" i="2"/>
  <c r="K8" i="2" s="1"/>
  <c r="K10" i="2" s="1"/>
  <c r="K18" i="2"/>
  <c r="K20" i="2" s="1"/>
  <c r="L75" i="2"/>
  <c r="M38" i="2"/>
  <c r="L39" i="2"/>
  <c r="L40" i="2" s="1"/>
  <c r="L45" i="2" s="1"/>
  <c r="L91" i="3" l="1"/>
  <c r="J92" i="3" s="1"/>
  <c r="K92" i="3" s="1"/>
  <c r="L32" i="3"/>
  <c r="L34" i="3" s="1"/>
  <c r="M54" i="3"/>
  <c r="M59" i="3" s="1"/>
  <c r="M32" i="3" s="1"/>
  <c r="M34" i="3" s="1"/>
  <c r="N52" i="3"/>
  <c r="N53" i="3" s="1"/>
  <c r="I95" i="3"/>
  <c r="I96" i="3" s="1"/>
  <c r="L52" i="2"/>
  <c r="L8" i="2" s="1"/>
  <c r="L10" i="2" s="1"/>
  <c r="L18" i="2"/>
  <c r="L20" i="2" s="1"/>
  <c r="H76" i="2"/>
  <c r="J76" i="2"/>
  <c r="K76" i="2" s="1"/>
  <c r="N38" i="2"/>
  <c r="O38" i="2" s="1"/>
  <c r="O39" i="2" s="1"/>
  <c r="O40" i="2" s="1"/>
  <c r="O45" i="2" s="1"/>
  <c r="M39" i="2"/>
  <c r="M40" i="2" s="1"/>
  <c r="M45" i="2" s="1"/>
  <c r="H92" i="3" l="1"/>
  <c r="L92" i="3" s="1"/>
  <c r="H93" i="3" s="1"/>
  <c r="I97" i="3"/>
  <c r="M66" i="3"/>
  <c r="M22" i="3" s="1"/>
  <c r="M24" i="3" s="1"/>
  <c r="N54" i="3"/>
  <c r="N59" i="3" s="1"/>
  <c r="N32" i="3" s="1"/>
  <c r="O52" i="3"/>
  <c r="O53" i="3" s="1"/>
  <c r="M52" i="2"/>
  <c r="M8" i="2" s="1"/>
  <c r="M10" i="2" s="1"/>
  <c r="M18" i="2"/>
  <c r="M20" i="2" s="1"/>
  <c r="O52" i="2"/>
  <c r="E26" i="2"/>
  <c r="E28" i="2" s="1"/>
  <c r="N19" i="2" s="1"/>
  <c r="L76" i="2"/>
  <c r="N39" i="2"/>
  <c r="N40" i="2" s="1"/>
  <c r="N45" i="2" s="1"/>
  <c r="J93" i="3" l="1"/>
  <c r="K93" i="3" s="1"/>
  <c r="L93" i="3" s="1"/>
  <c r="O54" i="3"/>
  <c r="O59" i="3" s="1"/>
  <c r="O66" i="3" s="1"/>
  <c r="N66" i="3"/>
  <c r="N22" i="3" s="1"/>
  <c r="I98" i="3"/>
  <c r="N52" i="2"/>
  <c r="N8" i="2" s="1"/>
  <c r="N18" i="2"/>
  <c r="N20" i="2" s="1"/>
  <c r="D22" i="2" s="1"/>
  <c r="H77" i="2"/>
  <c r="J77" i="2"/>
  <c r="K77" i="2" s="1"/>
  <c r="E40" i="3" l="1"/>
  <c r="E42" i="3" s="1"/>
  <c r="N33" i="3" s="1"/>
  <c r="N34" i="3" s="1"/>
  <c r="D36" i="3" s="1"/>
  <c r="I99" i="3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H94" i="3"/>
  <c r="J94" i="3"/>
  <c r="K94" i="3" s="1"/>
  <c r="L77" i="2"/>
  <c r="L94" i="3" l="1"/>
  <c r="H78" i="2"/>
  <c r="J78" i="2"/>
  <c r="K78" i="2" s="1"/>
  <c r="H95" i="3" l="1"/>
  <c r="J95" i="3"/>
  <c r="K95" i="3" s="1"/>
  <c r="L78" i="2"/>
  <c r="L95" i="3" l="1"/>
  <c r="H79" i="2"/>
  <c r="J79" i="2"/>
  <c r="K79" i="2" s="1"/>
  <c r="E44" i="3" l="1"/>
  <c r="E45" i="3" s="1"/>
  <c r="N23" i="3" s="1"/>
  <c r="N24" i="3" s="1"/>
  <c r="D26" i="3" s="1"/>
  <c r="H96" i="3"/>
  <c r="J96" i="3"/>
  <c r="K96" i="3" s="1"/>
  <c r="L79" i="2"/>
  <c r="L96" i="3" l="1"/>
  <c r="J97" i="3" s="1"/>
  <c r="K97" i="3" s="1"/>
  <c r="J80" i="2"/>
  <c r="K80" i="2" s="1"/>
  <c r="H80" i="2"/>
  <c r="H97" i="3" l="1"/>
  <c r="L97" i="3" s="1"/>
  <c r="L80" i="2"/>
  <c r="H98" i="3" l="1"/>
  <c r="J98" i="3"/>
  <c r="K98" i="3" s="1"/>
  <c r="H81" i="2"/>
  <c r="J81" i="2"/>
  <c r="K81" i="2" s="1"/>
  <c r="L98" i="3" l="1"/>
  <c r="L81" i="2"/>
  <c r="H99" i="3" l="1"/>
  <c r="J99" i="3"/>
  <c r="K99" i="3" s="1"/>
  <c r="H82" i="2"/>
  <c r="J82" i="2"/>
  <c r="K82" i="2" s="1"/>
  <c r="E30" i="2"/>
  <c r="E31" i="2" s="1"/>
  <c r="N9" i="2" s="1"/>
  <c r="N10" i="2" s="1"/>
  <c r="D12" i="2" s="1"/>
  <c r="L99" i="3" l="1"/>
  <c r="L82" i="2"/>
  <c r="J83" i="2" s="1"/>
  <c r="K83" i="2" s="1"/>
  <c r="H83" i="2"/>
  <c r="J100" i="3" l="1"/>
  <c r="K100" i="3" s="1"/>
  <c r="H100" i="3"/>
  <c r="L83" i="2"/>
  <c r="H84" i="2" s="1"/>
  <c r="J84" i="2"/>
  <c r="K84" i="2" s="1"/>
  <c r="L84" i="2" s="1"/>
  <c r="L100" i="3" l="1"/>
  <c r="H101" i="3" s="1"/>
  <c r="J85" i="2"/>
  <c r="H85" i="2"/>
  <c r="J101" i="3" l="1"/>
  <c r="K101" i="3" s="1"/>
  <c r="L101" i="3" s="1"/>
  <c r="J102" i="3" s="1"/>
  <c r="K102" i="3" s="1"/>
  <c r="K85" i="2"/>
  <c r="L85" i="2"/>
  <c r="H86" i="2" s="1"/>
  <c r="H102" i="3" l="1"/>
  <c r="L102" i="3" s="1"/>
  <c r="J86" i="2"/>
  <c r="H103" i="3" l="1"/>
  <c r="J103" i="3"/>
  <c r="K103" i="3" s="1"/>
  <c r="K86" i="2"/>
  <c r="L86" i="2" s="1"/>
  <c r="L103" i="3" l="1"/>
  <c r="H87" i="2"/>
  <c r="J87" i="2"/>
  <c r="K87" i="2"/>
  <c r="H104" i="3" l="1"/>
  <c r="J104" i="3"/>
  <c r="K104" i="3" s="1"/>
  <c r="L87" i="2"/>
  <c r="J88" i="2"/>
  <c r="L104" i="3" l="1"/>
  <c r="H88" i="2"/>
  <c r="K88" i="2"/>
  <c r="L88" i="2" l="1"/>
  <c r="H105" i="3"/>
  <c r="J105" i="3"/>
  <c r="K105" i="3" s="1"/>
  <c r="J89" i="2" l="1"/>
  <c r="K89" i="2" s="1"/>
  <c r="H89" i="2"/>
  <c r="L105" i="3"/>
  <c r="L89" i="2" l="1"/>
  <c r="H106" i="3"/>
  <c r="J106" i="3"/>
  <c r="K106" i="3" s="1"/>
  <c r="H90" i="2" l="1"/>
  <c r="J90" i="2"/>
  <c r="K90" i="2" s="1"/>
  <c r="L90" i="2" s="1"/>
  <c r="L106" i="3"/>
  <c r="J91" i="2" l="1"/>
  <c r="K91" i="2" s="1"/>
  <c r="H91" i="2"/>
  <c r="J107" i="3"/>
  <c r="K107" i="3" s="1"/>
  <c r="H107" i="3"/>
  <c r="L107" i="3" l="1"/>
  <c r="L91" i="2"/>
  <c r="H108" i="3" l="1"/>
  <c r="J108" i="3"/>
  <c r="K108" i="3" s="1"/>
  <c r="L108" i="3" s="1"/>
  <c r="J92" i="2"/>
  <c r="K92" i="2" s="1"/>
  <c r="H92" i="2"/>
  <c r="J109" i="3" l="1"/>
  <c r="K109" i="3" s="1"/>
  <c r="H109" i="3"/>
  <c r="L109" i="3" s="1"/>
  <c r="L92" i="2"/>
  <c r="H110" i="3" l="1"/>
  <c r="J110" i="3"/>
  <c r="K110" i="3" s="1"/>
  <c r="J93" i="2"/>
  <c r="K93" i="2" s="1"/>
  <c r="H93" i="2"/>
  <c r="L110" i="3" l="1"/>
  <c r="L93" i="2"/>
  <c r="J94" i="2" l="1"/>
  <c r="K94" i="2" s="1"/>
  <c r="H94" i="2"/>
  <c r="L94" i="2" l="1"/>
</calcChain>
</file>

<file path=xl/sharedStrings.xml><?xml version="1.0" encoding="utf-8"?>
<sst xmlns="http://schemas.openxmlformats.org/spreadsheetml/2006/main" count="186" uniqueCount="93">
  <si>
    <t>Property Type</t>
  </si>
  <si>
    <t>Bedrooms</t>
  </si>
  <si>
    <t>Rent</t>
  </si>
  <si>
    <t>Council Tax</t>
  </si>
  <si>
    <t>Insurance</t>
  </si>
  <si>
    <t>Maintenance</t>
  </si>
  <si>
    <t>Utilities</t>
  </si>
  <si>
    <t>Management Fee</t>
  </si>
  <si>
    <t>Vacancy Rate</t>
  </si>
  <si>
    <t>Purchase Price</t>
  </si>
  <si>
    <t>Loan to Value</t>
  </si>
  <si>
    <t>Equity</t>
  </si>
  <si>
    <t>Interest Rate</t>
  </si>
  <si>
    <t>Amortization Period</t>
  </si>
  <si>
    <t>Postcode</t>
  </si>
  <si>
    <t>House</t>
  </si>
  <si>
    <t>Apartment</t>
  </si>
  <si>
    <t>Portofolio Average Value</t>
  </si>
  <si>
    <t>Portfolio Overview</t>
  </si>
  <si>
    <t>Potential Gross Revenue</t>
  </si>
  <si>
    <t>General Vacancy</t>
  </si>
  <si>
    <t>Effective Gross Revenue</t>
  </si>
  <si>
    <t>Operating Expenses</t>
  </si>
  <si>
    <t>Net Operating Income</t>
  </si>
  <si>
    <t>Principal</t>
  </si>
  <si>
    <t>Interest</t>
  </si>
  <si>
    <t>Cash Flow After Debt Service</t>
  </si>
  <si>
    <t>Gross Revenue</t>
  </si>
  <si>
    <t>Imported values directly from data</t>
  </si>
  <si>
    <t xml:space="preserve">Income Growth Rate </t>
  </si>
  <si>
    <t>Yearly values</t>
  </si>
  <si>
    <t>Values gotten from data</t>
  </si>
  <si>
    <t xml:space="preserve">Growth Rate </t>
  </si>
  <si>
    <t>Total</t>
  </si>
  <si>
    <t>Amortization Schedule</t>
  </si>
  <si>
    <t>Loan</t>
  </si>
  <si>
    <t>year</t>
  </si>
  <si>
    <t>BOP Balance</t>
  </si>
  <si>
    <t>Payment</t>
  </si>
  <si>
    <t>Eop Balance</t>
  </si>
  <si>
    <t>Loan Payments</t>
  </si>
  <si>
    <t>VO4Y2Q</t>
  </si>
  <si>
    <t>XW8Z6U</t>
  </si>
  <si>
    <t>DT6A2Y</t>
  </si>
  <si>
    <t>RX5M8J</t>
  </si>
  <si>
    <t>CH2Z6J</t>
  </si>
  <si>
    <t>DR2U0N</t>
  </si>
  <si>
    <t>EE5H W</t>
  </si>
  <si>
    <t>UK2O1A</t>
  </si>
  <si>
    <t>BJ8M9M</t>
  </si>
  <si>
    <t>RZ2A1A</t>
  </si>
  <si>
    <t>HX6M9W</t>
  </si>
  <si>
    <t>CB8K2N</t>
  </si>
  <si>
    <t>QV2E9L</t>
  </si>
  <si>
    <t>GI0S4D</t>
  </si>
  <si>
    <t>ST0E7K</t>
  </si>
  <si>
    <t>GG2F4D</t>
  </si>
  <si>
    <t>VA3O3A</t>
  </si>
  <si>
    <t>UA4R0X</t>
  </si>
  <si>
    <t>SD2J1L</t>
  </si>
  <si>
    <t>CB4W7M</t>
  </si>
  <si>
    <t>AR0C2E</t>
  </si>
  <si>
    <t>FJ8T3L</t>
  </si>
  <si>
    <t>DX8Q0E</t>
  </si>
  <si>
    <t>SB4N2M</t>
  </si>
  <si>
    <t>RZ7D0C</t>
  </si>
  <si>
    <t>Valuation and Sale</t>
  </si>
  <si>
    <t>NOI, Year 11</t>
  </si>
  <si>
    <t>Cap Rate</t>
  </si>
  <si>
    <t>Sale Price</t>
  </si>
  <si>
    <t>Mortgage</t>
  </si>
  <si>
    <t>Net Sales</t>
  </si>
  <si>
    <t>Return Analysis</t>
  </si>
  <si>
    <t>Leveraged Returns</t>
  </si>
  <si>
    <t>Cash Flow, Operations</t>
  </si>
  <si>
    <t>Cash Flow Sale</t>
  </si>
  <si>
    <t>Cash Flow, After debt Service</t>
  </si>
  <si>
    <t>Interna Rate of Return</t>
  </si>
  <si>
    <t>Unleveraged Returns</t>
  </si>
  <si>
    <t xml:space="preserve">Purchase </t>
  </si>
  <si>
    <t>Cash Flow, Sale</t>
  </si>
  <si>
    <t>Internal Rate of Return</t>
  </si>
  <si>
    <t>Cash Flow Analysis</t>
  </si>
  <si>
    <t>Property Overview</t>
  </si>
  <si>
    <t>Growth Rate, Income</t>
  </si>
  <si>
    <t>Growth Rate, Expenses</t>
  </si>
  <si>
    <t>Assumptions</t>
  </si>
  <si>
    <t>Property ID</t>
  </si>
  <si>
    <t>INPUT VALUES</t>
  </si>
  <si>
    <t>Management fees</t>
  </si>
  <si>
    <t>Vacancy</t>
  </si>
  <si>
    <t>Amortization</t>
  </si>
  <si>
    <t>Unique Identifier (Postcode)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</si>
</sst>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₦&quot;* #,##0.00_-;\-&quot;₦&quot;* #,##0.00_-;_-&quot;₦&quot;* &quot;-&quot;??_-;_-@_-"/>
    <numFmt numFmtId="43" formatCode="_-* #,##0.00_-;\-* #,##0.00_-;_-* &quot;-&quot;??_-;_-@_-"/>
    <numFmt numFmtId="164" formatCode="_-[$£-809]* #,##0.00_-;\-[$£-809]* #,##0.00_-;_-[$£-809]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2" fillId="0" borderId="0" xfId="0" applyFont="1"/>
    <xf numFmtId="0" fontId="0" fillId="0" borderId="0" xfId="0" applyBorder="1"/>
    <xf numFmtId="0" fontId="0" fillId="0" borderId="1" xfId="0" applyBorder="1"/>
    <xf numFmtId="43" fontId="0" fillId="0" borderId="0" xfId="1" applyFont="1" applyBorder="1"/>
    <xf numFmtId="43" fontId="0" fillId="0" borderId="0" xfId="1" applyFont="1"/>
    <xf numFmtId="43" fontId="2" fillId="0" borderId="0" xfId="1" applyFont="1"/>
    <xf numFmtId="43" fontId="0" fillId="0" borderId="0" xfId="1" applyNumberFormat="1" applyFont="1"/>
    <xf numFmtId="43" fontId="2" fillId="0" borderId="0" xfId="1" applyNumberFormat="1" applyFont="1"/>
    <xf numFmtId="9" fontId="0" fillId="0" borderId="0" xfId="3" applyFont="1" applyBorder="1"/>
    <xf numFmtId="9" fontId="2" fillId="0" borderId="0" xfId="3" applyFont="1"/>
    <xf numFmtId="164" fontId="0" fillId="0" borderId="0" xfId="1" applyNumberFormat="1" applyFont="1" applyBorder="1"/>
    <xf numFmtId="164" fontId="2" fillId="0" borderId="0" xfId="1" applyNumberFormat="1" applyFont="1"/>
    <xf numFmtId="164" fontId="2" fillId="0" borderId="0" xfId="2" applyNumberFormat="1" applyFont="1"/>
    <xf numFmtId="164" fontId="0" fillId="0" borderId="0" xfId="1" applyNumberFormat="1" applyFont="1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43" fontId="0" fillId="0" borderId="0" xfId="0" applyNumberFormat="1" applyBorder="1"/>
    <xf numFmtId="0" fontId="0" fillId="0" borderId="6" xfId="0" applyBorder="1"/>
    <xf numFmtId="164" fontId="0" fillId="0" borderId="0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43" fontId="0" fillId="0" borderId="6" xfId="0" applyNumberFormat="1" applyBorder="1"/>
    <xf numFmtId="0" fontId="0" fillId="0" borderId="8" xfId="0" applyBorder="1"/>
    <xf numFmtId="0" fontId="0" fillId="0" borderId="9" xfId="0" applyBorder="1"/>
    <xf numFmtId="10" fontId="0" fillId="0" borderId="9" xfId="0" applyNumberFormat="1" applyBorder="1"/>
    <xf numFmtId="0" fontId="0" fillId="0" borderId="10" xfId="0" applyBorder="1"/>
    <xf numFmtId="0" fontId="0" fillId="0" borderId="7" xfId="0" applyBorder="1"/>
    <xf numFmtId="0" fontId="2" fillId="0" borderId="2" xfId="0" applyFont="1" applyBorder="1"/>
    <xf numFmtId="0" fontId="2" fillId="0" borderId="5" xfId="0" applyFont="1" applyBorder="1"/>
    <xf numFmtId="10" fontId="0" fillId="0" borderId="0" xfId="0" applyNumberFormat="1" applyBorder="1"/>
    <xf numFmtId="0" fontId="2" fillId="0" borderId="8" xfId="0" applyFont="1" applyBorder="1"/>
    <xf numFmtId="9" fontId="0" fillId="0" borderId="0" xfId="0" applyNumberFormat="1" applyBorder="1"/>
    <xf numFmtId="164" fontId="0" fillId="0" borderId="6" xfId="1" applyNumberFormat="1" applyFont="1" applyBorder="1"/>
    <xf numFmtId="43" fontId="0" fillId="0" borderId="5" xfId="1" applyFont="1" applyBorder="1"/>
    <xf numFmtId="164" fontId="0" fillId="0" borderId="9" xfId="1" applyNumberFormat="1" applyFont="1" applyBorder="1"/>
    <xf numFmtId="164" fontId="0" fillId="0" borderId="10" xfId="1" applyNumberFormat="1" applyFont="1" applyBorder="1"/>
    <xf numFmtId="0" fontId="2" fillId="0" borderId="0" xfId="0" applyFont="1" applyBorder="1"/>
    <xf numFmtId="43" fontId="2" fillId="0" borderId="0" xfId="0" applyNumberFormat="1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Border="1"/>
    <xf numFmtId="43" fontId="1" fillId="0" borderId="0" xfId="1" applyFont="1" applyBorder="1"/>
    <xf numFmtId="0" fontId="2" fillId="0" borderId="6" xfId="0" applyFont="1" applyBorder="1"/>
    <xf numFmtId="164" fontId="1" fillId="0" borderId="0" xfId="1" applyNumberFormat="1" applyFont="1" applyBorder="1"/>
    <xf numFmtId="164" fontId="0" fillId="0" borderId="0" xfId="0" applyNumberFormat="1" applyFont="1" applyBorder="1"/>
    <xf numFmtId="9" fontId="0" fillId="0" borderId="0" xfId="0" applyNumberFormat="1" applyFont="1" applyBorder="1"/>
    <xf numFmtId="43" fontId="0" fillId="0" borderId="0" xfId="0" applyNumberFormat="1" applyFont="1" applyBorder="1"/>
    <xf numFmtId="0" fontId="2" fillId="0" borderId="9" xfId="0" applyFont="1" applyBorder="1"/>
    <xf numFmtId="9" fontId="0" fillId="0" borderId="0" xfId="1" applyNumberFormat="1" applyFont="1"/>
    <xf numFmtId="10" fontId="2" fillId="0" borderId="9" xfId="0" applyNumberFormat="1" applyFont="1" applyBorder="1"/>
    <xf numFmtId="0" fontId="0" fillId="0" borderId="0" xfId="0" applyFill="1" applyBorder="1"/>
    <xf numFmtId="0" fontId="0" fillId="0" borderId="9" xfId="0" applyFont="1" applyBorder="1"/>
    <xf numFmtId="164" fontId="0" fillId="0" borderId="9" xfId="0" applyNumberFormat="1" applyFont="1" applyBorder="1"/>
    <xf numFmtId="43" fontId="4" fillId="0" borderId="0" xfId="1" applyFont="1" applyBorder="1"/>
    <xf numFmtId="9" fontId="4" fillId="0" borderId="0" xfId="0" applyNumberFormat="1" applyFont="1" applyBorder="1"/>
    <xf numFmtId="43" fontId="4" fillId="0" borderId="0" xfId="0" applyNumberFormat="1" applyFont="1" applyBorder="1"/>
    <xf numFmtId="0" fontId="4" fillId="0" borderId="0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/>
    <xf numFmtId="0" fontId="4" fillId="0" borderId="6" xfId="0" applyFont="1" applyBorder="1"/>
    <xf numFmtId="0" fontId="4" fillId="0" borderId="9" xfId="0" applyFont="1" applyBorder="1"/>
    <xf numFmtId="0" fontId="4" fillId="0" borderId="10" xfId="0" applyFont="1" applyBorder="1"/>
    <xf numFmtId="164" fontId="4" fillId="0" borderId="0" xfId="1" applyNumberFormat="1" applyFont="1" applyBorder="1"/>
    <xf numFmtId="164" fontId="4" fillId="0" borderId="6" xfId="1" applyNumberFormat="1" applyFont="1" applyBorder="1"/>
    <xf numFmtId="164" fontId="4" fillId="0" borderId="0" xfId="1" applyNumberFormat="1" applyFont="1" applyBorder="1" applyAlignment="1">
      <alignment wrapText="1"/>
    </xf>
    <xf numFmtId="0" fontId="0" fillId="0" borderId="0" xfId="0" applyFill="1"/>
    <xf numFmtId="0" fontId="3" fillId="0" borderId="0" xfId="0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23696-743C-46AB-B527-0F4194E7602F}">
  <dimension ref="A1:O34"/>
  <sheetViews>
    <sheetView workbookViewId="0">
      <selection activeCell="C35" sqref="A1:XFD1048576"/>
    </sheetView>
  </sheetViews>
  <sheetFormatPr defaultRowHeight="14.5" x14ac:dyDescent="0.35"/>
  <cols>
    <col min="1" max="1" width="34.6328125" style="7" customWidth="1"/>
    <col min="2" max="2" width="8.81640625" style="7" bestFit="1" customWidth="1"/>
    <col min="3" max="3" width="15.1796875" style="7" customWidth="1"/>
    <col min="4" max="5" width="10.1796875" style="7" bestFit="1" customWidth="1"/>
    <col min="6" max="6" width="11.7265625" style="7" bestFit="1" customWidth="1"/>
    <col min="7" max="7" width="10.1796875" style="7" bestFit="1" customWidth="1"/>
    <col min="8" max="8" width="8.81640625" style="7" bestFit="1" customWidth="1"/>
    <col min="9" max="9" width="8.81640625" style="5" bestFit="1" customWidth="1"/>
    <col min="10" max="10" width="13.81640625" style="7" bestFit="1" customWidth="1"/>
    <col min="11" max="11" width="8.81640625" style="7" bestFit="1" customWidth="1"/>
    <col min="12" max="12" width="14.81640625" style="7" bestFit="1" customWidth="1"/>
    <col min="13" max="14" width="8.81640625" style="7" bestFit="1" customWidth="1"/>
    <col min="15" max="16384" width="8.7265625" style="7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 t="s">
        <v>15</v>
      </c>
      <c r="B2">
        <v>5</v>
      </c>
      <c r="C2">
        <v>8497</v>
      </c>
      <c r="D2">
        <v>199</v>
      </c>
      <c r="E2">
        <v>73</v>
      </c>
      <c r="F2">
        <v>152</v>
      </c>
      <c r="G2">
        <v>139</v>
      </c>
      <c r="H2">
        <v>8.6707837862945794E-2</v>
      </c>
      <c r="I2">
        <v>5.6753797773024098E-2</v>
      </c>
      <c r="J2">
        <v>1398194</v>
      </c>
      <c r="K2">
        <v>0.51317596907580498</v>
      </c>
      <c r="L2">
        <v>680674.43909402296</v>
      </c>
      <c r="M2">
        <v>5.6002456049786001E-2</v>
      </c>
      <c r="N2">
        <v>22</v>
      </c>
      <c r="O2" t="s">
        <v>41</v>
      </c>
    </row>
    <row r="3" spans="1:15" x14ac:dyDescent="0.35">
      <c r="A3" t="s">
        <v>15</v>
      </c>
      <c r="B3">
        <v>2</v>
      </c>
      <c r="C3">
        <v>6011</v>
      </c>
      <c r="D3">
        <v>182</v>
      </c>
      <c r="E3">
        <v>126</v>
      </c>
      <c r="F3">
        <v>204</v>
      </c>
      <c r="G3">
        <v>145</v>
      </c>
      <c r="H3">
        <v>9.7139255222418494E-2</v>
      </c>
      <c r="I3">
        <v>6.3442218278497206E-2</v>
      </c>
      <c r="J3">
        <v>1759606</v>
      </c>
      <c r="K3">
        <v>0.49230929255125999</v>
      </c>
      <c r="L3">
        <v>893335.61497104703</v>
      </c>
      <c r="M3">
        <v>6.1498861707821303E-2</v>
      </c>
      <c r="N3">
        <v>25</v>
      </c>
      <c r="O3" t="s">
        <v>42</v>
      </c>
    </row>
    <row r="4" spans="1:15" x14ac:dyDescent="0.35">
      <c r="A4" t="s">
        <v>15</v>
      </c>
      <c r="B4">
        <v>5</v>
      </c>
      <c r="C4">
        <v>9110</v>
      </c>
      <c r="D4">
        <v>229</v>
      </c>
      <c r="E4">
        <v>133</v>
      </c>
      <c r="F4">
        <v>150</v>
      </c>
      <c r="G4">
        <v>118</v>
      </c>
      <c r="H4">
        <v>9.7665008625541005E-2</v>
      </c>
      <c r="I4">
        <v>7.7551433936039402E-2</v>
      </c>
      <c r="J4">
        <v>1981201</v>
      </c>
      <c r="K4">
        <v>0.640789874138053</v>
      </c>
      <c r="L4">
        <v>711667.46056781302</v>
      </c>
      <c r="M4">
        <v>6.1960515148396803E-2</v>
      </c>
      <c r="N4">
        <v>24</v>
      </c>
      <c r="O4" t="s">
        <v>43</v>
      </c>
    </row>
    <row r="5" spans="1:15" x14ac:dyDescent="0.35">
      <c r="A5" t="s">
        <v>16</v>
      </c>
      <c r="B5">
        <v>1</v>
      </c>
      <c r="C5">
        <v>6491</v>
      </c>
      <c r="D5">
        <v>198</v>
      </c>
      <c r="E5">
        <v>153</v>
      </c>
      <c r="F5">
        <v>110</v>
      </c>
      <c r="G5">
        <v>286</v>
      </c>
      <c r="H5">
        <v>6.7533836801126401E-2</v>
      </c>
      <c r="I5">
        <v>5.6974851887782098E-2</v>
      </c>
      <c r="J5">
        <v>1382669</v>
      </c>
      <c r="K5">
        <v>0.49914013668773899</v>
      </c>
      <c r="L5">
        <v>692523.40634609899</v>
      </c>
      <c r="M5">
        <v>6.7447834109699498E-2</v>
      </c>
      <c r="N5">
        <v>20</v>
      </c>
      <c r="O5" t="s">
        <v>44</v>
      </c>
    </row>
    <row r="6" spans="1:15" x14ac:dyDescent="0.35">
      <c r="A6" t="s">
        <v>15</v>
      </c>
      <c r="B6">
        <v>1</v>
      </c>
      <c r="C6">
        <v>7502</v>
      </c>
      <c r="D6">
        <v>201</v>
      </c>
      <c r="E6">
        <v>165</v>
      </c>
      <c r="F6">
        <v>75</v>
      </c>
      <c r="G6">
        <v>119</v>
      </c>
      <c r="H6">
        <v>6.8202712975421007E-2</v>
      </c>
      <c r="I6">
        <v>5.1038575128898797E-2</v>
      </c>
      <c r="J6">
        <v>1708202</v>
      </c>
      <c r="K6">
        <v>0.58720143912577405</v>
      </c>
      <c r="L6">
        <v>705143.32728247403</v>
      </c>
      <c r="M6">
        <v>7.1811148733327196E-2</v>
      </c>
      <c r="N6">
        <v>20</v>
      </c>
      <c r="O6" t="s">
        <v>45</v>
      </c>
    </row>
    <row r="7" spans="1:15" x14ac:dyDescent="0.35">
      <c r="A7" t="s">
        <v>16</v>
      </c>
      <c r="B7">
        <v>3</v>
      </c>
      <c r="C7">
        <v>8170</v>
      </c>
      <c r="D7">
        <v>185</v>
      </c>
      <c r="E7">
        <v>131</v>
      </c>
      <c r="F7">
        <v>274</v>
      </c>
      <c r="G7">
        <v>389</v>
      </c>
      <c r="H7">
        <v>6.4025436075306405E-2</v>
      </c>
      <c r="I7">
        <v>7.6250834240485094E-2</v>
      </c>
      <c r="J7">
        <v>950520</v>
      </c>
      <c r="K7">
        <v>0.54764274896019804</v>
      </c>
      <c r="L7">
        <v>429974.61425835098</v>
      </c>
      <c r="M7">
        <v>6.6003669690178096E-2</v>
      </c>
      <c r="N7">
        <v>25</v>
      </c>
      <c r="O7" t="s">
        <v>46</v>
      </c>
    </row>
    <row r="8" spans="1:15" x14ac:dyDescent="0.35">
      <c r="A8" t="s">
        <v>15</v>
      </c>
      <c r="B8">
        <v>1</v>
      </c>
      <c r="C8">
        <v>8890</v>
      </c>
      <c r="D8">
        <v>279</v>
      </c>
      <c r="E8">
        <v>141</v>
      </c>
      <c r="F8">
        <v>152</v>
      </c>
      <c r="G8">
        <v>200</v>
      </c>
      <c r="H8">
        <v>9.9276707412021298E-2</v>
      </c>
      <c r="I8">
        <v>7.7516444926689396E-2</v>
      </c>
      <c r="J8">
        <v>1752062</v>
      </c>
      <c r="K8">
        <v>0.46844563064773098</v>
      </c>
      <c r="L8">
        <v>931316.21147607395</v>
      </c>
      <c r="M8">
        <v>4.04209786201319E-2</v>
      </c>
      <c r="N8">
        <v>23</v>
      </c>
      <c r="O8" t="s">
        <v>47</v>
      </c>
    </row>
    <row r="9" spans="1:15" x14ac:dyDescent="0.35">
      <c r="A9" t="s">
        <v>15</v>
      </c>
      <c r="B9">
        <v>4</v>
      </c>
      <c r="C9">
        <v>8798</v>
      </c>
      <c r="D9">
        <v>144</v>
      </c>
      <c r="E9">
        <v>72</v>
      </c>
      <c r="F9">
        <v>241</v>
      </c>
      <c r="G9">
        <v>372</v>
      </c>
      <c r="H9">
        <v>6.1948786240809503E-2</v>
      </c>
      <c r="I9">
        <v>5.2922212367206803E-2</v>
      </c>
      <c r="J9">
        <v>1708484</v>
      </c>
      <c r="K9">
        <v>0.56772160627795798</v>
      </c>
      <c r="L9">
        <v>738540.71921980695</v>
      </c>
      <c r="M9">
        <v>7.8446758968119201E-2</v>
      </c>
      <c r="N9">
        <v>23</v>
      </c>
      <c r="O9" t="s">
        <v>48</v>
      </c>
    </row>
    <row r="10" spans="1:15" x14ac:dyDescent="0.35">
      <c r="A10" t="s">
        <v>16</v>
      </c>
      <c r="B10">
        <v>3</v>
      </c>
      <c r="C10">
        <v>7689</v>
      </c>
      <c r="D10">
        <v>105</v>
      </c>
      <c r="E10">
        <v>175</v>
      </c>
      <c r="F10">
        <v>62</v>
      </c>
      <c r="G10">
        <v>184</v>
      </c>
      <c r="H10">
        <v>5.4690971016342099E-2</v>
      </c>
      <c r="I10">
        <v>5.4156117770614798E-2</v>
      </c>
      <c r="J10">
        <v>1497753</v>
      </c>
      <c r="K10">
        <v>0.69998643268545402</v>
      </c>
      <c r="L10">
        <v>449346.22048606299</v>
      </c>
      <c r="M10">
        <v>4.0430663234905198E-2</v>
      </c>
      <c r="N10">
        <v>20</v>
      </c>
      <c r="O10" t="s">
        <v>49</v>
      </c>
    </row>
    <row r="11" spans="1:15" x14ac:dyDescent="0.35">
      <c r="A11" t="s">
        <v>15</v>
      </c>
      <c r="B11">
        <v>4</v>
      </c>
      <c r="C11">
        <v>8981</v>
      </c>
      <c r="D11">
        <v>102</v>
      </c>
      <c r="E11">
        <v>182</v>
      </c>
      <c r="F11">
        <v>209</v>
      </c>
      <c r="G11">
        <v>144</v>
      </c>
      <c r="H11">
        <v>7.1444911204450304E-2</v>
      </c>
      <c r="I11">
        <v>6.2330763352699298E-2</v>
      </c>
      <c r="J11">
        <v>1350171</v>
      </c>
      <c r="K11">
        <v>0.42648091536291199</v>
      </c>
      <c r="L11">
        <v>774348.83602354</v>
      </c>
      <c r="M11">
        <v>4.4327700871993697E-2</v>
      </c>
      <c r="N11">
        <v>25</v>
      </c>
      <c r="O11" t="s">
        <v>50</v>
      </c>
    </row>
    <row r="12" spans="1:15" x14ac:dyDescent="0.35">
      <c r="A12" t="s">
        <v>16</v>
      </c>
      <c r="B12">
        <v>5</v>
      </c>
      <c r="C12">
        <v>6101</v>
      </c>
      <c r="D12">
        <v>258</v>
      </c>
      <c r="E12">
        <v>86</v>
      </c>
      <c r="F12">
        <v>194</v>
      </c>
      <c r="G12">
        <v>145</v>
      </c>
      <c r="H12">
        <v>7.9500858156862295E-2</v>
      </c>
      <c r="I12">
        <v>5.5073014409953699E-2</v>
      </c>
      <c r="J12">
        <v>868188</v>
      </c>
      <c r="K12">
        <v>0.69965102342746599</v>
      </c>
      <c r="L12">
        <v>260759.377272554</v>
      </c>
      <c r="M12">
        <v>6.1502891874401999E-2</v>
      </c>
      <c r="N12">
        <v>22</v>
      </c>
      <c r="O12" t="s">
        <v>51</v>
      </c>
    </row>
    <row r="13" spans="1:15" x14ac:dyDescent="0.35">
      <c r="A13" t="s">
        <v>15</v>
      </c>
      <c r="B13">
        <v>5</v>
      </c>
      <c r="C13">
        <v>8504</v>
      </c>
      <c r="D13">
        <v>224</v>
      </c>
      <c r="E13">
        <v>161</v>
      </c>
      <c r="F13">
        <v>188</v>
      </c>
      <c r="G13">
        <v>122</v>
      </c>
      <c r="H13">
        <v>8.8194481774847899E-2</v>
      </c>
      <c r="I13">
        <v>7.5771396660128998E-2</v>
      </c>
      <c r="J13">
        <v>889268</v>
      </c>
      <c r="K13">
        <v>0.57685431944785703</v>
      </c>
      <c r="L13">
        <v>376289.91305324202</v>
      </c>
      <c r="M13">
        <v>4.4275610776666002E-2</v>
      </c>
      <c r="N13">
        <v>24</v>
      </c>
      <c r="O13" t="s">
        <v>52</v>
      </c>
    </row>
    <row r="14" spans="1:15" x14ac:dyDescent="0.35">
      <c r="A14" t="s">
        <v>15</v>
      </c>
      <c r="B14">
        <v>4</v>
      </c>
      <c r="C14">
        <v>7447</v>
      </c>
      <c r="D14">
        <v>216</v>
      </c>
      <c r="E14">
        <v>171</v>
      </c>
      <c r="F14">
        <v>71</v>
      </c>
      <c r="G14">
        <v>342</v>
      </c>
      <c r="H14">
        <v>8.9429491030225794E-2</v>
      </c>
      <c r="I14">
        <v>7.6241420633936796E-2</v>
      </c>
      <c r="J14">
        <v>1625938</v>
      </c>
      <c r="K14">
        <v>0.66473918320279801</v>
      </c>
      <c r="L14">
        <v>545113.30194160796</v>
      </c>
      <c r="M14">
        <v>7.8009556898947799E-2</v>
      </c>
      <c r="N14">
        <v>24</v>
      </c>
      <c r="O14" t="s">
        <v>53</v>
      </c>
    </row>
    <row r="15" spans="1:15" x14ac:dyDescent="0.35">
      <c r="A15" t="s">
        <v>15</v>
      </c>
      <c r="B15">
        <v>5</v>
      </c>
      <c r="C15">
        <v>8623</v>
      </c>
      <c r="D15">
        <v>180</v>
      </c>
      <c r="E15">
        <v>154</v>
      </c>
      <c r="F15">
        <v>85</v>
      </c>
      <c r="G15">
        <v>170</v>
      </c>
      <c r="H15">
        <v>6.0359786020017701E-2</v>
      </c>
      <c r="I15">
        <v>6.7581472892799394E-2</v>
      </c>
      <c r="J15">
        <v>1473686</v>
      </c>
      <c r="K15">
        <v>0.57780373614339198</v>
      </c>
      <c r="L15">
        <v>622184.72329778795</v>
      </c>
      <c r="M15">
        <v>5.1564165118109503E-2</v>
      </c>
      <c r="N15">
        <v>25</v>
      </c>
      <c r="O15" t="s">
        <v>54</v>
      </c>
    </row>
    <row r="16" spans="1:15" x14ac:dyDescent="0.35">
      <c r="A16" t="s">
        <v>15</v>
      </c>
      <c r="B16">
        <v>5</v>
      </c>
      <c r="C16">
        <v>7598</v>
      </c>
      <c r="D16">
        <v>166</v>
      </c>
      <c r="E16">
        <v>119</v>
      </c>
      <c r="F16">
        <v>275</v>
      </c>
      <c r="G16">
        <v>292</v>
      </c>
      <c r="H16">
        <v>9.45395441255584E-2</v>
      </c>
      <c r="I16">
        <v>5.3441584288795002E-2</v>
      </c>
      <c r="J16">
        <v>969361</v>
      </c>
      <c r="K16">
        <v>0.43642462281001398</v>
      </c>
      <c r="L16">
        <v>546307.991208261</v>
      </c>
      <c r="M16">
        <v>4.8608480319878397E-2</v>
      </c>
      <c r="N16">
        <v>22</v>
      </c>
      <c r="O16" t="s">
        <v>55</v>
      </c>
    </row>
    <row r="17" spans="1:15" x14ac:dyDescent="0.35">
      <c r="A17" t="s">
        <v>15</v>
      </c>
      <c r="B17">
        <v>2</v>
      </c>
      <c r="C17">
        <v>6112</v>
      </c>
      <c r="D17">
        <v>213</v>
      </c>
      <c r="E17">
        <v>185</v>
      </c>
      <c r="F17">
        <v>191</v>
      </c>
      <c r="G17">
        <v>185</v>
      </c>
      <c r="H17">
        <v>5.1490088066386802E-2</v>
      </c>
      <c r="I17">
        <v>7.5430529275885796E-2</v>
      </c>
      <c r="J17">
        <v>1842437</v>
      </c>
      <c r="K17">
        <v>0.41784868714647899</v>
      </c>
      <c r="L17">
        <v>1072577.1183998999</v>
      </c>
      <c r="M17">
        <v>6.35479318629672E-2</v>
      </c>
      <c r="N17">
        <v>24</v>
      </c>
      <c r="O17" t="s">
        <v>56</v>
      </c>
    </row>
    <row r="18" spans="1:15" x14ac:dyDescent="0.35">
      <c r="A18" t="s">
        <v>15</v>
      </c>
      <c r="B18">
        <v>4</v>
      </c>
      <c r="C18">
        <v>7679</v>
      </c>
      <c r="D18">
        <v>202</v>
      </c>
      <c r="E18">
        <v>123</v>
      </c>
      <c r="F18">
        <v>94</v>
      </c>
      <c r="G18">
        <v>116</v>
      </c>
      <c r="H18">
        <v>8.8549099508349299E-2</v>
      </c>
      <c r="I18">
        <v>6.18143831450969E-2</v>
      </c>
      <c r="J18">
        <v>1667736</v>
      </c>
      <c r="K18">
        <v>0.47356424098167399</v>
      </c>
      <c r="L18">
        <v>877955.86700218602</v>
      </c>
      <c r="M18">
        <v>7.3353427005906094E-2</v>
      </c>
      <c r="N18">
        <v>23</v>
      </c>
      <c r="O18" t="s">
        <v>57</v>
      </c>
    </row>
    <row r="19" spans="1:15" x14ac:dyDescent="0.35">
      <c r="A19" t="s">
        <v>16</v>
      </c>
      <c r="B19">
        <v>2</v>
      </c>
      <c r="C19">
        <v>6091</v>
      </c>
      <c r="D19">
        <v>143</v>
      </c>
      <c r="E19">
        <v>80</v>
      </c>
      <c r="F19">
        <v>95</v>
      </c>
      <c r="G19">
        <v>161</v>
      </c>
      <c r="H19">
        <v>8.9040726837411793E-2</v>
      </c>
      <c r="I19">
        <v>6.8610502446688398E-2</v>
      </c>
      <c r="J19">
        <v>1380120</v>
      </c>
      <c r="K19">
        <v>0.426089512687299</v>
      </c>
      <c r="L19">
        <v>792065.34175000398</v>
      </c>
      <c r="M19">
        <v>7.0913239076691004E-2</v>
      </c>
      <c r="N19">
        <v>21</v>
      </c>
      <c r="O19" t="s">
        <v>58</v>
      </c>
    </row>
    <row r="20" spans="1:15" x14ac:dyDescent="0.35">
      <c r="A20" t="s">
        <v>15</v>
      </c>
      <c r="B20">
        <v>5</v>
      </c>
      <c r="C20">
        <v>7100</v>
      </c>
      <c r="D20">
        <v>147</v>
      </c>
      <c r="E20">
        <v>170</v>
      </c>
      <c r="F20">
        <v>259</v>
      </c>
      <c r="G20">
        <v>180</v>
      </c>
      <c r="H20">
        <v>5.66677226823901E-2</v>
      </c>
      <c r="I20">
        <v>5.6759249160087198E-2</v>
      </c>
      <c r="J20">
        <v>1670855</v>
      </c>
      <c r="K20">
        <v>0.50270364315313398</v>
      </c>
      <c r="L20">
        <v>830910.10431937</v>
      </c>
      <c r="M20">
        <v>4.4001986397810097E-2</v>
      </c>
      <c r="N20">
        <v>23</v>
      </c>
      <c r="O20" t="s">
        <v>59</v>
      </c>
    </row>
    <row r="21" spans="1:15" x14ac:dyDescent="0.35">
      <c r="A21" t="s">
        <v>16</v>
      </c>
      <c r="B21">
        <v>2</v>
      </c>
      <c r="C21">
        <v>9890</v>
      </c>
      <c r="D21">
        <v>280</v>
      </c>
      <c r="E21">
        <v>141</v>
      </c>
      <c r="F21">
        <v>289</v>
      </c>
      <c r="G21">
        <v>224</v>
      </c>
      <c r="H21">
        <v>6.2395713727229699E-2</v>
      </c>
      <c r="I21">
        <v>5.87487715500409E-2</v>
      </c>
      <c r="J21">
        <v>1825491</v>
      </c>
      <c r="K21">
        <v>0.53644288719299804</v>
      </c>
      <c r="L21">
        <v>846219.33741516504</v>
      </c>
      <c r="M21">
        <v>7.6149755052337204E-2</v>
      </c>
      <c r="N21">
        <v>20</v>
      </c>
      <c r="O21" t="s">
        <v>60</v>
      </c>
    </row>
    <row r="22" spans="1:15" x14ac:dyDescent="0.35">
      <c r="A22" t="s">
        <v>16</v>
      </c>
      <c r="B22">
        <v>4</v>
      </c>
      <c r="C22">
        <v>7927</v>
      </c>
      <c r="D22">
        <v>209</v>
      </c>
      <c r="E22">
        <v>155</v>
      </c>
      <c r="F22">
        <v>52</v>
      </c>
      <c r="G22">
        <v>242</v>
      </c>
      <c r="H22">
        <v>5.84929494446969E-2</v>
      </c>
      <c r="I22">
        <v>7.5507754447372899E-2</v>
      </c>
      <c r="J22">
        <v>1002964</v>
      </c>
      <c r="K22">
        <v>0.402122536150614</v>
      </c>
      <c r="L22">
        <v>599649.572652234</v>
      </c>
      <c r="M22">
        <v>5.4677387424199898E-2</v>
      </c>
      <c r="N22">
        <v>23</v>
      </c>
      <c r="O22" t="s">
        <v>61</v>
      </c>
    </row>
    <row r="23" spans="1:15" x14ac:dyDescent="0.35">
      <c r="A23" t="s">
        <v>16</v>
      </c>
      <c r="B23">
        <v>4</v>
      </c>
      <c r="C23">
        <v>6568</v>
      </c>
      <c r="D23">
        <v>195</v>
      </c>
      <c r="E23">
        <v>75</v>
      </c>
      <c r="F23">
        <v>256</v>
      </c>
      <c r="G23">
        <v>124</v>
      </c>
      <c r="H23">
        <v>9.9327505516600204E-2</v>
      </c>
      <c r="I23">
        <v>5.30922619555848E-2</v>
      </c>
      <c r="J23">
        <v>1741727</v>
      </c>
      <c r="K23">
        <v>0.41153247047490699</v>
      </c>
      <c r="L23">
        <v>1024949.7847971499</v>
      </c>
      <c r="M23">
        <v>7.9161457500770499E-2</v>
      </c>
      <c r="N23">
        <v>24</v>
      </c>
      <c r="O23" t="s">
        <v>62</v>
      </c>
    </row>
    <row r="24" spans="1:15" x14ac:dyDescent="0.35">
      <c r="A24" t="s">
        <v>15</v>
      </c>
      <c r="B24">
        <v>5</v>
      </c>
      <c r="C24">
        <v>9736</v>
      </c>
      <c r="D24">
        <v>143</v>
      </c>
      <c r="E24">
        <v>179</v>
      </c>
      <c r="F24">
        <v>56</v>
      </c>
      <c r="G24">
        <v>212</v>
      </c>
      <c r="H24">
        <v>6.28479507752948E-2</v>
      </c>
      <c r="I24">
        <v>5.73366183582305E-2</v>
      </c>
      <c r="J24">
        <v>1413165</v>
      </c>
      <c r="K24">
        <v>0.48749917902043499</v>
      </c>
      <c r="L24">
        <v>724248.22267958603</v>
      </c>
      <c r="M24">
        <v>7.0446373781974395E-2</v>
      </c>
      <c r="N24">
        <v>25</v>
      </c>
      <c r="O24" t="s">
        <v>63</v>
      </c>
    </row>
    <row r="25" spans="1:15" x14ac:dyDescent="0.35">
      <c r="A25" t="s">
        <v>15</v>
      </c>
      <c r="B25">
        <v>2</v>
      </c>
      <c r="C25">
        <v>6352</v>
      </c>
      <c r="D25">
        <v>287</v>
      </c>
      <c r="E25">
        <v>82</v>
      </c>
      <c r="F25">
        <v>89</v>
      </c>
      <c r="G25">
        <v>387</v>
      </c>
      <c r="H25">
        <v>5.0467413888142902E-2</v>
      </c>
      <c r="I25">
        <v>5.7586587107053597E-2</v>
      </c>
      <c r="J25">
        <v>904235</v>
      </c>
      <c r="K25">
        <v>0.68437764071609897</v>
      </c>
      <c r="L25">
        <v>285396.784047077</v>
      </c>
      <c r="M25">
        <v>7.1500134726620895E-2</v>
      </c>
      <c r="N25">
        <v>25</v>
      </c>
      <c r="O25" t="s">
        <v>64</v>
      </c>
    </row>
    <row r="26" spans="1:15" x14ac:dyDescent="0.35">
      <c r="A26" t="s">
        <v>15</v>
      </c>
      <c r="B26">
        <v>3</v>
      </c>
      <c r="C26">
        <v>8480</v>
      </c>
      <c r="D26">
        <v>282</v>
      </c>
      <c r="E26">
        <v>118</v>
      </c>
      <c r="F26">
        <v>125</v>
      </c>
      <c r="G26">
        <v>177</v>
      </c>
      <c r="H26">
        <v>5.7628207703161502E-2</v>
      </c>
      <c r="I26">
        <v>7.8356587023972094E-2</v>
      </c>
      <c r="J26">
        <v>1199643</v>
      </c>
      <c r="K26">
        <v>0.56450686180630905</v>
      </c>
      <c r="L26">
        <v>522436.29478209303</v>
      </c>
      <c r="M26">
        <v>4.0662108648126499E-2</v>
      </c>
      <c r="N26">
        <v>22</v>
      </c>
      <c r="O26" t="s">
        <v>65</v>
      </c>
    </row>
    <row r="27" spans="1:15" s="8" customFormat="1" x14ac:dyDescent="0.35">
      <c r="A27" s="8" t="s">
        <v>17</v>
      </c>
      <c r="C27" s="13">
        <f>SUM(C2:C26)</f>
        <v>194347</v>
      </c>
      <c r="D27" s="13">
        <f>SUM(D2:D26)</f>
        <v>4969</v>
      </c>
      <c r="E27" s="13">
        <f>SUM(E2:E26)</f>
        <v>3350</v>
      </c>
      <c r="F27" s="13">
        <f>SUM(F2:F26)</f>
        <v>3948</v>
      </c>
      <c r="G27" s="13">
        <f>SUM(G2:G26)</f>
        <v>5175</v>
      </c>
      <c r="H27" s="10">
        <f>AVERAGE(H2:H26)</f>
        <v>7.4302680107742353E-2</v>
      </c>
      <c r="I27" s="6">
        <f>AVERAGE(I2:I26)</f>
        <v>6.4011575320702549E-2</v>
      </c>
      <c r="J27" s="12">
        <f>AVERAGE(J2:J26)</f>
        <v>1438547.04</v>
      </c>
      <c r="K27" s="10">
        <f>AVERAGE(K2:K26)</f>
        <v>0.5322021835949744</v>
      </c>
      <c r="L27" s="12">
        <f>SUM(L2:L26)</f>
        <v>16933934.584343504</v>
      </c>
      <c r="M27" s="10">
        <f>AVERAGE(M2:M26)</f>
        <v>6.066900374399066E-2</v>
      </c>
      <c r="N27" s="8">
        <f>AVERAGE(N2:N26)</f>
        <v>22.96</v>
      </c>
    </row>
    <row r="28" spans="1:15" x14ac:dyDescent="0.35">
      <c r="A28" s="8" t="s">
        <v>30</v>
      </c>
      <c r="C28" s="7">
        <f>+C27*12</f>
        <v>2332164</v>
      </c>
      <c r="D28" s="7">
        <f t="shared" ref="D28:G28" si="0">+D27*12</f>
        <v>59628</v>
      </c>
      <c r="E28" s="7">
        <f t="shared" si="0"/>
        <v>40200</v>
      </c>
      <c r="F28" s="7">
        <f t="shared" si="0"/>
        <v>47376</v>
      </c>
      <c r="G28" s="7">
        <f t="shared" si="0"/>
        <v>62100</v>
      </c>
      <c r="J28" s="7">
        <f>SUM(J2:J26)</f>
        <v>35963676</v>
      </c>
    </row>
    <row r="29" spans="1:15" x14ac:dyDescent="0.35">
      <c r="A29" s="8"/>
    </row>
    <row r="30" spans="1:15" x14ac:dyDescent="0.35">
      <c r="A30" s="8"/>
    </row>
    <row r="31" spans="1:15" x14ac:dyDescent="0.35">
      <c r="A31" s="8"/>
    </row>
    <row r="32" spans="1:15" x14ac:dyDescent="0.35">
      <c r="A32" s="8" t="s">
        <v>86</v>
      </c>
    </row>
    <row r="33" spans="1:2" x14ac:dyDescent="0.35">
      <c r="A33" s="7" t="s">
        <v>84</v>
      </c>
      <c r="B33" s="51">
        <v>0.03</v>
      </c>
    </row>
    <row r="34" spans="1:2" x14ac:dyDescent="0.35">
      <c r="A34" s="7" t="s">
        <v>85</v>
      </c>
      <c r="B34" s="51">
        <v>0.02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2E793-33ED-4841-A8EF-6421DA88F7EE}">
  <dimension ref="A1:P101"/>
  <sheetViews>
    <sheetView tabSelected="1" topLeftCell="A2" zoomScale="80" zoomScaleNormal="80" workbookViewId="0">
      <selection activeCell="J28" sqref="J28"/>
    </sheetView>
  </sheetViews>
  <sheetFormatPr defaultRowHeight="14.5" x14ac:dyDescent="0.35"/>
  <cols>
    <col min="1" max="1" width="25.36328125" customWidth="1"/>
    <col min="2" max="2" width="27.54296875" customWidth="1"/>
    <col min="3" max="3" width="29.36328125" customWidth="1"/>
    <col min="4" max="4" width="29.1796875" customWidth="1"/>
    <col min="5" max="5" width="23.90625" customWidth="1"/>
    <col min="6" max="6" width="14.54296875" customWidth="1"/>
    <col min="7" max="7" width="14.36328125" customWidth="1"/>
    <col min="8" max="8" width="14.7265625" customWidth="1"/>
    <col min="9" max="9" width="17.08984375" customWidth="1"/>
    <col min="10" max="10" width="14.36328125" customWidth="1"/>
    <col min="11" max="12" width="15" customWidth="1"/>
    <col min="13" max="13" width="14.90625" customWidth="1"/>
    <col min="14" max="14" width="15" customWidth="1"/>
    <col min="15" max="15" width="16" customWidth="1"/>
  </cols>
  <sheetData>
    <row r="1" spans="1:15" x14ac:dyDescent="0.35">
      <c r="A1" s="1" t="s">
        <v>18</v>
      </c>
    </row>
    <row r="2" spans="1:15" x14ac:dyDescent="0.35">
      <c r="A2" s="1"/>
    </row>
    <row r="3" spans="1:15" x14ac:dyDescent="0.35">
      <c r="A3" s="1"/>
    </row>
    <row r="4" spans="1:15" ht="15" thickBot="1" x14ac:dyDescent="0.4">
      <c r="A4" s="1"/>
    </row>
    <row r="5" spans="1:15" ht="15" thickBot="1" x14ac:dyDescent="0.4">
      <c r="A5" s="30" t="s">
        <v>72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7"/>
    </row>
    <row r="6" spans="1:15" x14ac:dyDescent="0.35">
      <c r="A6" s="31"/>
      <c r="B6" s="15" t="s">
        <v>73</v>
      </c>
      <c r="C6" s="16"/>
      <c r="D6" s="16">
        <v>0</v>
      </c>
      <c r="E6" s="16">
        <v>1</v>
      </c>
      <c r="F6" s="16">
        <v>2</v>
      </c>
      <c r="G6" s="16">
        <v>3</v>
      </c>
      <c r="H6" s="16">
        <v>4</v>
      </c>
      <c r="I6" s="16">
        <v>5</v>
      </c>
      <c r="J6" s="16">
        <v>6</v>
      </c>
      <c r="K6" s="16">
        <v>7</v>
      </c>
      <c r="L6" s="16">
        <v>8</v>
      </c>
      <c r="M6" s="16">
        <v>9</v>
      </c>
      <c r="N6" s="17">
        <v>10</v>
      </c>
      <c r="O6" s="20"/>
    </row>
    <row r="7" spans="1:15" x14ac:dyDescent="0.35">
      <c r="A7" s="31"/>
      <c r="B7" s="18"/>
      <c r="C7" s="2" t="s">
        <v>11</v>
      </c>
      <c r="D7" s="19">
        <f>-Data!L27</f>
        <v>-16933934.584343504</v>
      </c>
      <c r="E7" s="2"/>
      <c r="F7" s="2"/>
      <c r="G7" s="2"/>
      <c r="H7" s="2"/>
      <c r="I7" s="2"/>
      <c r="J7" s="2"/>
      <c r="K7" s="2"/>
      <c r="L7" s="2"/>
      <c r="M7" s="2"/>
      <c r="N7" s="20"/>
      <c r="O7" s="20"/>
    </row>
    <row r="8" spans="1:15" x14ac:dyDescent="0.35">
      <c r="A8" s="31"/>
      <c r="B8" s="18"/>
      <c r="C8" s="2" t="s">
        <v>76</v>
      </c>
      <c r="D8" s="2"/>
      <c r="E8" s="21">
        <f>+E52</f>
        <v>254098.9294106015</v>
      </c>
      <c r="F8" s="21">
        <f t="shared" ref="F8:N8" si="0">+F52</f>
        <v>312155.33019366045</v>
      </c>
      <c r="G8" s="21">
        <f t="shared" si="0"/>
        <v>372027.72254491644</v>
      </c>
      <c r="H8" s="21">
        <f t="shared" si="0"/>
        <v>433772.07220230997</v>
      </c>
      <c r="I8" s="21">
        <f t="shared" si="0"/>
        <v>497446.05359573755</v>
      </c>
      <c r="J8" s="21">
        <f t="shared" si="0"/>
        <v>563109.10170220491</v>
      </c>
      <c r="K8" s="21">
        <f t="shared" si="0"/>
        <v>630822.46546852961</v>
      </c>
      <c r="L8" s="21">
        <f t="shared" si="0"/>
        <v>700649.26284883963</v>
      </c>
      <c r="M8" s="21">
        <f t="shared" si="0"/>
        <v>772654.53750557499</v>
      </c>
      <c r="N8" s="22">
        <f t="shared" si="0"/>
        <v>846905.31722412817</v>
      </c>
      <c r="O8" s="20"/>
    </row>
    <row r="9" spans="1:15" x14ac:dyDescent="0.35">
      <c r="A9" s="31"/>
      <c r="B9" s="18"/>
      <c r="C9" s="2" t="s">
        <v>75</v>
      </c>
      <c r="D9" s="3"/>
      <c r="E9" s="3"/>
      <c r="F9" s="3"/>
      <c r="G9" s="3"/>
      <c r="H9" s="3"/>
      <c r="I9" s="3"/>
      <c r="J9" s="3"/>
      <c r="K9" s="3"/>
      <c r="L9" s="3"/>
      <c r="M9" s="3"/>
      <c r="N9" s="23">
        <f>+E31</f>
        <v>35910799.150954142</v>
      </c>
      <c r="O9" s="20"/>
    </row>
    <row r="10" spans="1:15" x14ac:dyDescent="0.35">
      <c r="A10" s="31"/>
      <c r="B10" s="18"/>
      <c r="C10" s="2"/>
      <c r="D10" s="19">
        <f>SUM(D7:D9)</f>
        <v>-16933934.584343504</v>
      </c>
      <c r="E10" s="19">
        <f t="shared" ref="E10:N10" si="1">SUM(E7:E9)</f>
        <v>254098.9294106015</v>
      </c>
      <c r="F10" s="19">
        <f t="shared" si="1"/>
        <v>312155.33019366045</v>
      </c>
      <c r="G10" s="19">
        <f t="shared" si="1"/>
        <v>372027.72254491644</v>
      </c>
      <c r="H10" s="19">
        <f t="shared" si="1"/>
        <v>433772.07220230997</v>
      </c>
      <c r="I10" s="19">
        <f t="shared" si="1"/>
        <v>497446.05359573755</v>
      </c>
      <c r="J10" s="19">
        <f t="shared" si="1"/>
        <v>563109.10170220491</v>
      </c>
      <c r="K10" s="19">
        <f t="shared" si="1"/>
        <v>630822.46546852961</v>
      </c>
      <c r="L10" s="19">
        <f t="shared" si="1"/>
        <v>700649.26284883963</v>
      </c>
      <c r="M10" s="19">
        <f t="shared" si="1"/>
        <v>772654.53750557499</v>
      </c>
      <c r="N10" s="24">
        <f t="shared" si="1"/>
        <v>36757704.468178272</v>
      </c>
      <c r="O10" s="20"/>
    </row>
    <row r="11" spans="1:15" x14ac:dyDescent="0.35">
      <c r="A11" s="31"/>
      <c r="B11" s="18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0"/>
      <c r="O11" s="20"/>
    </row>
    <row r="12" spans="1:15" ht="15" thickBot="1" x14ac:dyDescent="0.4">
      <c r="A12" s="31"/>
      <c r="B12" s="25"/>
      <c r="C12" s="50" t="s">
        <v>77</v>
      </c>
      <c r="D12" s="27">
        <f>IRR(D10:N10)</f>
        <v>9.9348841115723729E-2</v>
      </c>
      <c r="E12" s="26"/>
      <c r="F12" s="26"/>
      <c r="G12" s="26"/>
      <c r="H12" s="26"/>
      <c r="I12" s="26"/>
      <c r="J12" s="26"/>
      <c r="K12" s="26"/>
      <c r="L12" s="26"/>
      <c r="M12" s="26"/>
      <c r="N12" s="28"/>
      <c r="O12" s="20"/>
    </row>
    <row r="13" spans="1:15" x14ac:dyDescent="0.35">
      <c r="A13" s="31"/>
      <c r="B13" s="2"/>
      <c r="C13" s="2"/>
      <c r="D13" s="32"/>
      <c r="E13" s="2"/>
      <c r="F13" s="2"/>
      <c r="G13" s="2"/>
      <c r="H13" s="2"/>
      <c r="I13" s="2"/>
      <c r="J13" s="2"/>
      <c r="K13" s="2"/>
      <c r="L13" s="2"/>
      <c r="M13" s="2"/>
      <c r="N13" s="2"/>
      <c r="O13" s="20"/>
    </row>
    <row r="14" spans="1:15" x14ac:dyDescent="0.35">
      <c r="A14" s="31"/>
      <c r="B14" s="2"/>
      <c r="C14" s="2"/>
      <c r="D14" s="32"/>
      <c r="E14" s="2"/>
      <c r="F14" s="2"/>
      <c r="G14" s="2"/>
      <c r="H14" s="2"/>
      <c r="I14" s="2"/>
      <c r="J14" s="2"/>
      <c r="K14" s="2"/>
      <c r="L14" s="2"/>
      <c r="M14" s="2"/>
      <c r="N14" s="2"/>
      <c r="O14" s="20"/>
    </row>
    <row r="15" spans="1:15" ht="15" thickBot="1" x14ac:dyDescent="0.4">
      <c r="A15" s="3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0"/>
    </row>
    <row r="16" spans="1:15" x14ac:dyDescent="0.35">
      <c r="A16" s="31"/>
      <c r="B16" s="15" t="s">
        <v>78</v>
      </c>
      <c r="C16" s="16"/>
      <c r="D16" s="16">
        <v>0</v>
      </c>
      <c r="E16" s="16">
        <v>1</v>
      </c>
      <c r="F16" s="16">
        <v>2</v>
      </c>
      <c r="G16" s="16">
        <v>3</v>
      </c>
      <c r="H16" s="16">
        <v>4</v>
      </c>
      <c r="I16" s="16">
        <v>5</v>
      </c>
      <c r="J16" s="16">
        <v>6</v>
      </c>
      <c r="K16" s="16">
        <v>7</v>
      </c>
      <c r="L16" s="16">
        <v>8</v>
      </c>
      <c r="M16" s="16">
        <v>9</v>
      </c>
      <c r="N16" s="17">
        <v>10</v>
      </c>
      <c r="O16" s="20"/>
    </row>
    <row r="17" spans="1:15" x14ac:dyDescent="0.35">
      <c r="A17" s="31"/>
      <c r="B17" s="18"/>
      <c r="C17" s="2" t="s">
        <v>79</v>
      </c>
      <c r="D17" s="19">
        <f>-Data!J28</f>
        <v>-35963676</v>
      </c>
      <c r="E17" s="2"/>
      <c r="F17" s="2"/>
      <c r="G17" s="2"/>
      <c r="H17" s="2"/>
      <c r="I17" s="2"/>
      <c r="J17" s="2"/>
      <c r="K17" s="2"/>
      <c r="L17" s="2"/>
      <c r="M17" s="2"/>
      <c r="N17" s="20"/>
      <c r="O17" s="20"/>
    </row>
    <row r="18" spans="1:15" x14ac:dyDescent="0.35">
      <c r="A18" s="31"/>
      <c r="B18" s="18"/>
      <c r="C18" s="2" t="s">
        <v>74</v>
      </c>
      <c r="D18" s="2"/>
      <c r="E18" s="21">
        <f>+E45</f>
        <v>1811380.7849260629</v>
      </c>
      <c r="F18" s="21">
        <f t="shared" ref="F18:N18" si="2">+F45</f>
        <v>1869437.1857091219</v>
      </c>
      <c r="G18" s="21">
        <f t="shared" si="2"/>
        <v>1929309.5780603779</v>
      </c>
      <c r="H18" s="21">
        <f t="shared" si="2"/>
        <v>1991053.9277177714</v>
      </c>
      <c r="I18" s="21">
        <f t="shared" si="2"/>
        <v>2054727.909111199</v>
      </c>
      <c r="J18" s="21">
        <f t="shared" si="2"/>
        <v>2120390.9572176663</v>
      </c>
      <c r="K18" s="21">
        <f t="shared" si="2"/>
        <v>2188104.320983991</v>
      </c>
      <c r="L18" s="21">
        <f t="shared" si="2"/>
        <v>2257931.118364301</v>
      </c>
      <c r="M18" s="21">
        <f t="shared" si="2"/>
        <v>2329936.3930210364</v>
      </c>
      <c r="N18" s="22">
        <f t="shared" si="2"/>
        <v>2404187.1727395896</v>
      </c>
      <c r="O18" s="20"/>
    </row>
    <row r="19" spans="1:15" x14ac:dyDescent="0.35">
      <c r="A19" s="31"/>
      <c r="B19" s="18"/>
      <c r="C19" s="2" t="s">
        <v>80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29">
        <f>+E28</f>
        <v>49615050.59216515</v>
      </c>
      <c r="O19" s="20"/>
    </row>
    <row r="20" spans="1:15" x14ac:dyDescent="0.35">
      <c r="A20" s="31"/>
      <c r="B20" s="18"/>
      <c r="C20" s="2"/>
      <c r="D20" s="19">
        <f>SUM(D17:D19)</f>
        <v>-35963676</v>
      </c>
      <c r="E20" s="19">
        <f t="shared" ref="E20:N20" si="3">SUM(E17:E19)</f>
        <v>1811380.7849260629</v>
      </c>
      <c r="F20" s="19">
        <f t="shared" si="3"/>
        <v>1869437.1857091219</v>
      </c>
      <c r="G20" s="19">
        <f t="shared" si="3"/>
        <v>1929309.5780603779</v>
      </c>
      <c r="H20" s="19">
        <f t="shared" si="3"/>
        <v>1991053.9277177714</v>
      </c>
      <c r="I20" s="19">
        <f t="shared" si="3"/>
        <v>2054727.909111199</v>
      </c>
      <c r="J20" s="19">
        <f t="shared" si="3"/>
        <v>2120390.9572176663</v>
      </c>
      <c r="K20" s="19">
        <f t="shared" si="3"/>
        <v>2188104.320983991</v>
      </c>
      <c r="L20" s="19">
        <f t="shared" si="3"/>
        <v>2257931.118364301</v>
      </c>
      <c r="M20" s="19">
        <f t="shared" si="3"/>
        <v>2329936.3930210364</v>
      </c>
      <c r="N20" s="24">
        <f t="shared" si="3"/>
        <v>52019237.764904737</v>
      </c>
      <c r="O20" s="20"/>
    </row>
    <row r="21" spans="1:15" x14ac:dyDescent="0.35">
      <c r="A21" s="31"/>
      <c r="B21" s="1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0"/>
      <c r="O21" s="20"/>
    </row>
    <row r="22" spans="1:15" ht="15" thickBot="1" x14ac:dyDescent="0.4">
      <c r="A22" s="31"/>
      <c r="B22" s="25"/>
      <c r="C22" s="50" t="s">
        <v>81</v>
      </c>
      <c r="D22" s="27">
        <f>IRR(D20:N20)</f>
        <v>8.2926602575122299E-2</v>
      </c>
      <c r="E22" s="26"/>
      <c r="F22" s="26"/>
      <c r="G22" s="26"/>
      <c r="H22" s="26"/>
      <c r="I22" s="26"/>
      <c r="J22" s="26"/>
      <c r="K22" s="26"/>
      <c r="L22" s="26"/>
      <c r="M22" s="26"/>
      <c r="N22" s="28"/>
      <c r="O22" s="20"/>
    </row>
    <row r="23" spans="1:15" ht="15" thickBot="1" x14ac:dyDescent="0.4">
      <c r="A23" s="33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8"/>
    </row>
    <row r="24" spans="1:15" ht="15" thickBot="1" x14ac:dyDescent="0.4">
      <c r="A24" s="1"/>
    </row>
    <row r="25" spans="1:15" x14ac:dyDescent="0.35">
      <c r="A25" s="30" t="s">
        <v>66</v>
      </c>
      <c r="B25" s="16"/>
      <c r="C25" s="16"/>
      <c r="D25" s="16"/>
      <c r="E25" s="16"/>
      <c r="F25" s="17"/>
    </row>
    <row r="26" spans="1:15" x14ac:dyDescent="0.35">
      <c r="A26" s="31"/>
      <c r="B26" s="2"/>
      <c r="C26" s="2"/>
      <c r="D26" s="2" t="s">
        <v>67</v>
      </c>
      <c r="E26" s="21">
        <f>+O45</f>
        <v>2480752.5296082576</v>
      </c>
      <c r="F26" s="20"/>
    </row>
    <row r="27" spans="1:15" x14ac:dyDescent="0.35">
      <c r="A27" s="31"/>
      <c r="B27" s="2"/>
      <c r="C27" s="2"/>
      <c r="D27" s="2" t="s">
        <v>68</v>
      </c>
      <c r="E27" s="34">
        <v>0.05</v>
      </c>
      <c r="F27" s="20"/>
    </row>
    <row r="28" spans="1:15" x14ac:dyDescent="0.35">
      <c r="A28" s="31"/>
      <c r="B28" s="2"/>
      <c r="C28" s="2"/>
      <c r="D28" s="2" t="s">
        <v>69</v>
      </c>
      <c r="E28" s="2">
        <f>+E26/E27</f>
        <v>49615050.59216515</v>
      </c>
      <c r="F28" s="20"/>
    </row>
    <row r="29" spans="1:15" x14ac:dyDescent="0.35">
      <c r="A29" s="31"/>
      <c r="B29" s="2"/>
      <c r="C29" s="2"/>
      <c r="D29" s="2"/>
      <c r="E29" s="2"/>
      <c r="F29" s="20"/>
    </row>
    <row r="30" spans="1:15" x14ac:dyDescent="0.35">
      <c r="A30" s="31"/>
      <c r="B30" s="2"/>
      <c r="C30" s="2"/>
      <c r="D30" s="2" t="s">
        <v>70</v>
      </c>
      <c r="E30" s="21">
        <f>+L81</f>
        <v>13704251.441211011</v>
      </c>
      <c r="F30" s="20"/>
    </row>
    <row r="31" spans="1:15" x14ac:dyDescent="0.35">
      <c r="A31" s="31"/>
      <c r="B31" s="2"/>
      <c r="C31" s="2"/>
      <c r="D31" s="2" t="s">
        <v>71</v>
      </c>
      <c r="E31" s="21">
        <f>+E28-E30</f>
        <v>35910799.150954142</v>
      </c>
      <c r="F31" s="20"/>
    </row>
    <row r="32" spans="1:15" x14ac:dyDescent="0.35">
      <c r="A32" s="31"/>
      <c r="B32" s="2"/>
      <c r="C32" s="2"/>
      <c r="D32" s="2"/>
      <c r="E32" s="2"/>
      <c r="F32" s="20"/>
    </row>
    <row r="33" spans="1:16" ht="15" thickBot="1" x14ac:dyDescent="0.4">
      <c r="A33" s="33"/>
      <c r="B33" s="26"/>
      <c r="C33" s="26"/>
      <c r="D33" s="26"/>
      <c r="E33" s="26"/>
      <c r="F33" s="28"/>
    </row>
    <row r="34" spans="1:16" x14ac:dyDescent="0.35">
      <c r="A34" s="1"/>
    </row>
    <row r="36" spans="1:16" ht="15" thickBot="1" x14ac:dyDescent="0.4"/>
    <row r="37" spans="1:16" x14ac:dyDescent="0.35">
      <c r="A37" s="15"/>
      <c r="B37" s="16"/>
      <c r="C37" s="16"/>
      <c r="D37" s="16"/>
      <c r="E37" s="16">
        <v>1</v>
      </c>
      <c r="F37" s="16">
        <v>2</v>
      </c>
      <c r="G37" s="16">
        <v>3</v>
      </c>
      <c r="H37" s="16">
        <v>4</v>
      </c>
      <c r="I37" s="16">
        <v>5</v>
      </c>
      <c r="J37" s="16">
        <v>6</v>
      </c>
      <c r="K37" s="16">
        <v>7</v>
      </c>
      <c r="L37" s="16">
        <v>8</v>
      </c>
      <c r="M37" s="16">
        <v>9</v>
      </c>
      <c r="N37" s="16">
        <v>10</v>
      </c>
      <c r="O37" s="16">
        <v>11</v>
      </c>
      <c r="P37" s="17"/>
    </row>
    <row r="38" spans="1:16" x14ac:dyDescent="0.35">
      <c r="A38" s="31" t="s">
        <v>82</v>
      </c>
      <c r="B38" s="2"/>
      <c r="C38" s="2"/>
      <c r="D38" s="2" t="s">
        <v>19</v>
      </c>
      <c r="E38" s="11">
        <f>+Data!C28</f>
        <v>2332164</v>
      </c>
      <c r="F38" s="11">
        <f>+E38*(1+$E$60)</f>
        <v>2402128.92</v>
      </c>
      <c r="G38" s="11">
        <f t="shared" ref="G38:N38" si="4">+F38*(1+$E$60)</f>
        <v>2474192.7875999999</v>
      </c>
      <c r="H38" s="11">
        <f t="shared" si="4"/>
        <v>2548418.5712279999</v>
      </c>
      <c r="I38" s="11">
        <f t="shared" si="4"/>
        <v>2624871.1283648401</v>
      </c>
      <c r="J38" s="11">
        <f t="shared" si="4"/>
        <v>2703617.2622157852</v>
      </c>
      <c r="K38" s="11">
        <f t="shared" si="4"/>
        <v>2784725.7800822589</v>
      </c>
      <c r="L38" s="11">
        <f t="shared" si="4"/>
        <v>2868267.5534847267</v>
      </c>
      <c r="M38" s="11">
        <f t="shared" si="4"/>
        <v>2954315.5800892687</v>
      </c>
      <c r="N38" s="11">
        <f t="shared" si="4"/>
        <v>3042945.0474919467</v>
      </c>
      <c r="O38" s="11">
        <f t="shared" ref="O38" si="5">+N38*(1+$E$60)</f>
        <v>3134233.398916705</v>
      </c>
      <c r="P38" s="35"/>
    </row>
    <row r="39" spans="1:16" x14ac:dyDescent="0.35">
      <c r="A39" s="18"/>
      <c r="B39" s="2"/>
      <c r="C39" s="2"/>
      <c r="D39" s="2" t="s">
        <v>20</v>
      </c>
      <c r="E39" s="11">
        <f>+E38*-Data!$I$27</f>
        <v>-149285.49154623094</v>
      </c>
      <c r="F39" s="11">
        <f>+F38*-Data!$I$27</f>
        <v>-153764.05629261787</v>
      </c>
      <c r="G39" s="11">
        <f>+G38*-Data!$I$27</f>
        <v>-158376.9779813964</v>
      </c>
      <c r="H39" s="11">
        <f>+H38*-Data!$I$27</f>
        <v>-163128.28732083828</v>
      </c>
      <c r="I39" s="11">
        <f>+I38*-Data!$I$27</f>
        <v>-168022.13594046346</v>
      </c>
      <c r="J39" s="11">
        <f>+J38*-Data!$I$27</f>
        <v>-173062.80001867734</v>
      </c>
      <c r="K39" s="11">
        <f>+K38*-Data!$I$27</f>
        <v>-178254.68401923767</v>
      </c>
      <c r="L39" s="11">
        <f>+L38*-Data!$I$27</f>
        <v>-183602.32453981481</v>
      </c>
      <c r="M39" s="11">
        <f>+M38*-Data!$I$27</f>
        <v>-189110.39427600926</v>
      </c>
      <c r="N39" s="11">
        <f>+N38*-Data!$I$27</f>
        <v>-194783.70610428954</v>
      </c>
      <c r="O39" s="11">
        <f>+O38*-Data!$I$27</f>
        <v>-200627.21728741823</v>
      </c>
      <c r="P39" s="35"/>
    </row>
    <row r="40" spans="1:16" x14ac:dyDescent="0.35">
      <c r="A40" s="18"/>
      <c r="B40" s="2"/>
      <c r="C40" s="2"/>
      <c r="D40" s="2" t="s">
        <v>21</v>
      </c>
      <c r="E40" s="14">
        <f>+E38+E39</f>
        <v>2182878.5084537691</v>
      </c>
      <c r="F40" s="14">
        <f t="shared" ref="F40:O40" si="6">+F38+F39</f>
        <v>2248364.8637073822</v>
      </c>
      <c r="G40" s="14">
        <f t="shared" si="6"/>
        <v>2315815.8096186034</v>
      </c>
      <c r="H40" s="14">
        <f t="shared" si="6"/>
        <v>2385290.2839071616</v>
      </c>
      <c r="I40" s="14">
        <f t="shared" si="6"/>
        <v>2456848.9924243768</v>
      </c>
      <c r="J40" s="14">
        <f t="shared" si="6"/>
        <v>2530554.4621971077</v>
      </c>
      <c r="K40" s="14">
        <f t="shared" si="6"/>
        <v>2606471.0960630211</v>
      </c>
      <c r="L40" s="14">
        <f t="shared" si="6"/>
        <v>2684665.2289449121</v>
      </c>
      <c r="M40" s="14">
        <f t="shared" si="6"/>
        <v>2765205.1858132593</v>
      </c>
      <c r="N40" s="14">
        <f t="shared" si="6"/>
        <v>2848161.341387657</v>
      </c>
      <c r="O40" s="14">
        <f t="shared" si="6"/>
        <v>2933606.1816292866</v>
      </c>
      <c r="P40" s="35"/>
    </row>
    <row r="41" spans="1:16" x14ac:dyDescent="0.35">
      <c r="A41" s="18"/>
      <c r="B41" s="2"/>
      <c r="C41" s="2"/>
      <c r="D41" s="2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35"/>
    </row>
    <row r="42" spans="1:16" x14ac:dyDescent="0.35">
      <c r="A42" s="18"/>
      <c r="B42" s="2"/>
      <c r="C42" s="2"/>
      <c r="D42" s="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35"/>
    </row>
    <row r="43" spans="1:16" s="5" customFormat="1" x14ac:dyDescent="0.35">
      <c r="A43" s="36"/>
      <c r="B43" s="4"/>
      <c r="C43" s="4"/>
      <c r="D43" s="4" t="s">
        <v>22</v>
      </c>
      <c r="E43" s="11">
        <f>+K66</f>
        <v>371497.72352770617</v>
      </c>
      <c r="F43" s="11">
        <f>+E43*(1+$E$64)</f>
        <v>378927.6779982603</v>
      </c>
      <c r="G43" s="11">
        <f t="shared" ref="G43:N43" si="7">+F43*(1+$E$64)</f>
        <v>386506.23155822553</v>
      </c>
      <c r="H43" s="11">
        <f t="shared" si="7"/>
        <v>394236.35618939006</v>
      </c>
      <c r="I43" s="11">
        <f t="shared" si="7"/>
        <v>402121.08331317786</v>
      </c>
      <c r="J43" s="11">
        <f t="shared" si="7"/>
        <v>410163.50497944141</v>
      </c>
      <c r="K43" s="11">
        <f t="shared" si="7"/>
        <v>418366.77507903025</v>
      </c>
      <c r="L43" s="11">
        <f t="shared" si="7"/>
        <v>426734.11058061087</v>
      </c>
      <c r="M43" s="11">
        <f t="shared" si="7"/>
        <v>435268.7927922231</v>
      </c>
      <c r="N43" s="11">
        <f t="shared" si="7"/>
        <v>443974.16864806757</v>
      </c>
      <c r="O43" s="11">
        <f t="shared" ref="O43" si="8">+N43*(1+$E$64)</f>
        <v>452853.65202102892</v>
      </c>
      <c r="P43" s="35"/>
    </row>
    <row r="44" spans="1:16" x14ac:dyDescent="0.35">
      <c r="A44" s="18"/>
      <c r="B44" s="2"/>
      <c r="C44" s="2"/>
      <c r="D44" s="2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35"/>
    </row>
    <row r="45" spans="1:16" x14ac:dyDescent="0.35">
      <c r="A45" s="18"/>
      <c r="B45" s="2"/>
      <c r="C45" s="2"/>
      <c r="D45" s="2" t="s">
        <v>23</v>
      </c>
      <c r="E45" s="11">
        <f>+E40-E43</f>
        <v>1811380.7849260629</v>
      </c>
      <c r="F45" s="11">
        <f t="shared" ref="F45:N45" si="9">+F40-F43</f>
        <v>1869437.1857091219</v>
      </c>
      <c r="G45" s="11">
        <f t="shared" si="9"/>
        <v>1929309.5780603779</v>
      </c>
      <c r="H45" s="11">
        <f t="shared" si="9"/>
        <v>1991053.9277177714</v>
      </c>
      <c r="I45" s="11">
        <f t="shared" si="9"/>
        <v>2054727.909111199</v>
      </c>
      <c r="J45" s="11">
        <f t="shared" si="9"/>
        <v>2120390.9572176663</v>
      </c>
      <c r="K45" s="11">
        <f t="shared" si="9"/>
        <v>2188104.320983991</v>
      </c>
      <c r="L45" s="11">
        <f t="shared" si="9"/>
        <v>2257931.118364301</v>
      </c>
      <c r="M45" s="11">
        <f t="shared" si="9"/>
        <v>2329936.3930210364</v>
      </c>
      <c r="N45" s="11">
        <f t="shared" si="9"/>
        <v>2404187.1727395896</v>
      </c>
      <c r="O45" s="11">
        <f t="shared" ref="O45" si="10">+O40-O43</f>
        <v>2480752.5296082576</v>
      </c>
      <c r="P45" s="35"/>
    </row>
    <row r="46" spans="1:16" x14ac:dyDescent="0.35">
      <c r="A46" s="18"/>
      <c r="B46" s="2"/>
      <c r="C46" s="2"/>
      <c r="D46" s="2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35"/>
    </row>
    <row r="47" spans="1:16" x14ac:dyDescent="0.35">
      <c r="A47" s="18"/>
      <c r="B47" s="2"/>
      <c r="C47" s="2"/>
      <c r="D47" s="2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35"/>
    </row>
    <row r="48" spans="1:16" x14ac:dyDescent="0.35">
      <c r="A48" s="18"/>
      <c r="B48" s="2"/>
      <c r="C48" s="2"/>
      <c r="D48" s="2" t="s">
        <v>40</v>
      </c>
      <c r="E48" s="11">
        <f>+$I$72*-1</f>
        <v>1557281.8555154614</v>
      </c>
      <c r="F48" s="11">
        <f t="shared" ref="F48:O48" si="11">+$I$72*-1</f>
        <v>1557281.8555154614</v>
      </c>
      <c r="G48" s="11">
        <f t="shared" si="11"/>
        <v>1557281.8555154614</v>
      </c>
      <c r="H48" s="11">
        <f t="shared" si="11"/>
        <v>1557281.8555154614</v>
      </c>
      <c r="I48" s="11">
        <f t="shared" si="11"/>
        <v>1557281.8555154614</v>
      </c>
      <c r="J48" s="11">
        <f t="shared" si="11"/>
        <v>1557281.8555154614</v>
      </c>
      <c r="K48" s="11">
        <f t="shared" si="11"/>
        <v>1557281.8555154614</v>
      </c>
      <c r="L48" s="11">
        <f t="shared" si="11"/>
        <v>1557281.8555154614</v>
      </c>
      <c r="M48" s="11">
        <f t="shared" si="11"/>
        <v>1557281.8555154614</v>
      </c>
      <c r="N48" s="11">
        <f t="shared" si="11"/>
        <v>1557281.8555154614</v>
      </c>
      <c r="O48" s="11">
        <f t="shared" si="11"/>
        <v>1557281.8555154614</v>
      </c>
      <c r="P48" s="35"/>
    </row>
    <row r="49" spans="1:16" x14ac:dyDescent="0.35">
      <c r="A49" s="18"/>
      <c r="B49" s="2"/>
      <c r="C49" s="2"/>
      <c r="D49" s="2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35"/>
    </row>
    <row r="50" spans="1:16" x14ac:dyDescent="0.35">
      <c r="A50" s="18"/>
      <c r="B50" s="2"/>
      <c r="C50" s="2"/>
      <c r="D50" s="2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35"/>
    </row>
    <row r="51" spans="1:16" x14ac:dyDescent="0.35">
      <c r="A51" s="18"/>
      <c r="B51" s="2"/>
      <c r="C51" s="2"/>
      <c r="D51" s="2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35"/>
    </row>
    <row r="52" spans="1:16" x14ac:dyDescent="0.35">
      <c r="A52" s="18"/>
      <c r="B52" s="2"/>
      <c r="C52" s="2"/>
      <c r="D52" s="2" t="s">
        <v>26</v>
      </c>
      <c r="E52" s="11">
        <f>+E45-E48</f>
        <v>254098.9294106015</v>
      </c>
      <c r="F52" s="11">
        <f t="shared" ref="F52:N52" si="12">+F45-F48</f>
        <v>312155.33019366045</v>
      </c>
      <c r="G52" s="11">
        <f t="shared" si="12"/>
        <v>372027.72254491644</v>
      </c>
      <c r="H52" s="11">
        <f t="shared" si="12"/>
        <v>433772.07220230997</v>
      </c>
      <c r="I52" s="11">
        <f t="shared" si="12"/>
        <v>497446.05359573755</v>
      </c>
      <c r="J52" s="11">
        <f t="shared" si="12"/>
        <v>563109.10170220491</v>
      </c>
      <c r="K52" s="11">
        <f t="shared" si="12"/>
        <v>630822.46546852961</v>
      </c>
      <c r="L52" s="11">
        <f t="shared" si="12"/>
        <v>700649.26284883963</v>
      </c>
      <c r="M52" s="11">
        <f t="shared" si="12"/>
        <v>772654.53750557499</v>
      </c>
      <c r="N52" s="11">
        <f t="shared" si="12"/>
        <v>846905.31722412817</v>
      </c>
      <c r="O52" s="11">
        <f t="shared" ref="O52" si="13">+O45-O48</f>
        <v>923470.67409279617</v>
      </c>
      <c r="P52" s="35"/>
    </row>
    <row r="53" spans="1:16" x14ac:dyDescent="0.35">
      <c r="A53" s="18"/>
      <c r="B53" s="2"/>
      <c r="C53" s="2"/>
      <c r="D53" s="2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35"/>
    </row>
    <row r="54" spans="1:16" x14ac:dyDescent="0.35">
      <c r="A54" s="18"/>
      <c r="B54" s="2"/>
      <c r="C54" s="2"/>
      <c r="D54" s="2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35"/>
    </row>
    <row r="55" spans="1:16" ht="15" thickBot="1" x14ac:dyDescent="0.4">
      <c r="A55" s="25"/>
      <c r="B55" s="26"/>
      <c r="C55" s="26"/>
      <c r="D55" s="26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8"/>
    </row>
    <row r="58" spans="1:16" ht="15" thickBot="1" x14ac:dyDescent="0.4"/>
    <row r="59" spans="1:16" x14ac:dyDescent="0.35">
      <c r="A59" s="30" t="s">
        <v>27</v>
      </c>
      <c r="B59" s="16"/>
      <c r="C59" s="16"/>
      <c r="D59" s="16" t="s">
        <v>28</v>
      </c>
      <c r="E59" s="16"/>
      <c r="F59" s="17"/>
    </row>
    <row r="60" spans="1:16" x14ac:dyDescent="0.35">
      <c r="A60" s="18"/>
      <c r="B60" s="2"/>
      <c r="C60" s="2"/>
      <c r="D60" s="2" t="s">
        <v>29</v>
      </c>
      <c r="E60" s="34">
        <v>0.03</v>
      </c>
      <c r="F60" s="20"/>
    </row>
    <row r="61" spans="1:16" ht="15" thickBot="1" x14ac:dyDescent="0.4">
      <c r="A61" s="25"/>
      <c r="B61" s="26"/>
      <c r="C61" s="26"/>
      <c r="D61" s="26"/>
      <c r="E61" s="26"/>
      <c r="F61" s="28"/>
    </row>
    <row r="62" spans="1:16" ht="15" thickBot="1" x14ac:dyDescent="0.4"/>
    <row r="63" spans="1:16" x14ac:dyDescent="0.35">
      <c r="A63" s="30" t="s">
        <v>22</v>
      </c>
      <c r="B63" s="16"/>
      <c r="C63" s="16"/>
      <c r="D63" s="16" t="s">
        <v>31</v>
      </c>
      <c r="E63" s="16"/>
      <c r="F63" s="16"/>
      <c r="G63" s="16"/>
      <c r="H63" s="16"/>
      <c r="I63" s="16"/>
      <c r="J63" s="16"/>
      <c r="K63" s="16"/>
      <c r="L63" s="17"/>
    </row>
    <row r="64" spans="1:16" x14ac:dyDescent="0.35">
      <c r="A64" s="18"/>
      <c r="B64" s="2"/>
      <c r="C64" s="2"/>
      <c r="D64" s="2" t="s">
        <v>32</v>
      </c>
      <c r="E64" s="34">
        <v>0.02</v>
      </c>
      <c r="F64" s="2"/>
      <c r="G64" s="2"/>
      <c r="H64" s="2"/>
      <c r="I64" s="2"/>
      <c r="J64" s="2"/>
      <c r="K64" s="2"/>
      <c r="L64" s="20"/>
    </row>
    <row r="65" spans="1:13" x14ac:dyDescent="0.35">
      <c r="A65" s="18"/>
      <c r="B65" s="2"/>
      <c r="C65" s="2"/>
      <c r="D65" s="2"/>
      <c r="E65" s="2"/>
      <c r="F65" s="2" t="s">
        <v>3</v>
      </c>
      <c r="G65" s="2" t="s">
        <v>4</v>
      </c>
      <c r="H65" s="2" t="s">
        <v>5</v>
      </c>
      <c r="I65" s="2" t="s">
        <v>6</v>
      </c>
      <c r="J65" s="2" t="s">
        <v>7</v>
      </c>
      <c r="K65" s="39" t="s">
        <v>33</v>
      </c>
      <c r="L65" s="20"/>
    </row>
    <row r="66" spans="1:13" x14ac:dyDescent="0.35">
      <c r="A66" s="18"/>
      <c r="B66" s="2"/>
      <c r="C66" s="2"/>
      <c r="D66" s="2"/>
      <c r="E66" s="2"/>
      <c r="F66" s="19">
        <f>+Data!D28</f>
        <v>59628</v>
      </c>
      <c r="G66" s="19">
        <f>+Data!E28</f>
        <v>40200</v>
      </c>
      <c r="H66" s="19">
        <f>+Data!F28</f>
        <v>47376</v>
      </c>
      <c r="I66" s="19">
        <f>+Data!G28</f>
        <v>62100</v>
      </c>
      <c r="J66" s="19">
        <f>+E40*Data!H27</f>
        <v>162193.72352770617</v>
      </c>
      <c r="K66" s="40">
        <f>SUM(F66:J66)</f>
        <v>371497.72352770617</v>
      </c>
      <c r="L66" s="20"/>
    </row>
    <row r="67" spans="1:13" ht="15" thickBot="1" x14ac:dyDescent="0.4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8"/>
    </row>
    <row r="68" spans="1:13" ht="15" thickBot="1" x14ac:dyDescent="0.4"/>
    <row r="69" spans="1:13" x14ac:dyDescent="0.35">
      <c r="A69" s="30" t="s">
        <v>34</v>
      </c>
      <c r="B69" s="41"/>
      <c r="C69" s="30"/>
      <c r="D69" s="16"/>
      <c r="E69" s="41"/>
      <c r="F69" s="41"/>
      <c r="G69" s="41"/>
      <c r="H69" s="41"/>
      <c r="I69" s="41"/>
      <c r="J69" s="41"/>
      <c r="K69" s="41"/>
      <c r="L69" s="41"/>
      <c r="M69" s="42"/>
    </row>
    <row r="70" spans="1:13" x14ac:dyDescent="0.35">
      <c r="A70" s="31"/>
      <c r="B70" s="39"/>
      <c r="C70" s="31"/>
      <c r="D70" s="43" t="s">
        <v>11</v>
      </c>
      <c r="E70" s="44">
        <f>+Data!L27</f>
        <v>16933934.584343504</v>
      </c>
      <c r="F70" s="43"/>
      <c r="G70" s="43" t="s">
        <v>36</v>
      </c>
      <c r="H70" s="43" t="s">
        <v>37</v>
      </c>
      <c r="I70" s="43" t="s">
        <v>38</v>
      </c>
      <c r="J70" s="43" t="s">
        <v>25</v>
      </c>
      <c r="K70" s="43" t="s">
        <v>24</v>
      </c>
      <c r="L70" s="43" t="s">
        <v>39</v>
      </c>
      <c r="M70" s="45"/>
    </row>
    <row r="71" spans="1:13" x14ac:dyDescent="0.35">
      <c r="A71" s="31"/>
      <c r="B71" s="39"/>
      <c r="C71" s="31"/>
      <c r="D71" s="43" t="s">
        <v>9</v>
      </c>
      <c r="E71" s="44">
        <f>+Data!J27</f>
        <v>1438547.04</v>
      </c>
      <c r="F71" s="43"/>
      <c r="G71" s="43">
        <v>0</v>
      </c>
      <c r="H71" s="46"/>
      <c r="I71" s="47"/>
      <c r="J71" s="47"/>
      <c r="K71" s="47"/>
      <c r="L71" s="47">
        <f>+E72</f>
        <v>19029741.415656496</v>
      </c>
      <c r="M71" s="45"/>
    </row>
    <row r="72" spans="1:13" x14ac:dyDescent="0.35">
      <c r="A72" s="31"/>
      <c r="B72" s="39"/>
      <c r="C72" s="31"/>
      <c r="D72" s="43" t="s">
        <v>35</v>
      </c>
      <c r="E72" s="44">
        <f>+Data!J28-Data!L27</f>
        <v>19029741.415656496</v>
      </c>
      <c r="F72" s="43"/>
      <c r="G72" s="43">
        <v>1</v>
      </c>
      <c r="H72" s="47">
        <f>+L71</f>
        <v>19029741.415656496</v>
      </c>
      <c r="I72" s="47">
        <f>+PMT(E73,E74,E72,0)</f>
        <v>-1557281.8555154614</v>
      </c>
      <c r="J72" s="47">
        <f>+$E$73*L71*-1</f>
        <v>-1154515.453193638</v>
      </c>
      <c r="K72" s="47">
        <f t="shared" ref="K72:K78" si="14">+I72-J72</f>
        <v>-402766.40232182341</v>
      </c>
      <c r="L72" s="47">
        <f t="shared" ref="L72:L77" si="15">+H72+K72</f>
        <v>18626975.013334673</v>
      </c>
      <c r="M72" s="45"/>
    </row>
    <row r="73" spans="1:13" x14ac:dyDescent="0.35">
      <c r="A73" s="31"/>
      <c r="B73" s="39"/>
      <c r="C73" s="31"/>
      <c r="D73" s="43" t="s">
        <v>12</v>
      </c>
      <c r="E73" s="48">
        <f>+Data!M27</f>
        <v>6.066900374399066E-2</v>
      </c>
      <c r="F73" s="43"/>
      <c r="G73" s="43">
        <v>2</v>
      </c>
      <c r="H73" s="47">
        <f>+L72</f>
        <v>18626975.013334673</v>
      </c>
      <c r="I73" s="47">
        <f>+I72</f>
        <v>-1557281.8555154614</v>
      </c>
      <c r="J73" s="47">
        <f>+$E$73*L72*-1</f>
        <v>-1130080.0168232217</v>
      </c>
      <c r="K73" s="47">
        <f t="shared" si="14"/>
        <v>-427201.83869223972</v>
      </c>
      <c r="L73" s="47">
        <f t="shared" si="15"/>
        <v>18199773.174642432</v>
      </c>
      <c r="M73" s="45"/>
    </row>
    <row r="74" spans="1:13" x14ac:dyDescent="0.35">
      <c r="A74" s="31"/>
      <c r="B74" s="39"/>
      <c r="C74" s="31"/>
      <c r="D74" s="43" t="s">
        <v>13</v>
      </c>
      <c r="E74" s="49">
        <f>+Data!N27</f>
        <v>22.96</v>
      </c>
      <c r="F74" s="43"/>
      <c r="G74" s="43">
        <v>3</v>
      </c>
      <c r="H74" s="47">
        <f t="shared" ref="H74:H94" si="16">+L73</f>
        <v>18199773.174642432</v>
      </c>
      <c r="I74" s="47">
        <f t="shared" ref="I74:I94" si="17">+I73</f>
        <v>-1557281.8555154614</v>
      </c>
      <c r="J74" s="47">
        <f t="shared" ref="J74:J94" si="18">+$E$73*L73*-1</f>
        <v>-1104162.1068721625</v>
      </c>
      <c r="K74" s="47">
        <f t="shared" si="14"/>
        <v>-453119.74864329887</v>
      </c>
      <c r="L74" s="47">
        <f t="shared" si="15"/>
        <v>17746653.425999135</v>
      </c>
      <c r="M74" s="45"/>
    </row>
    <row r="75" spans="1:13" x14ac:dyDescent="0.35">
      <c r="A75" s="31"/>
      <c r="B75" s="39"/>
      <c r="C75" s="31"/>
      <c r="D75" s="43"/>
      <c r="E75" s="43"/>
      <c r="F75" s="43"/>
      <c r="G75" s="43">
        <v>4</v>
      </c>
      <c r="H75" s="47">
        <f t="shared" si="16"/>
        <v>17746653.425999135</v>
      </c>
      <c r="I75" s="47">
        <f t="shared" si="17"/>
        <v>-1557281.8555154614</v>
      </c>
      <c r="J75" s="47">
        <f t="shared" si="18"/>
        <v>-1076671.7831452461</v>
      </c>
      <c r="K75" s="47">
        <f t="shared" si="14"/>
        <v>-480610.07237021532</v>
      </c>
      <c r="L75" s="47">
        <f t="shared" si="15"/>
        <v>17266043.353628919</v>
      </c>
      <c r="M75" s="45"/>
    </row>
    <row r="76" spans="1:13" x14ac:dyDescent="0.35">
      <c r="A76" s="31"/>
      <c r="B76" s="39"/>
      <c r="C76" s="31"/>
      <c r="D76" s="43"/>
      <c r="E76" s="43"/>
      <c r="F76" s="43"/>
      <c r="G76" s="43">
        <v>5</v>
      </c>
      <c r="H76" s="47">
        <f t="shared" si="16"/>
        <v>17266043.353628919</v>
      </c>
      <c r="I76" s="47">
        <f t="shared" si="17"/>
        <v>-1557281.8555154614</v>
      </c>
      <c r="J76" s="47">
        <f t="shared" si="18"/>
        <v>-1047513.6488652179</v>
      </c>
      <c r="K76" s="47">
        <f t="shared" si="14"/>
        <v>-509768.20665024349</v>
      </c>
      <c r="L76" s="47">
        <f t="shared" si="15"/>
        <v>16756275.146978674</v>
      </c>
      <c r="M76" s="45"/>
    </row>
    <row r="77" spans="1:13" x14ac:dyDescent="0.35">
      <c r="A77" s="31"/>
      <c r="B77" s="39"/>
      <c r="C77" s="31"/>
      <c r="D77" s="43"/>
      <c r="E77" s="43"/>
      <c r="F77" s="43"/>
      <c r="G77" s="43">
        <v>6</v>
      </c>
      <c r="H77" s="47">
        <f t="shared" si="16"/>
        <v>16756275.146978674</v>
      </c>
      <c r="I77" s="47">
        <f t="shared" si="17"/>
        <v>-1557281.8555154614</v>
      </c>
      <c r="J77" s="47">
        <f t="shared" si="18"/>
        <v>-1016586.5196273868</v>
      </c>
      <c r="K77" s="47">
        <f t="shared" si="14"/>
        <v>-540695.33588807459</v>
      </c>
      <c r="L77" s="47">
        <f t="shared" si="15"/>
        <v>16215579.8110906</v>
      </c>
      <c r="M77" s="45"/>
    </row>
    <row r="78" spans="1:13" x14ac:dyDescent="0.35">
      <c r="A78" s="31"/>
      <c r="B78" s="39"/>
      <c r="C78" s="31"/>
      <c r="D78" s="43"/>
      <c r="E78" s="43"/>
      <c r="F78" s="43"/>
      <c r="G78" s="43">
        <v>7</v>
      </c>
      <c r="H78" s="47">
        <f t="shared" si="16"/>
        <v>16215579.8110906</v>
      </c>
      <c r="I78" s="47">
        <f t="shared" si="17"/>
        <v>-1557281.8555154614</v>
      </c>
      <c r="J78" s="47">
        <f t="shared" si="18"/>
        <v>-983783.07227003493</v>
      </c>
      <c r="K78" s="47">
        <f t="shared" si="14"/>
        <v>-573498.78324542649</v>
      </c>
      <c r="L78" s="47">
        <f t="shared" ref="L78:L94" si="19">+H78+K78</f>
        <v>15642081.027845174</v>
      </c>
      <c r="M78" s="45"/>
    </row>
    <row r="79" spans="1:13" x14ac:dyDescent="0.35">
      <c r="A79" s="31"/>
      <c r="B79" s="39"/>
      <c r="C79" s="31"/>
      <c r="D79" s="43"/>
      <c r="E79" s="43"/>
      <c r="F79" s="43"/>
      <c r="G79" s="43">
        <v>8</v>
      </c>
      <c r="H79" s="47">
        <f t="shared" si="16"/>
        <v>15642081.027845174</v>
      </c>
      <c r="I79" s="47">
        <f t="shared" si="17"/>
        <v>-1557281.8555154614</v>
      </c>
      <c r="J79" s="47">
        <f t="shared" si="18"/>
        <v>-948989.47244214418</v>
      </c>
      <c r="K79" s="47">
        <f t="shared" ref="K79:K94" si="20">+I79-J79</f>
        <v>-608292.38307331724</v>
      </c>
      <c r="L79" s="47">
        <f t="shared" si="19"/>
        <v>15033788.644771857</v>
      </c>
      <c r="M79" s="45"/>
    </row>
    <row r="80" spans="1:13" x14ac:dyDescent="0.35">
      <c r="A80" s="31"/>
      <c r="B80" s="39"/>
      <c r="C80" s="31"/>
      <c r="D80" s="43"/>
      <c r="E80" s="43"/>
      <c r="F80" s="43"/>
      <c r="G80" s="43">
        <v>9</v>
      </c>
      <c r="H80" s="47">
        <f t="shared" si="16"/>
        <v>15033788.644771857</v>
      </c>
      <c r="I80" s="47">
        <f t="shared" si="17"/>
        <v>-1557281.8555154614</v>
      </c>
      <c r="J80" s="47">
        <f t="shared" si="18"/>
        <v>-912084.97957602807</v>
      </c>
      <c r="K80" s="47">
        <f t="shared" si="20"/>
        <v>-645196.87593943335</v>
      </c>
      <c r="L80" s="47">
        <f t="shared" si="19"/>
        <v>14388591.768832425</v>
      </c>
      <c r="M80" s="45"/>
    </row>
    <row r="81" spans="1:13" x14ac:dyDescent="0.35">
      <c r="A81" s="31"/>
      <c r="B81" s="39"/>
      <c r="C81" s="31"/>
      <c r="D81" s="43"/>
      <c r="E81" s="43"/>
      <c r="F81" s="43"/>
      <c r="G81" s="43">
        <v>10</v>
      </c>
      <c r="H81" s="47">
        <f t="shared" si="16"/>
        <v>14388591.768832425</v>
      </c>
      <c r="I81" s="47">
        <f t="shared" si="17"/>
        <v>-1557281.8555154614</v>
      </c>
      <c r="J81" s="47">
        <f t="shared" si="18"/>
        <v>-872941.52789404755</v>
      </c>
      <c r="K81" s="47">
        <f t="shared" si="20"/>
        <v>-684340.32762141386</v>
      </c>
      <c r="L81" s="47">
        <f t="shared" si="19"/>
        <v>13704251.441211011</v>
      </c>
      <c r="M81" s="45"/>
    </row>
    <row r="82" spans="1:13" ht="15" thickBot="1" x14ac:dyDescent="0.4">
      <c r="A82" s="33"/>
      <c r="B82" s="50"/>
      <c r="C82" s="31"/>
      <c r="D82" s="39"/>
      <c r="E82" s="39"/>
      <c r="F82" s="39"/>
      <c r="G82" s="43">
        <v>11</v>
      </c>
      <c r="H82" s="47">
        <f t="shared" si="16"/>
        <v>13704251.441211011</v>
      </c>
      <c r="I82" s="47">
        <f t="shared" si="17"/>
        <v>-1557281.8555154614</v>
      </c>
      <c r="J82" s="47">
        <f t="shared" si="18"/>
        <v>-831423.28199542023</v>
      </c>
      <c r="K82" s="47">
        <f t="shared" si="20"/>
        <v>-725858.57352004119</v>
      </c>
      <c r="L82" s="47">
        <f t="shared" si="19"/>
        <v>12978392.867690969</v>
      </c>
      <c r="M82" s="45"/>
    </row>
    <row r="83" spans="1:13" x14ac:dyDescent="0.35">
      <c r="C83" s="18"/>
      <c r="D83" s="2"/>
      <c r="E83" s="2"/>
      <c r="F83" s="2"/>
      <c r="G83" s="43">
        <v>12</v>
      </c>
      <c r="H83" s="47">
        <f t="shared" si="16"/>
        <v>12978392.867690969</v>
      </c>
      <c r="I83" s="47">
        <f t="shared" si="17"/>
        <v>-1557281.8555154614</v>
      </c>
      <c r="J83" s="47">
        <f t="shared" si="18"/>
        <v>-787386.16548092512</v>
      </c>
      <c r="K83" s="47">
        <f t="shared" si="20"/>
        <v>-769895.6900345363</v>
      </c>
      <c r="L83" s="47">
        <f t="shared" si="19"/>
        <v>12208497.177656433</v>
      </c>
      <c r="M83" s="20"/>
    </row>
    <row r="84" spans="1:13" x14ac:dyDescent="0.35">
      <c r="C84" s="18"/>
      <c r="D84" s="2"/>
      <c r="E84" s="2"/>
      <c r="F84" s="2"/>
      <c r="G84" s="43">
        <v>13</v>
      </c>
      <c r="H84" s="47">
        <f t="shared" si="16"/>
        <v>12208497.177656433</v>
      </c>
      <c r="I84" s="47">
        <f t="shared" si="17"/>
        <v>-1557281.8555154614</v>
      </c>
      <c r="J84" s="47">
        <f t="shared" si="18"/>
        <v>-740677.36097973748</v>
      </c>
      <c r="K84" s="47">
        <f t="shared" si="20"/>
        <v>-816604.49453572393</v>
      </c>
      <c r="L84" s="47">
        <f t="shared" si="19"/>
        <v>11391892.683120709</v>
      </c>
      <c r="M84" s="20"/>
    </row>
    <row r="85" spans="1:13" x14ac:dyDescent="0.35">
      <c r="C85" s="18"/>
      <c r="D85" s="2"/>
      <c r="E85" s="2"/>
      <c r="F85" s="2"/>
      <c r="G85" s="43">
        <v>14</v>
      </c>
      <c r="H85" s="47">
        <f t="shared" si="16"/>
        <v>11391892.683120709</v>
      </c>
      <c r="I85" s="47">
        <f t="shared" si="17"/>
        <v>-1557281.8555154614</v>
      </c>
      <c r="J85" s="47">
        <f t="shared" si="18"/>
        <v>-691134.7798433901</v>
      </c>
      <c r="K85" s="47">
        <f t="shared" si="20"/>
        <v>-866147.07567207131</v>
      </c>
      <c r="L85" s="47">
        <f t="shared" si="19"/>
        <v>10525745.607448637</v>
      </c>
      <c r="M85" s="20"/>
    </row>
    <row r="86" spans="1:13" x14ac:dyDescent="0.35">
      <c r="C86" s="18"/>
      <c r="D86" s="2"/>
      <c r="E86" s="2"/>
      <c r="F86" s="2"/>
      <c r="G86" s="43">
        <v>15</v>
      </c>
      <c r="H86" s="47">
        <f t="shared" si="16"/>
        <v>10525745.607448637</v>
      </c>
      <c r="I86" s="47">
        <f t="shared" si="17"/>
        <v>-1557281.8555154614</v>
      </c>
      <c r="J86" s="47">
        <f t="shared" si="18"/>
        <v>-638586.49966659467</v>
      </c>
      <c r="K86" s="47">
        <f t="shared" si="20"/>
        <v>-918695.35584886675</v>
      </c>
      <c r="L86" s="47">
        <f t="shared" si="19"/>
        <v>9607050.25159977</v>
      </c>
      <c r="M86" s="20"/>
    </row>
    <row r="87" spans="1:13" x14ac:dyDescent="0.35">
      <c r="C87" s="18"/>
      <c r="D87" s="2"/>
      <c r="E87" s="2"/>
      <c r="F87" s="2"/>
      <c r="G87" s="43">
        <v>16</v>
      </c>
      <c r="H87" s="47">
        <f t="shared" si="16"/>
        <v>9607050.25159977</v>
      </c>
      <c r="I87" s="47">
        <f t="shared" si="17"/>
        <v>-1557281.8555154614</v>
      </c>
      <c r="J87" s="47">
        <f t="shared" si="18"/>
        <v>-582850.1676830129</v>
      </c>
      <c r="K87" s="47">
        <f t="shared" si="20"/>
        <v>-974431.68783244852</v>
      </c>
      <c r="L87" s="47">
        <f t="shared" si="19"/>
        <v>8632618.5637673214</v>
      </c>
      <c r="M87" s="20"/>
    </row>
    <row r="88" spans="1:13" x14ac:dyDescent="0.35">
      <c r="C88" s="18"/>
      <c r="D88" s="2"/>
      <c r="E88" s="2"/>
      <c r="F88" s="2"/>
      <c r="G88" s="43">
        <v>17</v>
      </c>
      <c r="H88" s="47">
        <f t="shared" si="16"/>
        <v>8632618.5637673214</v>
      </c>
      <c r="I88" s="47">
        <f t="shared" si="17"/>
        <v>-1557281.8555154614</v>
      </c>
      <c r="J88" s="47">
        <f t="shared" si="18"/>
        <v>-523732.36796564289</v>
      </c>
      <c r="K88" s="47">
        <f t="shared" si="20"/>
        <v>-1033549.4875498186</v>
      </c>
      <c r="L88" s="47">
        <f t="shared" si="19"/>
        <v>7599069.0762175024</v>
      </c>
      <c r="M88" s="20"/>
    </row>
    <row r="89" spans="1:13" x14ac:dyDescent="0.35">
      <c r="C89" s="18"/>
      <c r="D89" s="2"/>
      <c r="E89" s="2"/>
      <c r="F89" s="2"/>
      <c r="G89" s="43">
        <v>18</v>
      </c>
      <c r="H89" s="47">
        <f t="shared" si="16"/>
        <v>7599069.0762175024</v>
      </c>
      <c r="I89" s="47">
        <f t="shared" si="17"/>
        <v>-1557281.8555154614</v>
      </c>
      <c r="J89" s="47">
        <f t="shared" si="18"/>
        <v>-461027.9502358833</v>
      </c>
      <c r="K89" s="47">
        <f t="shared" si="20"/>
        <v>-1096253.9052795782</v>
      </c>
      <c r="L89" s="47">
        <f t="shared" si="19"/>
        <v>6502815.1709379237</v>
      </c>
      <c r="M89" s="20"/>
    </row>
    <row r="90" spans="1:13" x14ac:dyDescent="0.35">
      <c r="C90" s="18"/>
      <c r="D90" s="2"/>
      <c r="E90" s="2"/>
      <c r="F90" s="2"/>
      <c r="G90" s="43">
        <v>19</v>
      </c>
      <c r="H90" s="47">
        <f t="shared" si="16"/>
        <v>6502815.1709379237</v>
      </c>
      <c r="I90" s="47">
        <f t="shared" si="17"/>
        <v>-1557281.8555154614</v>
      </c>
      <c r="J90" s="47">
        <f t="shared" si="18"/>
        <v>-394519.31795211218</v>
      </c>
      <c r="K90" s="47">
        <f t="shared" si="20"/>
        <v>-1162762.5375633491</v>
      </c>
      <c r="L90" s="47">
        <f t="shared" si="19"/>
        <v>5340052.6333745746</v>
      </c>
      <c r="M90" s="20"/>
    </row>
    <row r="91" spans="1:13" x14ac:dyDescent="0.35">
      <c r="C91" s="18"/>
      <c r="D91" s="2"/>
      <c r="E91" s="2"/>
      <c r="F91" s="2"/>
      <c r="G91" s="43">
        <v>20</v>
      </c>
      <c r="H91" s="47">
        <f t="shared" si="16"/>
        <v>5340052.6333745746</v>
      </c>
      <c r="I91" s="47">
        <f t="shared" si="17"/>
        <v>-1557281.8555154614</v>
      </c>
      <c r="J91" s="47">
        <f t="shared" si="18"/>
        <v>-323975.67320730927</v>
      </c>
      <c r="K91" s="47">
        <f t="shared" si="20"/>
        <v>-1233306.1823081521</v>
      </c>
      <c r="L91" s="47">
        <f t="shared" si="19"/>
        <v>4106746.4510664223</v>
      </c>
      <c r="M91" s="20"/>
    </row>
    <row r="92" spans="1:13" x14ac:dyDescent="0.35">
      <c r="C92" s="18"/>
      <c r="D92" s="2"/>
      <c r="E92" s="2"/>
      <c r="F92" s="2"/>
      <c r="G92" s="43">
        <v>21</v>
      </c>
      <c r="H92" s="47">
        <f t="shared" si="16"/>
        <v>4106746.4510664223</v>
      </c>
      <c r="I92" s="47">
        <f t="shared" si="17"/>
        <v>-1557281.8555154614</v>
      </c>
      <c r="J92" s="47">
        <f t="shared" si="18"/>
        <v>-249152.21581536913</v>
      </c>
      <c r="K92" s="47">
        <f t="shared" si="20"/>
        <v>-1308129.6397000924</v>
      </c>
      <c r="L92" s="47">
        <f t="shared" si="19"/>
        <v>2798616.8113663299</v>
      </c>
      <c r="M92" s="20"/>
    </row>
    <row r="93" spans="1:13" x14ac:dyDescent="0.35">
      <c r="C93" s="18"/>
      <c r="D93" s="2"/>
      <c r="E93" s="2"/>
      <c r="F93" s="2"/>
      <c r="G93" s="43">
        <v>22</v>
      </c>
      <c r="H93" s="47">
        <f t="shared" si="16"/>
        <v>2798616.8113663299</v>
      </c>
      <c r="I93" s="47">
        <f t="shared" si="17"/>
        <v>-1557281.8555154614</v>
      </c>
      <c r="J93" s="47">
        <f t="shared" si="18"/>
        <v>-169789.29380677908</v>
      </c>
      <c r="K93" s="47">
        <f t="shared" si="20"/>
        <v>-1387492.5617086822</v>
      </c>
      <c r="L93" s="47">
        <f t="shared" si="19"/>
        <v>1411124.2496576477</v>
      </c>
      <c r="M93" s="20"/>
    </row>
    <row r="94" spans="1:13" x14ac:dyDescent="0.35">
      <c r="C94" s="18"/>
      <c r="D94" s="2"/>
      <c r="E94" s="2"/>
      <c r="F94" s="2"/>
      <c r="G94" s="43">
        <v>23</v>
      </c>
      <c r="H94" s="47">
        <f t="shared" si="16"/>
        <v>1411124.2496576477</v>
      </c>
      <c r="I94" s="47">
        <f t="shared" si="17"/>
        <v>-1557281.8555154614</v>
      </c>
      <c r="J94" s="47">
        <f t="shared" si="18"/>
        <v>-85611.502385715838</v>
      </c>
      <c r="K94" s="47">
        <f t="shared" si="20"/>
        <v>-1471670.3531297455</v>
      </c>
      <c r="L94" s="47">
        <f t="shared" si="19"/>
        <v>-60546.103472097777</v>
      </c>
      <c r="M94" s="20"/>
    </row>
    <row r="95" spans="1:13" ht="15" thickBot="1" x14ac:dyDescent="0.4">
      <c r="C95" s="25"/>
      <c r="D95" s="26"/>
      <c r="E95" s="26"/>
      <c r="F95" s="26"/>
      <c r="G95" s="54"/>
      <c r="H95" s="55"/>
      <c r="I95" s="55"/>
      <c r="J95" s="55"/>
      <c r="K95" s="55"/>
      <c r="L95" s="55"/>
      <c r="M95" s="28"/>
    </row>
    <row r="96" spans="1:13" x14ac:dyDescent="0.35">
      <c r="G96" s="43"/>
      <c r="H96" s="47"/>
      <c r="I96" s="47"/>
      <c r="J96" s="47"/>
      <c r="K96" s="47"/>
      <c r="L96" s="47"/>
    </row>
    <row r="97" spans="7:12" x14ac:dyDescent="0.35">
      <c r="G97" s="43"/>
      <c r="H97" s="47"/>
      <c r="I97" s="47"/>
      <c r="J97" s="47"/>
      <c r="K97" s="47"/>
      <c r="L97" s="47"/>
    </row>
    <row r="98" spans="7:12" x14ac:dyDescent="0.35">
      <c r="G98" s="43"/>
      <c r="H98" s="47"/>
      <c r="J98" s="47"/>
      <c r="K98" s="47"/>
      <c r="L98" s="47"/>
    </row>
    <row r="99" spans="7:12" x14ac:dyDescent="0.35">
      <c r="G99" s="43"/>
      <c r="H99" s="47"/>
      <c r="J99" s="47"/>
      <c r="K99" s="47"/>
      <c r="L99" s="47"/>
    </row>
    <row r="100" spans="7:12" x14ac:dyDescent="0.35">
      <c r="G100" s="43"/>
      <c r="H100" s="47"/>
    </row>
    <row r="101" spans="7:12" x14ac:dyDescent="0.35">
      <c r="G101" s="4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DCE0F-A381-4061-8092-8058C61DA1B7}">
  <dimension ref="A1:P112"/>
  <sheetViews>
    <sheetView zoomScale="80" zoomScaleNormal="80" workbookViewId="0">
      <selection activeCell="I24" sqref="I24"/>
    </sheetView>
  </sheetViews>
  <sheetFormatPr defaultRowHeight="14.5" x14ac:dyDescent="0.35"/>
  <cols>
    <col min="1" max="1" width="25.36328125" customWidth="1"/>
    <col min="2" max="2" width="27.54296875" customWidth="1"/>
    <col min="3" max="3" width="29.36328125" customWidth="1"/>
    <col min="4" max="4" width="29.1796875" customWidth="1"/>
    <col min="5" max="5" width="23.90625" customWidth="1"/>
    <col min="6" max="6" width="14.54296875" customWidth="1"/>
    <col min="7" max="7" width="14.36328125" customWidth="1"/>
    <col min="8" max="8" width="14.7265625" customWidth="1"/>
    <col min="9" max="9" width="17.08984375" customWidth="1"/>
    <col min="10" max="10" width="13.54296875" customWidth="1"/>
    <col min="11" max="12" width="15" customWidth="1"/>
    <col min="13" max="13" width="14.90625" customWidth="1"/>
    <col min="14" max="14" width="15" customWidth="1"/>
    <col min="15" max="15" width="16" customWidth="1"/>
  </cols>
  <sheetData>
    <row r="1" spans="1:7" x14ac:dyDescent="0.35">
      <c r="A1" s="1" t="s">
        <v>83</v>
      </c>
      <c r="C1" s="1" t="s">
        <v>87</v>
      </c>
      <c r="D1" t="s">
        <v>92</v>
      </c>
      <c r="F1" t="s">
        <v>88</v>
      </c>
      <c r="G1" s="69"/>
    </row>
    <row r="2" spans="1:7" x14ac:dyDescent="0.35">
      <c r="A2" s="1"/>
      <c r="D2" t="s">
        <v>52</v>
      </c>
      <c r="F2" t="s">
        <v>2</v>
      </c>
      <c r="G2" s="70">
        <f>_xlfn.XLOOKUP(D2,Data!O:O,Data!C:C)</f>
        <v>8504</v>
      </c>
    </row>
    <row r="3" spans="1:7" x14ac:dyDescent="0.35">
      <c r="A3" s="1"/>
      <c r="F3" t="s">
        <v>3</v>
      </c>
      <c r="G3" s="70">
        <f>_xlfn.XLOOKUP(D2,Data!O:O,Data!D:D)</f>
        <v>224</v>
      </c>
    </row>
    <row r="4" spans="1:7" x14ac:dyDescent="0.35">
      <c r="A4" s="1"/>
      <c r="F4" t="s">
        <v>4</v>
      </c>
      <c r="G4" s="70">
        <f>_xlfn.XLOOKUP(D2,Data!O:O,Data!E:E)</f>
        <v>161</v>
      </c>
    </row>
    <row r="5" spans="1:7" x14ac:dyDescent="0.35">
      <c r="A5" s="1"/>
      <c r="F5" t="s">
        <v>5</v>
      </c>
      <c r="G5" s="70">
        <f>_xlfn.XLOOKUP(D2,Data!O:O,Data!F:F)</f>
        <v>188</v>
      </c>
    </row>
    <row r="6" spans="1:7" x14ac:dyDescent="0.35">
      <c r="A6" s="1"/>
      <c r="F6" t="s">
        <v>6</v>
      </c>
      <c r="G6" s="70">
        <f>_xlfn.XLOOKUP(D2,Data!O:O,Data!G:G)</f>
        <v>122</v>
      </c>
    </row>
    <row r="7" spans="1:7" x14ac:dyDescent="0.35">
      <c r="A7" s="1"/>
      <c r="F7" t="s">
        <v>89</v>
      </c>
      <c r="G7" s="70">
        <f>_xlfn.XLOOKUP(D2,Data!O:O,Data!H:H)</f>
        <v>8.8194481774847899E-2</v>
      </c>
    </row>
    <row r="8" spans="1:7" x14ac:dyDescent="0.35">
      <c r="A8" s="1"/>
      <c r="F8" t="s">
        <v>90</v>
      </c>
      <c r="G8" s="70">
        <f>_xlfn.XLOOKUP(D2,Data!O:O,Data!I:I)</f>
        <v>7.5771396660128998E-2</v>
      </c>
    </row>
    <row r="9" spans="1:7" x14ac:dyDescent="0.35">
      <c r="A9" s="1"/>
      <c r="F9" t="s">
        <v>9</v>
      </c>
      <c r="G9" s="70">
        <f>_xlfn.XLOOKUP(D2,Data!O:O,Data!J:J)</f>
        <v>889268</v>
      </c>
    </row>
    <row r="10" spans="1:7" x14ac:dyDescent="0.35">
      <c r="A10" s="1"/>
      <c r="F10" t="s">
        <v>10</v>
      </c>
      <c r="G10" s="70">
        <f>_xlfn.XLOOKUP(D2,Data!O:O,Data!K:K)</f>
        <v>0.57685431944785703</v>
      </c>
    </row>
    <row r="11" spans="1:7" x14ac:dyDescent="0.35">
      <c r="A11" s="1"/>
      <c r="F11" t="s">
        <v>11</v>
      </c>
      <c r="G11" s="70">
        <f>_xlfn.XLOOKUP(D2,Data!O:O,Data!L:L)</f>
        <v>376289.91305324202</v>
      </c>
    </row>
    <row r="12" spans="1:7" x14ac:dyDescent="0.35">
      <c r="A12" s="1"/>
      <c r="F12" t="s">
        <v>12</v>
      </c>
      <c r="G12" s="70">
        <f>_xlfn.XLOOKUP(D2,Data!O:O,Data!M:M)</f>
        <v>4.4275610776666002E-2</v>
      </c>
    </row>
    <row r="13" spans="1:7" x14ac:dyDescent="0.35">
      <c r="A13" s="1"/>
      <c r="F13" t="s">
        <v>91</v>
      </c>
      <c r="G13" s="70">
        <f>_xlfn.XLOOKUP(D2,Data!O:O,Data!N:N)</f>
        <v>24</v>
      </c>
    </row>
    <row r="14" spans="1:7" x14ac:dyDescent="0.35">
      <c r="A14" s="1"/>
      <c r="G14" s="69"/>
    </row>
    <row r="15" spans="1:7" x14ac:dyDescent="0.35">
      <c r="A15" s="1"/>
      <c r="G15" s="69"/>
    </row>
    <row r="16" spans="1:7" x14ac:dyDescent="0.35">
      <c r="A16" s="1"/>
    </row>
    <row r="17" spans="1:15" x14ac:dyDescent="0.35">
      <c r="A17" s="1"/>
    </row>
    <row r="18" spans="1:15" ht="15" thickBot="1" x14ac:dyDescent="0.4">
      <c r="A18" s="1"/>
    </row>
    <row r="19" spans="1:15" ht="15" thickBot="1" x14ac:dyDescent="0.4">
      <c r="A19" s="30" t="s">
        <v>72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7"/>
    </row>
    <row r="20" spans="1:15" x14ac:dyDescent="0.35">
      <c r="A20" s="31"/>
      <c r="B20" s="30" t="s">
        <v>73</v>
      </c>
      <c r="C20" s="16"/>
      <c r="D20" s="16">
        <v>0</v>
      </c>
      <c r="E20" s="16">
        <v>1</v>
      </c>
      <c r="F20" s="16">
        <v>2</v>
      </c>
      <c r="G20" s="16">
        <v>3</v>
      </c>
      <c r="H20" s="16">
        <v>4</v>
      </c>
      <c r="I20" s="16">
        <v>5</v>
      </c>
      <c r="J20" s="16">
        <v>6</v>
      </c>
      <c r="K20" s="16">
        <v>7</v>
      </c>
      <c r="L20" s="16">
        <v>8</v>
      </c>
      <c r="M20" s="16">
        <v>9</v>
      </c>
      <c r="N20" s="17">
        <v>10</v>
      </c>
      <c r="O20" s="20"/>
    </row>
    <row r="21" spans="1:15" x14ac:dyDescent="0.35">
      <c r="A21" s="31"/>
      <c r="B21" s="18"/>
      <c r="C21" s="2" t="s">
        <v>11</v>
      </c>
      <c r="D21" s="19">
        <f>-E84</f>
        <v>-376289.91305324202</v>
      </c>
      <c r="E21" s="2"/>
      <c r="F21" s="2"/>
      <c r="G21" s="2"/>
      <c r="H21" s="2"/>
      <c r="I21" s="2"/>
      <c r="J21" s="2"/>
      <c r="K21" s="2"/>
      <c r="L21" s="2"/>
      <c r="M21" s="2"/>
      <c r="N21" s="20"/>
      <c r="O21" s="20"/>
    </row>
    <row r="22" spans="1:15" x14ac:dyDescent="0.35">
      <c r="A22" s="31"/>
      <c r="B22" s="18"/>
      <c r="C22" s="2" t="s">
        <v>76</v>
      </c>
      <c r="D22" s="2"/>
      <c r="E22" s="21">
        <f>+E66</f>
        <v>42524.113294662573</v>
      </c>
      <c r="F22" s="21">
        <f t="shared" ref="F22:N22" si="0">+F66</f>
        <v>45020.421258748553</v>
      </c>
      <c r="G22" s="21">
        <f t="shared" si="0"/>
        <v>47594.950086270357</v>
      </c>
      <c r="H22" s="21">
        <f t="shared" si="0"/>
        <v>50250.113035621282</v>
      </c>
      <c r="I22" s="21">
        <f t="shared" si="0"/>
        <v>52988.397095596316</v>
      </c>
      <c r="J22" s="21">
        <f t="shared" si="0"/>
        <v>55812.365223957022</v>
      </c>
      <c r="K22" s="21">
        <f t="shared" si="0"/>
        <v>58724.658653686725</v>
      </c>
      <c r="L22" s="21">
        <f t="shared" si="0"/>
        <v>61727.999268976841</v>
      </c>
      <c r="M22" s="21">
        <f t="shared" si="0"/>
        <v>64825.192053047562</v>
      </c>
      <c r="N22" s="22">
        <f t="shared" si="0"/>
        <v>68019.127609968738</v>
      </c>
      <c r="O22" s="20"/>
    </row>
    <row r="23" spans="1:15" x14ac:dyDescent="0.35">
      <c r="A23" s="31"/>
      <c r="B23" s="18"/>
      <c r="C23" s="2" t="s">
        <v>75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23">
        <f>+E45</f>
        <v>858071.92771544645</v>
      </c>
      <c r="O23" s="20"/>
    </row>
    <row r="24" spans="1:15" x14ac:dyDescent="0.35">
      <c r="A24" s="31"/>
      <c r="B24" s="18"/>
      <c r="C24" s="2"/>
      <c r="D24" s="19">
        <f>SUM(D21:D23)</f>
        <v>-376289.91305324202</v>
      </c>
      <c r="E24" s="19">
        <f t="shared" ref="E24:N24" si="1">SUM(E21:E23)</f>
        <v>42524.113294662573</v>
      </c>
      <c r="F24" s="19">
        <f t="shared" si="1"/>
        <v>45020.421258748553</v>
      </c>
      <c r="G24" s="19">
        <f t="shared" si="1"/>
        <v>47594.950086270357</v>
      </c>
      <c r="H24" s="19">
        <f t="shared" si="1"/>
        <v>50250.113035621282</v>
      </c>
      <c r="I24" s="19">
        <f t="shared" si="1"/>
        <v>52988.397095596316</v>
      </c>
      <c r="J24" s="19">
        <f t="shared" si="1"/>
        <v>55812.365223957022</v>
      </c>
      <c r="K24" s="19">
        <f t="shared" si="1"/>
        <v>58724.658653686725</v>
      </c>
      <c r="L24" s="19">
        <f t="shared" si="1"/>
        <v>61727.999268976841</v>
      </c>
      <c r="M24" s="19">
        <f t="shared" si="1"/>
        <v>64825.192053047562</v>
      </c>
      <c r="N24" s="24">
        <f t="shared" si="1"/>
        <v>926091.05532541522</v>
      </c>
      <c r="O24" s="20"/>
    </row>
    <row r="25" spans="1:15" x14ac:dyDescent="0.35">
      <c r="A25" s="31"/>
      <c r="B25" s="1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0"/>
      <c r="O25" s="20"/>
    </row>
    <row r="26" spans="1:15" ht="15" thickBot="1" x14ac:dyDescent="0.4">
      <c r="A26" s="31"/>
      <c r="B26" s="25"/>
      <c r="C26" s="50" t="s">
        <v>77</v>
      </c>
      <c r="D26" s="52">
        <f>IRR(D24:N24)</f>
        <v>0.18778513322093415</v>
      </c>
      <c r="E26" s="26"/>
      <c r="F26" s="26"/>
      <c r="G26" s="26"/>
      <c r="H26" s="26"/>
      <c r="I26" s="26"/>
      <c r="J26" s="26"/>
      <c r="K26" s="26"/>
      <c r="L26" s="26"/>
      <c r="M26" s="26"/>
      <c r="N26" s="28"/>
      <c r="O26" s="20"/>
    </row>
    <row r="27" spans="1:15" x14ac:dyDescent="0.35">
      <c r="A27" s="31"/>
      <c r="B27" s="2"/>
      <c r="C27" s="53"/>
      <c r="D27" s="32"/>
      <c r="E27" s="2"/>
      <c r="F27" s="2"/>
      <c r="G27" s="2"/>
      <c r="H27" s="2"/>
      <c r="I27" s="2"/>
      <c r="J27" s="2"/>
      <c r="K27" s="2"/>
      <c r="L27" s="2"/>
      <c r="M27" s="2"/>
      <c r="N27" s="2"/>
      <c r="O27" s="20"/>
    </row>
    <row r="28" spans="1:15" x14ac:dyDescent="0.35">
      <c r="A28" s="31"/>
      <c r="B28" s="2"/>
      <c r="C28" s="2"/>
      <c r="D28" s="32"/>
      <c r="E28" s="2"/>
      <c r="F28" s="2"/>
      <c r="G28" s="2"/>
      <c r="H28" s="2"/>
      <c r="I28" s="2"/>
      <c r="J28" s="2"/>
      <c r="K28" s="2"/>
      <c r="L28" s="2"/>
      <c r="M28" s="2"/>
      <c r="N28" s="2"/>
      <c r="O28" s="20"/>
    </row>
    <row r="29" spans="1:15" ht="15" thickBot="1" x14ac:dyDescent="0.4">
      <c r="A29" s="3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0"/>
    </row>
    <row r="30" spans="1:15" x14ac:dyDescent="0.35">
      <c r="A30" s="31"/>
      <c r="B30" s="30" t="s">
        <v>78</v>
      </c>
      <c r="C30" s="16"/>
      <c r="D30" s="16">
        <v>0</v>
      </c>
      <c r="E30" s="16">
        <v>1</v>
      </c>
      <c r="F30" s="16">
        <v>2</v>
      </c>
      <c r="G30" s="16">
        <v>3</v>
      </c>
      <c r="H30" s="16">
        <v>4</v>
      </c>
      <c r="I30" s="16">
        <v>5</v>
      </c>
      <c r="J30" s="16">
        <v>6</v>
      </c>
      <c r="K30" s="16">
        <v>7</v>
      </c>
      <c r="L30" s="16">
        <v>8</v>
      </c>
      <c r="M30" s="16">
        <v>9</v>
      </c>
      <c r="N30" s="17">
        <v>10</v>
      </c>
      <c r="O30" s="20"/>
    </row>
    <row r="31" spans="1:15" x14ac:dyDescent="0.35">
      <c r="A31" s="31"/>
      <c r="B31" s="18"/>
      <c r="C31" s="2" t="s">
        <v>79</v>
      </c>
      <c r="D31" s="19">
        <f>-E85</f>
        <v>-889268</v>
      </c>
      <c r="E31" s="2"/>
      <c r="F31" s="2"/>
      <c r="G31" s="2"/>
      <c r="H31" s="2"/>
      <c r="I31" s="2"/>
      <c r="J31" s="2"/>
      <c r="K31" s="2"/>
      <c r="L31" s="2"/>
      <c r="M31" s="2"/>
      <c r="N31" s="20"/>
      <c r="O31" s="20"/>
    </row>
    <row r="32" spans="1:15" x14ac:dyDescent="0.35">
      <c r="A32" s="31"/>
      <c r="B32" s="18"/>
      <c r="C32" s="2" t="s">
        <v>74</v>
      </c>
      <c r="D32" s="2"/>
      <c r="E32" s="21">
        <f>+E59</f>
        <v>77657.557947485693</v>
      </c>
      <c r="F32" s="21">
        <f t="shared" ref="F32:N32" si="2">+F59</f>
        <v>80153.865911571673</v>
      </c>
      <c r="G32" s="21">
        <f t="shared" si="2"/>
        <v>82728.394739093477</v>
      </c>
      <c r="H32" s="21">
        <f t="shared" si="2"/>
        <v>85383.557688444402</v>
      </c>
      <c r="I32" s="21">
        <f t="shared" si="2"/>
        <v>88121.841748419436</v>
      </c>
      <c r="J32" s="21">
        <f t="shared" si="2"/>
        <v>90945.809876780142</v>
      </c>
      <c r="K32" s="21">
        <f t="shared" si="2"/>
        <v>93858.103306509845</v>
      </c>
      <c r="L32" s="21">
        <f t="shared" si="2"/>
        <v>96861.443921799961</v>
      </c>
      <c r="M32" s="21">
        <f t="shared" si="2"/>
        <v>99958.636705870682</v>
      </c>
      <c r="N32" s="22">
        <f t="shared" si="2"/>
        <v>103152.57226279186</v>
      </c>
      <c r="O32" s="20"/>
    </row>
    <row r="33" spans="1:15" x14ac:dyDescent="0.35">
      <c r="A33" s="31"/>
      <c r="B33" s="18"/>
      <c r="C33" s="2" t="s">
        <v>80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29">
        <f>+E42</f>
        <v>1218931.2675001426</v>
      </c>
      <c r="O33" s="20"/>
    </row>
    <row r="34" spans="1:15" x14ac:dyDescent="0.35">
      <c r="A34" s="31"/>
      <c r="B34" s="18"/>
      <c r="C34" s="2"/>
      <c r="D34" s="19">
        <f>SUM(D31:D33)</f>
        <v>-889268</v>
      </c>
      <c r="E34" s="19">
        <f t="shared" ref="E34:N34" si="3">SUM(E31:E33)</f>
        <v>77657.557947485693</v>
      </c>
      <c r="F34" s="19">
        <f t="shared" si="3"/>
        <v>80153.865911571673</v>
      </c>
      <c r="G34" s="19">
        <f t="shared" si="3"/>
        <v>82728.394739093477</v>
      </c>
      <c r="H34" s="19">
        <f t="shared" si="3"/>
        <v>85383.557688444402</v>
      </c>
      <c r="I34" s="19">
        <f t="shared" si="3"/>
        <v>88121.841748419436</v>
      </c>
      <c r="J34" s="19">
        <f t="shared" si="3"/>
        <v>90945.809876780142</v>
      </c>
      <c r="K34" s="19">
        <f t="shared" si="3"/>
        <v>93858.103306509845</v>
      </c>
      <c r="L34" s="19">
        <f t="shared" si="3"/>
        <v>96861.443921799961</v>
      </c>
      <c r="M34" s="19">
        <f t="shared" si="3"/>
        <v>99958.636705870682</v>
      </c>
      <c r="N34" s="24">
        <f t="shared" si="3"/>
        <v>1322083.8397629345</v>
      </c>
      <c r="O34" s="20"/>
    </row>
    <row r="35" spans="1:15" x14ac:dyDescent="0.35">
      <c r="A35" s="31"/>
      <c r="B35" s="18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0"/>
      <c r="O35" s="20"/>
    </row>
    <row r="36" spans="1:15" ht="15" thickBot="1" x14ac:dyDescent="0.4">
      <c r="A36" s="31"/>
      <c r="B36" s="25"/>
      <c r="C36" s="50" t="s">
        <v>81</v>
      </c>
      <c r="D36" s="52">
        <f>IRR(D34:N34)</f>
        <v>0.11937892065866906</v>
      </c>
      <c r="E36" s="26"/>
      <c r="F36" s="26"/>
      <c r="G36" s="26"/>
      <c r="H36" s="26"/>
      <c r="I36" s="26"/>
      <c r="J36" s="26"/>
      <c r="K36" s="26"/>
      <c r="L36" s="26"/>
      <c r="M36" s="26"/>
      <c r="N36" s="28"/>
      <c r="O36" s="20"/>
    </row>
    <row r="37" spans="1:15" ht="15" thickBot="1" x14ac:dyDescent="0.4">
      <c r="A37" s="33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8"/>
    </row>
    <row r="38" spans="1:15" ht="15" thickBot="1" x14ac:dyDescent="0.4">
      <c r="A38" s="1"/>
    </row>
    <row r="39" spans="1:15" x14ac:dyDescent="0.35">
      <c r="A39" s="30" t="s">
        <v>66</v>
      </c>
      <c r="B39" s="16"/>
      <c r="C39" s="16"/>
      <c r="D39" s="16"/>
      <c r="E39" s="16"/>
      <c r="F39" s="17"/>
    </row>
    <row r="40" spans="1:15" x14ac:dyDescent="0.35">
      <c r="A40" s="31"/>
      <c r="B40" s="2"/>
      <c r="C40" s="2"/>
      <c r="D40" s="2" t="s">
        <v>67</v>
      </c>
      <c r="E40" s="21">
        <f>+O59</f>
        <v>106446.22941553558</v>
      </c>
      <c r="F40" s="20"/>
    </row>
    <row r="41" spans="1:15" x14ac:dyDescent="0.35">
      <c r="A41" s="31"/>
      <c r="B41" s="2"/>
      <c r="C41" s="2"/>
      <c r="D41" s="2" t="s">
        <v>68</v>
      </c>
      <c r="E41" s="9">
        <f>+E59/E85</f>
        <v>8.7327507508968824E-2</v>
      </c>
      <c r="F41" s="20"/>
    </row>
    <row r="42" spans="1:15" x14ac:dyDescent="0.35">
      <c r="A42" s="31"/>
      <c r="B42" s="2"/>
      <c r="C42" s="2"/>
      <c r="D42" s="2" t="s">
        <v>69</v>
      </c>
      <c r="E42" s="2">
        <f>+E40/E41</f>
        <v>1218931.2675001426</v>
      </c>
      <c r="F42" s="20"/>
    </row>
    <row r="43" spans="1:15" x14ac:dyDescent="0.35">
      <c r="A43" s="31"/>
      <c r="B43" s="2"/>
      <c r="C43" s="2"/>
      <c r="D43" s="2"/>
      <c r="E43" s="2"/>
      <c r="F43" s="20"/>
    </row>
    <row r="44" spans="1:15" x14ac:dyDescent="0.35">
      <c r="A44" s="31"/>
      <c r="B44" s="2"/>
      <c r="C44" s="2"/>
      <c r="D44" s="2" t="s">
        <v>70</v>
      </c>
      <c r="E44" s="21">
        <f>+L95</f>
        <v>360859.33978469612</v>
      </c>
      <c r="F44" s="20"/>
    </row>
    <row r="45" spans="1:15" x14ac:dyDescent="0.35">
      <c r="A45" s="31"/>
      <c r="B45" s="2"/>
      <c r="C45" s="2"/>
      <c r="D45" s="2" t="s">
        <v>71</v>
      </c>
      <c r="E45" s="21">
        <f>+E42-E44</f>
        <v>858071.92771544645</v>
      </c>
      <c r="F45" s="20"/>
    </row>
    <row r="46" spans="1:15" x14ac:dyDescent="0.35">
      <c r="A46" s="31"/>
      <c r="B46" s="2"/>
      <c r="C46" s="2"/>
      <c r="D46" s="2"/>
      <c r="E46" s="2"/>
      <c r="F46" s="20"/>
    </row>
    <row r="47" spans="1:15" ht="15" thickBot="1" x14ac:dyDescent="0.4">
      <c r="A47" s="33"/>
      <c r="B47" s="26"/>
      <c r="C47" s="26"/>
      <c r="D47" s="26"/>
      <c r="E47" s="26"/>
      <c r="F47" s="28"/>
    </row>
    <row r="48" spans="1:15" x14ac:dyDescent="0.35">
      <c r="A48" s="1"/>
    </row>
    <row r="50" spans="1:16" ht="15" thickBot="1" x14ac:dyDescent="0.4"/>
    <row r="51" spans="1:16" x14ac:dyDescent="0.35">
      <c r="A51" s="15"/>
      <c r="B51" s="16"/>
      <c r="C51" s="60"/>
      <c r="D51" s="60"/>
      <c r="E51" s="60">
        <v>1</v>
      </c>
      <c r="F51" s="60">
        <v>2</v>
      </c>
      <c r="G51" s="60">
        <v>3</v>
      </c>
      <c r="H51" s="60">
        <v>4</v>
      </c>
      <c r="I51" s="60">
        <v>5</v>
      </c>
      <c r="J51" s="60">
        <v>6</v>
      </c>
      <c r="K51" s="60">
        <v>7</v>
      </c>
      <c r="L51" s="60">
        <v>8</v>
      </c>
      <c r="M51" s="60">
        <v>9</v>
      </c>
      <c r="N51" s="60">
        <v>10</v>
      </c>
      <c r="O51" s="60">
        <v>11</v>
      </c>
      <c r="P51" s="61"/>
    </row>
    <row r="52" spans="1:16" x14ac:dyDescent="0.35">
      <c r="A52" s="31" t="s">
        <v>82</v>
      </c>
      <c r="B52" s="2"/>
      <c r="C52" s="59"/>
      <c r="D52" s="59" t="s">
        <v>19</v>
      </c>
      <c r="E52" s="66">
        <f>G2*12</f>
        <v>102048</v>
      </c>
      <c r="F52" s="66">
        <f>+E52*(1+$E$74)</f>
        <v>105109.44</v>
      </c>
      <c r="G52" s="66">
        <f t="shared" ref="G52:O52" si="4">+F52*(1+$E$74)</f>
        <v>108262.72320000001</v>
      </c>
      <c r="H52" s="66">
        <f t="shared" si="4"/>
        <v>111510.604896</v>
      </c>
      <c r="I52" s="66">
        <f t="shared" si="4"/>
        <v>114855.92304288001</v>
      </c>
      <c r="J52" s="66">
        <f t="shared" si="4"/>
        <v>118301.60073416641</v>
      </c>
      <c r="K52" s="66">
        <f t="shared" si="4"/>
        <v>121850.6487561914</v>
      </c>
      <c r="L52" s="66">
        <f t="shared" si="4"/>
        <v>125506.16821887714</v>
      </c>
      <c r="M52" s="66">
        <f t="shared" si="4"/>
        <v>129271.35326544345</v>
      </c>
      <c r="N52" s="66">
        <f t="shared" si="4"/>
        <v>133149.49386340677</v>
      </c>
      <c r="O52" s="66">
        <f t="shared" si="4"/>
        <v>137143.97867930896</v>
      </c>
      <c r="P52" s="67"/>
    </row>
    <row r="53" spans="1:16" x14ac:dyDescent="0.35">
      <c r="A53" s="18"/>
      <c r="B53" s="2"/>
      <c r="C53" s="59"/>
      <c r="D53" s="59" t="s">
        <v>20</v>
      </c>
      <c r="E53" s="66">
        <f>+E52*-$G$8</f>
        <v>-7732.319486372844</v>
      </c>
      <c r="F53" s="66">
        <f t="shared" ref="F53:H53" si="5">+F52*-$G$8</f>
        <v>-7964.2890709640296</v>
      </c>
      <c r="G53" s="66">
        <f t="shared" si="5"/>
        <v>-8203.2177430929514</v>
      </c>
      <c r="H53" s="66">
        <f t="shared" si="5"/>
        <v>-8449.3142753857392</v>
      </c>
      <c r="I53" s="66">
        <f t="shared" ref="I53" si="6">+I52*-$G$8</f>
        <v>-8702.7937036473122</v>
      </c>
      <c r="J53" s="66">
        <f t="shared" ref="J53:K53" si="7">+J52*-$G$8</f>
        <v>-8963.8775147567303</v>
      </c>
      <c r="K53" s="66">
        <f t="shared" si="7"/>
        <v>-9232.7938401994325</v>
      </c>
      <c r="L53" s="66">
        <f t="shared" ref="L53" si="8">+L52*-$G$8</f>
        <v>-9509.7776554054144</v>
      </c>
      <c r="M53" s="66">
        <f t="shared" ref="M53:N53" si="9">+M52*-$G$8</f>
        <v>-9795.0709850675776</v>
      </c>
      <c r="N53" s="66">
        <f t="shared" si="9"/>
        <v>-10088.923114619605</v>
      </c>
      <c r="O53" s="66">
        <f t="shared" ref="O53" si="10">+O52*-$G$8</f>
        <v>-10391.590808058194</v>
      </c>
      <c r="P53" s="67"/>
    </row>
    <row r="54" spans="1:16" x14ac:dyDescent="0.35">
      <c r="A54" s="18"/>
      <c r="B54" s="2"/>
      <c r="C54" s="59"/>
      <c r="D54" s="59" t="s">
        <v>21</v>
      </c>
      <c r="E54" s="68">
        <f>+E52+E53</f>
        <v>94315.680513627158</v>
      </c>
      <c r="F54" s="68">
        <f t="shared" ref="F54:O54" si="11">+F52+F53</f>
        <v>97145.150929035968</v>
      </c>
      <c r="G54" s="68">
        <f t="shared" si="11"/>
        <v>100059.50545690706</v>
      </c>
      <c r="H54" s="68">
        <f t="shared" si="11"/>
        <v>103061.29062061427</v>
      </c>
      <c r="I54" s="68">
        <f t="shared" si="11"/>
        <v>106153.12933923269</v>
      </c>
      <c r="J54" s="68">
        <f t="shared" si="11"/>
        <v>109337.72321940967</v>
      </c>
      <c r="K54" s="68">
        <f t="shared" si="11"/>
        <v>112617.85491599196</v>
      </c>
      <c r="L54" s="68">
        <f t="shared" si="11"/>
        <v>115996.39056347172</v>
      </c>
      <c r="M54" s="68">
        <f t="shared" si="11"/>
        <v>119476.28228037588</v>
      </c>
      <c r="N54" s="68">
        <f t="shared" si="11"/>
        <v>123060.57074878716</v>
      </c>
      <c r="O54" s="68">
        <f t="shared" si="11"/>
        <v>126752.38787125077</v>
      </c>
      <c r="P54" s="67"/>
    </row>
    <row r="55" spans="1:16" x14ac:dyDescent="0.35">
      <c r="A55" s="18"/>
      <c r="B55" s="2"/>
      <c r="C55" s="59"/>
      <c r="D55" s="59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7"/>
    </row>
    <row r="56" spans="1:16" x14ac:dyDescent="0.35">
      <c r="A56" s="18"/>
      <c r="B56" s="2"/>
      <c r="C56" s="2"/>
      <c r="D56" s="2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35"/>
    </row>
    <row r="57" spans="1:16" s="5" customFormat="1" x14ac:dyDescent="0.35">
      <c r="A57" s="36"/>
      <c r="B57" s="4"/>
      <c r="C57" s="4"/>
      <c r="D57" s="4" t="s">
        <v>22</v>
      </c>
      <c r="E57" s="11">
        <f>+K80</f>
        <v>16658.122566141468</v>
      </c>
      <c r="F57" s="11">
        <f>+E57*(1+$E$78)</f>
        <v>16991.285017464299</v>
      </c>
      <c r="G57" s="11">
        <f t="shared" ref="G57:O57" si="12">+F57*(1+$E$78)</f>
        <v>17331.110717813586</v>
      </c>
      <c r="H57" s="11">
        <f t="shared" si="12"/>
        <v>17677.73293216986</v>
      </c>
      <c r="I57" s="11">
        <f t="shared" si="12"/>
        <v>18031.287590813259</v>
      </c>
      <c r="J57" s="11">
        <f t="shared" si="12"/>
        <v>18391.913342629523</v>
      </c>
      <c r="K57" s="11">
        <f t="shared" si="12"/>
        <v>18759.751609482115</v>
      </c>
      <c r="L57" s="11">
        <f t="shared" si="12"/>
        <v>19134.946641671759</v>
      </c>
      <c r="M57" s="11">
        <f t="shared" si="12"/>
        <v>19517.645574505194</v>
      </c>
      <c r="N57" s="11">
        <f t="shared" si="12"/>
        <v>19907.998485995297</v>
      </c>
      <c r="O57" s="11">
        <f t="shared" si="12"/>
        <v>20306.158455715202</v>
      </c>
      <c r="P57" s="35"/>
    </row>
    <row r="58" spans="1:16" x14ac:dyDescent="0.35">
      <c r="A58" s="18"/>
      <c r="B58" s="2"/>
      <c r="C58" s="2"/>
      <c r="D58" s="2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35"/>
    </row>
    <row r="59" spans="1:16" x14ac:dyDescent="0.35">
      <c r="A59" s="18"/>
      <c r="B59" s="2"/>
      <c r="C59" s="2"/>
      <c r="D59" s="2" t="s">
        <v>23</v>
      </c>
      <c r="E59" s="11">
        <f>+E54-E57</f>
        <v>77657.557947485693</v>
      </c>
      <c r="F59" s="11">
        <f t="shared" ref="F59:O59" si="13">+F54-F57</f>
        <v>80153.865911571673</v>
      </c>
      <c r="G59" s="11">
        <f t="shared" si="13"/>
        <v>82728.394739093477</v>
      </c>
      <c r="H59" s="11">
        <f t="shared" si="13"/>
        <v>85383.557688444402</v>
      </c>
      <c r="I59" s="11">
        <f t="shared" si="13"/>
        <v>88121.841748419436</v>
      </c>
      <c r="J59" s="11">
        <f t="shared" si="13"/>
        <v>90945.809876780142</v>
      </c>
      <c r="K59" s="11">
        <f t="shared" si="13"/>
        <v>93858.103306509845</v>
      </c>
      <c r="L59" s="11">
        <f t="shared" si="13"/>
        <v>96861.443921799961</v>
      </c>
      <c r="M59" s="11">
        <f t="shared" si="13"/>
        <v>99958.636705870682</v>
      </c>
      <c r="N59" s="11">
        <f t="shared" si="13"/>
        <v>103152.57226279186</v>
      </c>
      <c r="O59" s="11">
        <f t="shared" si="13"/>
        <v>106446.22941553558</v>
      </c>
      <c r="P59" s="35"/>
    </row>
    <row r="60" spans="1:16" x14ac:dyDescent="0.35">
      <c r="A60" s="18"/>
      <c r="B60" s="2"/>
      <c r="C60" s="2"/>
      <c r="D60" s="2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35"/>
    </row>
    <row r="61" spans="1:16" x14ac:dyDescent="0.35">
      <c r="A61" s="18"/>
      <c r="B61" s="2"/>
      <c r="C61" s="2"/>
      <c r="D61" s="2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35"/>
    </row>
    <row r="62" spans="1:16" x14ac:dyDescent="0.35">
      <c r="A62" s="18"/>
      <c r="B62" s="2"/>
      <c r="C62" s="2"/>
      <c r="D62" s="2" t="s">
        <v>40</v>
      </c>
      <c r="E62" s="11">
        <f>+$I$86*-1</f>
        <v>35133.44465282312</v>
      </c>
      <c r="F62" s="11">
        <f t="shared" ref="F62:O62" si="14">+$I$86*-1</f>
        <v>35133.44465282312</v>
      </c>
      <c r="G62" s="11">
        <f t="shared" si="14"/>
        <v>35133.44465282312</v>
      </c>
      <c r="H62" s="11">
        <f t="shared" si="14"/>
        <v>35133.44465282312</v>
      </c>
      <c r="I62" s="11">
        <f t="shared" si="14"/>
        <v>35133.44465282312</v>
      </c>
      <c r="J62" s="11">
        <f t="shared" si="14"/>
        <v>35133.44465282312</v>
      </c>
      <c r="K62" s="11">
        <f t="shared" si="14"/>
        <v>35133.44465282312</v>
      </c>
      <c r="L62" s="11">
        <f t="shared" si="14"/>
        <v>35133.44465282312</v>
      </c>
      <c r="M62" s="11">
        <f t="shared" si="14"/>
        <v>35133.44465282312</v>
      </c>
      <c r="N62" s="11">
        <f t="shared" si="14"/>
        <v>35133.44465282312</v>
      </c>
      <c r="O62" s="11">
        <f t="shared" si="14"/>
        <v>35133.44465282312</v>
      </c>
      <c r="P62" s="35"/>
    </row>
    <row r="63" spans="1:16" x14ac:dyDescent="0.35">
      <c r="A63" s="18"/>
      <c r="B63" s="2"/>
      <c r="C63" s="2"/>
      <c r="D63" s="2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35"/>
    </row>
    <row r="64" spans="1:16" x14ac:dyDescent="0.35">
      <c r="A64" s="18"/>
      <c r="B64" s="2"/>
      <c r="C64" s="2"/>
      <c r="D64" s="2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35"/>
    </row>
    <row r="65" spans="1:16" x14ac:dyDescent="0.35">
      <c r="A65" s="18"/>
      <c r="B65" s="2"/>
      <c r="C65" s="2"/>
      <c r="D65" s="2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35"/>
    </row>
    <row r="66" spans="1:16" x14ac:dyDescent="0.35">
      <c r="A66" s="18"/>
      <c r="B66" s="2"/>
      <c r="C66" s="2"/>
      <c r="D66" s="2" t="s">
        <v>26</v>
      </c>
      <c r="E66" s="11">
        <f>+E59-E62</f>
        <v>42524.113294662573</v>
      </c>
      <c r="F66" s="11">
        <f t="shared" ref="F66:O66" si="15">+F59-F62</f>
        <v>45020.421258748553</v>
      </c>
      <c r="G66" s="11">
        <f t="shared" si="15"/>
        <v>47594.950086270357</v>
      </c>
      <c r="H66" s="11">
        <f t="shared" si="15"/>
        <v>50250.113035621282</v>
      </c>
      <c r="I66" s="11">
        <f t="shared" si="15"/>
        <v>52988.397095596316</v>
      </c>
      <c r="J66" s="11">
        <f t="shared" si="15"/>
        <v>55812.365223957022</v>
      </c>
      <c r="K66" s="11">
        <f t="shared" si="15"/>
        <v>58724.658653686725</v>
      </c>
      <c r="L66" s="11">
        <f t="shared" si="15"/>
        <v>61727.999268976841</v>
      </c>
      <c r="M66" s="11">
        <f t="shared" si="15"/>
        <v>64825.192053047562</v>
      </c>
      <c r="N66" s="11">
        <f t="shared" si="15"/>
        <v>68019.127609968738</v>
      </c>
      <c r="O66" s="11">
        <f t="shared" si="15"/>
        <v>71312.784762712457</v>
      </c>
      <c r="P66" s="35"/>
    </row>
    <row r="67" spans="1:16" x14ac:dyDescent="0.35">
      <c r="A67" s="18"/>
      <c r="B67" s="2"/>
      <c r="C67" s="2"/>
      <c r="D67" s="2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35"/>
    </row>
    <row r="68" spans="1:16" x14ac:dyDescent="0.35">
      <c r="A68" s="18"/>
      <c r="B68" s="2"/>
      <c r="C68" s="2"/>
      <c r="D68" s="2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35"/>
    </row>
    <row r="69" spans="1:16" ht="15" thickBot="1" x14ac:dyDescent="0.4">
      <c r="A69" s="25"/>
      <c r="B69" s="26"/>
      <c r="C69" s="26"/>
      <c r="D69" s="26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8"/>
    </row>
    <row r="72" spans="1:16" ht="15" thickBot="1" x14ac:dyDescent="0.4"/>
    <row r="73" spans="1:16" x14ac:dyDescent="0.35">
      <c r="A73" s="30" t="s">
        <v>27</v>
      </c>
      <c r="B73" s="16"/>
      <c r="C73" s="16"/>
      <c r="D73" s="16" t="s">
        <v>28</v>
      </c>
      <c r="E73" s="60"/>
      <c r="F73" s="61"/>
      <c r="G73" s="62"/>
      <c r="H73" s="62"/>
      <c r="I73" s="62"/>
      <c r="J73" s="62"/>
    </row>
    <row r="74" spans="1:16" x14ac:dyDescent="0.35">
      <c r="A74" s="18"/>
      <c r="B74" s="2"/>
      <c r="C74" s="2"/>
      <c r="D74" s="2" t="s">
        <v>29</v>
      </c>
      <c r="E74" s="57">
        <f>+Data!B33</f>
        <v>0.03</v>
      </c>
      <c r="F74" s="63"/>
      <c r="G74" s="62"/>
      <c r="H74" s="62"/>
      <c r="I74" s="62"/>
      <c r="J74" s="62"/>
    </row>
    <row r="75" spans="1:16" ht="15" thickBot="1" x14ac:dyDescent="0.4">
      <c r="A75" s="25"/>
      <c r="B75" s="26"/>
      <c r="C75" s="26"/>
      <c r="D75" s="26"/>
      <c r="E75" s="64"/>
      <c r="F75" s="65"/>
      <c r="G75" s="62"/>
      <c r="H75" s="62"/>
      <c r="I75" s="62"/>
      <c r="J75" s="62"/>
    </row>
    <row r="76" spans="1:16" ht="15" thickBot="1" x14ac:dyDescent="0.4">
      <c r="E76" s="62"/>
      <c r="F76" s="62"/>
      <c r="G76" s="62"/>
      <c r="H76" s="62"/>
      <c r="I76" s="62"/>
      <c r="J76" s="62"/>
    </row>
    <row r="77" spans="1:16" x14ac:dyDescent="0.35">
      <c r="A77" s="30" t="s">
        <v>22</v>
      </c>
      <c r="B77" s="16"/>
      <c r="C77" s="16"/>
      <c r="D77" s="16" t="s">
        <v>31</v>
      </c>
      <c r="E77" s="60"/>
      <c r="F77" s="60"/>
      <c r="G77" s="60"/>
      <c r="H77" s="60"/>
      <c r="I77" s="60"/>
      <c r="J77" s="60"/>
      <c r="K77" s="16"/>
      <c r="L77" s="17"/>
    </row>
    <row r="78" spans="1:16" x14ac:dyDescent="0.35">
      <c r="A78" s="18"/>
      <c r="B78" s="2"/>
      <c r="C78" s="2"/>
      <c r="D78" s="2" t="s">
        <v>32</v>
      </c>
      <c r="E78" s="57">
        <f>+Data!B34</f>
        <v>0.02</v>
      </c>
      <c r="F78" s="59"/>
      <c r="G78" s="59"/>
      <c r="H78" s="59"/>
      <c r="I78" s="59"/>
      <c r="J78" s="59"/>
      <c r="K78" s="2"/>
      <c r="L78" s="20"/>
    </row>
    <row r="79" spans="1:16" x14ac:dyDescent="0.35">
      <c r="A79" s="18"/>
      <c r="B79" s="2"/>
      <c r="C79" s="2"/>
      <c r="D79" s="2"/>
      <c r="E79" s="59"/>
      <c r="F79" s="59" t="s">
        <v>3</v>
      </c>
      <c r="G79" s="59" t="s">
        <v>4</v>
      </c>
      <c r="H79" s="59" t="s">
        <v>5</v>
      </c>
      <c r="I79" s="59" t="s">
        <v>6</v>
      </c>
      <c r="J79" s="59" t="s">
        <v>7</v>
      </c>
      <c r="K79" s="39" t="s">
        <v>33</v>
      </c>
      <c r="L79" s="20"/>
    </row>
    <row r="80" spans="1:16" x14ac:dyDescent="0.35">
      <c r="A80" s="18"/>
      <c r="B80" s="2"/>
      <c r="C80" s="2"/>
      <c r="D80" s="2"/>
      <c r="E80" s="59"/>
      <c r="F80" s="58">
        <f>+G3*12</f>
        <v>2688</v>
      </c>
      <c r="G80" s="58">
        <f>+G4*12</f>
        <v>1932</v>
      </c>
      <c r="H80" s="58">
        <f>+G5*12</f>
        <v>2256</v>
      </c>
      <c r="I80" s="58">
        <f>+G6*12</f>
        <v>1464</v>
      </c>
      <c r="J80" s="58">
        <f>+E54*G7</f>
        <v>8318.1225661414683</v>
      </c>
      <c r="K80" s="40">
        <f>SUM(F80:J80)</f>
        <v>16658.122566141468</v>
      </c>
      <c r="L80" s="20"/>
    </row>
    <row r="81" spans="1:13" ht="15" thickBot="1" x14ac:dyDescent="0.4">
      <c r="A81" s="25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8"/>
    </row>
    <row r="82" spans="1:13" ht="15" thickBot="1" x14ac:dyDescent="0.4"/>
    <row r="83" spans="1:13" x14ac:dyDescent="0.35">
      <c r="A83" s="30" t="s">
        <v>34</v>
      </c>
      <c r="B83" s="41"/>
      <c r="C83" s="41"/>
      <c r="D83" s="16"/>
      <c r="E83" s="41"/>
      <c r="F83" s="41"/>
      <c r="G83" s="41"/>
      <c r="H83" s="41"/>
      <c r="I83" s="41"/>
      <c r="J83" s="41"/>
      <c r="K83" s="41"/>
      <c r="L83" s="41"/>
      <c r="M83" s="42"/>
    </row>
    <row r="84" spans="1:13" x14ac:dyDescent="0.35">
      <c r="A84" s="31"/>
      <c r="B84" s="39"/>
      <c r="C84" s="39"/>
      <c r="D84" s="43" t="s">
        <v>11</v>
      </c>
      <c r="E84" s="56">
        <f>+G11</f>
        <v>376289.91305324202</v>
      </c>
      <c r="F84" s="43"/>
      <c r="G84" s="43" t="s">
        <v>36</v>
      </c>
      <c r="H84" s="43" t="s">
        <v>37</v>
      </c>
      <c r="I84" s="43" t="s">
        <v>38</v>
      </c>
      <c r="J84" s="43" t="s">
        <v>25</v>
      </c>
      <c r="K84" s="43" t="s">
        <v>24</v>
      </c>
      <c r="L84" s="43" t="s">
        <v>39</v>
      </c>
      <c r="M84" s="45"/>
    </row>
    <row r="85" spans="1:13" x14ac:dyDescent="0.35">
      <c r="A85" s="31"/>
      <c r="B85" s="39"/>
      <c r="C85" s="39"/>
      <c r="D85" s="43" t="s">
        <v>9</v>
      </c>
      <c r="E85" s="56">
        <f>+G9</f>
        <v>889268</v>
      </c>
      <c r="F85" s="43"/>
      <c r="G85" s="43">
        <v>0</v>
      </c>
      <c r="H85" s="46"/>
      <c r="I85" s="47"/>
      <c r="J85" s="47"/>
      <c r="K85" s="47"/>
      <c r="L85" s="47">
        <f>+E86</f>
        <v>512978.08694675693</v>
      </c>
      <c r="M85" s="45"/>
    </row>
    <row r="86" spans="1:13" x14ac:dyDescent="0.35">
      <c r="A86" s="31"/>
      <c r="B86" s="39"/>
      <c r="C86" s="39"/>
      <c r="D86" s="43" t="s">
        <v>35</v>
      </c>
      <c r="E86" s="56">
        <f>+G9*G10</f>
        <v>512978.08694675693</v>
      </c>
      <c r="F86" s="43"/>
      <c r="G86" s="43">
        <v>1</v>
      </c>
      <c r="H86" s="47">
        <f>+L85</f>
        <v>512978.08694675693</v>
      </c>
      <c r="I86" s="47">
        <f>+PMT(E87,E88,E86,0)</f>
        <v>-35133.44465282312</v>
      </c>
      <c r="J86" s="47">
        <f>+$E$87*L85*-1</f>
        <v>-22712.418114613341</v>
      </c>
      <c r="K86" s="47">
        <f t="shared" ref="K86:K92" si="16">+I86-J86</f>
        <v>-12421.026538209779</v>
      </c>
      <c r="L86" s="47">
        <f t="shared" ref="L86:L91" si="17">+H86+K86</f>
        <v>500557.06040854717</v>
      </c>
      <c r="M86" s="45"/>
    </row>
    <row r="87" spans="1:13" x14ac:dyDescent="0.35">
      <c r="A87" s="31"/>
      <c r="B87" s="39"/>
      <c r="C87" s="39"/>
      <c r="D87" s="43" t="s">
        <v>12</v>
      </c>
      <c r="E87" s="57">
        <f>+G12</f>
        <v>4.4275610776666002E-2</v>
      </c>
      <c r="F87" s="43"/>
      <c r="G87" s="43">
        <v>2</v>
      </c>
      <c r="H87" s="47">
        <f>+L86</f>
        <v>500557.06040854717</v>
      </c>
      <c r="I87" s="47">
        <f>+I86</f>
        <v>-35133.44465282312</v>
      </c>
      <c r="J87" s="47">
        <f>+$E$87*L86*-1</f>
        <v>-22162.469578160926</v>
      </c>
      <c r="K87" s="47">
        <f t="shared" si="16"/>
        <v>-12970.975074662194</v>
      </c>
      <c r="L87" s="47">
        <f t="shared" si="17"/>
        <v>487586.08533388498</v>
      </c>
      <c r="M87" s="45"/>
    </row>
    <row r="88" spans="1:13" x14ac:dyDescent="0.35">
      <c r="A88" s="31"/>
      <c r="B88" s="39"/>
      <c r="C88" s="39"/>
      <c r="D88" s="43" t="s">
        <v>13</v>
      </c>
      <c r="E88" s="58">
        <f>+G13</f>
        <v>24</v>
      </c>
      <c r="F88" s="43"/>
      <c r="G88" s="43">
        <v>3</v>
      </c>
      <c r="H88" s="47">
        <f t="shared" ref="H88:H95" si="18">+L87</f>
        <v>487586.08533388498</v>
      </c>
      <c r="I88" s="47">
        <f t="shared" ref="I88:I95" si="19">+I87</f>
        <v>-35133.44465282312</v>
      </c>
      <c r="J88" s="47">
        <f t="shared" ref="J88:J95" si="20">+$E$87*L87*-1</f>
        <v>-21588.171734361345</v>
      </c>
      <c r="K88" s="47">
        <f t="shared" si="16"/>
        <v>-13545.272918461775</v>
      </c>
      <c r="L88" s="47">
        <f t="shared" si="17"/>
        <v>474040.81241542322</v>
      </c>
      <c r="M88" s="45"/>
    </row>
    <row r="89" spans="1:13" x14ac:dyDescent="0.35">
      <c r="A89" s="31"/>
      <c r="B89" s="39"/>
      <c r="C89" s="39"/>
      <c r="D89" s="43"/>
      <c r="E89" s="59"/>
      <c r="F89" s="43"/>
      <c r="G89" s="43">
        <v>4</v>
      </c>
      <c r="H89" s="47">
        <f t="shared" si="18"/>
        <v>474040.81241542322</v>
      </c>
      <c r="I89" s="47">
        <f t="shared" si="19"/>
        <v>-35133.44465282312</v>
      </c>
      <c r="J89" s="47">
        <f t="shared" si="20"/>
        <v>-20988.44650275982</v>
      </c>
      <c r="K89" s="47">
        <f t="shared" si="16"/>
        <v>-14144.9981500633</v>
      </c>
      <c r="L89" s="47">
        <f t="shared" si="17"/>
        <v>459895.81426535989</v>
      </c>
      <c r="M89" s="45"/>
    </row>
    <row r="90" spans="1:13" x14ac:dyDescent="0.35">
      <c r="A90" s="31"/>
      <c r="B90" s="39"/>
      <c r="C90" s="39"/>
      <c r="D90" s="43"/>
      <c r="E90" s="43"/>
      <c r="F90" s="43"/>
      <c r="G90" s="43">
        <v>5</v>
      </c>
      <c r="H90" s="47">
        <f t="shared" si="18"/>
        <v>459895.81426535989</v>
      </c>
      <c r="I90" s="47">
        <f t="shared" si="19"/>
        <v>-35133.44465282312</v>
      </c>
      <c r="J90" s="47">
        <f t="shared" si="20"/>
        <v>-20362.168070230953</v>
      </c>
      <c r="K90" s="47">
        <f t="shared" si="16"/>
        <v>-14771.276582592167</v>
      </c>
      <c r="L90" s="47">
        <f t="shared" si="17"/>
        <v>445124.53768276772</v>
      </c>
      <c r="M90" s="45"/>
    </row>
    <row r="91" spans="1:13" x14ac:dyDescent="0.35">
      <c r="A91" s="31"/>
      <c r="B91" s="39"/>
      <c r="C91" s="39"/>
      <c r="D91" s="43"/>
      <c r="E91" s="43"/>
      <c r="F91" s="43"/>
      <c r="G91" s="43">
        <v>6</v>
      </c>
      <c r="H91" s="47">
        <f t="shared" si="18"/>
        <v>445124.53768276772</v>
      </c>
      <c r="I91" s="47">
        <f t="shared" si="19"/>
        <v>-35133.44465282312</v>
      </c>
      <c r="J91" s="47">
        <f t="shared" si="20"/>
        <v>-19708.160777585621</v>
      </c>
      <c r="K91" s="47">
        <f t="shared" si="16"/>
        <v>-15425.283875237499</v>
      </c>
      <c r="L91" s="47">
        <f t="shared" si="17"/>
        <v>429699.25380753021</v>
      </c>
      <c r="M91" s="45"/>
    </row>
    <row r="92" spans="1:13" x14ac:dyDescent="0.35">
      <c r="A92" s="31"/>
      <c r="B92" s="39"/>
      <c r="C92" s="39"/>
      <c r="D92" s="43"/>
      <c r="E92" s="43"/>
      <c r="F92" s="43"/>
      <c r="G92" s="43">
        <v>7</v>
      </c>
      <c r="H92" s="47">
        <f t="shared" si="18"/>
        <v>429699.25380753021</v>
      </c>
      <c r="I92" s="47">
        <f t="shared" si="19"/>
        <v>-35133.44465282312</v>
      </c>
      <c r="J92" s="47">
        <f t="shared" si="20"/>
        <v>-19025.196912606025</v>
      </c>
      <c r="K92" s="47">
        <f t="shared" si="16"/>
        <v>-16108.247740217095</v>
      </c>
      <c r="L92" s="47">
        <f t="shared" ref="L92:L95" si="21">+H92+K92</f>
        <v>413591.00606731314</v>
      </c>
      <c r="M92" s="45"/>
    </row>
    <row r="93" spans="1:13" x14ac:dyDescent="0.35">
      <c r="A93" s="31"/>
      <c r="B93" s="39"/>
      <c r="C93" s="39"/>
      <c r="D93" s="43"/>
      <c r="E93" s="43"/>
      <c r="F93" s="43"/>
      <c r="G93" s="43">
        <v>8</v>
      </c>
      <c r="H93" s="47">
        <f t="shared" si="18"/>
        <v>413591.00606731314</v>
      </c>
      <c r="I93" s="47">
        <f t="shared" si="19"/>
        <v>-35133.44465282312</v>
      </c>
      <c r="J93" s="47">
        <f t="shared" si="20"/>
        <v>-18311.994405366062</v>
      </c>
      <c r="K93" s="47">
        <f t="shared" ref="K93:K96" si="22">+I93-J93</f>
        <v>-16821.450247457058</v>
      </c>
      <c r="L93" s="47">
        <f t="shared" si="21"/>
        <v>396769.55581985606</v>
      </c>
      <c r="M93" s="45"/>
    </row>
    <row r="94" spans="1:13" x14ac:dyDescent="0.35">
      <c r="A94" s="31"/>
      <c r="B94" s="39"/>
      <c r="C94" s="39"/>
      <c r="D94" s="43"/>
      <c r="E94" s="43"/>
      <c r="F94" s="43"/>
      <c r="G94" s="43">
        <v>9</v>
      </c>
      <c r="H94" s="47">
        <f t="shared" si="18"/>
        <v>396769.55581985606</v>
      </c>
      <c r="I94" s="47">
        <f t="shared" si="19"/>
        <v>-35133.44465282312</v>
      </c>
      <c r="J94" s="47">
        <f t="shared" si="20"/>
        <v>-17567.214421510602</v>
      </c>
      <c r="K94" s="47">
        <f t="shared" si="22"/>
        <v>-17566.230231312518</v>
      </c>
      <c r="L94" s="47">
        <f t="shared" si="21"/>
        <v>379203.32558854355</v>
      </c>
      <c r="M94" s="45"/>
    </row>
    <row r="95" spans="1:13" x14ac:dyDescent="0.35">
      <c r="A95" s="31"/>
      <c r="B95" s="39"/>
      <c r="C95" s="39"/>
      <c r="D95" s="43"/>
      <c r="E95" s="43"/>
      <c r="F95" s="43"/>
      <c r="G95" s="43">
        <v>10</v>
      </c>
      <c r="H95" s="47">
        <f t="shared" si="18"/>
        <v>379203.32558854355</v>
      </c>
      <c r="I95" s="47">
        <f t="shared" si="19"/>
        <v>-35133.44465282312</v>
      </c>
      <c r="J95" s="47">
        <f t="shared" si="20"/>
        <v>-16789.458848975704</v>
      </c>
      <c r="K95" s="47">
        <f t="shared" si="22"/>
        <v>-18343.985803847416</v>
      </c>
      <c r="L95" s="47">
        <f t="shared" si="21"/>
        <v>360859.33978469612</v>
      </c>
      <c r="M95" s="45"/>
    </row>
    <row r="96" spans="1:13" x14ac:dyDescent="0.35">
      <c r="A96" s="31"/>
      <c r="B96" s="39"/>
      <c r="C96" s="39"/>
      <c r="D96" s="39"/>
      <c r="E96" s="39"/>
      <c r="F96" s="39"/>
      <c r="G96" s="43">
        <v>11</v>
      </c>
      <c r="H96" s="47">
        <f t="shared" ref="H96:H107" si="23">+L95</f>
        <v>360859.33978469612</v>
      </c>
      <c r="I96" s="47">
        <f t="shared" ref="I96:I110" si="24">+I95</f>
        <v>-35133.44465282312</v>
      </c>
      <c r="J96" s="47">
        <f t="shared" ref="J96:J107" si="25">+$E$87*L95*-1</f>
        <v>-15977.26767343187</v>
      </c>
      <c r="K96" s="47">
        <f t="shared" si="22"/>
        <v>-19156.17697939125</v>
      </c>
      <c r="L96" s="47">
        <f t="shared" ref="L96:L107" si="26">+H96+K96</f>
        <v>341703.16280530486</v>
      </c>
      <c r="M96" s="45"/>
    </row>
    <row r="97" spans="1:13" x14ac:dyDescent="0.35">
      <c r="A97" s="18"/>
      <c r="B97" s="2"/>
      <c r="C97" s="2"/>
      <c r="D97" s="2"/>
      <c r="E97" s="2"/>
      <c r="F97" s="2"/>
      <c r="G97" s="43">
        <v>12</v>
      </c>
      <c r="H97" s="47">
        <f t="shared" si="23"/>
        <v>341703.16280530486</v>
      </c>
      <c r="I97" s="47">
        <f t="shared" si="24"/>
        <v>-35133.44465282312</v>
      </c>
      <c r="J97" s="47">
        <f t="shared" si="25"/>
        <v>-15129.116237523413</v>
      </c>
      <c r="K97" s="47">
        <f t="shared" ref="K97:K107" si="27">+I97-J97</f>
        <v>-20004.328415299708</v>
      </c>
      <c r="L97" s="47">
        <f t="shared" si="26"/>
        <v>321698.83439000516</v>
      </c>
      <c r="M97" s="20"/>
    </row>
    <row r="98" spans="1:13" x14ac:dyDescent="0.35">
      <c r="A98" s="18"/>
      <c r="B98" s="2"/>
      <c r="C98" s="2"/>
      <c r="D98" s="2"/>
      <c r="E98" s="2"/>
      <c r="F98" s="2"/>
      <c r="G98" s="43">
        <v>13</v>
      </c>
      <c r="H98" s="47">
        <f t="shared" si="23"/>
        <v>321698.83439000516</v>
      </c>
      <c r="I98" s="47">
        <f t="shared" si="24"/>
        <v>-35133.44465282312</v>
      </c>
      <c r="J98" s="47">
        <f t="shared" si="25"/>
        <v>-14243.412378759003</v>
      </c>
      <c r="K98" s="47">
        <f t="shared" si="27"/>
        <v>-20890.032274064117</v>
      </c>
      <c r="L98" s="47">
        <f t="shared" si="26"/>
        <v>300808.80211594101</v>
      </c>
      <c r="M98" s="20"/>
    </row>
    <row r="99" spans="1:13" x14ac:dyDescent="0.35">
      <c r="A99" s="18"/>
      <c r="B99" s="2"/>
      <c r="C99" s="2"/>
      <c r="D99" s="2"/>
      <c r="E99" s="2"/>
      <c r="F99" s="2"/>
      <c r="G99" s="43">
        <v>14</v>
      </c>
      <c r="H99" s="47">
        <f t="shared" si="23"/>
        <v>300808.80211594101</v>
      </c>
      <c r="I99" s="47">
        <f t="shared" si="24"/>
        <v>-35133.44465282312</v>
      </c>
      <c r="J99" s="47">
        <f t="shared" si="25"/>
        <v>-13318.49344068055</v>
      </c>
      <c r="K99" s="47">
        <f t="shared" si="27"/>
        <v>-21814.951212142572</v>
      </c>
      <c r="L99" s="47">
        <f t="shared" si="26"/>
        <v>278993.85090379842</v>
      </c>
      <c r="M99" s="20"/>
    </row>
    <row r="100" spans="1:13" x14ac:dyDescent="0.35">
      <c r="A100" s="18"/>
      <c r="B100" s="2"/>
      <c r="C100" s="2"/>
      <c r="D100" s="2"/>
      <c r="E100" s="2"/>
      <c r="F100" s="2"/>
      <c r="G100" s="43">
        <v>15</v>
      </c>
      <c r="H100" s="47">
        <f t="shared" si="23"/>
        <v>278993.85090379842</v>
      </c>
      <c r="I100" s="47">
        <f t="shared" si="24"/>
        <v>-35133.44465282312</v>
      </c>
      <c r="J100" s="47">
        <f t="shared" si="25"/>
        <v>-12352.623151699765</v>
      </c>
      <c r="K100" s="47">
        <f t="shared" si="27"/>
        <v>-22780.821501123355</v>
      </c>
      <c r="L100" s="47">
        <f t="shared" si="26"/>
        <v>256213.02940267505</v>
      </c>
      <c r="M100" s="20"/>
    </row>
    <row r="101" spans="1:13" x14ac:dyDescent="0.35">
      <c r="A101" s="18"/>
      <c r="B101" s="2"/>
      <c r="C101" s="2"/>
      <c r="D101" s="2"/>
      <c r="E101" s="2"/>
      <c r="F101" s="2"/>
      <c r="G101" s="43">
        <v>16</v>
      </c>
      <c r="H101" s="47">
        <f t="shared" si="23"/>
        <v>256213.02940267505</v>
      </c>
      <c r="I101" s="47">
        <f t="shared" si="24"/>
        <v>-35133.44465282312</v>
      </c>
      <c r="J101" s="47">
        <f t="shared" si="25"/>
        <v>-11343.988365743322</v>
      </c>
      <c r="K101" s="47">
        <f t="shared" si="27"/>
        <v>-23789.456287079796</v>
      </c>
      <c r="L101" s="47">
        <f t="shared" si="26"/>
        <v>232423.57311559527</v>
      </c>
      <c r="M101" s="20"/>
    </row>
    <row r="102" spans="1:13" x14ac:dyDescent="0.35">
      <c r="A102" s="18"/>
      <c r="B102" s="2"/>
      <c r="C102" s="2"/>
      <c r="D102" s="2"/>
      <c r="E102" s="2"/>
      <c r="F102" s="2"/>
      <c r="G102" s="43">
        <v>17</v>
      </c>
      <c r="H102" s="47">
        <f t="shared" si="23"/>
        <v>232423.57311559527</v>
      </c>
      <c r="I102" s="47">
        <f t="shared" si="24"/>
        <v>-35133.44465282312</v>
      </c>
      <c r="J102" s="47">
        <f t="shared" si="25"/>
        <v>-10290.695658588069</v>
      </c>
      <c r="K102" s="47">
        <f t="shared" si="27"/>
        <v>-24842.748994235051</v>
      </c>
      <c r="L102" s="47">
        <f t="shared" si="26"/>
        <v>207580.8241213602</v>
      </c>
      <c r="M102" s="20"/>
    </row>
    <row r="103" spans="1:13" x14ac:dyDescent="0.35">
      <c r="A103" s="18"/>
      <c r="B103" s="2"/>
      <c r="C103" s="2"/>
      <c r="D103" s="2"/>
      <c r="E103" s="2"/>
      <c r="F103" s="2"/>
      <c r="G103" s="43">
        <v>18</v>
      </c>
      <c r="H103" s="47">
        <f t="shared" si="23"/>
        <v>207580.8241213602</v>
      </c>
      <c r="I103" s="47">
        <f t="shared" si="24"/>
        <v>-35133.44465282312</v>
      </c>
      <c r="J103" s="47">
        <f t="shared" si="25"/>
        <v>-9190.7677734969056</v>
      </c>
      <c r="K103" s="47">
        <f t="shared" si="27"/>
        <v>-25942.676879326216</v>
      </c>
      <c r="L103" s="47">
        <f t="shared" si="26"/>
        <v>181638.14724203397</v>
      </c>
      <c r="M103" s="20"/>
    </row>
    <row r="104" spans="1:13" x14ac:dyDescent="0.35">
      <c r="A104" s="18"/>
      <c r="B104" s="2"/>
      <c r="C104" s="2"/>
      <c r="D104" s="2"/>
      <c r="E104" s="2"/>
      <c r="F104" s="2"/>
      <c r="G104" s="43">
        <v>19</v>
      </c>
      <c r="H104" s="47">
        <f t="shared" si="23"/>
        <v>181638.14724203397</v>
      </c>
      <c r="I104" s="47">
        <f t="shared" si="24"/>
        <v>-35133.44465282312</v>
      </c>
      <c r="J104" s="47">
        <f t="shared" si="25"/>
        <v>-8042.1399094830458</v>
      </c>
      <c r="K104" s="47">
        <f t="shared" si="27"/>
        <v>-27091.304743340075</v>
      </c>
      <c r="L104" s="47">
        <f t="shared" si="26"/>
        <v>154546.84249869391</v>
      </c>
      <c r="M104" s="20"/>
    </row>
    <row r="105" spans="1:13" x14ac:dyDescent="0.35">
      <c r="A105" s="18"/>
      <c r="B105" s="2"/>
      <c r="C105" s="2"/>
      <c r="D105" s="2"/>
      <c r="E105" s="2"/>
      <c r="F105" s="2"/>
      <c r="G105" s="43">
        <v>20</v>
      </c>
      <c r="H105" s="47">
        <f t="shared" si="23"/>
        <v>154546.84249869391</v>
      </c>
      <c r="I105" s="47">
        <f t="shared" si="24"/>
        <v>-35133.44465282312</v>
      </c>
      <c r="J105" s="47">
        <f t="shared" si="25"/>
        <v>-6842.6558452348754</v>
      </c>
      <c r="K105" s="47">
        <f t="shared" si="27"/>
        <v>-28290.788807588244</v>
      </c>
      <c r="L105" s="47">
        <f t="shared" si="26"/>
        <v>126256.05369110566</v>
      </c>
      <c r="M105" s="20"/>
    </row>
    <row r="106" spans="1:13" x14ac:dyDescent="0.35">
      <c r="A106" s="18"/>
      <c r="B106" s="2"/>
      <c r="C106" s="2"/>
      <c r="D106" s="2"/>
      <c r="E106" s="2"/>
      <c r="F106" s="2"/>
      <c r="G106" s="43">
        <v>21</v>
      </c>
      <c r="H106" s="47">
        <f t="shared" si="23"/>
        <v>126256.05369110566</v>
      </c>
      <c r="I106" s="47">
        <f t="shared" si="24"/>
        <v>-35133.44465282312</v>
      </c>
      <c r="J106" s="47">
        <f t="shared" si="25"/>
        <v>-5590.0638914252386</v>
      </c>
      <c r="K106" s="47">
        <f t="shared" si="27"/>
        <v>-29543.380761397882</v>
      </c>
      <c r="L106" s="47">
        <f t="shared" si="26"/>
        <v>96712.672929707769</v>
      </c>
      <c r="M106" s="20"/>
    </row>
    <row r="107" spans="1:13" x14ac:dyDescent="0.35">
      <c r="A107" s="18"/>
      <c r="B107" s="2"/>
      <c r="C107" s="2"/>
      <c r="D107" s="2"/>
      <c r="E107" s="2"/>
      <c r="F107" s="2"/>
      <c r="G107" s="43">
        <v>22</v>
      </c>
      <c r="H107" s="47">
        <f t="shared" si="23"/>
        <v>96712.672929707769</v>
      </c>
      <c r="I107" s="47">
        <f t="shared" si="24"/>
        <v>-35133.44465282312</v>
      </c>
      <c r="J107" s="47">
        <f t="shared" si="25"/>
        <v>-4282.0126638067441</v>
      </c>
      <c r="K107" s="47">
        <f t="shared" si="27"/>
        <v>-30851.431989016375</v>
      </c>
      <c r="L107" s="47">
        <f t="shared" si="26"/>
        <v>65861.240940691394</v>
      </c>
      <c r="M107" s="20"/>
    </row>
    <row r="108" spans="1:13" x14ac:dyDescent="0.35">
      <c r="A108" s="18"/>
      <c r="B108" s="2"/>
      <c r="C108" s="2"/>
      <c r="D108" s="2"/>
      <c r="E108" s="2"/>
      <c r="F108" s="2"/>
      <c r="G108" s="43">
        <v>23</v>
      </c>
      <c r="H108" s="47">
        <f t="shared" ref="H108:H110" si="28">+L107</f>
        <v>65861.240940691394</v>
      </c>
      <c r="I108" s="47">
        <f t="shared" si="24"/>
        <v>-35133.44465282312</v>
      </c>
      <c r="J108" s="47">
        <f t="shared" ref="J108:J110" si="29">+$E$87*L107*-1</f>
        <v>-2916.0466691582719</v>
      </c>
      <c r="K108" s="47">
        <f t="shared" ref="K108:K110" si="30">+I108-J108</f>
        <v>-32217.397983664847</v>
      </c>
      <c r="L108" s="47">
        <f t="shared" ref="L108:L110" si="31">+H108+K108</f>
        <v>33643.842957026543</v>
      </c>
      <c r="M108" s="20"/>
    </row>
    <row r="109" spans="1:13" x14ac:dyDescent="0.35">
      <c r="A109" s="18"/>
      <c r="B109" s="2"/>
      <c r="C109" s="2"/>
      <c r="D109" s="2"/>
      <c r="E109" s="2"/>
      <c r="F109" s="2"/>
      <c r="G109" s="43">
        <v>24</v>
      </c>
      <c r="H109" s="47">
        <f t="shared" si="28"/>
        <v>33643.842957026543</v>
      </c>
      <c r="I109" s="47">
        <f t="shared" si="24"/>
        <v>-35133.44465282312</v>
      </c>
      <c r="J109" s="47">
        <f t="shared" si="29"/>
        <v>-1489.601695796583</v>
      </c>
      <c r="K109" s="47">
        <f t="shared" si="30"/>
        <v>-33643.842957026536</v>
      </c>
      <c r="L109" s="47">
        <f t="shared" si="31"/>
        <v>0</v>
      </c>
      <c r="M109" s="20"/>
    </row>
    <row r="110" spans="1:13" x14ac:dyDescent="0.35">
      <c r="A110" s="18"/>
      <c r="B110" s="2"/>
      <c r="C110" s="2"/>
      <c r="D110" s="2"/>
      <c r="E110" s="2"/>
      <c r="F110" s="2"/>
      <c r="G110" s="43">
        <v>25</v>
      </c>
      <c r="H110" s="47">
        <f t="shared" si="28"/>
        <v>0</v>
      </c>
      <c r="I110" s="47">
        <f t="shared" si="24"/>
        <v>-35133.44465282312</v>
      </c>
      <c r="J110" s="47">
        <f t="shared" si="29"/>
        <v>0</v>
      </c>
      <c r="K110" s="47">
        <f t="shared" si="30"/>
        <v>-35133.44465282312</v>
      </c>
      <c r="L110" s="47">
        <f t="shared" si="31"/>
        <v>-35133.44465282312</v>
      </c>
      <c r="M110" s="20"/>
    </row>
    <row r="111" spans="1:13" x14ac:dyDescent="0.35">
      <c r="A111" s="18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0"/>
    </row>
    <row r="112" spans="1:13" ht="15" thickBot="1" x14ac:dyDescent="0.4">
      <c r="A112" s="25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8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EB76FBE-705F-42E4-A44D-EAED861EFD23}">
          <x14:formula1>
            <xm:f>Data!$O$2:$O$26</xm:f>
          </x14:formula1>
          <xm:sqref>D2:D3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Portfolio Model Sheet</vt:lpstr>
      <vt:lpstr>Individual Property Model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Tega Obarakpor</dc:creator>
  <cp:lastModifiedBy>Tega Obarakpor</cp:lastModifiedBy>
  <dcterms:created xsi:type="dcterms:W3CDTF">2024-04-27T13:29:18Z</dcterms:created>
  <dcterms:modified xsi:type="dcterms:W3CDTF">2024-05-04T15:03:08Z</dcterms:modified>
</cp:coreProperties>
</file>