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23_INNOVACIÓN Y DESARROLLO\2_PROYECTOS\AGITACIÓN\AG_SELECTOR\FILES\"/>
    </mc:Choice>
  </mc:AlternateContent>
  <xr:revisionPtr revIDLastSave="0" documentId="13_ncr:1_{5ACCDCDA-BB14-4BEE-BCC5-785D96C1AD4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je " sheetId="1" r:id="rId1"/>
    <sheet name="Potencia" sheetId="2" r:id="rId2"/>
    <sheet name="Vel vs Torque" sheetId="3" r:id="rId3"/>
    <sheet name="Fondo Flanged Dished" sheetId="4" r:id="rId4"/>
    <sheet name="Fondo Klopper" sheetId="5" r:id="rId5"/>
    <sheet name="Fondo " sheetId="6" r:id="rId6"/>
    <sheet name="Nivel del Tanqu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E56" i="1"/>
  <c r="C145" i="1"/>
  <c r="C131" i="1"/>
  <c r="C126" i="1"/>
  <c r="C85" i="1"/>
  <c r="C71" i="1"/>
  <c r="C116" i="1"/>
  <c r="C102" i="1"/>
  <c r="C97" i="1"/>
  <c r="B9" i="7"/>
  <c r="B19" i="7"/>
  <c r="B16" i="7"/>
  <c r="B7" i="7"/>
  <c r="B14" i="7" l="1"/>
  <c r="B17" i="7" s="1"/>
  <c r="B20" i="7" s="1"/>
  <c r="B21" i="7" s="1"/>
  <c r="B22" i="7" s="1"/>
  <c r="B10" i="7"/>
  <c r="B6" i="6"/>
  <c r="B9" i="6" s="1"/>
  <c r="B10" i="6" s="1"/>
  <c r="B11" i="5"/>
  <c r="B12" i="5" s="1"/>
  <c r="B17" i="5" s="1"/>
  <c r="B9" i="5"/>
  <c r="B8" i="5"/>
  <c r="B15" i="5" s="1"/>
  <c r="B16" i="5" s="1"/>
  <c r="B5" i="5"/>
  <c r="B7" i="5"/>
  <c r="B6" i="5"/>
  <c r="B17" i="4"/>
  <c r="B16" i="4"/>
  <c r="B15" i="4"/>
  <c r="B6" i="4"/>
  <c r="B11" i="4" s="1"/>
  <c r="B8" i="4"/>
  <c r="B7" i="4"/>
  <c r="B9" i="4" s="1"/>
  <c r="B10" i="4" s="1"/>
  <c r="D46" i="2"/>
  <c r="D47" i="2"/>
  <c r="D48" i="2" s="1"/>
  <c r="D19" i="3"/>
  <c r="D18" i="3"/>
  <c r="D17" i="3"/>
  <c r="D16" i="3"/>
  <c r="D15" i="3"/>
  <c r="D14" i="3"/>
  <c r="B11" i="6" l="1"/>
  <c r="B12" i="6" s="1"/>
  <c r="B15" i="6"/>
  <c r="B16" i="6" s="1"/>
  <c r="B10" i="5"/>
  <c r="B17" i="6" l="1"/>
  <c r="E19" i="3" l="1"/>
  <c r="C19" i="3"/>
  <c r="E18" i="3"/>
  <c r="C18" i="3"/>
  <c r="E17" i="3"/>
  <c r="C17" i="3"/>
  <c r="E16" i="3"/>
  <c r="C16" i="3"/>
  <c r="E15" i="3"/>
  <c r="C15" i="3"/>
  <c r="E14" i="3"/>
  <c r="E4" i="3"/>
  <c r="E5" i="3"/>
  <c r="E6" i="3"/>
  <c r="E7" i="3"/>
  <c r="E8" i="3"/>
  <c r="E3" i="3"/>
  <c r="C5" i="3"/>
  <c r="C6" i="3"/>
  <c r="C7" i="3"/>
  <c r="C8" i="3"/>
  <c r="C4" i="3"/>
  <c r="D7" i="2"/>
  <c r="D19" i="2"/>
  <c r="D20" i="2" s="1"/>
  <c r="D21" i="2" s="1"/>
  <c r="D23" i="2" l="1"/>
  <c r="D40" i="2"/>
  <c r="D41" i="2" s="1"/>
  <c r="D28" i="2" l="1"/>
  <c r="D9" i="2"/>
  <c r="C26" i="1"/>
  <c r="C66" i="1"/>
  <c r="C42" i="1"/>
  <c r="C3" i="1"/>
  <c r="C5" i="1"/>
  <c r="C8" i="1" l="1"/>
  <c r="D11" i="2"/>
  <c r="D10" i="2"/>
  <c r="D12" i="2" s="1"/>
  <c r="C29" i="1"/>
  <c r="C33" i="1" s="1"/>
  <c r="C28" i="1"/>
  <c r="C32" i="1" s="1"/>
  <c r="C30" i="1"/>
  <c r="C31" i="1"/>
  <c r="C35" i="1" s="1"/>
  <c r="C81" i="1" l="1"/>
  <c r="C98" i="1"/>
  <c r="C112" i="1"/>
  <c r="C127" i="1"/>
  <c r="C141" i="1"/>
  <c r="C67" i="1"/>
  <c r="C43" i="1"/>
  <c r="C54" i="1"/>
  <c r="C34" i="1"/>
  <c r="C36" i="1" s="1"/>
  <c r="C82" i="1" l="1"/>
  <c r="C86" i="1" s="1"/>
  <c r="C87" i="1" s="1"/>
  <c r="C142" i="1"/>
  <c r="C146" i="1" s="1"/>
  <c r="C147" i="1" s="1"/>
  <c r="C99" i="1"/>
  <c r="C103" i="1" s="1"/>
  <c r="C104" i="1" s="1"/>
  <c r="C113" i="1"/>
  <c r="C117" i="1" s="1"/>
  <c r="C118" i="1" s="1"/>
  <c r="C128" i="1"/>
  <c r="C132" i="1" s="1"/>
  <c r="C133" i="1" s="1"/>
  <c r="C68" i="1"/>
  <c r="C72" i="1" s="1"/>
  <c r="C73" i="1" s="1"/>
  <c r="C55" i="1"/>
  <c r="C56" i="1" s="1"/>
  <c r="C57" i="1" s="1"/>
  <c r="C44" i="1"/>
  <c r="C46" i="1" s="1"/>
</calcChain>
</file>

<file path=xl/sharedStrings.xml><?xml version="1.0" encoding="utf-8"?>
<sst xmlns="http://schemas.openxmlformats.org/spreadsheetml/2006/main" count="464" uniqueCount="170">
  <si>
    <t>Potencia Intalada:</t>
  </si>
  <si>
    <t>kW</t>
  </si>
  <si>
    <t xml:space="preserve">Velocidad: </t>
  </si>
  <si>
    <t xml:space="preserve">rpm </t>
  </si>
  <si>
    <t xml:space="preserve">Simbolo </t>
  </si>
  <si>
    <t>Variable</t>
  </si>
  <si>
    <t xml:space="preserve">Valor </t>
  </si>
  <si>
    <t>Unidades</t>
  </si>
  <si>
    <t>P</t>
  </si>
  <si>
    <t>N</t>
  </si>
  <si>
    <t>Tq(max)</t>
  </si>
  <si>
    <t>Torque máximo</t>
  </si>
  <si>
    <t>N.m</t>
  </si>
  <si>
    <t>rps</t>
  </si>
  <si>
    <t>W</t>
  </si>
  <si>
    <t>Design for Strenght</t>
  </si>
  <si>
    <t>Max Bending Moment</t>
  </si>
  <si>
    <t>P1</t>
  </si>
  <si>
    <t>L1</t>
  </si>
  <si>
    <t>fH1</t>
  </si>
  <si>
    <t>D1</t>
  </si>
  <si>
    <t>P1 calc</t>
  </si>
  <si>
    <t>P2</t>
  </si>
  <si>
    <t>P3</t>
  </si>
  <si>
    <t>P4</t>
  </si>
  <si>
    <t>M1</t>
  </si>
  <si>
    <t>M2</t>
  </si>
  <si>
    <t>M3</t>
  </si>
  <si>
    <t>M4</t>
  </si>
  <si>
    <t>Mmax</t>
  </si>
  <si>
    <t>Pot calc Propela 1</t>
  </si>
  <si>
    <t>P2 calc</t>
  </si>
  <si>
    <t>Pot calc Propela 2</t>
  </si>
  <si>
    <t>Pot calc Propela 3</t>
  </si>
  <si>
    <t>Pot calc Propela 4</t>
  </si>
  <si>
    <t>Comp P total propela 1</t>
  </si>
  <si>
    <t>Comp P total propela 2</t>
  </si>
  <si>
    <t>Comp P total propela 4</t>
  </si>
  <si>
    <t xml:space="preserve">Comp P total propela 3 </t>
  </si>
  <si>
    <t>Factor hidraulico pop 1</t>
  </si>
  <si>
    <t>Diámetro propela 1</t>
  </si>
  <si>
    <t xml:space="preserve">Distancia  prop 1 </t>
  </si>
  <si>
    <t>m</t>
  </si>
  <si>
    <t>L2</t>
  </si>
  <si>
    <t xml:space="preserve">Distancia  prop 2 </t>
  </si>
  <si>
    <t>fH2</t>
  </si>
  <si>
    <t>Factor hidraulico pop 2</t>
  </si>
  <si>
    <t>D2</t>
  </si>
  <si>
    <t>Diámetro propela 2</t>
  </si>
  <si>
    <t>P3 calc</t>
  </si>
  <si>
    <t>L3</t>
  </si>
  <si>
    <t xml:space="preserve">Distancia  prop 3 </t>
  </si>
  <si>
    <t>fH3</t>
  </si>
  <si>
    <t>Factor hidraulico pop 3</t>
  </si>
  <si>
    <t>D3</t>
  </si>
  <si>
    <t>Diámetro propela 3</t>
  </si>
  <si>
    <t>P4 calc</t>
  </si>
  <si>
    <t>L4</t>
  </si>
  <si>
    <t xml:space="preserve">Distancia  prop 4 </t>
  </si>
  <si>
    <t>fH4</t>
  </si>
  <si>
    <t>Factor hidraulico pop 4</t>
  </si>
  <si>
    <t>D4</t>
  </si>
  <si>
    <t>Diámetro propela 4</t>
  </si>
  <si>
    <t>Componente P1 del M max</t>
  </si>
  <si>
    <t>Componente P2 del M max</t>
  </si>
  <si>
    <t>Componente P3 del M max</t>
  </si>
  <si>
    <t>Componente P4 del M max</t>
  </si>
  <si>
    <t>adim</t>
  </si>
  <si>
    <t>ds</t>
  </si>
  <si>
    <t>Diametro min</t>
  </si>
  <si>
    <t>316SS</t>
  </si>
  <si>
    <t>Material del eje</t>
  </si>
  <si>
    <t>Shear stress limit</t>
  </si>
  <si>
    <t>Ơs</t>
  </si>
  <si>
    <t>N/m2</t>
  </si>
  <si>
    <t>TQ max</t>
  </si>
  <si>
    <t>Torque max</t>
  </si>
  <si>
    <t>in</t>
  </si>
  <si>
    <t>Calculo del diámetro de eje mínimo shear stress(barra)</t>
  </si>
  <si>
    <t>Calculo del diámetro de eje mínimo Tensil stress(barra)</t>
  </si>
  <si>
    <t>Ơt</t>
  </si>
  <si>
    <t>Tensil stress limit</t>
  </si>
  <si>
    <t>HOLLOW SHAFT (PIPE)</t>
  </si>
  <si>
    <t>do</t>
  </si>
  <si>
    <t>di</t>
  </si>
  <si>
    <t>Diámetro externo de tubo</t>
  </si>
  <si>
    <t>Diametro interno de tubo</t>
  </si>
  <si>
    <t>d</t>
  </si>
  <si>
    <t>Diámetro nóminal de tubo</t>
  </si>
  <si>
    <t>poner en tabla</t>
  </si>
  <si>
    <t>Ơs-c</t>
  </si>
  <si>
    <t>Shear Stress calc</t>
  </si>
  <si>
    <t>CUMPLE?</t>
  </si>
  <si>
    <t>Ơt-c</t>
  </si>
  <si>
    <t>Tensil Stress calc</t>
  </si>
  <si>
    <t>fh</t>
  </si>
  <si>
    <t>Densidad</t>
  </si>
  <si>
    <t>kg/m3</t>
  </si>
  <si>
    <t>Reynolds</t>
  </si>
  <si>
    <t>Re</t>
  </si>
  <si>
    <t>adms</t>
  </si>
  <si>
    <t>Diametro propela</t>
  </si>
  <si>
    <t>Velocidad de rotación</t>
  </si>
  <si>
    <t>m/s</t>
  </si>
  <si>
    <t>Viscosidad</t>
  </si>
  <si>
    <t>cP</t>
  </si>
  <si>
    <t>Re2</t>
  </si>
  <si>
    <t>Reynolds libro</t>
  </si>
  <si>
    <t>Pa.s</t>
  </si>
  <si>
    <t>Velocidad tangencial</t>
  </si>
  <si>
    <t>Número de Potencia</t>
  </si>
  <si>
    <t>adimen</t>
  </si>
  <si>
    <t>Potencia</t>
  </si>
  <si>
    <t>Calculo del Np- a partir de lo calculado por el selector</t>
  </si>
  <si>
    <t>Np</t>
  </si>
  <si>
    <t>c_p</t>
  </si>
  <si>
    <t>Cantidad de Propelas</t>
  </si>
  <si>
    <t>Potencia calculada, antes de selecciónar el motor</t>
  </si>
  <si>
    <t>Pct</t>
  </si>
  <si>
    <t>Potencia cálculada antes de Fs</t>
  </si>
  <si>
    <t>P calc por propela</t>
  </si>
  <si>
    <t>Potencia cálculada antes de Bafles</t>
  </si>
  <si>
    <t>ρ</t>
  </si>
  <si>
    <t>D</t>
  </si>
  <si>
    <t>μ</t>
  </si>
  <si>
    <t>Cálculo de Reynolds</t>
  </si>
  <si>
    <t xml:space="preserve">Símbolo </t>
  </si>
  <si>
    <t>Diámetro propela</t>
  </si>
  <si>
    <t>Po/Np</t>
  </si>
  <si>
    <t>Cálculo de Potencia por Propela</t>
  </si>
  <si>
    <t>Validación del diámetro de eje del Tubo- shear stress -</t>
  </si>
  <si>
    <t xml:space="preserve">Validación del diámetro de eje del Tubo- Tensil stress </t>
  </si>
  <si>
    <t>Frecuencia (hz)</t>
  </si>
  <si>
    <t>Velocidad (rpm)</t>
  </si>
  <si>
    <t>Torque (N.m)</t>
  </si>
  <si>
    <t>Potencia max(kW)</t>
  </si>
  <si>
    <t>Potencia teorica  consumida (kW)</t>
  </si>
  <si>
    <t>R:</t>
  </si>
  <si>
    <t>De:</t>
  </si>
  <si>
    <t>r:</t>
  </si>
  <si>
    <t>h2:</t>
  </si>
  <si>
    <t>Di:</t>
  </si>
  <si>
    <t>e:</t>
  </si>
  <si>
    <t>H:</t>
  </si>
  <si>
    <t>V:</t>
  </si>
  <si>
    <t>h1:</t>
  </si>
  <si>
    <t>Volumen cil</t>
  </si>
  <si>
    <t>m3</t>
  </si>
  <si>
    <t>L</t>
  </si>
  <si>
    <t>Altura tota tanque</t>
  </si>
  <si>
    <t>Altura boquilla (aprox)</t>
  </si>
  <si>
    <t>Agitador de boquilla a parte inferior</t>
  </si>
  <si>
    <t>Distancia total borde conexión a fondo</t>
  </si>
  <si>
    <t>Distancia  a fondo</t>
  </si>
  <si>
    <t>Porcentaje con relación al borde</t>
  </si>
  <si>
    <t>Diámetro de Propela</t>
  </si>
  <si>
    <t>Altura de sumergencia</t>
  </si>
  <si>
    <t>Altura de línea de agua al fondo</t>
  </si>
  <si>
    <t>Altura de parte curva</t>
  </si>
  <si>
    <t>Altura parte cilindrica</t>
  </si>
  <si>
    <t>Volumen fondo curvo</t>
  </si>
  <si>
    <t>Volumen parte cilindrica</t>
  </si>
  <si>
    <t>Diámetro de Tanque</t>
  </si>
  <si>
    <t>mm</t>
  </si>
  <si>
    <t>Volumen mínimo recomendado</t>
  </si>
  <si>
    <t>Volumen nominal tanque</t>
  </si>
  <si>
    <t>Porcentaje de nivel mínimo</t>
  </si>
  <si>
    <t>4"</t>
  </si>
  <si>
    <t>3"</t>
  </si>
  <si>
    <t>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</si>
</sst>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0.E+00"/>
    <numFmt numFmtId="168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7" xfId="0" applyNumberFormat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9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7" xfId="0" applyNumberFormat="1" applyBorder="1" applyAlignment="1">
      <alignment horizontal="center"/>
    </xf>
    <xf numFmtId="167" fontId="0" fillId="2" borderId="18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wrapText="1"/>
    </xf>
    <xf numFmtId="168" fontId="0" fillId="2" borderId="14" xfId="1" applyNumberFormat="1" applyFont="1" applyFill="1" applyBorder="1" applyAlignment="1">
      <alignment horizontal="center" wrapText="1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165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4" borderId="12" xfId="0" applyFont="1" applyFill="1" applyBorder="1" applyAlignment="1">
      <alignment horizontal="center" vertical="center" wrapText="1"/>
    </xf>
    <xf numFmtId="0" fontId="0" fillId="5" borderId="0" xfId="0" applyFill="1"/>
    <xf numFmtId="9" fontId="0" fillId="0" borderId="0" xfId="2" applyFont="1"/>
    <xf numFmtId="0" fontId="0" fillId="6" borderId="0" xfId="0" applyFill="1"/>
    <xf numFmtId="1" fontId="0" fillId="5" borderId="0" xfId="0" applyNumberFormat="1" applyFill="1"/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9" fontId="0" fillId="0" borderId="0" xfId="2" applyFont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9" fontId="0" fillId="8" borderId="0" xfId="2" applyFont="1" applyFill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máx Vs Velocidad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'Vel vs Torque'!$C$3:$C$8</c:f>
              <c:numCache>
                <c:formatCode>General</c:formatCode>
                <c:ptCount val="6"/>
                <c:pt idx="0">
                  <c:v>120</c:v>
                </c:pt>
                <c:pt idx="1">
                  <c:v>100</c:v>
                </c:pt>
                <c:pt idx="2">
                  <c:v>80</c:v>
                </c:pt>
                <c:pt idx="3">
                  <c:v>60</c:v>
                </c:pt>
                <c:pt idx="4">
                  <c:v>40</c:v>
                </c:pt>
                <c:pt idx="5">
                  <c:v>30</c:v>
                </c:pt>
              </c:numCache>
            </c:numRef>
          </c:xVal>
          <c:yVal>
            <c:numRef>
              <c:f>'Vel vs Torque'!$E$3:$E$8</c:f>
              <c:numCache>
                <c:formatCode>0</c:formatCode>
                <c:ptCount val="6"/>
                <c:pt idx="0">
                  <c:v>875.35218700542441</c:v>
                </c:pt>
                <c:pt idx="1">
                  <c:v>1050.4226244065092</c:v>
                </c:pt>
                <c:pt idx="2">
                  <c:v>1313.0282805081367</c:v>
                </c:pt>
                <c:pt idx="3">
                  <c:v>1750.7043740108488</c:v>
                </c:pt>
                <c:pt idx="4">
                  <c:v>2626.0565610162735</c:v>
                </c:pt>
                <c:pt idx="5">
                  <c:v>3501.4087480216976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1D-43CD-BB75-2354407B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61679"/>
        <c:axId val="141856879"/>
      </c:scatterChart>
      <c:valAx>
        <c:axId val="14186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Velocidad</a:t>
                </a:r>
                <a:r>
                  <a:rPr lang="es-CO" baseline="0"/>
                  <a:t> de rotación (rpm)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31829207349081362"/>
              <c:y val="0.8881918508024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856879"/>
        <c:crosses val="autoZero"/>
        <c:crossBetween val="midCat"/>
      </c:valAx>
      <c:valAx>
        <c:axId val="1418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Torque</a:t>
                </a:r>
                <a:r>
                  <a:rPr lang="es-CO" baseline="0"/>
                  <a:t> (N.m)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86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 teórico Vs Velocidad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'Vel vs Torque'!$C$14:$C$19</c:f>
              <c:numCache>
                <c:formatCode>General</c:formatCode>
                <c:ptCount val="6"/>
                <c:pt idx="0">
                  <c:v>120</c:v>
                </c:pt>
                <c:pt idx="1">
                  <c:v>100</c:v>
                </c:pt>
                <c:pt idx="2">
                  <c:v>80</c:v>
                </c:pt>
                <c:pt idx="3">
                  <c:v>60</c:v>
                </c:pt>
                <c:pt idx="4">
                  <c:v>40</c:v>
                </c:pt>
                <c:pt idx="5">
                  <c:v>30</c:v>
                </c:pt>
              </c:numCache>
            </c:numRef>
          </c:xVal>
          <c:yVal>
            <c:numRef>
              <c:f>'Vel vs Torque'!$E$14:$E$19</c:f>
              <c:numCache>
                <c:formatCode>0</c:formatCode>
                <c:ptCount val="6"/>
                <c:pt idx="0">
                  <c:v>636.61977236758139</c:v>
                </c:pt>
                <c:pt idx="1">
                  <c:v>442.2058880368661</c:v>
                </c:pt>
                <c:pt idx="2">
                  <c:v>306.37326545189859</c:v>
                </c:pt>
                <c:pt idx="3">
                  <c:v>172.41785501621999</c:v>
                </c:pt>
                <c:pt idx="4">
                  <c:v>71.619724391352904</c:v>
                </c:pt>
                <c:pt idx="5">
                  <c:v>39.176601376466543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0D-4FCF-A047-7439987B1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61679"/>
        <c:axId val="141856879"/>
      </c:scatterChart>
      <c:valAx>
        <c:axId val="14186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Velocidad</a:t>
                </a:r>
                <a:r>
                  <a:rPr lang="es-CO" baseline="0"/>
                  <a:t> de rotación (rpm)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31829207349081362"/>
              <c:y val="0.8881918508024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856879"/>
        <c:crosses val="autoZero"/>
        <c:crossBetween val="midCat"/>
      </c:valAx>
      <c:valAx>
        <c:axId val="14185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Torque</a:t>
                </a:r>
                <a:r>
                  <a:rPr lang="es-CO" baseline="0"/>
                  <a:t> (N.m)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86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23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2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1.png"/><Relationship Id="rId5" Type="http://schemas.openxmlformats.org/officeDocument/2006/relationships/image" Target="../media/image16.png"/><Relationship Id="rId10" Type="http://schemas.openxmlformats.org/officeDocument/2006/relationships/image" Target="../media/image20.png"/><Relationship Id="rId4" Type="http://schemas.openxmlformats.org/officeDocument/2006/relationships/image" Target="../media/image15.png"/><Relationship Id="rId9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gif"/><Relationship Id="rId1" Type="http://schemas.openxmlformats.org/officeDocument/2006/relationships/image" Target="../media/image24.jpe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jpe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gif"/><Relationship Id="rId2" Type="http://schemas.openxmlformats.org/officeDocument/2006/relationships/image" Target="../media/image37.jpeg"/><Relationship Id="rId1" Type="http://schemas.openxmlformats.org/officeDocument/2006/relationships/image" Target="../media/image36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0</xdr:row>
      <xdr:rowOff>85725</xdr:rowOff>
    </xdr:from>
    <xdr:to>
      <xdr:col>12</xdr:col>
      <xdr:colOff>343272</xdr:colOff>
      <xdr:row>4</xdr:row>
      <xdr:rowOff>38200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B3A389-F094-F46E-3B1C-2AEFCA456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5" y="85725"/>
          <a:ext cx="2667372" cy="714475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3</xdr:row>
      <xdr:rowOff>114300</xdr:rowOff>
    </xdr:from>
    <xdr:to>
      <xdr:col>8</xdr:col>
      <xdr:colOff>57474</xdr:colOff>
      <xdr:row>11</xdr:row>
      <xdr:rowOff>152565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9BEB3B-20BD-307A-1E56-BBBE59B3A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5" y="685800"/>
          <a:ext cx="2324424" cy="118126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13</xdr:row>
      <xdr:rowOff>47626</xdr:rowOff>
    </xdr:from>
    <xdr:to>
      <xdr:col>12</xdr:col>
      <xdr:colOff>601144</xdr:colOff>
      <xdr:row>31</xdr:row>
      <xdr:rowOff>142532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5931C0-79BE-CAE3-764F-3D2DB1248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0475" y="2333626"/>
          <a:ext cx="4715944" cy="16189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104775</xdr:rowOff>
    </xdr:from>
    <xdr:to>
      <xdr:col>13</xdr:col>
      <xdr:colOff>496050</xdr:colOff>
      <xdr:row>40</xdr:row>
      <xdr:rowOff>19295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6C9016-4F9D-5390-3091-D509CB676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7625" y="4295775"/>
          <a:ext cx="5372850" cy="1752845"/>
        </a:xfrm>
        <a:prstGeom prst="rect">
          <a:avLst/>
        </a:prstGeom>
      </xdr:spPr>
    </xdr:pic>
    <xdr:clientData/>
  </xdr:twoCellAnchor>
  <xdr:twoCellAnchor editAs="oneCell">
    <xdr:from>
      <xdr:col>14</xdr:col>
      <xdr:colOff>142875</xdr:colOff>
      <xdr:row>2</xdr:row>
      <xdr:rowOff>76200</xdr:rowOff>
    </xdr:from>
    <xdr:to>
      <xdr:col>20</xdr:col>
      <xdr:colOff>391070</xdr:colOff>
      <xdr:row>31</xdr:row>
      <xdr:rowOff>19494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6846B7D-DA4E-160E-0E0E-08259EC3C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34550" y="457200"/>
          <a:ext cx="3905795" cy="318179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20</xdr:col>
      <xdr:colOff>324321</xdr:colOff>
      <xdr:row>32</xdr:row>
      <xdr:rowOff>47711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ED24D99-EEC6-F895-E53B-869629A5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01275" y="4381500"/>
          <a:ext cx="3372321" cy="619211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35</xdr:row>
      <xdr:rowOff>38100</xdr:rowOff>
    </xdr:from>
    <xdr:to>
      <xdr:col>14</xdr:col>
      <xdr:colOff>105534</xdr:colOff>
      <xdr:row>48</xdr:row>
      <xdr:rowOff>9872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EE6684-20AF-4621-12B4-54AF904F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57675" y="6715125"/>
          <a:ext cx="5439534" cy="2486372"/>
        </a:xfrm>
        <a:prstGeom prst="rect">
          <a:avLst/>
        </a:prstGeom>
      </xdr:spPr>
    </xdr:pic>
    <xdr:clientData/>
  </xdr:twoCellAnchor>
  <xdr:twoCellAnchor editAs="oneCell">
    <xdr:from>
      <xdr:col>15</xdr:col>
      <xdr:colOff>257175</xdr:colOff>
      <xdr:row>39</xdr:row>
      <xdr:rowOff>0</xdr:rowOff>
    </xdr:from>
    <xdr:to>
      <xdr:col>24</xdr:col>
      <xdr:colOff>210309</xdr:colOff>
      <xdr:row>55</xdr:row>
      <xdr:rowOff>431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C95E611-4502-F2AF-1FA1-2623DAE3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58450" y="7448550"/>
          <a:ext cx="5439534" cy="308653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14</xdr:col>
      <xdr:colOff>67450</xdr:colOff>
      <xdr:row>59</xdr:row>
      <xdr:rowOff>171744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2BC5B72-8B4B-70DA-3BCE-CC90D944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05275" y="9382125"/>
          <a:ext cx="5553850" cy="2105319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61</xdr:row>
      <xdr:rowOff>180975</xdr:rowOff>
    </xdr:from>
    <xdr:to>
      <xdr:col>13</xdr:col>
      <xdr:colOff>400773</xdr:colOff>
      <xdr:row>81</xdr:row>
      <xdr:rowOff>95772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191BB41-C2A8-3875-0DF7-475F9106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14850" y="11877675"/>
          <a:ext cx="5182323" cy="3743847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116</xdr:row>
      <xdr:rowOff>190500</xdr:rowOff>
    </xdr:from>
    <xdr:to>
      <xdr:col>14</xdr:col>
      <xdr:colOff>229356</xdr:colOff>
      <xdr:row>148</xdr:row>
      <xdr:rowOff>57990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49B6282-0FCD-50E6-6022-0B22FA4E0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895850" y="19754850"/>
          <a:ext cx="5420481" cy="602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11</xdr:col>
      <xdr:colOff>734059</xdr:colOff>
      <xdr:row>6</xdr:row>
      <xdr:rowOff>171474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50C9E7-0D63-9C4B-236C-25034B8C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1143000"/>
          <a:ext cx="4544059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11</xdr:col>
      <xdr:colOff>610217</xdr:colOff>
      <xdr:row>10</xdr:row>
      <xdr:rowOff>181000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3D4E7D-40A0-3D99-15FA-7F398D4B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025" y="1333500"/>
          <a:ext cx="4420217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11</xdr:col>
      <xdr:colOff>676901</xdr:colOff>
      <xdr:row>10</xdr:row>
      <xdr:rowOff>161948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7DB719-5F0A-ABB9-B401-89CA0ADF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3025" y="1533525"/>
          <a:ext cx="4486901" cy="161948"/>
        </a:xfrm>
        <a:prstGeom prst="rect">
          <a:avLst/>
        </a:prstGeom>
      </xdr:spPr>
    </xdr:pic>
    <xdr:clientData/>
  </xdr:twoCellAnchor>
  <xdr:twoCellAnchor editAs="oneCell">
    <xdr:from>
      <xdr:col>20</xdr:col>
      <xdr:colOff>523875</xdr:colOff>
      <xdr:row>27</xdr:row>
      <xdr:rowOff>133350</xdr:rowOff>
    </xdr:from>
    <xdr:to>
      <xdr:col>26</xdr:col>
      <xdr:colOff>686461</xdr:colOff>
      <xdr:row>37</xdr:row>
      <xdr:rowOff>162198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436D92-DA6F-DBBF-FECC-E67144C3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16375" y="5505450"/>
          <a:ext cx="4734586" cy="1952898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27</xdr:row>
      <xdr:rowOff>0</xdr:rowOff>
    </xdr:from>
    <xdr:to>
      <xdr:col>17</xdr:col>
      <xdr:colOff>114507</xdr:colOff>
      <xdr:row>33</xdr:row>
      <xdr:rowOff>162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34121F-B049-2726-5531-AD58FA27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3425" y="4676775"/>
          <a:ext cx="1486107" cy="116221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12</xdr:col>
      <xdr:colOff>324533</xdr:colOff>
      <xdr:row>12</xdr:row>
      <xdr:rowOff>161948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065944E-3897-04B0-9A01-5CCC47107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025" y="1733550"/>
          <a:ext cx="4896533" cy="16194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12</xdr:col>
      <xdr:colOff>219744</xdr:colOff>
      <xdr:row>12</xdr:row>
      <xdr:rowOff>133369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F3DB6C-12D7-B3BC-6458-69306BB3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53025" y="1933575"/>
          <a:ext cx="4791744" cy="133369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0</xdr:row>
      <xdr:rowOff>57150</xdr:rowOff>
    </xdr:from>
    <xdr:to>
      <xdr:col>10</xdr:col>
      <xdr:colOff>86097</xdr:colOff>
      <xdr:row>4</xdr:row>
      <xdr:rowOff>100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6577F9E-0B39-40D2-AD21-492DFFAFB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91225" y="57150"/>
          <a:ext cx="2667372" cy="714475"/>
        </a:xfrm>
        <a:prstGeom prst="rect">
          <a:avLst/>
        </a:prstGeom>
      </xdr:spPr>
    </xdr:pic>
    <xdr:clientData/>
  </xdr:twoCellAnchor>
  <xdr:twoCellAnchor editAs="oneCell">
    <xdr:from>
      <xdr:col>20</xdr:col>
      <xdr:colOff>733425</xdr:colOff>
      <xdr:row>11</xdr:row>
      <xdr:rowOff>85725</xdr:rowOff>
    </xdr:from>
    <xdr:to>
      <xdr:col>29</xdr:col>
      <xdr:colOff>420013</xdr:colOff>
      <xdr:row>23</xdr:row>
      <xdr:rowOff>95582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6339F8-AFC6-588F-8C45-4626049EF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25925" y="2200275"/>
          <a:ext cx="6544588" cy="2381582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27</xdr:row>
      <xdr:rowOff>0</xdr:rowOff>
    </xdr:from>
    <xdr:to>
      <xdr:col>21</xdr:col>
      <xdr:colOff>143634</xdr:colOff>
      <xdr:row>50</xdr:row>
      <xdr:rowOff>105408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129E6B1-046C-14E3-F7A1-EF2678E6A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15725" y="4895850"/>
          <a:ext cx="5439534" cy="4534533"/>
        </a:xfrm>
        <a:prstGeom prst="rect">
          <a:avLst/>
        </a:prstGeom>
      </xdr:spPr>
    </xdr:pic>
    <xdr:clientData/>
  </xdr:twoCellAnchor>
  <xdr:twoCellAnchor editAs="oneCell">
    <xdr:from>
      <xdr:col>5</xdr:col>
      <xdr:colOff>609600</xdr:colOff>
      <xdr:row>19</xdr:row>
      <xdr:rowOff>47625</xdr:rowOff>
    </xdr:from>
    <xdr:to>
      <xdr:col>12</xdr:col>
      <xdr:colOff>448397</xdr:colOff>
      <xdr:row>38</xdr:row>
      <xdr:rowOff>76740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8B8DC25-955B-04BA-4E3E-D3BBBB0A5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72125" y="3695700"/>
          <a:ext cx="5172797" cy="3867690"/>
        </a:xfrm>
        <a:prstGeom prst="rect">
          <a:avLst/>
        </a:prstGeom>
      </xdr:spPr>
    </xdr:pic>
    <xdr:clientData/>
  </xdr:twoCellAnchor>
  <xdr:twoCellAnchor editAs="oneCell">
    <xdr:from>
      <xdr:col>5</xdr:col>
      <xdr:colOff>590550</xdr:colOff>
      <xdr:row>4</xdr:row>
      <xdr:rowOff>152400</xdr:rowOff>
    </xdr:from>
    <xdr:to>
      <xdr:col>12</xdr:col>
      <xdr:colOff>644718</xdr:colOff>
      <xdr:row>19</xdr:row>
      <xdr:rowOff>133350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0F8FD2B-B783-4832-8445-81E567B0A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53075" y="914400"/>
          <a:ext cx="5388168" cy="2476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17</xdr:col>
      <xdr:colOff>68580</xdr:colOff>
      <xdr:row>20</xdr:row>
      <xdr:rowOff>160020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5C3E621-4CEC-643E-B3B9-AC23EBB8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3648075"/>
          <a:ext cx="830580" cy="5410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0</xdr:row>
      <xdr:rowOff>147636</xdr:rowOff>
    </xdr:from>
    <xdr:to>
      <xdr:col>13</xdr:col>
      <xdr:colOff>133350</xdr:colOff>
      <xdr:row>12</xdr:row>
      <xdr:rowOff>647699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E32873-45DA-FFCF-E6DC-51752492D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14</xdr:row>
      <xdr:rowOff>85725</xdr:rowOff>
    </xdr:from>
    <xdr:to>
      <xdr:col>13</xdr:col>
      <xdr:colOff>200025</xdr:colOff>
      <xdr:row>30</xdr:row>
      <xdr:rowOff>14288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B42A81F-46D4-49E3-8D42-91F606083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6</xdr:row>
      <xdr:rowOff>1</xdr:rowOff>
    </xdr:from>
    <xdr:to>
      <xdr:col>11</xdr:col>
      <xdr:colOff>114299</xdr:colOff>
      <xdr:row>14</xdr:row>
      <xdr:rowOff>3429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DA20E5-C9B7-E373-8FC9-9DC8F010D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571501"/>
          <a:ext cx="2714624" cy="152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104775</xdr:colOff>
      <xdr:row>19</xdr:row>
      <xdr:rowOff>57150</xdr:rowOff>
    </xdr:from>
    <xdr:to>
      <xdr:col>7</xdr:col>
      <xdr:colOff>66675</xdr:colOff>
      <xdr:row>26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7055E42-4C6E-3368-D9CD-A2E802C14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3105150"/>
          <a:ext cx="3009900" cy="130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638175</xdr:colOff>
      <xdr:row>6</xdr:row>
      <xdr:rowOff>152400</xdr:rowOff>
    </xdr:from>
    <xdr:to>
      <xdr:col>7</xdr:col>
      <xdr:colOff>352917</xdr:colOff>
      <xdr:row>16</xdr:row>
      <xdr:rowOff>171719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78BFB2-7CD6-C9C7-69D8-18CF163A2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2175" y="723900"/>
          <a:ext cx="3524742" cy="192431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28</xdr:row>
      <xdr:rowOff>57150</xdr:rowOff>
    </xdr:from>
    <xdr:to>
      <xdr:col>7</xdr:col>
      <xdr:colOff>57544</xdr:colOff>
      <xdr:row>38</xdr:row>
      <xdr:rowOff>152679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9754541-204E-3BB9-B580-AF3D881D7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0" y="4819650"/>
          <a:ext cx="2819794" cy="2000529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34</xdr:row>
      <xdr:rowOff>57150</xdr:rowOff>
    </xdr:from>
    <xdr:to>
      <xdr:col>11</xdr:col>
      <xdr:colOff>657595</xdr:colOff>
      <xdr:row>48</xdr:row>
      <xdr:rowOff>95628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AE8A0A0-D36F-C6A5-6CB6-503C26C93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91275" y="5962650"/>
          <a:ext cx="2648320" cy="2705478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609600</xdr:colOff>
      <xdr:row>14</xdr:row>
      <xdr:rowOff>171450</xdr:rowOff>
    </xdr:from>
    <xdr:to>
      <xdr:col>12</xdr:col>
      <xdr:colOff>190973</xdr:colOff>
      <xdr:row>31</xdr:row>
      <xdr:rowOff>114744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21BB8CF-FDBC-42AC-95C8-861D706E7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43600" y="2266950"/>
          <a:ext cx="3391373" cy="31817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723900</xdr:colOff>
      <xdr:row>1</xdr:row>
      <xdr:rowOff>142875</xdr:rowOff>
    </xdr:from>
    <xdr:to>
      <xdr:col>7</xdr:col>
      <xdr:colOff>448062</xdr:colOff>
      <xdr:row>9</xdr:row>
      <xdr:rowOff>66877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445170-8987-567E-13CA-36BD70672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900" y="333375"/>
          <a:ext cx="2772162" cy="1448002"/>
        </a:xfrm>
        <a:prstGeom prst="rect">
          <a:avLst/>
        </a:prstGeom>
      </xdr:spPr>
    </xdr:pic>
    <xdr:clientData/>
  </xdr:twoCellAnchor>
  <xdr:twoCellAnchor editAs="oneCell">
    <xdr:from>
      <xdr:col>7</xdr:col>
      <xdr:colOff>695324</xdr:colOff>
      <xdr:row>1</xdr:row>
      <xdr:rowOff>152400</xdr:rowOff>
    </xdr:from>
    <xdr:to>
      <xdr:col>11</xdr:col>
      <xdr:colOff>228599</xdr:colOff>
      <xdr:row>9</xdr:row>
      <xdr:rowOff>80798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B1C993-9185-7E8D-6EB0-16301D19A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4" y="342900"/>
          <a:ext cx="2581275" cy="1452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10</xdr:col>
      <xdr:colOff>29217</xdr:colOff>
      <xdr:row>20</xdr:row>
      <xdr:rowOff>124055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8C5635-5C64-783C-DD13-43261A71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286000"/>
          <a:ext cx="4601217" cy="164805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7</xdr:col>
      <xdr:colOff>133688</xdr:colOff>
      <xdr:row>34</xdr:row>
      <xdr:rowOff>133688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0DF166A-5E3A-0A8A-629C-E63B15853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4191000"/>
          <a:ext cx="2419688" cy="24196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228951</xdr:colOff>
      <xdr:row>48</xdr:row>
      <xdr:rowOff>28898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66A7165-2534-31D6-CEE0-9F5F9251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6858000"/>
          <a:ext cx="2514951" cy="2314898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22</xdr:row>
      <xdr:rowOff>0</xdr:rowOff>
    </xdr:from>
    <xdr:to>
      <xdr:col>11</xdr:col>
      <xdr:colOff>362342</xdr:colOff>
      <xdr:row>37</xdr:row>
      <xdr:rowOff>48030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DC40C8-9D5E-6E85-BDB2-D6E68F36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4075" y="4191000"/>
          <a:ext cx="2810267" cy="2905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1</xdr:row>
      <xdr:rowOff>38100</xdr:rowOff>
    </xdr:from>
    <xdr:to>
      <xdr:col>7</xdr:col>
      <xdr:colOff>467146</xdr:colOff>
      <xdr:row>9</xdr:row>
      <xdr:rowOff>181208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EDFC15-F10F-3CAC-E912-E834E661B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228600"/>
          <a:ext cx="3019846" cy="1667108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123824</xdr:colOff>
      <xdr:row>1</xdr:row>
      <xdr:rowOff>9524</xdr:rowOff>
    </xdr:from>
    <xdr:to>
      <xdr:col>12</xdr:col>
      <xdr:colOff>288051</xdr:colOff>
      <xdr:row>10</xdr:row>
      <xdr:rowOff>102437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CA9C55-721A-A588-F9D9-31666F00E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4" y="200024"/>
          <a:ext cx="3212227" cy="1807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657224</xdr:colOff>
      <xdr:row>12</xdr:row>
      <xdr:rowOff>95250</xdr:rowOff>
    </xdr:from>
    <xdr:to>
      <xdr:col>8</xdr:col>
      <xdr:colOff>98795</xdr:colOff>
      <xdr:row>19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10676A-AE63-1E0A-F768-C4F3AE543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4" y="2381250"/>
          <a:ext cx="3251571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7</xdr:col>
      <xdr:colOff>171793</xdr:colOff>
      <xdr:row>31</xdr:row>
      <xdr:rowOff>143108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228B3E-9767-403B-0C11-817E2146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4381500"/>
          <a:ext cx="2457793" cy="1667108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21</xdr:row>
      <xdr:rowOff>57150</xdr:rowOff>
    </xdr:from>
    <xdr:to>
      <xdr:col>11</xdr:col>
      <xdr:colOff>581385</xdr:colOff>
      <xdr:row>36</xdr:row>
      <xdr:rowOff>114707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07B08C-2647-9B86-10A1-72631C65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50" y="4057650"/>
          <a:ext cx="2581635" cy="2915057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33</xdr:row>
      <xdr:rowOff>180975</xdr:rowOff>
    </xdr:from>
    <xdr:to>
      <xdr:col>7</xdr:col>
      <xdr:colOff>390891</xdr:colOff>
      <xdr:row>47</xdr:row>
      <xdr:rowOff>67031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9BDDBF4-6043-5DD9-F1FD-C2E1675D0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5150" y="6467475"/>
          <a:ext cx="2619741" cy="25530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2</xdr:row>
      <xdr:rowOff>9525</xdr:rowOff>
    </xdr:from>
    <xdr:to>
      <xdr:col>10</xdr:col>
      <xdr:colOff>476250</xdr:colOff>
      <xdr:row>23</xdr:row>
      <xdr:rowOff>43772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EFA3E8-BAE2-3089-C894-39F02A51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390525"/>
          <a:ext cx="4714875" cy="4034747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0</xdr:row>
      <xdr:rowOff>161925</xdr:rowOff>
    </xdr:from>
    <xdr:to>
      <xdr:col>13</xdr:col>
      <xdr:colOff>706934</xdr:colOff>
      <xdr:row>24</xdr:row>
      <xdr:rowOff>162893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CE8636-FD52-0D9F-846B-D157A44CD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8250" y="161925"/>
          <a:ext cx="2430959" cy="4572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47"/>
  <sheetViews>
    <sheetView tabSelected="1" topLeftCell="D54" workbookViewId="0">
      <selection activeCell="B41" sqref="B41"/>
    </sheetView>
  </sheetViews>
  <sheetFormatPr baseColWidth="10" defaultColWidth="9.140625" defaultRowHeight="15" x14ac:dyDescent="0.25"/>
  <cols>
    <col min="1" max="1" width="9.140625" style="2"/>
    <col min="2" max="2" width="25" style="1" bestFit="1" customWidth="1"/>
    <col min="3" max="3" width="11.85546875" style="1" bestFit="1" customWidth="1"/>
    <col min="4" max="4" width="9.140625" style="1"/>
    <col min="5" max="5" width="13.85546875" bestFit="1" customWidth="1"/>
  </cols>
  <sheetData>
    <row r="1" spans="1:4" x14ac:dyDescent="0.25">
      <c r="A1" s="62" t="s">
        <v>4</v>
      </c>
      <c r="B1" s="63" t="s">
        <v>5</v>
      </c>
      <c r="C1" s="63" t="s">
        <v>6</v>
      </c>
      <c r="D1" s="63" t="s">
        <v>7</v>
      </c>
    </row>
    <row r="2" spans="1:4" x14ac:dyDescent="0.25">
      <c r="A2" s="13" t="s">
        <v>8</v>
      </c>
      <c r="B2" s="42" t="s">
        <v>0</v>
      </c>
      <c r="C2" s="42">
        <v>0.75</v>
      </c>
      <c r="D2" s="42" t="s">
        <v>1</v>
      </c>
    </row>
    <row r="3" spans="1:4" x14ac:dyDescent="0.25">
      <c r="A3" s="13"/>
      <c r="B3" s="42"/>
      <c r="C3" s="42">
        <f>C2*1000</f>
        <v>750</v>
      </c>
      <c r="D3" s="42" t="s">
        <v>14</v>
      </c>
    </row>
    <row r="4" spans="1:4" x14ac:dyDescent="0.25">
      <c r="A4" s="13" t="s">
        <v>9</v>
      </c>
      <c r="B4" s="42" t="s">
        <v>2</v>
      </c>
      <c r="C4" s="42">
        <v>90</v>
      </c>
      <c r="D4" s="42" t="s">
        <v>3</v>
      </c>
    </row>
    <row r="5" spans="1:4" x14ac:dyDescent="0.25">
      <c r="A5" s="13"/>
      <c r="B5" s="42"/>
      <c r="C5" s="60">
        <f>C4/60</f>
        <v>1.5</v>
      </c>
      <c r="D5" s="42" t="s">
        <v>13</v>
      </c>
    </row>
    <row r="6" spans="1:4" hidden="1" x14ac:dyDescent="0.25">
      <c r="A6" s="13"/>
      <c r="B6" s="42"/>
      <c r="C6" s="42"/>
      <c r="D6" s="42"/>
    </row>
    <row r="7" spans="1:4" hidden="1" x14ac:dyDescent="0.25">
      <c r="A7" s="13"/>
      <c r="B7" s="15" t="s">
        <v>15</v>
      </c>
      <c r="C7" s="42"/>
      <c r="D7" s="42"/>
    </row>
    <row r="8" spans="1:4" x14ac:dyDescent="0.25">
      <c r="A8" s="13" t="s">
        <v>10</v>
      </c>
      <c r="B8" s="42" t="s">
        <v>11</v>
      </c>
      <c r="C8" s="91">
        <f>C3/(2*PI()*C5)</f>
        <v>79.577471545947674</v>
      </c>
      <c r="D8" s="61" t="s">
        <v>12</v>
      </c>
    </row>
    <row r="10" spans="1:4" x14ac:dyDescent="0.25">
      <c r="A10" s="16"/>
      <c r="B10" s="17" t="s">
        <v>16</v>
      </c>
      <c r="C10" s="18"/>
      <c r="D10" s="19"/>
    </row>
    <row r="11" spans="1:4" x14ac:dyDescent="0.25">
      <c r="A11" s="14" t="s">
        <v>4</v>
      </c>
      <c r="B11" s="15" t="s">
        <v>5</v>
      </c>
      <c r="C11" s="15" t="s">
        <v>6</v>
      </c>
      <c r="D11" s="15" t="s">
        <v>7</v>
      </c>
    </row>
    <row r="12" spans="1:4" x14ac:dyDescent="0.25">
      <c r="A12" s="4" t="s">
        <v>21</v>
      </c>
      <c r="B12" s="5" t="s">
        <v>30</v>
      </c>
      <c r="C12" s="5">
        <v>308</v>
      </c>
      <c r="D12" s="6" t="s">
        <v>14</v>
      </c>
    </row>
    <row r="13" spans="1:4" x14ac:dyDescent="0.25">
      <c r="A13" s="7" t="s">
        <v>18</v>
      </c>
      <c r="B13" s="1" t="s">
        <v>41</v>
      </c>
      <c r="C13" s="1">
        <v>2.5</v>
      </c>
      <c r="D13" s="8" t="s">
        <v>42</v>
      </c>
    </row>
    <row r="14" spans="1:4" x14ac:dyDescent="0.25">
      <c r="A14" s="7" t="s">
        <v>19</v>
      </c>
      <c r="B14" s="1" t="s">
        <v>39</v>
      </c>
      <c r="C14" s="1">
        <v>2</v>
      </c>
      <c r="D14" s="8" t="s">
        <v>67</v>
      </c>
    </row>
    <row r="15" spans="1:4" x14ac:dyDescent="0.25">
      <c r="A15" s="9" t="s">
        <v>20</v>
      </c>
      <c r="B15" s="10" t="s">
        <v>40</v>
      </c>
      <c r="C15" s="10">
        <v>1</v>
      </c>
      <c r="D15" s="11" t="s">
        <v>42</v>
      </c>
    </row>
    <row r="16" spans="1:4" x14ac:dyDescent="0.25">
      <c r="A16" s="4" t="s">
        <v>31</v>
      </c>
      <c r="B16" s="5" t="s">
        <v>32</v>
      </c>
      <c r="C16" s="5">
        <v>0</v>
      </c>
      <c r="D16" s="6" t="s">
        <v>14</v>
      </c>
    </row>
    <row r="17" spans="1:4" x14ac:dyDescent="0.25">
      <c r="A17" s="7" t="s">
        <v>43</v>
      </c>
      <c r="B17" s="1" t="s">
        <v>44</v>
      </c>
      <c r="C17" s="1">
        <v>0</v>
      </c>
      <c r="D17" s="8" t="s">
        <v>42</v>
      </c>
    </row>
    <row r="18" spans="1:4" x14ac:dyDescent="0.25">
      <c r="A18" s="7" t="s">
        <v>45</v>
      </c>
      <c r="B18" s="1" t="s">
        <v>46</v>
      </c>
      <c r="C18" s="1">
        <v>0</v>
      </c>
      <c r="D18" s="8" t="s">
        <v>67</v>
      </c>
    </row>
    <row r="19" spans="1:4" x14ac:dyDescent="0.25">
      <c r="A19" s="9" t="s">
        <v>47</v>
      </c>
      <c r="B19" s="10" t="s">
        <v>48</v>
      </c>
      <c r="C19" s="10">
        <v>1.2</v>
      </c>
      <c r="D19" s="11" t="s">
        <v>42</v>
      </c>
    </row>
    <row r="20" spans="1:4" hidden="1" x14ac:dyDescent="0.25">
      <c r="A20" s="4" t="s">
        <v>49</v>
      </c>
      <c r="B20" s="5" t="s">
        <v>33</v>
      </c>
      <c r="C20" s="5">
        <v>0</v>
      </c>
      <c r="D20" s="6" t="s">
        <v>14</v>
      </c>
    </row>
    <row r="21" spans="1:4" hidden="1" x14ac:dyDescent="0.25">
      <c r="A21" s="7" t="s">
        <v>50</v>
      </c>
      <c r="B21" s="1" t="s">
        <v>51</v>
      </c>
      <c r="C21" s="1">
        <v>0</v>
      </c>
      <c r="D21" s="8" t="s">
        <v>42</v>
      </c>
    </row>
    <row r="22" spans="1:4" hidden="1" x14ac:dyDescent="0.25">
      <c r="A22" s="7" t="s">
        <v>52</v>
      </c>
      <c r="B22" s="1" t="s">
        <v>53</v>
      </c>
      <c r="C22" s="1">
        <v>0</v>
      </c>
      <c r="D22" s="8" t="s">
        <v>67</v>
      </c>
    </row>
    <row r="23" spans="1:4" hidden="1" x14ac:dyDescent="0.25">
      <c r="A23" s="9" t="s">
        <v>54</v>
      </c>
      <c r="B23" s="10" t="s">
        <v>55</v>
      </c>
      <c r="C23" s="10">
        <v>0.65</v>
      </c>
      <c r="D23" s="11" t="s">
        <v>42</v>
      </c>
    </row>
    <row r="24" spans="1:4" hidden="1" x14ac:dyDescent="0.25">
      <c r="A24" s="4" t="s">
        <v>56</v>
      </c>
      <c r="B24" s="5" t="s">
        <v>34</v>
      </c>
      <c r="C24" s="5">
        <v>0</v>
      </c>
      <c r="D24" s="6" t="s">
        <v>14</v>
      </c>
    </row>
    <row r="25" spans="1:4" hidden="1" x14ac:dyDescent="0.25">
      <c r="A25" s="7" t="s">
        <v>57</v>
      </c>
      <c r="B25" s="1" t="s">
        <v>58</v>
      </c>
      <c r="C25" s="1">
        <v>0</v>
      </c>
      <c r="D25" s="8" t="s">
        <v>42</v>
      </c>
    </row>
    <row r="26" spans="1:4" hidden="1" x14ac:dyDescent="0.25">
      <c r="A26" s="7" t="s">
        <v>59</v>
      </c>
      <c r="B26" s="1" t="s">
        <v>60</v>
      </c>
      <c r="C26" s="1">
        <f>G85</f>
        <v>2</v>
      </c>
      <c r="D26" s="8"/>
    </row>
    <row r="27" spans="1:4" hidden="1" x14ac:dyDescent="0.25">
      <c r="A27" s="9" t="s">
        <v>61</v>
      </c>
      <c r="B27" s="10" t="s">
        <v>62</v>
      </c>
      <c r="C27" s="10">
        <v>1</v>
      </c>
      <c r="D27" s="11" t="s">
        <v>42</v>
      </c>
    </row>
    <row r="28" spans="1:4" x14ac:dyDescent="0.25">
      <c r="A28" s="4" t="s">
        <v>17</v>
      </c>
      <c r="B28" s="5" t="s">
        <v>35</v>
      </c>
      <c r="C28" s="5">
        <f>(C12/(C$12+C$16+C$20+C$24))*$C$3</f>
        <v>750</v>
      </c>
      <c r="D28" s="6" t="s">
        <v>14</v>
      </c>
    </row>
    <row r="29" spans="1:4" x14ac:dyDescent="0.25">
      <c r="A29" s="7" t="s">
        <v>22</v>
      </c>
      <c r="B29" s="1" t="s">
        <v>36</v>
      </c>
      <c r="C29" s="1">
        <f>(C16/(C$12+C$16+C$20+C$24))*$C$3</f>
        <v>0</v>
      </c>
      <c r="D29" s="8" t="s">
        <v>14</v>
      </c>
    </row>
    <row r="30" spans="1:4" hidden="1" x14ac:dyDescent="0.25">
      <c r="A30" s="7" t="s">
        <v>23</v>
      </c>
      <c r="B30" s="1" t="s">
        <v>38</v>
      </c>
      <c r="C30" s="1">
        <f>(C20/(C$12+C$16+C$20+C$24))*$C$3</f>
        <v>0</v>
      </c>
      <c r="D30" s="8" t="s">
        <v>14</v>
      </c>
    </row>
    <row r="31" spans="1:4" hidden="1" x14ac:dyDescent="0.25">
      <c r="A31" s="9" t="s">
        <v>24</v>
      </c>
      <c r="B31" s="10" t="s">
        <v>37</v>
      </c>
      <c r="C31" s="10">
        <f>(C24/(C$12+C$16+C$20+C$24))*$C$3</f>
        <v>0</v>
      </c>
      <c r="D31" s="11" t="s">
        <v>14</v>
      </c>
    </row>
    <row r="32" spans="1:4" x14ac:dyDescent="0.25">
      <c r="A32" s="4" t="s">
        <v>25</v>
      </c>
      <c r="B32" s="5" t="s">
        <v>63</v>
      </c>
      <c r="C32" s="12">
        <f>0.048*C28*C13*C14/(C15*$C$5)</f>
        <v>120</v>
      </c>
      <c r="D32" s="6" t="s">
        <v>12</v>
      </c>
    </row>
    <row r="33" spans="1:4" ht="15.75" thickBot="1" x14ac:dyDescent="0.3">
      <c r="A33" s="7" t="s">
        <v>26</v>
      </c>
      <c r="B33" s="1" t="s">
        <v>64</v>
      </c>
      <c r="C33" s="3">
        <f>0.048*C29*C17*C18/(C19*$C$5)</f>
        <v>0</v>
      </c>
      <c r="D33" s="8" t="s">
        <v>12</v>
      </c>
    </row>
    <row r="34" spans="1:4" ht="15.75" hidden="1" thickBot="1" x14ac:dyDescent="0.3">
      <c r="A34" s="7" t="s">
        <v>27</v>
      </c>
      <c r="B34" s="1" t="s">
        <v>65</v>
      </c>
      <c r="C34" s="3">
        <f>0.048*C28*C21*C22/(C23*$C$5)</f>
        <v>0</v>
      </c>
      <c r="D34" s="8" t="s">
        <v>12</v>
      </c>
    </row>
    <row r="35" spans="1:4" ht="15.75" hidden="1" thickBot="1" x14ac:dyDescent="0.3">
      <c r="A35" s="7" t="s">
        <v>28</v>
      </c>
      <c r="B35" s="1" t="s">
        <v>66</v>
      </c>
      <c r="C35" s="3">
        <f>0.048*C31*C26*C25/(C27*$C$5)</f>
        <v>0</v>
      </c>
      <c r="D35" s="8" t="s">
        <v>12</v>
      </c>
    </row>
    <row r="36" spans="1:4" ht="15.75" thickBot="1" x14ac:dyDescent="0.3">
      <c r="A36" s="20" t="s">
        <v>29</v>
      </c>
      <c r="B36" s="21" t="s">
        <v>16</v>
      </c>
      <c r="C36" s="22">
        <f>SUM(C32:C35)</f>
        <v>120</v>
      </c>
      <c r="D36" s="23" t="s">
        <v>12</v>
      </c>
    </row>
    <row r="39" spans="1:4" x14ac:dyDescent="0.25">
      <c r="A39" s="79" t="s">
        <v>78</v>
      </c>
      <c r="B39" s="80"/>
      <c r="C39" s="80"/>
      <c r="D39" s="81"/>
    </row>
    <row r="40" spans="1:4" x14ac:dyDescent="0.25">
      <c r="A40" s="14" t="s">
        <v>4</v>
      </c>
      <c r="B40" s="15" t="s">
        <v>5</v>
      </c>
      <c r="C40" s="15" t="s">
        <v>6</v>
      </c>
      <c r="D40" s="15" t="s">
        <v>7</v>
      </c>
    </row>
    <row r="41" spans="1:4" x14ac:dyDescent="0.25">
      <c r="A41" s="4"/>
      <c r="B41" s="5" t="s">
        <v>71</v>
      </c>
      <c r="C41" s="5" t="s">
        <v>70</v>
      </c>
      <c r="D41" s="6"/>
    </row>
    <row r="42" spans="1:4" x14ac:dyDescent="0.25">
      <c r="A42" s="24" t="s">
        <v>73</v>
      </c>
      <c r="B42" s="1" t="s">
        <v>72</v>
      </c>
      <c r="C42" s="25">
        <f>41400000</f>
        <v>41400000</v>
      </c>
      <c r="D42" s="8" t="s">
        <v>74</v>
      </c>
    </row>
    <row r="43" spans="1:4" x14ac:dyDescent="0.25">
      <c r="A43" s="7" t="s">
        <v>75</v>
      </c>
      <c r="B43" s="1" t="s">
        <v>76</v>
      </c>
      <c r="C43" s="26">
        <f>C$8</f>
        <v>79.577471545947674</v>
      </c>
      <c r="D43" s="8" t="s">
        <v>12</v>
      </c>
    </row>
    <row r="44" spans="1:4" ht="15.75" thickBot="1" x14ac:dyDescent="0.3">
      <c r="A44" s="9" t="s">
        <v>29</v>
      </c>
      <c r="B44" s="10" t="s">
        <v>16</v>
      </c>
      <c r="C44" s="27">
        <f>C$36</f>
        <v>120</v>
      </c>
      <c r="D44" s="11" t="s">
        <v>12</v>
      </c>
    </row>
    <row r="45" spans="1:4" ht="15.75" thickBot="1" x14ac:dyDescent="0.3">
      <c r="A45" s="20" t="s">
        <v>68</v>
      </c>
      <c r="B45" s="21" t="s">
        <v>69</v>
      </c>
      <c r="C45" s="30">
        <f>POWER((16*POWER(C43^2+C44^2,1/2)/(PI()*C42)),1/3)</f>
        <v>2.6067464667738703E-2</v>
      </c>
      <c r="D45" s="23" t="s">
        <v>42</v>
      </c>
    </row>
    <row r="46" spans="1:4" ht="15.75" thickBot="1" x14ac:dyDescent="0.3">
      <c r="A46" s="20" t="s">
        <v>68</v>
      </c>
      <c r="B46" s="21" t="s">
        <v>69</v>
      </c>
      <c r="C46" s="29">
        <f>C45*1000/25.4</f>
        <v>1.0262781365251459</v>
      </c>
      <c r="D46" s="23" t="s">
        <v>77</v>
      </c>
    </row>
    <row r="50" spans="1:5" x14ac:dyDescent="0.25">
      <c r="A50" s="79" t="s">
        <v>79</v>
      </c>
      <c r="B50" s="80"/>
      <c r="C50" s="80"/>
      <c r="D50" s="81"/>
    </row>
    <row r="51" spans="1:5" x14ac:dyDescent="0.25">
      <c r="A51" s="14" t="s">
        <v>4</v>
      </c>
      <c r="B51" s="15" t="s">
        <v>5</v>
      </c>
      <c r="C51" s="15" t="s">
        <v>6</v>
      </c>
      <c r="D51" s="15" t="s">
        <v>7</v>
      </c>
    </row>
    <row r="52" spans="1:5" x14ac:dyDescent="0.25">
      <c r="A52" s="4"/>
      <c r="B52" s="5" t="s">
        <v>71</v>
      </c>
      <c r="C52" s="5" t="s">
        <v>70</v>
      </c>
      <c r="D52" s="6"/>
    </row>
    <row r="53" spans="1:5" x14ac:dyDescent="0.25">
      <c r="A53" s="24" t="s">
        <v>80</v>
      </c>
      <c r="B53" s="1" t="s">
        <v>81</v>
      </c>
      <c r="C53" s="25">
        <v>60000000</v>
      </c>
      <c r="D53" s="8" t="s">
        <v>74</v>
      </c>
    </row>
    <row r="54" spans="1:5" x14ac:dyDescent="0.25">
      <c r="A54" s="7" t="s">
        <v>75</v>
      </c>
      <c r="B54" s="1" t="s">
        <v>76</v>
      </c>
      <c r="C54" s="26">
        <f>C$8</f>
        <v>79.577471545947674</v>
      </c>
      <c r="D54" s="8" t="s">
        <v>12</v>
      </c>
    </row>
    <row r="55" spans="1:5" ht="15.75" thickBot="1" x14ac:dyDescent="0.3">
      <c r="A55" s="9" t="s">
        <v>29</v>
      </c>
      <c r="B55" s="10" t="s">
        <v>16</v>
      </c>
      <c r="C55" s="27">
        <f>C$36</f>
        <v>120</v>
      </c>
      <c r="D55" s="11" t="s">
        <v>12</v>
      </c>
    </row>
    <row r="56" spans="1:5" ht="15.75" thickBot="1" x14ac:dyDescent="0.3">
      <c r="A56" s="20" t="s">
        <v>68</v>
      </c>
      <c r="B56" s="21" t="s">
        <v>69</v>
      </c>
      <c r="C56" s="30">
        <f>POWER((16*(C55+POWER(C54^2+C55^2,1/2))/(PI()*C53)),1/3)</f>
        <v>2.8192552981071883E-2</v>
      </c>
      <c r="D56" s="23" t="s">
        <v>42</v>
      </c>
      <c r="E56">
        <f>C56*1000</f>
        <v>28.192552981071884</v>
      </c>
    </row>
    <row r="57" spans="1:5" ht="15.75" thickBot="1" x14ac:dyDescent="0.3">
      <c r="A57" s="20" t="s">
        <v>68</v>
      </c>
      <c r="B57" s="21" t="s">
        <v>69</v>
      </c>
      <c r="C57" s="29">
        <f>C56*1000/25.4</f>
        <v>1.1099430307508615</v>
      </c>
      <c r="D57" s="23" t="s">
        <v>77</v>
      </c>
    </row>
    <row r="61" spans="1:5" x14ac:dyDescent="0.25">
      <c r="B61" s="1" t="s">
        <v>82</v>
      </c>
      <c r="C61" s="1" t="s">
        <v>168</v>
      </c>
    </row>
    <row r="63" spans="1:5" x14ac:dyDescent="0.25">
      <c r="A63" s="79" t="s">
        <v>130</v>
      </c>
      <c r="B63" s="80"/>
      <c r="C63" s="80"/>
      <c r="D63" s="81"/>
    </row>
    <row r="64" spans="1:5" x14ac:dyDescent="0.25">
      <c r="A64" s="31" t="s">
        <v>4</v>
      </c>
      <c r="B64" s="32" t="s">
        <v>5</v>
      </c>
      <c r="C64" s="32" t="s">
        <v>6</v>
      </c>
      <c r="D64" s="32" t="s">
        <v>7</v>
      </c>
    </row>
    <row r="65" spans="1:5" x14ac:dyDescent="0.25">
      <c r="A65" s="4"/>
      <c r="B65" s="5" t="s">
        <v>71</v>
      </c>
      <c r="C65" s="5" t="s">
        <v>70</v>
      </c>
      <c r="D65" s="6"/>
    </row>
    <row r="66" spans="1:5" x14ac:dyDescent="0.25">
      <c r="A66" s="24" t="s">
        <v>73</v>
      </c>
      <c r="B66" s="1" t="s">
        <v>72</v>
      </c>
      <c r="C66" s="25">
        <f>41400000</f>
        <v>41400000</v>
      </c>
      <c r="D66" s="8" t="s">
        <v>74</v>
      </c>
    </row>
    <row r="67" spans="1:5" x14ac:dyDescent="0.25">
      <c r="A67" s="7" t="s">
        <v>75</v>
      </c>
      <c r="B67" s="1" t="s">
        <v>76</v>
      </c>
      <c r="C67" s="26">
        <f>C$8</f>
        <v>79.577471545947674</v>
      </c>
      <c r="D67" s="8" t="s">
        <v>12</v>
      </c>
    </row>
    <row r="68" spans="1:5" x14ac:dyDescent="0.25">
      <c r="A68" s="7" t="s">
        <v>29</v>
      </c>
      <c r="B68" s="1" t="s">
        <v>16</v>
      </c>
      <c r="C68" s="26">
        <f>C$36</f>
        <v>120</v>
      </c>
      <c r="D68" s="8" t="s">
        <v>12</v>
      </c>
    </row>
    <row r="69" spans="1:5" x14ac:dyDescent="0.25">
      <c r="A69" s="7" t="s">
        <v>87</v>
      </c>
      <c r="B69" s="1" t="s">
        <v>88</v>
      </c>
      <c r="C69" s="26">
        <v>3</v>
      </c>
      <c r="D69" s="8" t="s">
        <v>77</v>
      </c>
    </row>
    <row r="70" spans="1:5" x14ac:dyDescent="0.25">
      <c r="A70" s="7" t="s">
        <v>83</v>
      </c>
      <c r="B70" s="1" t="s">
        <v>85</v>
      </c>
      <c r="C70" s="36">
        <v>8.8900000000000007E-2</v>
      </c>
      <c r="D70" s="8" t="s">
        <v>42</v>
      </c>
      <c r="E70" t="s">
        <v>89</v>
      </c>
    </row>
    <row r="71" spans="1:5" x14ac:dyDescent="0.25">
      <c r="A71" s="9" t="s">
        <v>84</v>
      </c>
      <c r="B71" s="10" t="s">
        <v>86</v>
      </c>
      <c r="C71" s="37">
        <f>C70-(2*(5.76/1000))</f>
        <v>7.7380000000000004E-2</v>
      </c>
      <c r="D71" s="11" t="s">
        <v>42</v>
      </c>
      <c r="E71" t="s">
        <v>89</v>
      </c>
    </row>
    <row r="72" spans="1:5" ht="15.75" thickBot="1" x14ac:dyDescent="0.3">
      <c r="A72" s="24" t="s">
        <v>90</v>
      </c>
      <c r="B72" s="33" t="s">
        <v>91</v>
      </c>
      <c r="C72" s="38">
        <f>16*POWER(C67^2+C68^2,1/2)*C70/(PI()*(C70^4-C71^4))</f>
        <v>2450058.2136978772</v>
      </c>
      <c r="D72" s="34" t="s">
        <v>42</v>
      </c>
    </row>
    <row r="73" spans="1:5" ht="15.75" thickBot="1" x14ac:dyDescent="0.3">
      <c r="A73" s="20"/>
      <c r="B73" s="21" t="s">
        <v>92</v>
      </c>
      <c r="C73" s="30" t="str">
        <f>IF(C72&lt;C66,"SI","NO")</f>
        <v>SI</v>
      </c>
      <c r="D73" s="23"/>
    </row>
    <row r="77" spans="1:5" x14ac:dyDescent="0.25">
      <c r="A77" s="79" t="s">
        <v>131</v>
      </c>
      <c r="B77" s="80"/>
      <c r="C77" s="80"/>
      <c r="D77" s="81"/>
    </row>
    <row r="78" spans="1:5" x14ac:dyDescent="0.25">
      <c r="A78" s="14" t="s">
        <v>4</v>
      </c>
      <c r="B78" s="15" t="s">
        <v>5</v>
      </c>
      <c r="C78" s="15" t="s">
        <v>6</v>
      </c>
      <c r="D78" s="15" t="s">
        <v>7</v>
      </c>
    </row>
    <row r="79" spans="1:5" x14ac:dyDescent="0.25">
      <c r="A79" s="4"/>
      <c r="B79" s="5" t="s">
        <v>71</v>
      </c>
      <c r="C79" s="5" t="s">
        <v>70</v>
      </c>
      <c r="D79" s="6"/>
    </row>
    <row r="80" spans="1:5" x14ac:dyDescent="0.25">
      <c r="A80" s="24" t="s">
        <v>80</v>
      </c>
      <c r="B80" s="1" t="s">
        <v>81</v>
      </c>
      <c r="C80" s="25">
        <v>60000000</v>
      </c>
      <c r="D80" s="8" t="s">
        <v>74</v>
      </c>
    </row>
    <row r="81" spans="1:7" x14ac:dyDescent="0.25">
      <c r="A81" s="7" t="s">
        <v>75</v>
      </c>
      <c r="B81" s="1" t="s">
        <v>76</v>
      </c>
      <c r="C81" s="26">
        <f>C$8</f>
        <v>79.577471545947674</v>
      </c>
      <c r="D81" s="8" t="s">
        <v>12</v>
      </c>
    </row>
    <row r="82" spans="1:7" x14ac:dyDescent="0.25">
      <c r="A82" s="7" t="s">
        <v>29</v>
      </c>
      <c r="B82" s="1" t="s">
        <v>16</v>
      </c>
      <c r="C82" s="26">
        <f>C$36</f>
        <v>120</v>
      </c>
      <c r="D82" s="8" t="s">
        <v>12</v>
      </c>
    </row>
    <row r="83" spans="1:7" x14ac:dyDescent="0.25">
      <c r="A83" s="7" t="s">
        <v>87</v>
      </c>
      <c r="B83" s="1" t="s">
        <v>88</v>
      </c>
      <c r="C83" s="26">
        <v>3</v>
      </c>
      <c r="D83" s="8" t="s">
        <v>77</v>
      </c>
    </row>
    <row r="84" spans="1:7" x14ac:dyDescent="0.25">
      <c r="A84" s="7" t="s">
        <v>83</v>
      </c>
      <c r="B84" s="1" t="s">
        <v>85</v>
      </c>
      <c r="C84" s="36">
        <v>8.8900000000000007E-2</v>
      </c>
      <c r="D84" s="8" t="s">
        <v>42</v>
      </c>
    </row>
    <row r="85" spans="1:7" x14ac:dyDescent="0.25">
      <c r="A85" s="9" t="s">
        <v>84</v>
      </c>
      <c r="B85" s="10" t="s">
        <v>86</v>
      </c>
      <c r="C85" s="37">
        <f>C84-(2*(5.76/1000))</f>
        <v>7.7380000000000004E-2</v>
      </c>
      <c r="D85" s="11" t="s">
        <v>42</v>
      </c>
      <c r="F85" t="s">
        <v>95</v>
      </c>
      <c r="G85">
        <v>2</v>
      </c>
    </row>
    <row r="86" spans="1:7" ht="15.75" thickBot="1" x14ac:dyDescent="0.3">
      <c r="A86" s="24" t="s">
        <v>93</v>
      </c>
      <c r="B86" s="33" t="s">
        <v>94</v>
      </c>
      <c r="C86" s="38">
        <f>16*(C82+POWER(C81^2+C82^2,1/2))*C84/(PI()*(C84^4-C85^4))</f>
        <v>4491942.0797796734</v>
      </c>
      <c r="D86" s="34" t="s">
        <v>42</v>
      </c>
    </row>
    <row r="87" spans="1:7" ht="15.75" thickBot="1" x14ac:dyDescent="0.3">
      <c r="A87" s="20"/>
      <c r="B87" s="21" t="s">
        <v>92</v>
      </c>
      <c r="C87" s="30" t="str">
        <f>IF(C86&lt;C80,"SI","NO")</f>
        <v>SI</v>
      </c>
      <c r="D87" s="23"/>
    </row>
    <row r="92" spans="1:7" x14ac:dyDescent="0.25">
      <c r="B92" s="1" t="s">
        <v>82</v>
      </c>
      <c r="C92" s="1" t="s">
        <v>167</v>
      </c>
    </row>
    <row r="94" spans="1:7" x14ac:dyDescent="0.25">
      <c r="A94" s="79" t="s">
        <v>130</v>
      </c>
      <c r="B94" s="80"/>
      <c r="C94" s="80"/>
      <c r="D94" s="81"/>
    </row>
    <row r="95" spans="1:7" x14ac:dyDescent="0.25">
      <c r="A95" s="31" t="s">
        <v>4</v>
      </c>
      <c r="B95" s="32" t="s">
        <v>5</v>
      </c>
      <c r="C95" s="32" t="s">
        <v>6</v>
      </c>
      <c r="D95" s="32" t="s">
        <v>7</v>
      </c>
    </row>
    <row r="96" spans="1:7" x14ac:dyDescent="0.25">
      <c r="A96" s="4"/>
      <c r="B96" s="5" t="s">
        <v>71</v>
      </c>
      <c r="C96" s="5" t="s">
        <v>70</v>
      </c>
      <c r="D96" s="6"/>
    </row>
    <row r="97" spans="1:4" x14ac:dyDescent="0.25">
      <c r="A97" s="24" t="s">
        <v>73</v>
      </c>
      <c r="B97" s="1" t="s">
        <v>72</v>
      </c>
      <c r="C97" s="25">
        <f>41400000</f>
        <v>41400000</v>
      </c>
      <c r="D97" s="8" t="s">
        <v>74</v>
      </c>
    </row>
    <row r="98" spans="1:4" x14ac:dyDescent="0.25">
      <c r="A98" s="7" t="s">
        <v>75</v>
      </c>
      <c r="B98" s="1" t="s">
        <v>76</v>
      </c>
      <c r="C98" s="26">
        <f>C$8</f>
        <v>79.577471545947674</v>
      </c>
      <c r="D98" s="8" t="s">
        <v>12</v>
      </c>
    </row>
    <row r="99" spans="1:4" x14ac:dyDescent="0.25">
      <c r="A99" s="7" t="s">
        <v>29</v>
      </c>
      <c r="B99" s="1" t="s">
        <v>16</v>
      </c>
      <c r="C99" s="26">
        <f>C$36</f>
        <v>120</v>
      </c>
      <c r="D99" s="8" t="s">
        <v>12</v>
      </c>
    </row>
    <row r="100" spans="1:4" x14ac:dyDescent="0.25">
      <c r="A100" s="7" t="s">
        <v>87</v>
      </c>
      <c r="B100" s="1" t="s">
        <v>88</v>
      </c>
      <c r="C100" s="26">
        <v>4</v>
      </c>
      <c r="D100" s="8" t="s">
        <v>77</v>
      </c>
    </row>
    <row r="101" spans="1:4" x14ac:dyDescent="0.25">
      <c r="A101" s="7" t="s">
        <v>83</v>
      </c>
      <c r="B101" s="1" t="s">
        <v>85</v>
      </c>
      <c r="C101" s="36">
        <v>0.1143</v>
      </c>
      <c r="D101" s="8" t="s">
        <v>42</v>
      </c>
    </row>
    <row r="102" spans="1:4" x14ac:dyDescent="0.25">
      <c r="A102" s="9" t="s">
        <v>84</v>
      </c>
      <c r="B102" s="10" t="s">
        <v>86</v>
      </c>
      <c r="C102" s="37">
        <f>C101-(2*(6.02/1000))</f>
        <v>0.10226</v>
      </c>
      <c r="D102" s="11" t="s">
        <v>42</v>
      </c>
    </row>
    <row r="103" spans="1:4" ht="15.75" thickBot="1" x14ac:dyDescent="0.3">
      <c r="A103" s="24" t="s">
        <v>90</v>
      </c>
      <c r="B103" s="33" t="s">
        <v>91</v>
      </c>
      <c r="C103" s="38">
        <f>16*POWER(C98^2+C99^2,1/2)*C101/(PI()*(C101^4-C102^4))</f>
        <v>1366694.3738272502</v>
      </c>
      <c r="D103" s="34" t="s">
        <v>42</v>
      </c>
    </row>
    <row r="104" spans="1:4" ht="15.75" thickBot="1" x14ac:dyDescent="0.3">
      <c r="A104" s="20"/>
      <c r="B104" s="21" t="s">
        <v>92</v>
      </c>
      <c r="C104" s="30" t="str">
        <f>IF(C103&lt;C97,"SI","NO")</f>
        <v>SI</v>
      </c>
      <c r="D104" s="23"/>
    </row>
    <row r="108" spans="1:4" x14ac:dyDescent="0.25">
      <c r="A108" s="79" t="s">
        <v>131</v>
      </c>
      <c r="B108" s="80"/>
      <c r="C108" s="80"/>
      <c r="D108" s="81"/>
    </row>
    <row r="109" spans="1:4" x14ac:dyDescent="0.25">
      <c r="A109" s="14" t="s">
        <v>4</v>
      </c>
      <c r="B109" s="15" t="s">
        <v>5</v>
      </c>
      <c r="C109" s="15" t="s">
        <v>6</v>
      </c>
      <c r="D109" s="15" t="s">
        <v>7</v>
      </c>
    </row>
    <row r="110" spans="1:4" x14ac:dyDescent="0.25">
      <c r="A110" s="4"/>
      <c r="B110" s="5" t="s">
        <v>71</v>
      </c>
      <c r="C110" s="5" t="s">
        <v>70</v>
      </c>
      <c r="D110" s="6"/>
    </row>
    <row r="111" spans="1:4" x14ac:dyDescent="0.25">
      <c r="A111" s="24" t="s">
        <v>80</v>
      </c>
      <c r="B111" s="1" t="s">
        <v>81</v>
      </c>
      <c r="C111" s="25">
        <v>60000000</v>
      </c>
      <c r="D111" s="8" t="s">
        <v>74</v>
      </c>
    </row>
    <row r="112" spans="1:4" x14ac:dyDescent="0.25">
      <c r="A112" s="7" t="s">
        <v>75</v>
      </c>
      <c r="B112" s="1" t="s">
        <v>76</v>
      </c>
      <c r="C112" s="26">
        <f>C$8</f>
        <v>79.577471545947674</v>
      </c>
      <c r="D112" s="8" t="s">
        <v>12</v>
      </c>
    </row>
    <row r="113" spans="1:4" x14ac:dyDescent="0.25">
      <c r="A113" s="7" t="s">
        <v>29</v>
      </c>
      <c r="B113" s="1" t="s">
        <v>16</v>
      </c>
      <c r="C113" s="26">
        <f>C$36</f>
        <v>120</v>
      </c>
      <c r="D113" s="8" t="s">
        <v>12</v>
      </c>
    </row>
    <row r="114" spans="1:4" x14ac:dyDescent="0.25">
      <c r="A114" s="7" t="s">
        <v>87</v>
      </c>
      <c r="B114" s="1" t="s">
        <v>88</v>
      </c>
      <c r="C114" s="26">
        <v>4</v>
      </c>
      <c r="D114" s="8" t="s">
        <v>77</v>
      </c>
    </row>
    <row r="115" spans="1:4" x14ac:dyDescent="0.25">
      <c r="A115" s="7" t="s">
        <v>83</v>
      </c>
      <c r="B115" s="1" t="s">
        <v>85</v>
      </c>
      <c r="C115" s="36">
        <v>0.1143</v>
      </c>
      <c r="D115" s="8" t="s">
        <v>42</v>
      </c>
    </row>
    <row r="116" spans="1:4" x14ac:dyDescent="0.25">
      <c r="A116" s="9" t="s">
        <v>84</v>
      </c>
      <c r="B116" s="10" t="s">
        <v>86</v>
      </c>
      <c r="C116" s="37">
        <f>C115-(2*(6.02/1000))</f>
        <v>0.10226</v>
      </c>
      <c r="D116" s="11" t="s">
        <v>42</v>
      </c>
    </row>
    <row r="117" spans="1:4" ht="15.75" thickBot="1" x14ac:dyDescent="0.3">
      <c r="A117" s="24" t="s">
        <v>93</v>
      </c>
      <c r="B117" s="33" t="s">
        <v>94</v>
      </c>
      <c r="C117" s="38">
        <f>16*(C113+POWER(C112^2+C113^2,1/2))*C115/(PI()*(C115^4-C116^4))</f>
        <v>2505700.4497566544</v>
      </c>
      <c r="D117" s="34" t="s">
        <v>42</v>
      </c>
    </row>
    <row r="118" spans="1:4" ht="15.75" thickBot="1" x14ac:dyDescent="0.3">
      <c r="A118" s="20"/>
      <c r="B118" s="21" t="s">
        <v>92</v>
      </c>
      <c r="C118" s="30" t="str">
        <f>IF(C117&lt;C111,"SI","NO")</f>
        <v>SI</v>
      </c>
      <c r="D118" s="23"/>
    </row>
    <row r="121" spans="1:4" x14ac:dyDescent="0.25">
      <c r="B121" s="1" t="s">
        <v>82</v>
      </c>
      <c r="C121" s="1" t="s">
        <v>169</v>
      </c>
    </row>
    <row r="123" spans="1:4" x14ac:dyDescent="0.25">
      <c r="A123" s="79" t="s">
        <v>130</v>
      </c>
      <c r="B123" s="80"/>
      <c r="C123" s="80"/>
      <c r="D123" s="81"/>
    </row>
    <row r="124" spans="1:4" x14ac:dyDescent="0.25">
      <c r="A124" s="31" t="s">
        <v>4</v>
      </c>
      <c r="B124" s="32" t="s">
        <v>5</v>
      </c>
      <c r="C124" s="32" t="s">
        <v>6</v>
      </c>
      <c r="D124" s="32" t="s">
        <v>7</v>
      </c>
    </row>
    <row r="125" spans="1:4" x14ac:dyDescent="0.25">
      <c r="A125" s="4"/>
      <c r="B125" s="5" t="s">
        <v>71</v>
      </c>
      <c r="C125" s="5" t="s">
        <v>70</v>
      </c>
      <c r="D125" s="6"/>
    </row>
    <row r="126" spans="1:4" x14ac:dyDescent="0.25">
      <c r="A126" s="24" t="s">
        <v>73</v>
      </c>
      <c r="B126" s="1" t="s">
        <v>72</v>
      </c>
      <c r="C126" s="25">
        <f>41400000</f>
        <v>41400000</v>
      </c>
      <c r="D126" s="8" t="s">
        <v>74</v>
      </c>
    </row>
    <row r="127" spans="1:4" x14ac:dyDescent="0.25">
      <c r="A127" s="7" t="s">
        <v>75</v>
      </c>
      <c r="B127" s="1" t="s">
        <v>76</v>
      </c>
      <c r="C127" s="26">
        <f>C$8</f>
        <v>79.577471545947674</v>
      </c>
      <c r="D127" s="8" t="s">
        <v>12</v>
      </c>
    </row>
    <row r="128" spans="1:4" x14ac:dyDescent="0.25">
      <c r="A128" s="7" t="s">
        <v>29</v>
      </c>
      <c r="B128" s="1" t="s">
        <v>16</v>
      </c>
      <c r="C128" s="26">
        <f>C$36</f>
        <v>120</v>
      </c>
      <c r="D128" s="8" t="s">
        <v>12</v>
      </c>
    </row>
    <row r="129" spans="1:4" x14ac:dyDescent="0.25">
      <c r="A129" s="7" t="s">
        <v>87</v>
      </c>
      <c r="B129" s="1" t="s">
        <v>88</v>
      </c>
      <c r="C129" s="26">
        <v>2</v>
      </c>
      <c r="D129" s="8" t="s">
        <v>77</v>
      </c>
    </row>
    <row r="130" spans="1:4" x14ac:dyDescent="0.25">
      <c r="A130" s="7" t="s">
        <v>83</v>
      </c>
      <c r="B130" s="1" t="s">
        <v>85</v>
      </c>
      <c r="C130" s="36">
        <v>6.0330000000000002E-2</v>
      </c>
      <c r="D130" s="8" t="s">
        <v>42</v>
      </c>
    </row>
    <row r="131" spans="1:4" x14ac:dyDescent="0.25">
      <c r="A131" s="9" t="s">
        <v>84</v>
      </c>
      <c r="B131" s="10" t="s">
        <v>86</v>
      </c>
      <c r="C131" s="37">
        <f>C130-(2*(3.91/1000))</f>
        <v>5.2510000000000001E-2</v>
      </c>
      <c r="D131" s="11" t="s">
        <v>42</v>
      </c>
    </row>
    <row r="132" spans="1:4" ht="15.75" thickBot="1" x14ac:dyDescent="0.3">
      <c r="A132" s="24" t="s">
        <v>90</v>
      </c>
      <c r="B132" s="33" t="s">
        <v>91</v>
      </c>
      <c r="C132" s="38">
        <f>16*POWER(C127^2+C128^2,1/2)*C130/(PI()*(C130^4-C131^4))</f>
        <v>7837602.8841219712</v>
      </c>
      <c r="D132" s="34" t="s">
        <v>42</v>
      </c>
    </row>
    <row r="133" spans="1:4" ht="15.75" thickBot="1" x14ac:dyDescent="0.3">
      <c r="A133" s="20"/>
      <c r="B133" s="21" t="s">
        <v>92</v>
      </c>
      <c r="C133" s="30" t="str">
        <f>IF(C132&lt;C126,"SI","NO")</f>
        <v>SI</v>
      </c>
      <c r="D133" s="23"/>
    </row>
    <row r="137" spans="1:4" x14ac:dyDescent="0.25">
      <c r="A137" s="79" t="s">
        <v>131</v>
      </c>
      <c r="B137" s="80"/>
      <c r="C137" s="80"/>
      <c r="D137" s="81"/>
    </row>
    <row r="138" spans="1:4" x14ac:dyDescent="0.25">
      <c r="A138" s="14" t="s">
        <v>4</v>
      </c>
      <c r="B138" s="15" t="s">
        <v>5</v>
      </c>
      <c r="C138" s="15" t="s">
        <v>6</v>
      </c>
      <c r="D138" s="15" t="s">
        <v>7</v>
      </c>
    </row>
    <row r="139" spans="1:4" x14ac:dyDescent="0.25">
      <c r="A139" s="4"/>
      <c r="B139" s="5" t="s">
        <v>71</v>
      </c>
      <c r="C139" s="5" t="s">
        <v>70</v>
      </c>
      <c r="D139" s="6"/>
    </row>
    <row r="140" spans="1:4" x14ac:dyDescent="0.25">
      <c r="A140" s="24" t="s">
        <v>80</v>
      </c>
      <c r="B140" s="1" t="s">
        <v>81</v>
      </c>
      <c r="C140" s="25">
        <v>60000000</v>
      </c>
      <c r="D140" s="8" t="s">
        <v>74</v>
      </c>
    </row>
    <row r="141" spans="1:4" x14ac:dyDescent="0.25">
      <c r="A141" s="7" t="s">
        <v>75</v>
      </c>
      <c r="B141" s="1" t="s">
        <v>76</v>
      </c>
      <c r="C141" s="26">
        <f>C$8</f>
        <v>79.577471545947674</v>
      </c>
      <c r="D141" s="8" t="s">
        <v>12</v>
      </c>
    </row>
    <row r="142" spans="1:4" x14ac:dyDescent="0.25">
      <c r="A142" s="7" t="s">
        <v>29</v>
      </c>
      <c r="B142" s="1" t="s">
        <v>16</v>
      </c>
      <c r="C142" s="26">
        <f>C$36</f>
        <v>120</v>
      </c>
      <c r="D142" s="8" t="s">
        <v>12</v>
      </c>
    </row>
    <row r="143" spans="1:4" x14ac:dyDescent="0.25">
      <c r="A143" s="7" t="s">
        <v>87</v>
      </c>
      <c r="B143" s="1" t="s">
        <v>88</v>
      </c>
      <c r="C143" s="26">
        <v>2</v>
      </c>
      <c r="D143" s="8" t="s">
        <v>77</v>
      </c>
    </row>
    <row r="144" spans="1:4" x14ac:dyDescent="0.25">
      <c r="A144" s="7" t="s">
        <v>83</v>
      </c>
      <c r="B144" s="1" t="s">
        <v>85</v>
      </c>
      <c r="C144" s="36">
        <v>6.0330000000000002E-2</v>
      </c>
      <c r="D144" s="8" t="s">
        <v>42</v>
      </c>
    </row>
    <row r="145" spans="1:4" x14ac:dyDescent="0.25">
      <c r="A145" s="9" t="s">
        <v>84</v>
      </c>
      <c r="B145" s="10" t="s">
        <v>86</v>
      </c>
      <c r="C145" s="37">
        <f>C144-(2*(3.91/1000))</f>
        <v>5.2510000000000001E-2</v>
      </c>
      <c r="D145" s="11" t="s">
        <v>42</v>
      </c>
    </row>
    <row r="146" spans="1:4" ht="15.75" thickBot="1" x14ac:dyDescent="0.3">
      <c r="A146" s="24" t="s">
        <v>93</v>
      </c>
      <c r="B146" s="33" t="s">
        <v>94</v>
      </c>
      <c r="C146" s="38">
        <f>16*(C142+POWER(C141^2+C142^2,1/2))*C144/(PI()*(C144^4-C145^4))</f>
        <v>14369478.24462238</v>
      </c>
      <c r="D146" s="34" t="s">
        <v>42</v>
      </c>
    </row>
    <row r="147" spans="1:4" ht="15.75" thickBot="1" x14ac:dyDescent="0.3">
      <c r="A147" s="20"/>
      <c r="B147" s="21" t="s">
        <v>92</v>
      </c>
      <c r="C147" s="30" t="str">
        <f>IF(C146&lt;C140,"SI","NO")</f>
        <v>SI</v>
      </c>
      <c r="D147" s="23"/>
    </row>
  </sheetData>
  <mergeCells count="8">
    <mergeCell ref="A108:D108"/>
    <mergeCell ref="A123:D123"/>
    <mergeCell ref="A137:D137"/>
    <mergeCell ref="A39:D39"/>
    <mergeCell ref="A50:D50"/>
    <mergeCell ref="A63:D63"/>
    <mergeCell ref="A77:D77"/>
    <mergeCell ref="A94:D9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D0C2-12B7-45A9-8188-5BD268B86B2C}">
  <sheetPr codeName="Hoja2"/>
  <dimension ref="B2:E48"/>
  <sheetViews>
    <sheetView topLeftCell="A26" zoomScaleNormal="100" workbookViewId="0">
      <selection activeCell="H41" sqref="H41"/>
    </sheetView>
  </sheetViews>
  <sheetFormatPr baseColWidth="10" defaultRowHeight="15" x14ac:dyDescent="0.25"/>
  <cols>
    <col min="3" max="3" width="29.28515625" customWidth="1"/>
    <col min="4" max="4" width="11.5703125" bestFit="1" customWidth="1"/>
    <col min="5" max="5" width="10.7109375" customWidth="1"/>
  </cols>
  <sheetData>
    <row r="2" spans="2:5" ht="15.75" thickBot="1" x14ac:dyDescent="0.3"/>
    <row r="3" spans="2:5" x14ac:dyDescent="0.25">
      <c r="B3" s="82" t="s">
        <v>125</v>
      </c>
      <c r="C3" s="83"/>
      <c r="D3" s="83"/>
      <c r="E3" s="84"/>
    </row>
    <row r="4" spans="2:5" x14ac:dyDescent="0.25">
      <c r="B4" s="45" t="s">
        <v>126</v>
      </c>
      <c r="C4" s="15" t="s">
        <v>5</v>
      </c>
      <c r="D4" s="15" t="s">
        <v>6</v>
      </c>
      <c r="E4" s="46" t="s">
        <v>7</v>
      </c>
    </row>
    <row r="5" spans="2:5" x14ac:dyDescent="0.25">
      <c r="B5" s="47" t="s">
        <v>122</v>
      </c>
      <c r="C5" s="42" t="s">
        <v>96</v>
      </c>
      <c r="D5" s="42">
        <v>900</v>
      </c>
      <c r="E5" s="48" t="s">
        <v>97</v>
      </c>
    </row>
    <row r="6" spans="2:5" x14ac:dyDescent="0.25">
      <c r="B6" s="47" t="s">
        <v>123</v>
      </c>
      <c r="C6" s="42" t="s">
        <v>127</v>
      </c>
      <c r="D6" s="43">
        <v>1.2</v>
      </c>
      <c r="E6" s="48" t="s">
        <v>42</v>
      </c>
    </row>
    <row r="7" spans="2:5" x14ac:dyDescent="0.25">
      <c r="B7" s="49" t="s">
        <v>9</v>
      </c>
      <c r="C7" s="42" t="s">
        <v>102</v>
      </c>
      <c r="D7" s="43">
        <f>120/60</f>
        <v>2</v>
      </c>
      <c r="E7" s="48" t="s">
        <v>13</v>
      </c>
    </row>
    <row r="8" spans="2:5" x14ac:dyDescent="0.25">
      <c r="B8" s="50" t="s">
        <v>124</v>
      </c>
      <c r="C8" s="1" t="s">
        <v>104</v>
      </c>
      <c r="D8" s="44">
        <v>600</v>
      </c>
      <c r="E8" s="48" t="s">
        <v>105</v>
      </c>
    </row>
    <row r="9" spans="2:5" ht="15.75" thickBot="1" x14ac:dyDescent="0.3">
      <c r="B9" s="51"/>
      <c r="C9" s="1"/>
      <c r="D9" s="44">
        <f>D8/1000</f>
        <v>0.6</v>
      </c>
      <c r="E9" s="48" t="s">
        <v>108</v>
      </c>
    </row>
    <row r="10" spans="2:5" ht="15.75" hidden="1" thickBot="1" x14ac:dyDescent="0.3">
      <c r="B10" s="52"/>
      <c r="C10" s="10" t="s">
        <v>109</v>
      </c>
      <c r="D10" s="27">
        <f>PI()*D6*D7</f>
        <v>7.5398223686155035</v>
      </c>
      <c r="E10" s="53" t="s">
        <v>103</v>
      </c>
    </row>
    <row r="11" spans="2:5" ht="15.75" thickBot="1" x14ac:dyDescent="0.3">
      <c r="B11" s="20" t="s">
        <v>99</v>
      </c>
      <c r="C11" s="21" t="s">
        <v>98</v>
      </c>
      <c r="D11" s="41">
        <f>D7*D6*D6*D5/D9</f>
        <v>4320</v>
      </c>
      <c r="E11" s="23" t="s">
        <v>111</v>
      </c>
    </row>
    <row r="12" spans="2:5" ht="15.75" hidden="1" thickBot="1" x14ac:dyDescent="0.3">
      <c r="B12" s="20" t="s">
        <v>106</v>
      </c>
      <c r="C12" s="21" t="s">
        <v>107</v>
      </c>
      <c r="D12" s="22">
        <f>D5*D6*D10/D9</f>
        <v>13571.680263507906</v>
      </c>
      <c r="E12" s="23"/>
    </row>
    <row r="16" spans="2:5" x14ac:dyDescent="0.25">
      <c r="B16" s="79" t="s">
        <v>113</v>
      </c>
      <c r="C16" s="80"/>
      <c r="D16" s="80"/>
      <c r="E16" s="81"/>
    </row>
    <row r="17" spans="2:5" x14ac:dyDescent="0.25">
      <c r="B17" s="14" t="s">
        <v>4</v>
      </c>
      <c r="C17" s="32" t="s">
        <v>5</v>
      </c>
      <c r="D17" s="32" t="s">
        <v>6</v>
      </c>
      <c r="E17" s="32" t="s">
        <v>7</v>
      </c>
    </row>
    <row r="18" spans="2:5" x14ac:dyDescent="0.25">
      <c r="B18" s="4" t="s">
        <v>118</v>
      </c>
      <c r="C18" s="85" t="s">
        <v>117</v>
      </c>
      <c r="D18" s="5">
        <v>10.4</v>
      </c>
      <c r="E18" s="6" t="s">
        <v>1</v>
      </c>
    </row>
    <row r="19" spans="2:5" x14ac:dyDescent="0.25">
      <c r="B19" s="7"/>
      <c r="C19" s="86"/>
      <c r="D19" s="1">
        <f>1000*D18</f>
        <v>10400</v>
      </c>
      <c r="E19" s="8" t="s">
        <v>14</v>
      </c>
    </row>
    <row r="20" spans="2:5" ht="30" x14ac:dyDescent="0.25">
      <c r="B20" s="7"/>
      <c r="C20" s="40" t="s">
        <v>121</v>
      </c>
      <c r="D20" s="26">
        <f>D19/1.4</f>
        <v>7428.5714285714294</v>
      </c>
      <c r="E20" s="8" t="s">
        <v>14</v>
      </c>
    </row>
    <row r="21" spans="2:5" x14ac:dyDescent="0.25">
      <c r="B21" s="7"/>
      <c r="C21" s="40" t="s">
        <v>119</v>
      </c>
      <c r="D21" s="26">
        <f>D20/1.3</f>
        <v>5714.2857142857147</v>
      </c>
      <c r="E21" s="8" t="s">
        <v>14</v>
      </c>
    </row>
    <row r="22" spans="2:5" x14ac:dyDescent="0.25">
      <c r="B22" s="7" t="s">
        <v>115</v>
      </c>
      <c r="C22" s="39" t="s">
        <v>116</v>
      </c>
      <c r="D22" s="26">
        <v>2</v>
      </c>
      <c r="E22" s="8"/>
    </row>
    <row r="23" spans="2:5" x14ac:dyDescent="0.25">
      <c r="B23" s="7" t="s">
        <v>8</v>
      </c>
      <c r="C23" s="39" t="s">
        <v>120</v>
      </c>
      <c r="D23" s="3">
        <f>D21/D22</f>
        <v>2857.1428571428573</v>
      </c>
      <c r="E23" s="8" t="s">
        <v>14</v>
      </c>
    </row>
    <row r="24" spans="2:5" x14ac:dyDescent="0.25">
      <c r="B24" s="7"/>
      <c r="C24" s="39"/>
      <c r="D24" s="26"/>
      <c r="E24" s="8"/>
    </row>
    <row r="25" spans="2:5" x14ac:dyDescent="0.25">
      <c r="B25" s="7"/>
      <c r="C25" s="39" t="s">
        <v>101</v>
      </c>
      <c r="D25" s="35">
        <v>1.2</v>
      </c>
      <c r="E25" s="8" t="s">
        <v>42</v>
      </c>
    </row>
    <row r="26" spans="2:5" x14ac:dyDescent="0.25">
      <c r="B26" s="24"/>
      <c r="C26" s="39" t="s">
        <v>96</v>
      </c>
      <c r="D26" s="1">
        <v>900</v>
      </c>
      <c r="E26" s="8" t="s">
        <v>97</v>
      </c>
    </row>
    <row r="27" spans="2:5" ht="15.75" thickBot="1" x14ac:dyDescent="0.3">
      <c r="B27" s="7"/>
      <c r="C27" s="39" t="s">
        <v>102</v>
      </c>
      <c r="D27" s="35">
        <v>2</v>
      </c>
      <c r="E27" s="8" t="s">
        <v>13</v>
      </c>
    </row>
    <row r="28" spans="2:5" ht="15.75" thickBot="1" x14ac:dyDescent="0.3">
      <c r="B28" s="20" t="s">
        <v>114</v>
      </c>
      <c r="C28" s="21" t="s">
        <v>110</v>
      </c>
      <c r="D28" s="29">
        <f>D23/(D26*D27^3*D25^5)</f>
        <v>0.15947522699065911</v>
      </c>
      <c r="E28" s="23" t="s">
        <v>100</v>
      </c>
    </row>
    <row r="30" spans="2:5" x14ac:dyDescent="0.25">
      <c r="D30">
        <v>2.31</v>
      </c>
    </row>
    <row r="33" spans="2:5" ht="15.75" thickBot="1" x14ac:dyDescent="0.3"/>
    <row r="34" spans="2:5" x14ac:dyDescent="0.25">
      <c r="B34" s="82" t="s">
        <v>129</v>
      </c>
      <c r="C34" s="83"/>
      <c r="D34" s="83"/>
      <c r="E34" s="84"/>
    </row>
    <row r="35" spans="2:5" x14ac:dyDescent="0.25">
      <c r="B35" s="45" t="s">
        <v>126</v>
      </c>
      <c r="C35" s="32" t="s">
        <v>5</v>
      </c>
      <c r="D35" s="32" t="s">
        <v>6</v>
      </c>
      <c r="E35" s="54" t="s">
        <v>7</v>
      </c>
    </row>
    <row r="36" spans="2:5" x14ac:dyDescent="0.25">
      <c r="B36" s="49" t="s">
        <v>128</v>
      </c>
      <c r="C36" s="42" t="s">
        <v>110</v>
      </c>
      <c r="D36" s="42">
        <v>0.16</v>
      </c>
      <c r="E36" s="48" t="s">
        <v>111</v>
      </c>
    </row>
    <row r="37" spans="2:5" x14ac:dyDescent="0.25">
      <c r="B37" s="49" t="s">
        <v>123</v>
      </c>
      <c r="C37" s="42" t="s">
        <v>127</v>
      </c>
      <c r="D37" s="43">
        <v>1.2</v>
      </c>
      <c r="E37" s="48" t="s">
        <v>42</v>
      </c>
    </row>
    <row r="38" spans="2:5" x14ac:dyDescent="0.25">
      <c r="B38" s="49" t="s">
        <v>122</v>
      </c>
      <c r="C38" s="42" t="s">
        <v>96</v>
      </c>
      <c r="D38" s="42">
        <v>900</v>
      </c>
      <c r="E38" s="48" t="s">
        <v>97</v>
      </c>
    </row>
    <row r="39" spans="2:5" ht="15.75" thickBot="1" x14ac:dyDescent="0.3">
      <c r="B39" s="55" t="s">
        <v>9</v>
      </c>
      <c r="C39" s="56" t="s">
        <v>102</v>
      </c>
      <c r="D39" s="57">
        <v>2</v>
      </c>
      <c r="E39" s="58" t="s">
        <v>13</v>
      </c>
    </row>
    <row r="40" spans="2:5" ht="15.75" thickBot="1" x14ac:dyDescent="0.3">
      <c r="B40" s="87" t="s">
        <v>8</v>
      </c>
      <c r="C40" s="89" t="s">
        <v>112</v>
      </c>
      <c r="D40" s="28">
        <f>D36*D38*D39^3*D37^5</f>
        <v>2866.5446400000001</v>
      </c>
      <c r="E40" s="23" t="s">
        <v>14</v>
      </c>
    </row>
    <row r="41" spans="2:5" ht="15.75" thickBot="1" x14ac:dyDescent="0.3">
      <c r="B41" s="88"/>
      <c r="C41" s="90"/>
      <c r="D41" s="29">
        <f>D40/1000</f>
        <v>2.8665446399999999</v>
      </c>
      <c r="E41" s="23" t="s">
        <v>1</v>
      </c>
    </row>
    <row r="44" spans="2:5" x14ac:dyDescent="0.25">
      <c r="D44" s="59"/>
    </row>
    <row r="45" spans="2:5" x14ac:dyDescent="0.25">
      <c r="D45" s="59"/>
    </row>
    <row r="46" spans="2:5" x14ac:dyDescent="0.25">
      <c r="D46" s="59">
        <f>D41*2</f>
        <v>5.7330892799999997</v>
      </c>
    </row>
    <row r="47" spans="2:5" x14ac:dyDescent="0.25">
      <c r="D47">
        <f>D46*1.4</f>
        <v>8.0263249919999993</v>
      </c>
    </row>
    <row r="48" spans="2:5" x14ac:dyDescent="0.25">
      <c r="D48">
        <f>D47*1.3</f>
        <v>10.4342224896</v>
      </c>
    </row>
  </sheetData>
  <mergeCells count="6">
    <mergeCell ref="B3:E3"/>
    <mergeCell ref="B16:E16"/>
    <mergeCell ref="B34:E34"/>
    <mergeCell ref="C18:C19"/>
    <mergeCell ref="B40:B41"/>
    <mergeCell ref="C40:C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979A-07B2-45B3-8CA2-4AEB5945CD73}">
  <sheetPr codeName="Hoja3"/>
  <dimension ref="B2:E19"/>
  <sheetViews>
    <sheetView workbookViewId="0">
      <selection activeCell="O10" sqref="O10"/>
    </sheetView>
  </sheetViews>
  <sheetFormatPr baseColWidth="10" defaultRowHeight="15" x14ac:dyDescent="0.25"/>
  <cols>
    <col min="2" max="2" width="13" style="1" customWidth="1"/>
    <col min="3" max="3" width="13.5703125" style="1" customWidth="1"/>
    <col min="4" max="4" width="13" style="1" customWidth="1"/>
    <col min="5" max="5" width="11.42578125" style="1" customWidth="1"/>
  </cols>
  <sheetData>
    <row r="2" spans="2:5" ht="30" x14ac:dyDescent="0.25">
      <c r="B2" s="67" t="s">
        <v>132</v>
      </c>
      <c r="C2" s="67" t="s">
        <v>133</v>
      </c>
      <c r="D2" s="67" t="s">
        <v>135</v>
      </c>
      <c r="E2" s="67" t="s">
        <v>134</v>
      </c>
    </row>
    <row r="3" spans="2:5" x14ac:dyDescent="0.25">
      <c r="B3" s="42">
        <v>60</v>
      </c>
      <c r="C3" s="42">
        <v>120</v>
      </c>
      <c r="D3" s="42">
        <v>11</v>
      </c>
      <c r="E3" s="44">
        <f>('Vel vs Torque'!D3*1000)/(2*PI()*('Vel vs Torque'!C3/60))</f>
        <v>875.35218700542441</v>
      </c>
    </row>
    <row r="4" spans="2:5" x14ac:dyDescent="0.25">
      <c r="B4" s="42">
        <v>50</v>
      </c>
      <c r="C4" s="42">
        <f>($C$3/$B$3)*B4</f>
        <v>100</v>
      </c>
      <c r="D4" s="42">
        <v>11</v>
      </c>
      <c r="E4" s="44">
        <f>('Vel vs Torque'!D4*1000)/(2*PI()*('Vel vs Torque'!C4/60))</f>
        <v>1050.4226244065092</v>
      </c>
    </row>
    <row r="5" spans="2:5" x14ac:dyDescent="0.25">
      <c r="B5" s="42">
        <v>40</v>
      </c>
      <c r="C5" s="42">
        <f t="shared" ref="C5:C8" si="0">($C$3/$B$3)*B5</f>
        <v>80</v>
      </c>
      <c r="D5" s="42">
        <v>11</v>
      </c>
      <c r="E5" s="44">
        <f>('Vel vs Torque'!D5*1000)/(2*PI()*('Vel vs Torque'!C5/60))</f>
        <v>1313.0282805081367</v>
      </c>
    </row>
    <row r="6" spans="2:5" x14ac:dyDescent="0.25">
      <c r="B6" s="42">
        <v>30</v>
      </c>
      <c r="C6" s="42">
        <f t="shared" si="0"/>
        <v>60</v>
      </c>
      <c r="D6" s="42">
        <v>11</v>
      </c>
      <c r="E6" s="44">
        <f>('Vel vs Torque'!D6*1000)/(2*PI()*('Vel vs Torque'!C6/60))</f>
        <v>1750.7043740108488</v>
      </c>
    </row>
    <row r="7" spans="2:5" x14ac:dyDescent="0.25">
      <c r="B7" s="42">
        <v>20</v>
      </c>
      <c r="C7" s="42">
        <f t="shared" si="0"/>
        <v>40</v>
      </c>
      <c r="D7" s="42">
        <v>11</v>
      </c>
      <c r="E7" s="44">
        <f>('Vel vs Torque'!D7*1000)/(2*PI()*('Vel vs Torque'!C7/60))</f>
        <v>2626.0565610162735</v>
      </c>
    </row>
    <row r="8" spans="2:5" x14ac:dyDescent="0.25">
      <c r="B8" s="42">
        <v>15</v>
      </c>
      <c r="C8" s="42">
        <f t="shared" si="0"/>
        <v>30</v>
      </c>
      <c r="D8" s="42">
        <v>11</v>
      </c>
      <c r="E8" s="44">
        <f>('Vel vs Torque'!D8*1000)/(2*PI()*('Vel vs Torque'!C8/60))</f>
        <v>3501.4087480216976</v>
      </c>
    </row>
    <row r="13" spans="2:5" ht="60" x14ac:dyDescent="0.25">
      <c r="B13" s="67" t="s">
        <v>132</v>
      </c>
      <c r="C13" s="67" t="s">
        <v>133</v>
      </c>
      <c r="D13" s="67" t="s">
        <v>136</v>
      </c>
      <c r="E13" s="67" t="s">
        <v>134</v>
      </c>
    </row>
    <row r="14" spans="2:5" x14ac:dyDescent="0.25">
      <c r="B14" s="42">
        <v>60</v>
      </c>
      <c r="C14" s="42">
        <v>120</v>
      </c>
      <c r="D14" s="60">
        <f>10.4/1.3</f>
        <v>8</v>
      </c>
      <c r="E14" s="44">
        <f>('Vel vs Torque'!D14*1000)/(2*PI()*('Vel vs Torque'!C14/60))</f>
        <v>636.61977236758139</v>
      </c>
    </row>
    <row r="15" spans="2:5" x14ac:dyDescent="0.25">
      <c r="B15" s="42">
        <v>50</v>
      </c>
      <c r="C15" s="42">
        <f>($C$3/$B$3)*B15</f>
        <v>100</v>
      </c>
      <c r="D15" s="60">
        <f>6.02/1.3</f>
        <v>4.6307692307692303</v>
      </c>
      <c r="E15" s="44">
        <f>('Vel vs Torque'!D15*1000)/(2*PI()*('Vel vs Torque'!C15/60))</f>
        <v>442.2058880368661</v>
      </c>
    </row>
    <row r="16" spans="2:5" x14ac:dyDescent="0.25">
      <c r="B16" s="42">
        <v>40</v>
      </c>
      <c r="C16" s="42">
        <f t="shared" ref="C16:C19" si="1">($C$3/$B$3)*B16</f>
        <v>80</v>
      </c>
      <c r="D16" s="60">
        <f>3.08/1.2</f>
        <v>2.5666666666666669</v>
      </c>
      <c r="E16" s="44">
        <f>('Vel vs Torque'!D16*1000)/(2*PI()*('Vel vs Torque'!C16/60))</f>
        <v>306.37326545189859</v>
      </c>
    </row>
    <row r="17" spans="2:5" x14ac:dyDescent="0.25">
      <c r="B17" s="42">
        <v>30</v>
      </c>
      <c r="C17" s="42">
        <f t="shared" si="1"/>
        <v>60</v>
      </c>
      <c r="D17" s="60">
        <f>1.3/1.2</f>
        <v>1.0833333333333335</v>
      </c>
      <c r="E17" s="44">
        <f>('Vel vs Torque'!D17*1000)/(2*PI()*('Vel vs Torque'!C17/60))</f>
        <v>172.41785501621999</v>
      </c>
    </row>
    <row r="18" spans="2:5" x14ac:dyDescent="0.25">
      <c r="B18" s="42">
        <v>20</v>
      </c>
      <c r="C18" s="42">
        <f t="shared" si="1"/>
        <v>40</v>
      </c>
      <c r="D18" s="42">
        <f>0.39/1.3</f>
        <v>0.3</v>
      </c>
      <c r="E18" s="44">
        <f>('Vel vs Torque'!D18*1000)/(2*PI()*('Vel vs Torque'!C18/60))</f>
        <v>71.619724391352904</v>
      </c>
    </row>
    <row r="19" spans="2:5" x14ac:dyDescent="0.25">
      <c r="B19" s="42">
        <v>15</v>
      </c>
      <c r="C19" s="42">
        <f t="shared" si="1"/>
        <v>30</v>
      </c>
      <c r="D19" s="43">
        <f>0.16/1.3</f>
        <v>0.12307692307692307</v>
      </c>
      <c r="E19" s="44">
        <f>('Vel vs Torque'!D19*1000)/(2*PI()*('Vel vs Torque'!C19/60))</f>
        <v>39.176601376466543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37C9-0B10-4DEF-81F4-3918F7AB7554}">
  <sheetPr codeName="Hoja4"/>
  <dimension ref="A3:D17"/>
  <sheetViews>
    <sheetView topLeftCell="A4" workbookViewId="0">
      <selection activeCell="B9" sqref="B9"/>
    </sheetView>
  </sheetViews>
  <sheetFormatPr baseColWidth="10" defaultRowHeight="15" x14ac:dyDescent="0.25"/>
  <sheetData>
    <row r="3" spans="1:4" x14ac:dyDescent="0.25">
      <c r="A3" t="s">
        <v>138</v>
      </c>
      <c r="B3" s="68">
        <v>3000</v>
      </c>
      <c r="D3" s="65"/>
    </row>
    <row r="4" spans="1:4" x14ac:dyDescent="0.25">
      <c r="A4" t="s">
        <v>142</v>
      </c>
      <c r="B4" s="68">
        <v>10</v>
      </c>
    </row>
    <row r="5" spans="1:4" x14ac:dyDescent="0.25">
      <c r="A5" t="s">
        <v>145</v>
      </c>
      <c r="B5" s="68">
        <v>7</v>
      </c>
    </row>
    <row r="6" spans="1:4" x14ac:dyDescent="0.25">
      <c r="A6" t="s">
        <v>141</v>
      </c>
      <c r="B6">
        <f>B3-(2*B4)</f>
        <v>2980</v>
      </c>
    </row>
    <row r="7" spans="1:4" x14ac:dyDescent="0.25">
      <c r="A7" t="s">
        <v>137</v>
      </c>
      <c r="B7">
        <f>B3</f>
        <v>3000</v>
      </c>
    </row>
    <row r="8" spans="1:4" x14ac:dyDescent="0.25">
      <c r="A8" t="s">
        <v>139</v>
      </c>
      <c r="B8">
        <f>0.06*B3</f>
        <v>180</v>
      </c>
    </row>
    <row r="9" spans="1:4" x14ac:dyDescent="0.25">
      <c r="A9" t="s">
        <v>140</v>
      </c>
      <c r="B9" s="65">
        <f>B7-SQRT(POWER(B7-B8,2)-POWER(B6/2-B8,2))</f>
        <v>502.74150316792384</v>
      </c>
    </row>
    <row r="10" spans="1:4" x14ac:dyDescent="0.25">
      <c r="A10" t="s">
        <v>143</v>
      </c>
      <c r="B10" s="65">
        <f>B9+B4+B5</f>
        <v>519.74150316792384</v>
      </c>
    </row>
    <row r="11" spans="1:4" x14ac:dyDescent="0.25">
      <c r="A11" t="s">
        <v>144</v>
      </c>
      <c r="B11" s="66">
        <f>POWER((B6/25.4),3)*0.0013</f>
        <v>2099.3797058460264</v>
      </c>
    </row>
    <row r="15" spans="1:4" x14ac:dyDescent="0.25">
      <c r="A15" t="s">
        <v>146</v>
      </c>
      <c r="B15">
        <f>(B6*B6*PI()*B9/4)/1000000000</f>
        <v>3.5064459497769276</v>
      </c>
      <c r="C15" t="s">
        <v>147</v>
      </c>
    </row>
    <row r="16" spans="1:4" x14ac:dyDescent="0.25">
      <c r="B16">
        <f>B15*1000</f>
        <v>3506.4459497769276</v>
      </c>
      <c r="C16" t="s">
        <v>148</v>
      </c>
    </row>
    <row r="17" spans="2:2" x14ac:dyDescent="0.25">
      <c r="B17" s="69">
        <f>B11/B16</f>
        <v>0.59872011030986638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A32C-C971-4FB4-BC34-6459045A36DF}">
  <sheetPr codeName="Hoja5"/>
  <dimension ref="A3:C17"/>
  <sheetViews>
    <sheetView workbookViewId="0">
      <selection activeCell="B9" sqref="B9"/>
    </sheetView>
  </sheetViews>
  <sheetFormatPr baseColWidth="10" defaultRowHeight="15" x14ac:dyDescent="0.25"/>
  <cols>
    <col min="2" max="2" width="12.5703125" bestFit="1" customWidth="1"/>
  </cols>
  <sheetData>
    <row r="3" spans="1:3" x14ac:dyDescent="0.25">
      <c r="A3" t="s">
        <v>138</v>
      </c>
      <c r="B3" s="68">
        <v>3000</v>
      </c>
    </row>
    <row r="4" spans="1:3" x14ac:dyDescent="0.25">
      <c r="A4" t="s">
        <v>142</v>
      </c>
      <c r="B4" s="68">
        <v>10</v>
      </c>
    </row>
    <row r="5" spans="1:3" x14ac:dyDescent="0.25">
      <c r="A5" t="s">
        <v>145</v>
      </c>
      <c r="B5" s="70">
        <f>3.5*B4</f>
        <v>35</v>
      </c>
    </row>
    <row r="6" spans="1:3" x14ac:dyDescent="0.25">
      <c r="A6" t="s">
        <v>141</v>
      </c>
      <c r="B6">
        <f>B3-(2*B4)</f>
        <v>2980</v>
      </c>
    </row>
    <row r="7" spans="1:3" x14ac:dyDescent="0.25">
      <c r="A7" t="s">
        <v>137</v>
      </c>
      <c r="B7">
        <f>B3</f>
        <v>3000</v>
      </c>
    </row>
    <row r="8" spans="1:3" x14ac:dyDescent="0.25">
      <c r="A8" t="s">
        <v>139</v>
      </c>
      <c r="B8">
        <f>B3/10</f>
        <v>300</v>
      </c>
    </row>
    <row r="9" spans="1:3" x14ac:dyDescent="0.25">
      <c r="A9" t="s">
        <v>140</v>
      </c>
      <c r="B9" s="65">
        <f>0.1935*B3-0.455*B4</f>
        <v>575.95000000000005</v>
      </c>
      <c r="C9">
        <v>576</v>
      </c>
    </row>
    <row r="10" spans="1:3" x14ac:dyDescent="0.25">
      <c r="A10" t="s">
        <v>143</v>
      </c>
      <c r="B10" s="65">
        <f>B9+B4+B5</f>
        <v>620.95000000000005</v>
      </c>
    </row>
    <row r="11" spans="1:3" x14ac:dyDescent="0.25">
      <c r="A11" t="s">
        <v>144</v>
      </c>
      <c r="B11" s="64">
        <f>POWER(B6/1000,3)*0.1</f>
        <v>2.6463592</v>
      </c>
      <c r="C11" t="s">
        <v>147</v>
      </c>
    </row>
    <row r="12" spans="1:3" x14ac:dyDescent="0.25">
      <c r="A12" t="s">
        <v>144</v>
      </c>
      <c r="B12" s="64">
        <f>B11*1000</f>
        <v>2646.3591999999999</v>
      </c>
      <c r="C12" t="s">
        <v>148</v>
      </c>
    </row>
    <row r="15" spans="1:3" x14ac:dyDescent="0.25">
      <c r="A15" t="s">
        <v>146</v>
      </c>
      <c r="B15">
        <f>(B6*B6*PI()*B9/4)/1000000000</f>
        <v>4.0170495812426754</v>
      </c>
    </row>
    <row r="16" spans="1:3" x14ac:dyDescent="0.25">
      <c r="B16">
        <f>B15*1000</f>
        <v>4017.0495812426752</v>
      </c>
    </row>
    <row r="17" spans="2:2" x14ac:dyDescent="0.25">
      <c r="B17" s="69">
        <f>B12/B16</f>
        <v>0.65878181149592585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8EF0-8723-49C3-BBAC-E3B68835D011}">
  <sheetPr codeName="Hoja6"/>
  <dimension ref="A3:C17"/>
  <sheetViews>
    <sheetView workbookViewId="0">
      <selection activeCell="P16" sqref="G15:P16"/>
    </sheetView>
  </sheetViews>
  <sheetFormatPr baseColWidth="10" defaultRowHeight="15" x14ac:dyDescent="0.25"/>
  <cols>
    <col min="2" max="2" width="17.42578125" customWidth="1"/>
  </cols>
  <sheetData>
    <row r="3" spans="1:3" x14ac:dyDescent="0.25">
      <c r="A3" t="s">
        <v>138</v>
      </c>
      <c r="B3" s="68">
        <v>3000</v>
      </c>
    </row>
    <row r="4" spans="1:3" x14ac:dyDescent="0.25">
      <c r="A4" t="s">
        <v>142</v>
      </c>
      <c r="B4" s="68">
        <v>10</v>
      </c>
    </row>
    <row r="5" spans="1:3" x14ac:dyDescent="0.25">
      <c r="A5" t="s">
        <v>145</v>
      </c>
      <c r="B5" s="68">
        <v>50</v>
      </c>
    </row>
    <row r="6" spans="1:3" x14ac:dyDescent="0.25">
      <c r="A6" t="s">
        <v>141</v>
      </c>
      <c r="B6">
        <f>B3-(2*B4)</f>
        <v>2980</v>
      </c>
    </row>
    <row r="7" spans="1:3" x14ac:dyDescent="0.25">
      <c r="A7" t="s">
        <v>137</v>
      </c>
      <c r="B7" s="71">
        <v>3655.9999675970676</v>
      </c>
    </row>
    <row r="8" spans="1:3" x14ac:dyDescent="0.25">
      <c r="A8" t="s">
        <v>139</v>
      </c>
      <c r="B8" s="68">
        <v>50</v>
      </c>
    </row>
    <row r="9" spans="1:3" x14ac:dyDescent="0.25">
      <c r="A9" t="s">
        <v>140</v>
      </c>
      <c r="B9" s="65">
        <f>B7-SQRT((B7-B8)^2-(B6/2-B8)^2)</f>
        <v>350.000002940375</v>
      </c>
    </row>
    <row r="10" spans="1:3" x14ac:dyDescent="0.25">
      <c r="A10" t="s">
        <v>143</v>
      </c>
      <c r="B10" s="65">
        <f>B9+B4+B5</f>
        <v>410.000002940375</v>
      </c>
    </row>
    <row r="11" spans="1:3" x14ac:dyDescent="0.25">
      <c r="A11" t="s">
        <v>144</v>
      </c>
      <c r="B11" s="64">
        <f>POWER((B6)+0.2,2)*0.455*(B9)/1000000000</f>
        <v>1.4143935442524209</v>
      </c>
      <c r="C11" t="s">
        <v>147</v>
      </c>
    </row>
    <row r="12" spans="1:3" x14ac:dyDescent="0.25">
      <c r="A12" t="s">
        <v>144</v>
      </c>
      <c r="B12" s="64">
        <f>B11*1000</f>
        <v>1414.393544252421</v>
      </c>
      <c r="C12" t="s">
        <v>148</v>
      </c>
    </row>
    <row r="15" spans="1:3" x14ac:dyDescent="0.25">
      <c r="A15" t="s">
        <v>146</v>
      </c>
      <c r="B15">
        <f>(B6*B6*PI()*B9/4)/1000000000</f>
        <v>2.4411274680902308</v>
      </c>
    </row>
    <row r="16" spans="1:3" x14ac:dyDescent="0.25">
      <c r="B16">
        <f>B15*1000</f>
        <v>2441.1274680902306</v>
      </c>
    </row>
    <row r="17" spans="2:2" x14ac:dyDescent="0.25">
      <c r="B17" s="69">
        <f>B12/B16</f>
        <v>0.57940175707372821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5447-C2EB-4A25-BF72-F178762EFE0B}">
  <sheetPr codeName="Hoja7"/>
  <dimension ref="A1:C22"/>
  <sheetViews>
    <sheetView workbookViewId="0">
      <selection activeCell="C17" sqref="C17"/>
    </sheetView>
  </sheetViews>
  <sheetFormatPr baseColWidth="10" defaultRowHeight="15" x14ac:dyDescent="0.25"/>
  <cols>
    <col min="1" max="1" width="35.5703125" bestFit="1" customWidth="1"/>
    <col min="2" max="2" width="12.85546875" style="1" customWidth="1"/>
  </cols>
  <sheetData>
    <row r="1" spans="1:3" x14ac:dyDescent="0.25">
      <c r="A1" t="s">
        <v>155</v>
      </c>
      <c r="B1" s="72">
        <v>1200</v>
      </c>
      <c r="C1" t="s">
        <v>163</v>
      </c>
    </row>
    <row r="2" spans="1:3" x14ac:dyDescent="0.25">
      <c r="A2" t="s">
        <v>162</v>
      </c>
      <c r="B2" s="72">
        <v>3000</v>
      </c>
      <c r="C2" t="s">
        <v>163</v>
      </c>
    </row>
    <row r="3" spans="1:3" x14ac:dyDescent="0.25">
      <c r="A3" t="s">
        <v>149</v>
      </c>
      <c r="B3" s="72">
        <v>4016</v>
      </c>
    </row>
    <row r="4" spans="1:3" x14ac:dyDescent="0.25">
      <c r="A4" t="s">
        <v>165</v>
      </c>
      <c r="B4" s="76">
        <v>25</v>
      </c>
      <c r="C4" t="s">
        <v>147</v>
      </c>
    </row>
    <row r="5" spans="1:3" x14ac:dyDescent="0.25">
      <c r="B5" s="72"/>
    </row>
    <row r="6" spans="1:3" x14ac:dyDescent="0.25">
      <c r="A6" t="s">
        <v>150</v>
      </c>
      <c r="B6" s="72">
        <v>200</v>
      </c>
    </row>
    <row r="7" spans="1:3" x14ac:dyDescent="0.25">
      <c r="A7" t="s">
        <v>152</v>
      </c>
      <c r="B7" s="73">
        <f>B3+B6</f>
        <v>4216</v>
      </c>
    </row>
    <row r="8" spans="1:3" x14ac:dyDescent="0.25">
      <c r="A8" t="s">
        <v>151</v>
      </c>
      <c r="B8" s="72">
        <v>3180</v>
      </c>
    </row>
    <row r="9" spans="1:3" x14ac:dyDescent="0.25">
      <c r="A9" t="s">
        <v>153</v>
      </c>
      <c r="B9" s="1">
        <f>B7-B8-36</f>
        <v>1000</v>
      </c>
    </row>
    <row r="10" spans="1:3" x14ac:dyDescent="0.25">
      <c r="A10" t="s">
        <v>154</v>
      </c>
      <c r="B10" s="74">
        <f>B9/B1</f>
        <v>0.83333333333333337</v>
      </c>
    </row>
    <row r="13" spans="1:3" x14ac:dyDescent="0.25">
      <c r="A13" t="s">
        <v>156</v>
      </c>
      <c r="B13" s="72">
        <v>200</v>
      </c>
    </row>
    <row r="14" spans="1:3" x14ac:dyDescent="0.25">
      <c r="A14" t="s">
        <v>157</v>
      </c>
      <c r="B14" s="75">
        <f>B9+B13</f>
        <v>1200</v>
      </c>
    </row>
    <row r="16" spans="1:3" x14ac:dyDescent="0.25">
      <c r="A16" t="s">
        <v>158</v>
      </c>
      <c r="B16" s="72">
        <f>350</f>
        <v>350</v>
      </c>
    </row>
    <row r="17" spans="1:3" x14ac:dyDescent="0.25">
      <c r="A17" t="s">
        <v>159</v>
      </c>
      <c r="B17" s="75">
        <f>B14-B16</f>
        <v>850</v>
      </c>
    </row>
    <row r="19" spans="1:3" x14ac:dyDescent="0.25">
      <c r="A19" t="s">
        <v>160</v>
      </c>
      <c r="B19" s="3">
        <f>'Fondo '!B11</f>
        <v>1.4143935442524209</v>
      </c>
      <c r="C19" t="s">
        <v>147</v>
      </c>
    </row>
    <row r="20" spans="1:3" x14ac:dyDescent="0.25">
      <c r="A20" t="s">
        <v>161</v>
      </c>
      <c r="B20" s="3">
        <f>(B17/1000)*(B2/1000)^2*PI()/4</f>
        <v>6.0082959499904787</v>
      </c>
      <c r="C20" t="s">
        <v>147</v>
      </c>
    </row>
    <row r="21" spans="1:3" x14ac:dyDescent="0.25">
      <c r="A21" t="s">
        <v>164</v>
      </c>
      <c r="B21" s="3">
        <f>B19+B20</f>
        <v>7.4226894942428991</v>
      </c>
      <c r="C21" t="s">
        <v>147</v>
      </c>
    </row>
    <row r="22" spans="1:3" x14ac:dyDescent="0.25">
      <c r="A22" s="77" t="s">
        <v>166</v>
      </c>
      <c r="B22" s="78">
        <f>B21/B4</f>
        <v>0.29690757976971599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Eje </vt:lpstr>
      <vt:lpstr>Potencia</vt:lpstr>
      <vt:lpstr>Vel vs Torque</vt:lpstr>
      <vt:lpstr>Fondo Flanged Dished</vt:lpstr>
      <vt:lpstr>Fondo Klopper</vt:lpstr>
      <vt:lpstr>Fondo </vt:lpstr>
      <vt:lpstr>Nivel del Tanque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Goyes</dc:creator>
  <cp:lastModifiedBy>Oscar Goyes</cp:lastModifiedBy>
  <dcterms:created xsi:type="dcterms:W3CDTF">2015-06-05T18:17:20Z</dcterms:created>
  <dcterms:modified xsi:type="dcterms:W3CDTF">2026-09-04T19:01:55Z</dcterms:modified>
</cp:coreProperties>
</file>