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ichael/Documents/GitHub/ITR-MichaelTiemannOSC/examples/data/"/>
    </mc:Choice>
  </mc:AlternateContent>
  <xr:revisionPtr revIDLastSave="0" documentId="13_ncr:1_{40304207-EE3A-B144-9D70-279AF4B116AF}" xr6:coauthVersionLast="47" xr6:coauthVersionMax="47" xr10:uidLastSave="{00000000-0000-0000-0000-000000000000}"/>
  <bookViews>
    <workbookView xWindow="0" yWindow="500" windowWidth="77140" windowHeight="31860" tabRatio="500" activeTab="1" xr2:uid="{00000000-000D-0000-FFFF-FFFF00000000}"/>
  </bookViews>
  <sheets>
    <sheet name="Read me " sheetId="1" r:id="rId1"/>
    <sheet name="ITR input data" sheetId="2" r:id="rId2"/>
    <sheet name="ITR input data (2)" sheetId="7" r:id="rId3"/>
    <sheet name="ITR target input data" sheetId="3" r:id="rId4"/>
    <sheet name="ITR target input data (2)" sheetId="8" r:id="rId5"/>
    <sheet name="Definitions" sheetId="4" r:id="rId6"/>
    <sheet name="Portfolio" sheetId="5" r:id="rId7"/>
    <sheet name="Portfolio (2)" sheetId="9" r:id="rId8"/>
    <sheet name="User Notes" sheetId="6"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N5" i="2" l="1"/>
  <c r="N4" i="2"/>
  <c r="N3" i="2"/>
  <c r="N2" i="2"/>
  <c r="AT5" i="2"/>
  <c r="AU5" i="2" s="1"/>
  <c r="AV5" i="2" s="1"/>
  <c r="AW5" i="2" s="1"/>
  <c r="AX5" i="2" s="1"/>
  <c r="AT4" i="2"/>
  <c r="AU4" i="2" s="1"/>
  <c r="AV4" i="2" s="1"/>
  <c r="AW4" i="2" s="1"/>
  <c r="AX4" i="2" s="1"/>
  <c r="AT3" i="2"/>
  <c r="AU3" i="2" s="1"/>
  <c r="AV3" i="2" s="1"/>
  <c r="AW3" i="2" s="1"/>
  <c r="AX3" i="2" s="1"/>
  <c r="AT2" i="2"/>
  <c r="AU2" i="2" s="1"/>
  <c r="AV2" i="2" s="1"/>
  <c r="AW2" i="2" s="1"/>
  <c r="AX2" i="2" s="1"/>
  <c r="D6" i="3"/>
  <c r="J6" i="3"/>
  <c r="K6" i="3"/>
  <c r="D7" i="3"/>
  <c r="J7" i="3"/>
  <c r="K7" i="3"/>
  <c r="D8" i="3"/>
  <c r="J8" i="3"/>
  <c r="K8" i="3"/>
  <c r="D9" i="3"/>
  <c r="J9" i="3"/>
  <c r="K9" i="3"/>
  <c r="J2" i="3"/>
  <c r="K5" i="3"/>
  <c r="K4" i="3"/>
  <c r="K3" i="3"/>
  <c r="K2" i="3"/>
  <c r="D2" i="3"/>
  <c r="D3" i="3"/>
  <c r="D4" i="3"/>
  <c r="D5" i="3"/>
  <c r="AK5" i="2"/>
  <c r="AJ5" i="2"/>
  <c r="AI5" i="2"/>
  <c r="AH5" i="2"/>
  <c r="AG5" i="2"/>
  <c r="AF5" i="2"/>
  <c r="AE5" i="2"/>
  <c r="J5" i="3" s="1"/>
  <c r="E5" i="5"/>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AK4" i="2"/>
  <c r="AJ4" i="2"/>
  <c r="AI4" i="2"/>
  <c r="AH4" i="2"/>
  <c r="AG4" i="2"/>
  <c r="AF4" i="2"/>
  <c r="AE4" i="2"/>
  <c r="J4" i="3" s="1"/>
  <c r="M82" i="8"/>
  <c r="J76" i="8"/>
  <c r="J63" i="8"/>
  <c r="J62" i="8"/>
  <c r="J52" i="8"/>
  <c r="J50" i="8"/>
  <c r="J49" i="8"/>
  <c r="J48" i="8"/>
  <c r="M47" i="8"/>
  <c r="J31" i="8"/>
  <c r="J18" i="8"/>
  <c r="M17" i="8"/>
  <c r="J16" i="8"/>
  <c r="J15" i="8"/>
  <c r="J6" i="8"/>
  <c r="AK68" i="7"/>
  <c r="AJ68" i="7"/>
  <c r="AI68" i="7"/>
  <c r="AH68" i="7"/>
  <c r="AG68" i="7"/>
  <c r="AF68" i="7"/>
  <c r="AE68" i="7"/>
  <c r="AK66" i="7"/>
  <c r="AJ66" i="7"/>
  <c r="AI66" i="7"/>
  <c r="AH66" i="7"/>
  <c r="AG66" i="7"/>
  <c r="AF66" i="7"/>
  <c r="AE66" i="7"/>
  <c r="AK65" i="7"/>
  <c r="AJ65" i="7"/>
  <c r="AI65" i="7"/>
  <c r="AH65" i="7"/>
  <c r="AG65" i="7"/>
  <c r="AF65" i="7"/>
  <c r="AE65" i="7"/>
  <c r="AK64" i="7"/>
  <c r="AJ64" i="7"/>
  <c r="AI64" i="7"/>
  <c r="AH64" i="7"/>
  <c r="AG64" i="7"/>
  <c r="AF64" i="7"/>
  <c r="AE64" i="7"/>
  <c r="AK63" i="7"/>
  <c r="AJ63" i="7"/>
  <c r="AI63" i="7"/>
  <c r="AH63" i="7"/>
  <c r="AG63" i="7"/>
  <c r="AF63" i="7"/>
  <c r="AE63" i="7"/>
  <c r="M63" i="7"/>
  <c r="L63" i="7"/>
  <c r="AW61" i="7"/>
  <c r="AV61" i="7"/>
  <c r="AU61" i="7"/>
  <c r="AK61" i="7"/>
  <c r="AJ61" i="7"/>
  <c r="AI61" i="7"/>
  <c r="AH61" i="7"/>
  <c r="AG61" i="7"/>
  <c r="AF61" i="7"/>
  <c r="AE61" i="7"/>
  <c r="M61" i="7"/>
  <c r="AT59" i="7"/>
  <c r="AU59" i="7" s="1"/>
  <c r="AV59" i="7" s="1"/>
  <c r="AW59" i="7" s="1"/>
  <c r="AX59" i="7" s="1"/>
  <c r="AQ59" i="7"/>
  <c r="AP59" i="7"/>
  <c r="AO59" i="7"/>
  <c r="AN59" i="7"/>
  <c r="AM59" i="7"/>
  <c r="AK59" i="7"/>
  <c r="AJ59" i="7"/>
  <c r="AE59" i="7"/>
  <c r="AC59" i="7"/>
  <c r="AB59" i="7"/>
  <c r="AA59" i="7"/>
  <c r="Z59" i="7"/>
  <c r="Y59" i="7"/>
  <c r="V59" i="7"/>
  <c r="U59" i="7"/>
  <c r="AI59" i="7" s="1"/>
  <c r="T59" i="7"/>
  <c r="AH59" i="7" s="1"/>
  <c r="S59" i="7"/>
  <c r="AG59" i="7" s="1"/>
  <c r="R59" i="7"/>
  <c r="AF59" i="7" s="1"/>
  <c r="M59" i="7"/>
  <c r="AK56" i="7"/>
  <c r="AJ56" i="7"/>
  <c r="AI56" i="7"/>
  <c r="AH56" i="7"/>
  <c r="AG56" i="7"/>
  <c r="AF56" i="7"/>
  <c r="AE56" i="7"/>
  <c r="AK54" i="7"/>
  <c r="AJ54" i="7"/>
  <c r="AI54" i="7"/>
  <c r="AH54" i="7"/>
  <c r="AG54" i="7"/>
  <c r="AF54" i="7"/>
  <c r="AE54" i="7"/>
  <c r="AQ53" i="7"/>
  <c r="AP53" i="7"/>
  <c r="AO53" i="7"/>
  <c r="AN53" i="7"/>
  <c r="AM53" i="7"/>
  <c r="AL53" i="7"/>
  <c r="AJ53" i="7"/>
  <c r="AI53" i="7"/>
  <c r="AH53" i="7"/>
  <c r="AG53" i="7"/>
  <c r="AF53" i="7"/>
  <c r="AE53" i="7"/>
  <c r="M53" i="7"/>
  <c r="AK52" i="7"/>
  <c r="AJ52" i="7"/>
  <c r="AI52" i="7"/>
  <c r="AH52" i="7"/>
  <c r="AG52" i="7"/>
  <c r="AF52" i="7"/>
  <c r="AE52" i="7"/>
  <c r="AX51" i="7"/>
  <c r="AQ51" i="7" s="1"/>
  <c r="AW51" i="7"/>
  <c r="AV51" i="7"/>
  <c r="AU51" i="7"/>
  <c r="AP51" i="7"/>
  <c r="AO51" i="7"/>
  <c r="AN51" i="7"/>
  <c r="AK51" i="7"/>
  <c r="AJ51" i="7"/>
  <c r="AI51" i="7"/>
  <c r="AH51" i="7"/>
  <c r="AF51" i="7"/>
  <c r="AE51" i="7"/>
  <c r="Z51" i="7"/>
  <c r="S51" i="7"/>
  <c r="AG51" i="7" s="1"/>
  <c r="M51" i="7"/>
  <c r="AK50" i="7"/>
  <c r="AJ50" i="7"/>
  <c r="AI50" i="7"/>
  <c r="AH50" i="7"/>
  <c r="AG50" i="7"/>
  <c r="AF50" i="7"/>
  <c r="AE50" i="7"/>
  <c r="AK49" i="7"/>
  <c r="AJ49" i="7"/>
  <c r="AI49" i="7"/>
  <c r="AH49" i="7"/>
  <c r="AG49" i="7"/>
  <c r="AF49" i="7"/>
  <c r="AE49" i="7"/>
  <c r="AK48" i="7"/>
  <c r="AJ48" i="7"/>
  <c r="AI48" i="7"/>
  <c r="AH48" i="7"/>
  <c r="AG48" i="7"/>
  <c r="AF48" i="7"/>
  <c r="AE48" i="7"/>
  <c r="AK47" i="7"/>
  <c r="AJ47" i="7"/>
  <c r="AI47" i="7"/>
  <c r="AH47" i="7"/>
  <c r="AG47" i="7"/>
  <c r="AF47" i="7"/>
  <c r="AE47" i="7"/>
  <c r="AK45" i="7"/>
  <c r="AJ45" i="7"/>
  <c r="AI45" i="7"/>
  <c r="AH45" i="7"/>
  <c r="AG45" i="7"/>
  <c r="AF45" i="7"/>
  <c r="AE45" i="7"/>
  <c r="AK44" i="7"/>
  <c r="AJ44" i="7"/>
  <c r="AI44" i="7"/>
  <c r="AH44" i="7"/>
  <c r="AG44" i="7"/>
  <c r="AF44" i="7"/>
  <c r="AE44" i="7"/>
  <c r="AW43" i="7"/>
  <c r="AV43" i="7"/>
  <c r="AU43" i="7"/>
  <c r="AT43" i="7"/>
  <c r="AS43" i="7"/>
  <c r="AK43" i="7"/>
  <c r="AJ43" i="7"/>
  <c r="AI43" i="7"/>
  <c r="AH43" i="7"/>
  <c r="AG43" i="7"/>
  <c r="AF43" i="7"/>
  <c r="AE43" i="7"/>
  <c r="AK42" i="7"/>
  <c r="AJ42" i="7"/>
  <c r="AI42" i="7"/>
  <c r="AH42" i="7"/>
  <c r="AG42" i="7"/>
  <c r="AF42" i="7"/>
  <c r="AE42" i="7"/>
  <c r="AK41" i="7"/>
  <c r="AJ41" i="7"/>
  <c r="AI41" i="7"/>
  <c r="AH41" i="7"/>
  <c r="AG41" i="7"/>
  <c r="AF41" i="7"/>
  <c r="AE41" i="7"/>
  <c r="AK40" i="7"/>
  <c r="AJ40" i="7"/>
  <c r="AI40" i="7"/>
  <c r="AH40" i="7"/>
  <c r="AG40" i="7"/>
  <c r="AF40" i="7"/>
  <c r="AE40" i="7"/>
  <c r="N39" i="7"/>
  <c r="K39" i="7"/>
  <c r="J39" i="7"/>
  <c r="M39" i="7" s="1"/>
  <c r="L39" i="7" s="1"/>
  <c r="AK38" i="7"/>
  <c r="AJ38" i="7"/>
  <c r="AI38" i="7"/>
  <c r="AH38" i="7"/>
  <c r="AG38" i="7"/>
  <c r="AF38" i="7"/>
  <c r="AE38" i="7"/>
  <c r="AK37" i="7"/>
  <c r="AJ37" i="7"/>
  <c r="AI37" i="7"/>
  <c r="AH37" i="7"/>
  <c r="AG37" i="7"/>
  <c r="AF37" i="7"/>
  <c r="AE37" i="7"/>
  <c r="AK36" i="7"/>
  <c r="AJ36" i="7"/>
  <c r="AI36" i="7"/>
  <c r="AH36" i="7"/>
  <c r="AG36" i="7"/>
  <c r="AF36" i="7"/>
  <c r="AE36" i="7"/>
  <c r="AJ35" i="7"/>
  <c r="AI35" i="7"/>
  <c r="AH35" i="7"/>
  <c r="AG35" i="7"/>
  <c r="AF35" i="7"/>
  <c r="M35" i="7"/>
  <c r="L35" i="7"/>
  <c r="AK34" i="7"/>
  <c r="AJ34" i="7"/>
  <c r="AI34" i="7"/>
  <c r="AH34" i="7"/>
  <c r="AG34" i="7"/>
  <c r="AF34" i="7"/>
  <c r="AE34" i="7"/>
  <c r="AK33" i="7"/>
  <c r="AJ33" i="7"/>
  <c r="AI33" i="7"/>
  <c r="AH33" i="7"/>
  <c r="AG33" i="7"/>
  <c r="AF33" i="7"/>
  <c r="AE33" i="7"/>
  <c r="J33" i="7"/>
  <c r="AX32" i="7"/>
  <c r="AW32" i="7"/>
  <c r="AV32" i="7"/>
  <c r="AK32" i="7"/>
  <c r="AJ32" i="7"/>
  <c r="AI32" i="7"/>
  <c r="AH32" i="7"/>
  <c r="AG32" i="7"/>
  <c r="AF32" i="7"/>
  <c r="AE32" i="7"/>
  <c r="M32" i="7"/>
  <c r="AW31" i="7"/>
  <c r="AV31" i="7"/>
  <c r="AU31" i="7"/>
  <c r="AT31" i="7"/>
  <c r="AS31" i="7"/>
  <c r="AK31" i="7"/>
  <c r="AJ31" i="7"/>
  <c r="AI31" i="7"/>
  <c r="AH31" i="7"/>
  <c r="Z31" i="7"/>
  <c r="AG31" i="7" s="1"/>
  <c r="Y31" i="7"/>
  <c r="AF31" i="7" s="1"/>
  <c r="X31" i="7"/>
  <c r="AE31" i="7" s="1"/>
  <c r="J31" i="7"/>
  <c r="AX30" i="7"/>
  <c r="AW30" i="7"/>
  <c r="AV30" i="7"/>
  <c r="AK30" i="7"/>
  <c r="AJ30" i="7"/>
  <c r="AI30" i="7"/>
  <c r="AH30" i="7"/>
  <c r="AG30" i="7"/>
  <c r="AF30" i="7"/>
  <c r="AE30" i="7"/>
  <c r="M30" i="7"/>
  <c r="AK29" i="7"/>
  <c r="AJ29" i="7"/>
  <c r="AI29" i="7"/>
  <c r="AH29" i="7"/>
  <c r="AG29" i="7"/>
  <c r="AF29" i="7"/>
  <c r="AE29" i="7"/>
  <c r="AX28" i="7"/>
  <c r="AQ28" i="7" s="1"/>
  <c r="AW28" i="7"/>
  <c r="AP28" i="7" s="1"/>
  <c r="AV28" i="7"/>
  <c r="AO28" i="7" s="1"/>
  <c r="AU28" i="7"/>
  <c r="AN28" i="7" s="1"/>
  <c r="AT28" i="7"/>
  <c r="AS28" i="7"/>
  <c r="AM28" i="7"/>
  <c r="AL28" i="7"/>
  <c r="AK28" i="7"/>
  <c r="AJ28" i="7"/>
  <c r="AI28" i="7"/>
  <c r="AH28" i="7"/>
  <c r="AG28" i="7"/>
  <c r="AF28" i="7"/>
  <c r="AE28" i="7"/>
  <c r="M28" i="7"/>
  <c r="AV27" i="7"/>
  <c r="AU27" i="7"/>
  <c r="AT27" i="7"/>
  <c r="AK27" i="7"/>
  <c r="AJ27" i="7"/>
  <c r="AI27" i="7"/>
  <c r="AH27" i="7"/>
  <c r="AG27" i="7"/>
  <c r="AF27" i="7"/>
  <c r="AE27" i="7"/>
  <c r="AK26" i="7"/>
  <c r="AJ26" i="7"/>
  <c r="AI26" i="7"/>
  <c r="AH26" i="7"/>
  <c r="AG26" i="7"/>
  <c r="AF26" i="7"/>
  <c r="AE26" i="7"/>
  <c r="AK25" i="7"/>
  <c r="AJ25" i="7"/>
  <c r="AI25" i="7"/>
  <c r="AH25" i="7"/>
  <c r="AG25" i="7"/>
  <c r="AF25" i="7"/>
  <c r="AE25" i="7"/>
  <c r="AK24" i="7"/>
  <c r="AJ24" i="7"/>
  <c r="AI24" i="7"/>
  <c r="AH24" i="7"/>
  <c r="AG24" i="7"/>
  <c r="AF24" i="7"/>
  <c r="AE24" i="7"/>
  <c r="AI23" i="7"/>
  <c r="AH23" i="7"/>
  <c r="AG23" i="7"/>
  <c r="M23" i="7"/>
  <c r="AK22" i="7"/>
  <c r="AJ22" i="7"/>
  <c r="AI22" i="7"/>
  <c r="AH22" i="7"/>
  <c r="AG22" i="7"/>
  <c r="AF22" i="7"/>
  <c r="AE22" i="7"/>
  <c r="AX21" i="7"/>
  <c r="AW21" i="7"/>
  <c r="AV21" i="7"/>
  <c r="AJ21" i="7"/>
  <c r="AI21" i="7"/>
  <c r="AH21" i="7"/>
  <c r="AG21" i="7"/>
  <c r="M21" i="7"/>
  <c r="L21" i="7"/>
  <c r="AK20" i="7"/>
  <c r="AJ20" i="7"/>
  <c r="AI20" i="7"/>
  <c r="AH20" i="7"/>
  <c r="AG20" i="7"/>
  <c r="AF20" i="7"/>
  <c r="AE20" i="7"/>
  <c r="AK19" i="7"/>
  <c r="AJ19" i="7"/>
  <c r="AI19" i="7"/>
  <c r="AH19" i="7"/>
  <c r="AG19" i="7"/>
  <c r="AF19" i="7"/>
  <c r="AE19" i="7"/>
  <c r="AK18" i="7"/>
  <c r="AJ18" i="7"/>
  <c r="AI18" i="7"/>
  <c r="AH18" i="7"/>
  <c r="AG18" i="7"/>
  <c r="AF18" i="7"/>
  <c r="AE18" i="7"/>
  <c r="AK17" i="7"/>
  <c r="AJ17" i="7"/>
  <c r="AI17" i="7"/>
  <c r="AH17" i="7"/>
  <c r="AG17" i="7"/>
  <c r="AF17" i="7"/>
  <c r="AE17" i="7"/>
  <c r="AK16" i="7"/>
  <c r="AJ16" i="7"/>
  <c r="AI16" i="7"/>
  <c r="AH16" i="7"/>
  <c r="AG16" i="7"/>
  <c r="AF16" i="7"/>
  <c r="AE16" i="7"/>
  <c r="AK14" i="7"/>
  <c r="AJ14" i="7"/>
  <c r="AI14" i="7"/>
  <c r="AH14" i="7"/>
  <c r="AG14" i="7"/>
  <c r="AF14" i="7"/>
  <c r="AE14" i="7"/>
  <c r="AV12" i="7"/>
  <c r="AU12" i="7"/>
  <c r="AT12" i="7"/>
  <c r="AJ12" i="7"/>
  <c r="AI12" i="7"/>
  <c r="AH12" i="7"/>
  <c r="AG12" i="7"/>
  <c r="AF12" i="7"/>
  <c r="AE12" i="7"/>
  <c r="M12" i="7"/>
  <c r="AQ10" i="7"/>
  <c r="AP10" i="7"/>
  <c r="AO10" i="7"/>
  <c r="AN10" i="7"/>
  <c r="AM10" i="7"/>
  <c r="AJ10" i="7"/>
  <c r="AI10" i="7"/>
  <c r="AH10" i="7"/>
  <c r="AG10" i="7"/>
  <c r="AF10" i="7"/>
  <c r="AE10" i="7"/>
  <c r="M10" i="7"/>
  <c r="AX9" i="7"/>
  <c r="AW9" i="7"/>
  <c r="AV9" i="7"/>
  <c r="AU9" i="7"/>
  <c r="AT9" i="7"/>
  <c r="AK9" i="7"/>
  <c r="AJ9" i="7"/>
  <c r="AI9" i="7"/>
  <c r="AH9" i="7"/>
  <c r="AG9" i="7"/>
  <c r="AF9" i="7"/>
  <c r="AE9" i="7"/>
  <c r="M9" i="7"/>
  <c r="AK8" i="7"/>
  <c r="AJ8" i="7"/>
  <c r="AI8" i="7"/>
  <c r="AH8" i="7"/>
  <c r="AG8" i="7"/>
  <c r="AF8" i="7"/>
  <c r="AE8" i="7"/>
  <c r="AK7" i="7"/>
  <c r="AJ7" i="7"/>
  <c r="AI7" i="7"/>
  <c r="AH7" i="7"/>
  <c r="AG7" i="7"/>
  <c r="AF7" i="7"/>
  <c r="AE7" i="7"/>
  <c r="AK6" i="7"/>
  <c r="AJ6" i="7"/>
  <c r="AI6" i="7"/>
  <c r="AH6" i="7"/>
  <c r="AG6" i="7"/>
  <c r="AF6" i="7"/>
  <c r="AE6" i="7"/>
  <c r="AK5" i="7"/>
  <c r="AJ5" i="7"/>
  <c r="AI5" i="7"/>
  <c r="AH5" i="7"/>
  <c r="AG5" i="7"/>
  <c r="AF5" i="7"/>
  <c r="AE5" i="7"/>
  <c r="AK4" i="7"/>
  <c r="AJ4" i="7"/>
  <c r="AI4" i="7"/>
  <c r="AH4" i="7"/>
  <c r="AG4" i="7"/>
  <c r="AF4" i="7"/>
  <c r="AE4" i="7"/>
  <c r="AK3" i="7"/>
  <c r="AJ3" i="7"/>
  <c r="AI3" i="7"/>
  <c r="AH3" i="7"/>
  <c r="AG3" i="7"/>
  <c r="AF3" i="7"/>
  <c r="AE3" i="7"/>
  <c r="AT2" i="7"/>
  <c r="AQ2" i="7"/>
  <c r="AP2" i="7"/>
  <c r="AO2" i="7"/>
  <c r="AN2" i="7"/>
  <c r="AM2" i="7"/>
  <c r="AK2" i="7"/>
  <c r="AJ2" i="7"/>
  <c r="AI2" i="7"/>
  <c r="AH2" i="7"/>
  <c r="AG2" i="7"/>
  <c r="AF2" i="7"/>
  <c r="AE2" i="7"/>
  <c r="E4" i="5" l="1"/>
  <c r="E3" i="5"/>
  <c r="E2" i="5"/>
  <c r="AK3" i="2" l="1"/>
  <c r="AJ3" i="2"/>
  <c r="AI3" i="2"/>
  <c r="AH3" i="2"/>
  <c r="AG3" i="2"/>
  <c r="AF3" i="2"/>
  <c r="AE3" i="2"/>
  <c r="J3" i="3" s="1"/>
  <c r="AK2" i="2"/>
  <c r="AJ2" i="2"/>
  <c r="AI2" i="2"/>
  <c r="AH2" i="2"/>
  <c r="AG2" i="2"/>
  <c r="AF2" i="2"/>
  <c r="A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T2" authorId="0" shapeId="0" xr:uid="{00000000-0006-0000-0100-000009000000}">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U2" authorId="0" shapeId="0" xr:uid="{761CBD8A-501A-504B-AB1B-A55C5BB16672}">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V2" authorId="0" shapeId="0" xr:uid="{87C76978-2E92-454C-9228-2A19D8E06C22}">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W2" authorId="0" shapeId="0" xr:uid="{130DC316-804F-7541-9C87-4870EAF1A6F6}">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X2" authorId="0" shapeId="0" xr:uid="{E987B55C-EB00-FA4E-8CE1-71A118A0FF17}">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T3" authorId="0" shapeId="0" xr:uid="{27FA3010-13C1-DC40-8B59-25A71AA35F05}">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U3" authorId="0" shapeId="0" xr:uid="{0B06AAB8-1777-DD40-ACE2-EDB803638737}">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V3" authorId="0" shapeId="0" xr:uid="{801285E1-E2DF-1148-A716-99497AB21411}">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W3" authorId="0" shapeId="0" xr:uid="{1E090C53-B6B1-FC49-B73F-C9DB47A48933}">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X3" authorId="0" shapeId="0" xr:uid="{5CD86015-A9FB-2E48-B50F-B4796E1288E8}">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T4" authorId="0" shapeId="0" xr:uid="{10CE8AAD-83E4-3F48-A5D9-28FA677205F6}">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U4" authorId="0" shapeId="0" xr:uid="{64282D69-0044-5D4F-85DF-D113CEFC5D26}">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V4" authorId="0" shapeId="0" xr:uid="{4BE9897A-8852-6B40-895A-4AD9308CE01E}">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W4" authorId="0" shapeId="0" xr:uid="{53DE15ED-45AF-FE47-9615-70D775F21605}">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X4" authorId="0" shapeId="0" xr:uid="{3AFC24B3-56D3-7241-A257-B01B8F429222}">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T5" authorId="0" shapeId="0" xr:uid="{AD8E86C7-F029-8D42-B90D-191D1ED20F7C}">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U5" authorId="0" shapeId="0" xr:uid="{74C2EBCC-00E9-9043-BE45-46AD76BC81F5}">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V5" authorId="0" shapeId="0" xr:uid="{A56B5F82-82D3-AA4E-80C4-6AF728B5EAE4}">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W5" authorId="0" shapeId="0" xr:uid="{5A2CB172-2E17-304F-A551-840B5508588D}">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AX5" authorId="0" shapeId="0" xr:uid="{98E481A3-D51D-F942-AFCA-E0FFE101C3A8}">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T2" authorId="0" shapeId="0" xr:uid="{5CBAA0E5-8980-AE4D-8D37-EF36164DC2A5}">
      <text>
        <r>
          <rPr>
            <sz val="11"/>
            <color rgb="FF000000"/>
            <rFont val="Calibri"/>
            <family val="2"/>
            <charset val="1"/>
          </rPr>
          <t xml:space="preserve">Michael Tiemann:
</t>
        </r>
        <r>
          <rPr>
            <sz val="10"/>
            <color rgb="FF000000"/>
            <rFont val="Tahoma"/>
            <family val="2"/>
            <charset val="1"/>
          </rPr>
          <t>When this value is small, like 31536, it throws the trajectory calculations for a loop.</t>
        </r>
      </text>
    </comment>
    <comment ref="H21" authorId="0" shapeId="0" xr:uid="{774FB2E6-F6FD-194B-A9C3-030291B8DD6B}">
      <text>
        <r>
          <rPr>
            <sz val="11"/>
            <color rgb="FF000000"/>
            <rFont val="Calibri"/>
            <family val="2"/>
            <charset val="1"/>
          </rPr>
          <t xml:space="preserve">Michael Tiemann:
</t>
        </r>
        <r>
          <rPr>
            <sz val="10"/>
            <color rgb="FF000000"/>
            <rFont val="Tahoma"/>
            <family val="2"/>
            <charset val="1"/>
          </rPr>
          <t>Actually EUR</t>
        </r>
      </text>
    </comment>
    <comment ref="J31" authorId="0" shapeId="0" xr:uid="{53EC1875-8A5A-D441-8F62-A00955810156}">
      <text>
        <r>
          <rPr>
            <sz val="11"/>
            <color rgb="FF000000"/>
            <rFont val="Calibri"/>
            <family val="2"/>
            <charset val="1"/>
          </rPr>
          <t xml:space="preserve">Michael Tiemann:
</t>
        </r>
        <r>
          <rPr>
            <sz val="10"/>
            <color rgb="FF000000"/>
            <rFont val="Tahoma"/>
            <family val="2"/>
            <charset val="1"/>
          </rPr>
          <t>calculated from exhibit 99-1</t>
        </r>
      </text>
    </comment>
    <comment ref="J33" authorId="0" shapeId="0" xr:uid="{61E5D9E1-6143-8749-BD04-B03102B27F08}">
      <text>
        <r>
          <rPr>
            <sz val="11"/>
            <color rgb="FF000000"/>
            <rFont val="Calibri"/>
            <family val="2"/>
            <charset val="1"/>
          </rPr>
          <t xml:space="preserve">Michael Tiemann:
</t>
        </r>
        <r>
          <rPr>
            <sz val="10"/>
            <color rgb="FF000000"/>
            <rFont val="Tahoma"/>
            <family val="2"/>
            <charset val="1"/>
          </rPr>
          <t>Computed from 20-F</t>
        </r>
      </text>
    </comment>
    <comment ref="H35" authorId="0" shapeId="0" xr:uid="{982429C7-F3A2-E84E-B762-2E168D6E260C}">
      <text>
        <r>
          <rPr>
            <sz val="11"/>
            <color rgb="FF000000"/>
            <rFont val="Calibri"/>
            <family val="2"/>
            <charset val="1"/>
          </rPr>
          <t xml:space="preserve">Michael Tiemann:
</t>
        </r>
        <r>
          <rPr>
            <sz val="10"/>
            <color rgb="FF000000"/>
            <rFont val="Tahoma"/>
            <family val="2"/>
            <charset val="1"/>
          </rPr>
          <t>Actually EUR</t>
        </r>
      </text>
    </comment>
    <comment ref="J46" authorId="0" shapeId="0" xr:uid="{B385EA1B-20DB-964B-9835-A16736CF7C06}">
      <text>
        <r>
          <rPr>
            <sz val="11"/>
            <color rgb="FF000000"/>
            <rFont val="Calibri"/>
            <family val="2"/>
            <charset val="1"/>
          </rPr>
          <t xml:space="preserve">Michael Tiemann:
</t>
        </r>
        <r>
          <rPr>
            <sz val="10"/>
            <color rgb="FF000000"/>
            <rFont val="Tahoma"/>
            <family val="2"/>
            <charset val="1"/>
          </rPr>
          <t>Approximate based on market data graphs</t>
        </r>
      </text>
    </comment>
    <comment ref="H63" authorId="0" shapeId="0" xr:uid="{C9B3CCA0-2264-004E-A59F-7925F2674C48}">
      <text>
        <r>
          <rPr>
            <sz val="11"/>
            <color rgb="FF000000"/>
            <rFont val="Calibri"/>
            <family val="2"/>
            <charset val="1"/>
          </rPr>
          <t xml:space="preserve">Michael Tiemann:
</t>
        </r>
        <r>
          <rPr>
            <sz val="10"/>
            <color rgb="FF000000"/>
            <rFont val="Tahoma"/>
            <family val="2"/>
            <charset val="1"/>
          </rPr>
          <t>Actually EUR</t>
        </r>
      </text>
    </comment>
    <comment ref="AO63" authorId="0" shapeId="0" xr:uid="{ED62BF9C-54A8-DC49-BEB1-FB45D2571B37}">
      <text>
        <r>
          <rPr>
            <sz val="11"/>
            <color rgb="FF000000"/>
            <rFont val="Calibri"/>
            <family val="2"/>
            <charset val="1"/>
          </rPr>
          <t xml:space="preserve">Michael Tiemann:
</t>
        </r>
        <r>
          <rPr>
            <sz val="10"/>
            <color rgb="FF000000"/>
            <rFont val="Tahoma"/>
            <family val="2"/>
            <charset val="1"/>
          </rPr>
          <t xml:space="preserve">Scope 3 downstream emissions only
</t>
        </r>
      </text>
    </comment>
    <comment ref="A64" authorId="0" shapeId="0" xr:uid="{5E8C8A04-5CB2-BD47-8FB9-33409C2B0071}">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Created target based on ME Netzero goal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M16" authorId="0" shapeId="0" xr:uid="{1F61ECE0-B169-F445-B232-6BE46D571A61}">
      <text>
        <r>
          <rPr>
            <sz val="11"/>
            <color rgb="FF000000"/>
            <rFont val="Calibri"/>
            <family val="2"/>
            <charset val="1"/>
          </rPr>
          <t xml:space="preserve">Michael Tiemann:
</t>
        </r>
        <r>
          <rPr>
            <sz val="10"/>
            <color rgb="FF000000"/>
            <rFont val="Tahoma"/>
            <family val="2"/>
            <charset val="1"/>
          </rPr>
          <t>90% sourced from nuclear so 10% ambition imagines 100% carbon-neutral power sourcing.</t>
        </r>
      </text>
    </comment>
    <comment ref="G19" authorId="0" shapeId="0" xr:uid="{4B920339-A2BC-7F4A-BB16-66BBE75A6453}">
      <text>
        <r>
          <rPr>
            <sz val="11"/>
            <color rgb="FF000000"/>
            <rFont val="Calibri"/>
            <family val="2"/>
            <charset val="1"/>
          </rPr>
          <t xml:space="preserve">Michael Tiemann:
</t>
        </r>
        <r>
          <rPr>
            <sz val="10"/>
            <color rgb="FF000000"/>
            <rFont val="Tahoma"/>
            <family val="2"/>
            <charset val="1"/>
          </rPr>
          <t>Yes: S1+S3</t>
        </r>
      </text>
    </comment>
    <comment ref="G31" authorId="0" shapeId="0" xr:uid="{67818787-E02E-8D42-9BD4-DDB194D59471}">
      <text>
        <r>
          <rPr>
            <sz val="11"/>
            <color rgb="FF000000"/>
            <rFont val="Calibri"/>
            <family val="2"/>
            <charset val="1"/>
          </rPr>
          <t xml:space="preserve">Michael Tiemann:
</t>
        </r>
        <r>
          <rPr>
            <sz val="10"/>
            <color rgb="FF000000"/>
            <rFont val="Calibri"/>
            <family val="2"/>
            <charset val="1"/>
          </rPr>
          <t xml:space="preserve">Really S1+S2+S3 but setting to S1+S2 for now.
</t>
        </r>
      </text>
    </comment>
    <comment ref="G33" authorId="0" shapeId="0" xr:uid="{01B24397-9C43-3348-98D1-D0B13986D20C}">
      <text>
        <r>
          <rPr>
            <sz val="11"/>
            <color rgb="FF000000"/>
            <rFont val="Calibri"/>
            <family val="2"/>
            <charset val="1"/>
          </rPr>
          <t xml:space="preserve">Michael Tiemann:
</t>
        </r>
        <r>
          <rPr>
            <sz val="10"/>
            <color rgb="FF000000"/>
            <rFont val="Calibri"/>
            <family val="2"/>
            <charset val="1"/>
          </rPr>
          <t xml:space="preserve">Really S1+S2+S3 but setting to S1+S2 for now.
</t>
        </r>
      </text>
    </comment>
    <comment ref="G55" authorId="0" shapeId="0" xr:uid="{83FB102C-10ED-B84A-9C03-A7696F5A41F5}">
      <text>
        <r>
          <rPr>
            <sz val="11"/>
            <color rgb="FF000000"/>
            <rFont val="Calibri"/>
            <family val="2"/>
            <charset val="1"/>
          </rPr>
          <t xml:space="preserve">Michael Tiemann:
</t>
        </r>
        <r>
          <rPr>
            <sz val="10"/>
            <color rgb="FF000000"/>
            <rFont val="Tahoma"/>
            <family val="2"/>
            <charset val="1"/>
          </rPr>
          <t>Really S1+S2+S3 but setting to S1+S2 for now.</t>
        </r>
      </text>
    </comment>
    <comment ref="G58" authorId="0" shapeId="0" xr:uid="{E6544F24-DF18-D941-8C65-C7F6CE644F30}">
      <text>
        <r>
          <rPr>
            <sz val="11"/>
            <color rgb="FF000000"/>
            <rFont val="Calibri"/>
            <family val="2"/>
            <charset val="1"/>
          </rPr>
          <t xml:space="preserve">Michael Tiemann:
</t>
        </r>
        <r>
          <rPr>
            <sz val="10"/>
            <color rgb="FF000000"/>
            <rFont val="Calibri"/>
            <family val="2"/>
            <charset val="1"/>
          </rPr>
          <t xml:space="preserve">Really S1+S2+S3 but setting to S1+S2 for now.
</t>
        </r>
      </text>
    </comment>
    <comment ref="G60" authorId="0" shapeId="0" xr:uid="{0660C9DD-CBDE-E74A-8116-06BAE4723CF0}">
      <text>
        <r>
          <rPr>
            <sz val="11"/>
            <color rgb="FF000000"/>
            <rFont val="Calibri"/>
            <family val="2"/>
            <charset val="1"/>
          </rPr>
          <t xml:space="preserve">Michael Tiemann:
</t>
        </r>
        <r>
          <rPr>
            <sz val="10"/>
            <color rgb="FF000000"/>
            <rFont val="Calibri"/>
            <family val="2"/>
            <charset val="1"/>
          </rPr>
          <t xml:space="preserve">Really S1+S2+S3 but setting to S1+S2 for now.
</t>
        </r>
      </text>
    </comment>
    <comment ref="G61" authorId="0" shapeId="0" xr:uid="{5A8FFDC6-6A74-5742-8139-3B0E56A41B8B}">
      <text>
        <r>
          <rPr>
            <sz val="11"/>
            <color rgb="FF000000"/>
            <rFont val="Calibri"/>
            <family val="2"/>
            <charset val="1"/>
          </rPr>
          <t xml:space="preserve">Michael Tiemann:
</t>
        </r>
        <r>
          <rPr>
            <sz val="10"/>
            <color rgb="FF000000"/>
            <rFont val="Calibri"/>
            <family val="2"/>
            <charset val="1"/>
          </rPr>
          <t xml:space="preserve">Really S1+S2+S3 but setting to S1+S2 for now.
</t>
        </r>
      </text>
    </comment>
    <comment ref="G68" authorId="0" shapeId="0" xr:uid="{E8BC419A-FC34-8640-A905-8BAE573934DF}">
      <text>
        <r>
          <rPr>
            <sz val="11"/>
            <color rgb="FF000000"/>
            <rFont val="Calibri"/>
            <family val="2"/>
            <charset val="1"/>
          </rPr>
          <t xml:space="preserve">Michael Tiemann:
</t>
        </r>
        <r>
          <rPr>
            <sz val="10"/>
            <color rgb="FF000000"/>
            <rFont val="Tahoma"/>
            <family val="2"/>
            <charset val="1"/>
          </rPr>
          <t>Really S1+S2+S3 but setting to S1+S2 for now.</t>
        </r>
      </text>
    </comment>
    <comment ref="G74" authorId="0" shapeId="0" xr:uid="{1108393A-D904-084E-A47F-4A48615C8444}">
      <text>
        <r>
          <rPr>
            <sz val="11"/>
            <color rgb="FF000000"/>
            <rFont val="Calibri"/>
            <family val="2"/>
            <charset val="1"/>
          </rPr>
          <t xml:space="preserve">Michael Tiemann:
</t>
        </r>
        <r>
          <rPr>
            <sz val="10"/>
            <color rgb="FF000000"/>
            <rFont val="Tahoma"/>
            <family val="2"/>
            <charset val="1"/>
          </rPr>
          <t>Really S1+S2+S3 but setting to S1+S2 for now.</t>
        </r>
      </text>
    </comment>
    <comment ref="A83" authorId="0" shapeId="0" xr:uid="{833D436F-33C2-4543-A08A-B3C5CB5D8AF6}">
      <text>
        <r>
          <rPr>
            <sz val="11"/>
            <color rgb="FF000000"/>
            <rFont val="Calibri"/>
            <family val="2"/>
            <charset val="1"/>
          </rPr>
          <t xml:space="preserve">Michael Tiemann:
</t>
        </r>
        <r>
          <rPr>
            <sz val="10"/>
            <color rgb="FF000000"/>
            <rFont val="Tahoma"/>
            <family val="2"/>
            <charset val="1"/>
          </rPr>
          <t>State of Maine has stated netzero 2050 goal.  Targets inferred accordingly.</t>
        </r>
      </text>
    </comment>
    <comment ref="E87" authorId="0" shapeId="0" xr:uid="{B881C641-0F31-444E-B1E6-F13BA927C6E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Announced March 2022</t>
        </r>
      </text>
    </comment>
    <comment ref="M87" authorId="0" shapeId="0" xr:uid="{76F88EE6-919D-2441-BB8B-7E0252A03F88}">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Just a guess</t>
        </r>
      </text>
    </comment>
  </commentList>
</comments>
</file>

<file path=xl/sharedStrings.xml><?xml version="1.0" encoding="utf-8"?>
<sst xmlns="http://schemas.openxmlformats.org/spreadsheetml/2006/main" count="2124" uniqueCount="393">
  <si>
    <t>company_name</t>
  </si>
  <si>
    <t>company_lei</t>
  </si>
  <si>
    <t>company_id</t>
  </si>
  <si>
    <t>country</t>
  </si>
  <si>
    <t>region</t>
  </si>
  <si>
    <t>sector</t>
  </si>
  <si>
    <t>exposure</t>
  </si>
  <si>
    <t>currency</t>
  </si>
  <si>
    <t>report_date</t>
  </si>
  <si>
    <t>market_cap</t>
  </si>
  <si>
    <t>revenue</t>
  </si>
  <si>
    <t>ev</t>
  </si>
  <si>
    <t>evic</t>
  </si>
  <si>
    <t>assets</t>
  </si>
  <si>
    <t>emissions_metric</t>
  </si>
  <si>
    <t>production_metric</t>
  </si>
  <si>
    <t>2016_ghg_s1</t>
  </si>
  <si>
    <t>2017_ghg_s1</t>
  </si>
  <si>
    <t>2018_ghg_s1</t>
  </si>
  <si>
    <t>2019_ghg_s1</t>
  </si>
  <si>
    <t>2020_ghg_s1</t>
  </si>
  <si>
    <t>2021_ghg_s1</t>
  </si>
  <si>
    <t>2022_ghg_s1</t>
  </si>
  <si>
    <t>2016_ghg_s2</t>
  </si>
  <si>
    <t>2017_ghg_s2</t>
  </si>
  <si>
    <t>2018_ghg_s2</t>
  </si>
  <si>
    <t>2019_ghg_s2</t>
  </si>
  <si>
    <t>2020_ghg_s2</t>
  </si>
  <si>
    <t>2021_ghg_s2</t>
  </si>
  <si>
    <t>2022_ghg_s2</t>
  </si>
  <si>
    <t>2016_ghg_s1s2</t>
  </si>
  <si>
    <t>2017_ghg_s1s2</t>
  </si>
  <si>
    <t>2018_ghg_s1s2</t>
  </si>
  <si>
    <t>2019_ghg_s1s2</t>
  </si>
  <si>
    <t>2020_ghg_s1s2</t>
  </si>
  <si>
    <t>2021_ghg_s1s2</t>
  </si>
  <si>
    <t>2022_ghg_s1s2</t>
  </si>
  <si>
    <t>2016_ghg_s3</t>
  </si>
  <si>
    <t>2017_ghg_s3</t>
  </si>
  <si>
    <t>2018_ghg_s3</t>
  </si>
  <si>
    <t>2019_ghg_s3</t>
  </si>
  <si>
    <t>2020_ghg_s3</t>
  </si>
  <si>
    <t>2021_ghg_s3</t>
  </si>
  <si>
    <t>2022_ghg_s3</t>
  </si>
  <si>
    <t>2016_production</t>
  </si>
  <si>
    <t>2017_production</t>
  </si>
  <si>
    <t>2018_production</t>
  </si>
  <si>
    <t>2019_production</t>
  </si>
  <si>
    <t>2020_production</t>
  </si>
  <si>
    <t>2021_production</t>
  </si>
  <si>
    <t>2022_production</t>
  </si>
  <si>
    <t>AES Corp.</t>
  </si>
  <si>
    <t>2NUNNB7D43COUIRE5295</t>
  </si>
  <si>
    <t>US00130H1059</t>
  </si>
  <si>
    <t>US</t>
  </si>
  <si>
    <t>Electricity Utilities</t>
  </si>
  <si>
    <t>equity</t>
  </si>
  <si>
    <t>USD</t>
  </si>
  <si>
    <t>t CO2</t>
  </si>
  <si>
    <t>GWh</t>
  </si>
  <si>
    <t>ALLETE, Inc.</t>
  </si>
  <si>
    <t>549300NNLSIMY6Z8OT86</t>
  </si>
  <si>
    <t>US0185223007</t>
  </si>
  <si>
    <t>North America</t>
  </si>
  <si>
    <t>Mt CO2</t>
  </si>
  <si>
    <t>TWh</t>
  </si>
  <si>
    <t>Alliant Energy</t>
  </si>
  <si>
    <t>5493009ML300G373MZ12</t>
  </si>
  <si>
    <t>US0188021085</t>
  </si>
  <si>
    <t>Ameren Corp.</t>
  </si>
  <si>
    <t>XRZQ5S7HYJFPHJ78L959</t>
  </si>
  <si>
    <t>US0236081024</t>
  </si>
  <si>
    <t>American Electric Power Co., Inc.</t>
  </si>
  <si>
    <t>1B4S6S7G0TW5EE83BO58</t>
  </si>
  <si>
    <t>US0255371017</t>
  </si>
  <si>
    <t>Avangrid, Inc.</t>
  </si>
  <si>
    <t>549300OX0Q38NLSKPB49</t>
  </si>
  <si>
    <t>US05351W1036</t>
  </si>
  <si>
    <t>Black Hills Corp.</t>
  </si>
  <si>
    <t>3MGELCRSTNSAMJ962671</t>
  </si>
  <si>
    <t>US0921131092</t>
  </si>
  <si>
    <t>MWh</t>
  </si>
  <si>
    <t>BMW Group</t>
  </si>
  <si>
    <t>549300W77ER6BVTNSK57</t>
  </si>
  <si>
    <t>DE0005190003</t>
  </si>
  <si>
    <t>DE</t>
  </si>
  <si>
    <t>Autos</t>
  </si>
  <si>
    <t>Mpassenger mile</t>
  </si>
  <si>
    <t>BP plc</t>
  </si>
  <si>
    <t>213800LH1BZH3DI6G760</t>
  </si>
  <si>
    <t>GB0007980591</t>
  </si>
  <si>
    <t>GB</t>
  </si>
  <si>
    <t>Europe</t>
  </si>
  <si>
    <t>Oil &amp; Gas</t>
  </si>
  <si>
    <t>PJ</t>
  </si>
  <si>
    <t>CARPENTER TECHNOLOGY CORP</t>
  </si>
  <si>
    <t>DX6I6ZD3X5WNNCDJKP85</t>
  </si>
  <si>
    <t>US1442851036</t>
  </si>
  <si>
    <t>Steel</t>
  </si>
  <si>
    <t>Fe_ton</t>
  </si>
  <si>
    <t>Chevron Corp</t>
  </si>
  <si>
    <t>VA8TZDWPEZYU430RZ444</t>
  </si>
  <si>
    <t>US1667641005</t>
  </si>
  <si>
    <t>CLEVELAND-CLIFFS INC</t>
  </si>
  <si>
    <t>549300TM2WLI2BJMDD86</t>
  </si>
  <si>
    <t>US1858991011</t>
  </si>
  <si>
    <t>CMS Energy Corp.</t>
  </si>
  <si>
    <t>549300IA9XFBAGNIBW29</t>
  </si>
  <si>
    <t>US1258961002</t>
  </si>
  <si>
    <t>COMMERCIAL METALS CO</t>
  </si>
  <si>
    <t>549300OQS2LO07ZJ7N73</t>
  </si>
  <si>
    <t>US2017231034</t>
  </si>
  <si>
    <t>Cleco Partners LP</t>
  </si>
  <si>
    <t>5493002H80P81B3HXL31</t>
  </si>
  <si>
    <t>US18551QAA58</t>
  </si>
  <si>
    <t>Consolidated Edison, Inc.</t>
  </si>
  <si>
    <t>54930033SBW53OO8T749</t>
  </si>
  <si>
    <t>US2091151041</t>
  </si>
  <si>
    <t>DTE Energy</t>
  </si>
  <si>
    <t>549300IX8SD6XXD71I78</t>
  </si>
  <si>
    <t>US2333311072</t>
  </si>
  <si>
    <t>Dominion Energy</t>
  </si>
  <si>
    <t>ILUL7B6Z54MRYCF6H308</t>
  </si>
  <si>
    <t>US25746U1097</t>
  </si>
  <si>
    <t>Duke Energy Corp.</t>
  </si>
  <si>
    <t>I1BZKREC126H0VB1BL91</t>
  </si>
  <si>
    <t>US26441C2044</t>
  </si>
  <si>
    <t>Electricité de France</t>
  </si>
  <si>
    <t>549300X3UK4GG3FNMO06</t>
  </si>
  <si>
    <t>FR0010242511</t>
  </si>
  <si>
    <t>FR</t>
  </si>
  <si>
    <t>Edison International</t>
  </si>
  <si>
    <t>549300I7ROF15MAEVP56</t>
  </si>
  <si>
    <t>US2810201077</t>
  </si>
  <si>
    <t>Enel Americas S.A.</t>
  </si>
  <si>
    <t>549300LKH11TFCJLZK20</t>
  </si>
  <si>
    <t>US29274F1049</t>
  </si>
  <si>
    <t>CL</t>
  </si>
  <si>
    <t>Global</t>
  </si>
  <si>
    <t>kt CO2</t>
  </si>
  <si>
    <t>Entergy Corp.</t>
  </si>
  <si>
    <t>4XM3TW50JULSLG8BNC79</t>
  </si>
  <si>
    <t>US29364G1031</t>
  </si>
  <si>
    <t>Evergy, Inc.</t>
  </si>
  <si>
    <t>549300PGTHDQY6PSUI61</t>
  </si>
  <si>
    <t>US30034W1062</t>
  </si>
  <si>
    <t>Eversource Energy</t>
  </si>
  <si>
    <t>SJ7XXD41SQU3ZNWUJ746</t>
  </si>
  <si>
    <t>US30040W1080</t>
  </si>
  <si>
    <t>Exelon Corp.</t>
  </si>
  <si>
    <t>3SOUA6IRML7435B56G12</t>
  </si>
  <si>
    <t>US30161N1019</t>
  </si>
  <si>
    <t>ExxonMobil</t>
  </si>
  <si>
    <t>J3WHBG0MTS7O8ZVMDC91</t>
  </si>
  <si>
    <t>US30231G1022</t>
  </si>
  <si>
    <t>FirstEnergy Corp.</t>
  </si>
  <si>
    <t>549300SVYJS666PQJH88</t>
  </si>
  <si>
    <t>US3379321074</t>
  </si>
  <si>
    <t>Ford Motor Company</t>
  </si>
  <si>
    <t>20S05OYHG0MQM4VUIC57</t>
  </si>
  <si>
    <t>US3453708600</t>
  </si>
  <si>
    <t>Gpassenger km</t>
  </si>
  <si>
    <t>Fortis, Inc.</t>
  </si>
  <si>
    <t>549300MQYQ9Y065XPR71</t>
  </si>
  <si>
    <t>CA3495531079</t>
  </si>
  <si>
    <t>CA</t>
  </si>
  <si>
    <t>General Motors</t>
  </si>
  <si>
    <t>5493001871EE1F4JHK38</t>
  </si>
  <si>
    <t>US3704421052</t>
  </si>
  <si>
    <t>GERDAU S.A.</t>
  </si>
  <si>
    <t>254900YDV6SEQQPZVG24</t>
  </si>
  <si>
    <t>US3737371050</t>
  </si>
  <si>
    <t>BR</t>
  </si>
  <si>
    <t>Hawaiian Electric Industries, Inc.</t>
  </si>
  <si>
    <t>JJ8FWOCWCV22X7GUPJ23</t>
  </si>
  <si>
    <t>US4198701009</t>
  </si>
  <si>
    <t>Iberdrola S.A.</t>
  </si>
  <si>
    <t>5QK37QC7NWOJ8D7WVQ45</t>
  </si>
  <si>
    <t>ES0144580Y14</t>
  </si>
  <si>
    <t>ES</t>
  </si>
  <si>
    <t>mmboe</t>
  </si>
  <si>
    <t>MDU Resources Group</t>
  </si>
  <si>
    <t>0T6SBMK3JTBI1JR36794</t>
  </si>
  <si>
    <t>US5526901096</t>
  </si>
  <si>
    <t>NUCOR CORP</t>
  </si>
  <si>
    <t>549300GGJCRSI2TIEJ46</t>
  </si>
  <si>
    <t>US6703461052</t>
  </si>
  <si>
    <t>National Grid PLC</t>
  </si>
  <si>
    <t>8R95QZMKZLJX5Q2XR704</t>
  </si>
  <si>
    <t>US6362744095</t>
  </si>
  <si>
    <t>NextEra Energy, Inc.</t>
  </si>
  <si>
    <t>UMI46YPGBLUE4VGNNT48</t>
  </si>
  <si>
    <t>US65339F1012</t>
  </si>
  <si>
    <t>NIPPON STEEL CORP</t>
  </si>
  <si>
    <t>35380065QWQ4U2V3PA33</t>
  </si>
  <si>
    <t>JP3381000003</t>
  </si>
  <si>
    <t>JP</t>
  </si>
  <si>
    <t>Asia</t>
  </si>
  <si>
    <t>Nisource Inc.</t>
  </si>
  <si>
    <t>549300D8GOWWH0SJB189</t>
  </si>
  <si>
    <t>US65473P1057</t>
  </si>
  <si>
    <t>Northwestern Corp.</t>
  </si>
  <si>
    <t>3BPWMBHR1R9SHUN7J795</t>
  </si>
  <si>
    <t>US6680743050</t>
  </si>
  <si>
    <t>OG&amp;E Energy Corp.</t>
  </si>
  <si>
    <t>CE5OG6JPOZMDSA0LAQ19</t>
  </si>
  <si>
    <t>US6708371033</t>
  </si>
  <si>
    <t>PG&amp;E Corp.</t>
  </si>
  <si>
    <t>8YQ2GSDWYZXO2EDN3511</t>
  </si>
  <si>
    <t>US69331C1080</t>
  </si>
  <si>
    <t>PNM Resources, Inc.</t>
  </si>
  <si>
    <t>5493003JOBJGLZSDDQ28</t>
  </si>
  <si>
    <t>US69349H1077</t>
  </si>
  <si>
    <t>POSCO</t>
  </si>
  <si>
    <t>988400E5HRVX81AYLM04</t>
  </si>
  <si>
    <t>KR7005490008</t>
  </si>
  <si>
    <t>KR</t>
  </si>
  <si>
    <t>PPL Corp.</t>
  </si>
  <si>
    <t>9N3UAJSNOUXFKQLF3V18</t>
  </si>
  <si>
    <t>US69351T1060</t>
  </si>
  <si>
    <t>Pinnacle West Capital Corp.</t>
  </si>
  <si>
    <t>TWSEY0NEDUDCKS27AH81</t>
  </si>
  <si>
    <t>US7234841010</t>
  </si>
  <si>
    <t>Portland General Electric Co.</t>
  </si>
  <si>
    <t>GJOUP9M7C39GLSK9R870</t>
  </si>
  <si>
    <t>US7365088472</t>
  </si>
  <si>
    <t>Public Service Enterprise Group</t>
  </si>
  <si>
    <t>PUSS41EMO3E6XXNV3U28</t>
  </si>
  <si>
    <t>US7445731067</t>
  </si>
  <si>
    <t>Saudi Aramco</t>
  </si>
  <si>
    <t>5586006WD91QHB7J4X50</t>
  </si>
  <si>
    <t>2222.SR</t>
  </si>
  <si>
    <t>SA</t>
  </si>
  <si>
    <t>Sempra</t>
  </si>
  <si>
    <t>PBBKGKLRK5S5C0Y4T545</t>
  </si>
  <si>
    <t>US8168511090</t>
  </si>
  <si>
    <t>Shell PLC</t>
  </si>
  <si>
    <t>21380068P1DRHMJ8KU70</t>
  </si>
  <si>
    <t>GB00BP6MXD84</t>
  </si>
  <si>
    <t>EJ</t>
  </si>
  <si>
    <t>Southern Co.</t>
  </si>
  <si>
    <t>549300FC3G3YU2FBZD92</t>
  </si>
  <si>
    <t>US8425871071</t>
  </si>
  <si>
    <t>STEEL DYNAMICS INC</t>
  </si>
  <si>
    <t>549300HGGKEL4FYTTQ83</t>
  </si>
  <si>
    <t>US8581191009</t>
  </si>
  <si>
    <t>TC Energy Corp.</t>
  </si>
  <si>
    <t>549300UGKOFV2IWJJG27</t>
  </si>
  <si>
    <t>CA87807B1076</t>
  </si>
  <si>
    <t>TENARIS SA</t>
  </si>
  <si>
    <t>549300Y7C05BKC4HZB40</t>
  </si>
  <si>
    <t>US88031M1099</t>
  </si>
  <si>
    <t>LU</t>
  </si>
  <si>
    <t>TERNIUM S.A.</t>
  </si>
  <si>
    <t>529900QG4KU23TEI2E46</t>
  </si>
  <si>
    <t>US8808901081</t>
  </si>
  <si>
    <t>Tesla</t>
  </si>
  <si>
    <t>EVK05KS7XY1DEII3R011</t>
  </si>
  <si>
    <t>US88160R1014</t>
  </si>
  <si>
    <t>TIMKENSTEEL CORP</t>
  </si>
  <si>
    <t>549300QZTZWHDE9HJL14</t>
  </si>
  <si>
    <t>US8873991033</t>
  </si>
  <si>
    <t>Toyota Motor Corporation</t>
  </si>
  <si>
    <t>5493006W3QUS5LMH6R84</t>
  </si>
  <si>
    <t>JP3633400001</t>
  </si>
  <si>
    <t>UNITED STATES STEEL CORP</t>
  </si>
  <si>
    <t>JNLUVFYJT1OZSIQ24U47</t>
  </si>
  <si>
    <t>US9129091081</t>
  </si>
  <si>
    <t>Verbund AG</t>
  </si>
  <si>
    <t>5299006UDSEJCTTEJS30</t>
  </si>
  <si>
    <t>AT0000746409</t>
  </si>
  <si>
    <t>AT</t>
  </si>
  <si>
    <t>kWh</t>
  </si>
  <si>
    <t>Versant Power</t>
  </si>
  <si>
    <t>NQZVQT2P5IUF2PGA1Q48</t>
  </si>
  <si>
    <t>CA2908761018</t>
  </si>
  <si>
    <t>Vistra Corp.</t>
  </si>
  <si>
    <t>549300KP43CPCUJOOG15</t>
  </si>
  <si>
    <t>US92840M1027</t>
  </si>
  <si>
    <t>WEC Energy Group</t>
  </si>
  <si>
    <t>549300IGLYTZUK3PVP70</t>
  </si>
  <si>
    <t>US92939U1060</t>
  </si>
  <si>
    <t>WORTHINGTON INDUSTRIES INC</t>
  </si>
  <si>
    <t>1WRCIANKYOIK6KYE5E82</t>
  </si>
  <si>
    <t>US9818111026</t>
  </si>
  <si>
    <t>Xcel Energy, Inc.</t>
  </si>
  <si>
    <t>LGJNMI9GH8XIDG5RCM61</t>
  </si>
  <si>
    <t>US98389B1008</t>
  </si>
  <si>
    <t>netzero_year</t>
  </si>
  <si>
    <t>target_type</t>
  </si>
  <si>
    <t>target_scope</t>
  </si>
  <si>
    <t>target_start_year</t>
  </si>
  <si>
    <t>target_base_year</t>
  </si>
  <si>
    <t>target_base_year_qty</t>
  </si>
  <si>
    <t>target_base_year_unit</t>
  </si>
  <si>
    <t>target_year</t>
  </si>
  <si>
    <t>target_reduction_ambition</t>
  </si>
  <si>
    <t>intensity</t>
  </si>
  <si>
    <t>S1+S2</t>
  </si>
  <si>
    <t>t CO2/MWh</t>
  </si>
  <si>
    <t>absolute</t>
  </si>
  <si>
    <t>S1+S2+S3</t>
  </si>
  <si>
    <t>549300T12EZ1F6PWWU29</t>
  </si>
  <si>
    <t>S1</t>
  </si>
  <si>
    <t>S3</t>
  </si>
  <si>
    <t>g CO2/(passenger km)</t>
  </si>
  <si>
    <t>t CO2/Fe_ton</t>
  </si>
  <si>
    <t>g CO2/MJ</t>
  </si>
  <si>
    <t>g CO2/kWh</t>
  </si>
  <si>
    <t>g CO2/(passenger mi)</t>
  </si>
  <si>
    <t>lb CO2/MWh</t>
  </si>
  <si>
    <t>kg CO2/boe</t>
  </si>
  <si>
    <t>S2</t>
  </si>
  <si>
    <t>Data category</t>
  </si>
  <si>
    <t>Data field</t>
  </si>
  <si>
    <t>Input tab</t>
  </si>
  <si>
    <t>Description</t>
  </si>
  <si>
    <t>Expected value (type/unit)</t>
  </si>
  <si>
    <t>Mandatory/Optional</t>
  </si>
  <si>
    <t>Fundamental Data</t>
  </si>
  <si>
    <t>ITR input data</t>
  </si>
  <si>
    <t>Name of the company in your portfolio</t>
  </si>
  <si>
    <t xml:space="preserve">Text </t>
  </si>
  <si>
    <t>Mandatory</t>
  </si>
  <si>
    <t>Legal entity identifier</t>
  </si>
  <si>
    <t>Optional</t>
  </si>
  <si>
    <t>ISIN (Identifier for the company in your portfolio, used to map target and fundamental data to the company)</t>
  </si>
  <si>
    <t>Country where the company has its headquarter. Used for analysis purposes only.</t>
  </si>
  <si>
    <t>Region where the company has its headquarter. Used for analysis purposes only. The tool uses IPP AR6 regions: https://www.ipcc.ch/report/ar6/wg1/</t>
  </si>
  <si>
    <t>Options: Electricity Utilities, Steel, Oil &amp; Gas, Autos</t>
  </si>
  <si>
    <t>Electricity Utilities, Steel, Oil &amp; Gas, Autos</t>
  </si>
  <si>
    <t>Investment exposure (equity or bond)</t>
  </si>
  <si>
    <t>Equity, Bond</t>
  </si>
  <si>
    <t>Currency of the financial data. All entries should be converted into the SAME currency - EUR or USD</t>
  </si>
  <si>
    <t xml:space="preserve">Date of retrieving the financial data </t>
  </si>
  <si>
    <t>Date (DD.MM.YYYY)</t>
  </si>
  <si>
    <t>Value of public stock in single dollars/euros</t>
  </si>
  <si>
    <t>Monetary value</t>
  </si>
  <si>
    <t>Company revenues in single dollars/euros</t>
  </si>
  <si>
    <t>Enterprise value in single dollars / euros</t>
  </si>
  <si>
    <t>Enterprise value including cash in single dollars / euros</t>
  </si>
  <si>
    <t>Value of assets owned by company in single dollars/euros</t>
  </si>
  <si>
    <t>Emission Metrics</t>
  </si>
  <si>
    <t>emission_metric</t>
  </si>
  <si>
    <t>Emissions Metric (typically CO2)</t>
  </si>
  <si>
    <r>
      <rPr>
        <b/>
        <sz val="11"/>
        <color rgb="FF000000"/>
        <rFont val="Calibri"/>
        <family val="2"/>
        <charset val="1"/>
      </rPr>
      <t xml:space="preserve">CO2: </t>
    </r>
    <r>
      <rPr>
        <sz val="11"/>
        <color rgb="FF000000"/>
        <rFont val="Calibri"/>
        <family val="2"/>
        <charset val="1"/>
      </rPr>
      <t>kg CO2, t CO2, Mt CO2, Gt CO2, etc.</t>
    </r>
  </si>
  <si>
    <t>Production Metrics</t>
  </si>
  <si>
    <t>Intensity Metric (unit of output measured for sector)</t>
  </si>
  <si>
    <r>
      <rPr>
        <b/>
        <sz val="11"/>
        <color rgb="FF000000"/>
        <rFont val="Calibri"/>
        <family val="2"/>
        <charset val="1"/>
      </rPr>
      <t>Electricity</t>
    </r>
    <r>
      <rPr>
        <sz val="11"/>
        <color rgb="FF000000"/>
        <rFont val="Calibri"/>
        <family val="2"/>
        <charset val="1"/>
      </rPr>
      <t xml:space="preserve">:  MWh, TWh, GJ, PJ; 
</t>
    </r>
    <r>
      <rPr>
        <b/>
        <sz val="11"/>
        <color rgb="FF000000"/>
        <rFont val="Calibri"/>
        <family val="2"/>
        <charset val="1"/>
      </rPr>
      <t xml:space="preserve">Steel: </t>
    </r>
    <r>
      <rPr>
        <sz val="11"/>
        <color rgb="FF000000"/>
        <rFont val="Calibri"/>
        <family val="2"/>
        <charset val="1"/>
      </rPr>
      <t xml:space="preserve">Fe_ton, M Fe_ton; </t>
    </r>
    <r>
      <rPr>
        <sz val="11"/>
        <color rgb="FF000000"/>
        <rFont val="Calibri"/>
        <family val="2"/>
      </rPr>
      <t xml:space="preserve"> 
</t>
    </r>
    <r>
      <rPr>
        <b/>
        <sz val="11"/>
        <color rgb="FF000000"/>
        <rFont val="Calibri"/>
        <family val="2"/>
      </rPr>
      <t xml:space="preserve">Oil &amp; Gas: </t>
    </r>
    <r>
      <rPr>
        <sz val="11"/>
        <color rgb="FF000000"/>
        <rFont val="Calibri"/>
        <family val="2"/>
      </rPr>
      <t xml:space="preserve">mboe, PJ;  
</t>
    </r>
    <r>
      <rPr>
        <b/>
        <sz val="11"/>
        <color rgb="FF000000"/>
        <rFont val="Calibri"/>
        <family val="2"/>
      </rPr>
      <t>Autos:</t>
    </r>
    <r>
      <rPr>
        <sz val="11"/>
        <color rgb="FF000000"/>
        <rFont val="Calibri"/>
        <family val="2"/>
      </rPr>
      <t xml:space="preserve"> passenger km, passenger mi </t>
    </r>
  </si>
  <si>
    <t>Emission Data</t>
  </si>
  <si>
    <t>Intensity numerator: Scope 1 emissions timeseries for the past 5 years</t>
  </si>
  <si>
    <t>Number</t>
  </si>
  <si>
    <t>Intensity numerator: Scope 1 emissions timeseries for 2021</t>
  </si>
  <si>
    <t xml:space="preserve">Intensity numerator:  scope 1 emissions timeseries for 2022, only available in 2023. Do not input projected data. </t>
  </si>
  <si>
    <t>DO NOT FILL (data only available next year)</t>
  </si>
  <si>
    <t>Intensity numerator: Scope 2 emissions timeseries for the past 5 years</t>
  </si>
  <si>
    <t>Intensity numerator: Scope 2 emissions timeseries for 2021</t>
  </si>
  <si>
    <t xml:space="preserve">Intensity numerator:  scope 2 emissions timeseries for 2022, only available in 2023. Do not input projected data. </t>
  </si>
  <si>
    <t>Intensity numerator: Scope 1+2 emissions timeseries for the past 5 years</t>
  </si>
  <si>
    <t>Intensity numerator: Scope 1+2 emissions timeseries for 2021</t>
  </si>
  <si>
    <t xml:space="preserve">Intensity numerator:  scope 1+ 2 emissions timeseries for 2022, only available in 2023. Do not input projected data. </t>
  </si>
  <si>
    <t>Intensity numerator: Scope 3 emissions timeseries for the past 5 years</t>
  </si>
  <si>
    <t>Intensity numerator: Scope 3 emissions timeseries for 2021</t>
  </si>
  <si>
    <t xml:space="preserve">Intensity numerator:  scope 3 emissions timeseries for 2022, only available in 2023. Do not input projected data. </t>
  </si>
  <si>
    <t xml:space="preserve">Production data - Power or Steel </t>
  </si>
  <si>
    <t>Intensity denominator: annual steel or power production of the company for the past 5 years</t>
  </si>
  <si>
    <t>Target Data</t>
  </si>
  <si>
    <t>ITR target input data</t>
  </si>
  <si>
    <t xml:space="preserve">Type of target. Can be absolute or intensity based GHG emission reduction target. </t>
  </si>
  <si>
    <t>Absolute, Intensity</t>
  </si>
  <si>
    <t>Target scope (S3 will be taken into account later - however one can include it already to avoid having to refill the template in a few weeks )</t>
  </si>
  <si>
    <t>S1, S2, S1S2, S1S2S3</t>
  </si>
  <si>
    <t>year the target was announced</t>
  </si>
  <si>
    <t>Year (YYYY)</t>
  </si>
  <si>
    <t>Base year of the target</t>
  </si>
  <si>
    <t>Production or Intensity figures  (eg 12 if the target base year emission is 12 t CO2, or 0.98 if the base year intensity is 0.98 Mt CO2/MWh). Targets can be expressed in units as described below (see target_base_year_units field)</t>
  </si>
  <si>
    <t>decimal</t>
  </si>
  <si>
    <t xml:space="preserve">target intensity metric referring to emissions and production data. Units for the numerator (in CO2) and denominator (electricityutilities, steel production, oil &amp; gas, autos) are indicated in the following field. </t>
  </si>
  <si>
    <r>
      <rPr>
        <b/>
        <sz val="11"/>
        <color rgb="FF000000"/>
        <rFont val="Calibri"/>
        <family val="2"/>
        <charset val="1"/>
      </rPr>
      <t>CO2</t>
    </r>
    <r>
      <rPr>
        <sz val="11"/>
        <color rgb="FF000000"/>
        <rFont val="Calibri"/>
        <family val="2"/>
        <charset val="1"/>
      </rPr>
      <t xml:space="preserve">: kg CO2, t CO2, Mt CO2, Gt CO2, etc.; 
</t>
    </r>
    <r>
      <rPr>
        <b/>
        <sz val="11"/>
        <color rgb="FF000000"/>
        <rFont val="Calibri"/>
        <family val="2"/>
        <charset val="1"/>
      </rPr>
      <t>Electricity</t>
    </r>
    <r>
      <rPr>
        <sz val="11"/>
        <color rgb="FF000000"/>
        <rFont val="Calibri"/>
        <family val="2"/>
        <charset val="1"/>
      </rPr>
      <t xml:space="preserve">: MWh, TWh, GJ, PJ; 
</t>
    </r>
    <r>
      <rPr>
        <b/>
        <sz val="11"/>
        <color rgb="FF000000"/>
        <rFont val="Calibri"/>
        <family val="2"/>
        <charset val="1"/>
      </rPr>
      <t>Steel:</t>
    </r>
    <r>
      <rPr>
        <sz val="11"/>
        <color rgb="FF000000"/>
        <rFont val="Calibri"/>
        <family val="2"/>
        <charset val="1"/>
      </rPr>
      <t xml:space="preserve"> Fe_ton, M Fe_ton</t>
    </r>
    <r>
      <rPr>
        <sz val="11"/>
        <color rgb="FF000000"/>
        <rFont val="Calibri"/>
        <family val="2"/>
      </rPr>
      <t xml:space="preserve">; 
</t>
    </r>
    <r>
      <rPr>
        <b/>
        <sz val="11"/>
        <color rgb="FF000000"/>
        <rFont val="Calibri"/>
        <family val="2"/>
      </rPr>
      <t>Oil &amp; Gas:</t>
    </r>
    <r>
      <rPr>
        <sz val="11"/>
        <color rgb="FF000000"/>
        <rFont val="Calibri"/>
        <family val="2"/>
      </rPr>
      <t xml:space="preserve"> mboe, PJ; 
</t>
    </r>
    <r>
      <rPr>
        <b/>
        <sz val="11"/>
        <color rgb="FF000000"/>
        <rFont val="Calibri"/>
        <family val="2"/>
      </rPr>
      <t>Autos:</t>
    </r>
    <r>
      <rPr>
        <sz val="11"/>
        <color rgb="FF000000"/>
        <rFont val="Calibri"/>
        <family val="2"/>
      </rPr>
      <t xml:space="preserve"> passenger mi, M passenger km</t>
    </r>
  </si>
  <si>
    <t xml:space="preserve">year the target should be reached </t>
  </si>
  <si>
    <t>The emission reduction that is set as ambition in the target.</t>
  </si>
  <si>
    <t>percentage</t>
  </si>
  <si>
    <t>Net Zero Ambition</t>
  </si>
  <si>
    <t>netzero_date</t>
  </si>
  <si>
    <t>Target year of net-zero commitment. 0 means the company has not set a target year or that their target for 2050 is not zero.</t>
  </si>
  <si>
    <t>company_isin</t>
  </si>
  <si>
    <t>investment_value</t>
  </si>
  <si>
    <t>Mpassenger km</t>
  </si>
  <si>
    <t>mboe</t>
  </si>
  <si>
    <t>Test1</t>
  </si>
  <si>
    <t>Test2</t>
  </si>
  <si>
    <t>Test3</t>
  </si>
  <si>
    <t>Test4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</si>
</sst>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
  </numFmts>
  <fonts count="24">
    <font>
      <sz val="11"/>
      <color rgb="FF000000"/>
      <name val="Calibri"/>
      <family val="2"/>
      <charset val="1"/>
    </font>
    <font>
      <sz val="11"/>
      <color rgb="FFA6A6A6"/>
      <name val="Calibri (Body)"/>
      <charset val="1"/>
    </font>
    <font>
      <sz val="11"/>
      <color rgb="FFA6A6A6"/>
      <name val="Calibri"/>
      <family val="2"/>
      <charset val="1"/>
    </font>
    <font>
      <i/>
      <sz val="11"/>
      <color rgb="FF808080"/>
      <name val="Calibri"/>
      <family val="2"/>
      <charset val="1"/>
    </font>
    <font>
      <b/>
      <sz val="11"/>
      <color rgb="FF000000"/>
      <name val="Calibri"/>
      <family val="2"/>
      <charset val="1"/>
    </font>
    <font>
      <b/>
      <sz val="11"/>
      <color rgb="FFA6A6A6"/>
      <name val="Calibri"/>
      <family val="2"/>
      <charset val="1"/>
    </font>
    <font>
      <b/>
      <i/>
      <sz val="11"/>
      <color rgb="FF808080"/>
      <name val="Calibri"/>
      <family val="2"/>
      <charset val="1"/>
    </font>
    <font>
      <i/>
      <sz val="11"/>
      <color rgb="FFFF0000"/>
      <name val="Calibri"/>
      <family val="2"/>
      <charset val="1"/>
    </font>
    <font>
      <sz val="11"/>
      <color rgb="FF232323"/>
      <name val="Arial"/>
      <family val="2"/>
      <charset val="1"/>
    </font>
    <font>
      <sz val="11"/>
      <name val="Calibri"/>
      <family val="2"/>
      <charset val="1"/>
    </font>
    <font>
      <sz val="11"/>
      <color rgb="FFFF0000"/>
      <name val="Calibri"/>
      <family val="2"/>
      <charset val="1"/>
    </font>
    <font>
      <sz val="10"/>
      <color rgb="FF000000"/>
      <name val="Tahoma"/>
      <family val="2"/>
      <charset val="1"/>
    </font>
    <font>
      <b/>
      <sz val="11"/>
      <name val="Calibri"/>
      <family val="2"/>
      <charset val="1"/>
    </font>
    <font>
      <b/>
      <sz val="11"/>
      <color rgb="FF808080"/>
      <name val="Calibri"/>
      <family val="2"/>
      <charset val="1"/>
    </font>
    <font>
      <i/>
      <sz val="11"/>
      <color rgb="FF000000"/>
      <name val="Calibri (Body)"/>
      <charset val="1"/>
    </font>
    <font>
      <i/>
      <sz val="11"/>
      <color rgb="FF000000"/>
      <name val="Calibri"/>
      <family val="2"/>
      <charset val="1"/>
    </font>
    <font>
      <sz val="10"/>
      <color rgb="FF000000"/>
      <name val="Arial"/>
      <family val="2"/>
    </font>
    <font>
      <sz val="11"/>
      <color rgb="FF000000"/>
      <name val="Calibri"/>
      <family val="2"/>
    </font>
    <font>
      <sz val="10"/>
      <color rgb="FF000000"/>
      <name val="ArialMT"/>
      <charset val="1"/>
    </font>
    <font>
      <sz val="10"/>
      <color rgb="FF000000"/>
      <name val="Calibri"/>
      <family val="2"/>
      <charset val="1"/>
    </font>
    <font>
      <b/>
      <sz val="11"/>
      <color rgb="FF000000"/>
      <name val="Calibri"/>
      <family val="2"/>
    </font>
    <font>
      <sz val="11"/>
      <color rgb="FFA6A6A6"/>
      <name val="Calibri"/>
      <family val="2"/>
    </font>
    <font>
      <i/>
      <sz val="11"/>
      <name val="Calibri"/>
      <family val="2"/>
      <charset val="1"/>
    </font>
    <font>
      <sz val="10"/>
      <name val="Arial"/>
      <family val="2"/>
    </font>
  </fonts>
  <fills count="19">
    <fill>
      <patternFill patternType="none"/>
    </fill>
    <fill>
      <patternFill patternType="gray125"/>
    </fill>
    <fill>
      <patternFill patternType="solid">
        <fgColor rgb="FFFFC000"/>
        <bgColor rgb="FFFF9900"/>
      </patternFill>
    </fill>
    <fill>
      <patternFill patternType="solid">
        <fgColor rgb="FF4472C4"/>
        <bgColor rgb="FF666699"/>
      </patternFill>
    </fill>
    <fill>
      <patternFill patternType="solid">
        <fgColor rgb="FFA5A5A5"/>
        <bgColor rgb="FFA6A6A6"/>
      </patternFill>
    </fill>
    <fill>
      <patternFill patternType="solid">
        <fgColor rgb="FFC9C9C9"/>
        <bgColor rgb="FFCCCCFF"/>
      </patternFill>
    </fill>
    <fill>
      <patternFill patternType="solid">
        <fgColor rgb="FFE7E6E6"/>
        <bgColor rgb="FFE2F0D9"/>
      </patternFill>
    </fill>
    <fill>
      <patternFill patternType="solid">
        <fgColor rgb="FFED7D31"/>
        <bgColor rgb="FFFF8080"/>
      </patternFill>
    </fill>
    <fill>
      <patternFill patternType="solid">
        <fgColor rgb="FFE2F0D9"/>
        <bgColor rgb="FFE7E6E6"/>
      </patternFill>
    </fill>
    <fill>
      <patternFill patternType="solid">
        <fgColor rgb="FFFFCC99"/>
        <bgColor rgb="FFFFD966"/>
      </patternFill>
    </fill>
    <fill>
      <patternFill patternType="solid">
        <fgColor rgb="FFFFFF00"/>
        <bgColor rgb="FFFFFF00"/>
      </patternFill>
    </fill>
    <fill>
      <patternFill patternType="solid">
        <fgColor rgb="FFFFD966"/>
        <bgColor rgb="FFFFCC99"/>
      </patternFill>
    </fill>
    <fill>
      <patternFill patternType="solid">
        <fgColor rgb="FFA9D18E"/>
        <bgColor rgb="FFC9C9C9"/>
      </patternFill>
    </fill>
    <fill>
      <patternFill patternType="solid">
        <fgColor rgb="FFF2F2F2"/>
        <bgColor rgb="FFE7E6E6"/>
      </patternFill>
    </fill>
    <fill>
      <patternFill patternType="solid">
        <fgColor rgb="FFFFF2CC"/>
        <bgColor rgb="FFF2F2F2"/>
      </patternFill>
    </fill>
    <fill>
      <patternFill patternType="solid">
        <fgColor rgb="FF808080"/>
        <bgColor rgb="FF666699"/>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02">
    <xf numFmtId="0" fontId="0" fillId="0" borderId="0" xfId="0"/>
    <xf numFmtId="0" fontId="1" fillId="0" borderId="0" xfId="0" applyFont="1"/>
    <xf numFmtId="0" fontId="2" fillId="0" borderId="0" xfId="0" applyFont="1"/>
    <xf numFmtId="164" fontId="0" fillId="0" borderId="0" xfId="0" applyNumberFormat="1"/>
    <xf numFmtId="0" fontId="3" fillId="0" borderId="0" xfId="0" applyFont="1"/>
    <xf numFmtId="0" fontId="4" fillId="2" borderId="0" xfId="0" applyFont="1" applyFill="1"/>
    <xf numFmtId="0" fontId="5" fillId="2" borderId="0" xfId="0" applyFont="1" applyFill="1"/>
    <xf numFmtId="164" fontId="4" fillId="2" borderId="0" xfId="0" applyNumberFormat="1" applyFont="1" applyFill="1"/>
    <xf numFmtId="0" fontId="4" fillId="3" borderId="0" xfId="0" applyFont="1" applyFill="1" applyBorder="1" applyAlignment="1">
      <alignment vertical="center" wrapText="1"/>
    </xf>
    <xf numFmtId="0" fontId="4" fillId="4" borderId="0" xfId="0" applyFont="1" applyFill="1"/>
    <xf numFmtId="0" fontId="6" fillId="4" borderId="0" xfId="0" applyFont="1" applyFill="1"/>
    <xf numFmtId="0" fontId="4" fillId="5" borderId="0" xfId="0" applyFont="1" applyFill="1" applyAlignment="1">
      <alignment wrapText="1"/>
    </xf>
    <xf numFmtId="0" fontId="6" fillId="5" borderId="0" xfId="0" applyFont="1" applyFill="1" applyAlignment="1">
      <alignment wrapText="1"/>
    </xf>
    <xf numFmtId="0" fontId="4" fillId="6" borderId="0" xfId="0" applyFont="1" applyFill="1" applyAlignment="1">
      <alignment wrapText="1"/>
    </xf>
    <xf numFmtId="0" fontId="4" fillId="6" borderId="0" xfId="0" applyFont="1" applyFill="1"/>
    <xf numFmtId="0" fontId="6" fillId="6" borderId="0" xfId="0" applyFont="1" applyFill="1"/>
    <xf numFmtId="0" fontId="4" fillId="7" borderId="0" xfId="0" applyFont="1" applyFill="1"/>
    <xf numFmtId="0" fontId="4" fillId="0" borderId="0" xfId="0" applyFont="1"/>
    <xf numFmtId="0" fontId="7" fillId="0" borderId="0" xfId="0" applyFont="1"/>
    <xf numFmtId="0" fontId="0" fillId="8" borderId="0" xfId="0" applyFill="1"/>
    <xf numFmtId="3" fontId="0" fillId="0" borderId="0" xfId="0" applyNumberFormat="1"/>
    <xf numFmtId="3" fontId="8" fillId="0" borderId="0" xfId="0" applyNumberFormat="1" applyFont="1"/>
    <xf numFmtId="11" fontId="0" fillId="0" borderId="0" xfId="0" applyNumberFormat="1"/>
    <xf numFmtId="0" fontId="0" fillId="0" borderId="0" xfId="0" applyFont="1"/>
    <xf numFmtId="4" fontId="0" fillId="9" borderId="0" xfId="0" applyNumberFormat="1" applyFill="1"/>
    <xf numFmtId="0" fontId="0" fillId="10" borderId="0" xfId="0" applyFill="1"/>
    <xf numFmtId="3" fontId="0" fillId="0" borderId="0" xfId="0" applyNumberFormat="1" applyFont="1" applyAlignment="1">
      <alignment horizontal="right" vertical="top"/>
    </xf>
    <xf numFmtId="3" fontId="9" fillId="0" borderId="0" xfId="0" applyNumberFormat="1" applyFont="1" applyAlignment="1">
      <alignment horizontal="right" vertical="top"/>
    </xf>
    <xf numFmtId="3" fontId="0" fillId="0" borderId="0" xfId="0" applyNumberFormat="1" applyAlignment="1">
      <alignment vertical="top"/>
    </xf>
    <xf numFmtId="0" fontId="0" fillId="10" borderId="0" xfId="0" applyFont="1" applyFill="1"/>
    <xf numFmtId="0" fontId="9" fillId="0" borderId="0" xfId="0" applyFont="1"/>
    <xf numFmtId="0" fontId="0" fillId="0" borderId="0" xfId="0" applyAlignment="1">
      <alignment wrapText="1"/>
    </xf>
    <xf numFmtId="3" fontId="10" fillId="0" borderId="0" xfId="0" applyNumberFormat="1" applyFont="1"/>
    <xf numFmtId="0" fontId="10" fillId="0" borderId="0" xfId="0" applyFont="1"/>
    <xf numFmtId="11" fontId="0" fillId="0" borderId="0" xfId="0" applyNumberFormat="1" applyFont="1"/>
    <xf numFmtId="0" fontId="12" fillId="11" borderId="0" xfId="0" applyFont="1" applyFill="1"/>
    <xf numFmtId="0" fontId="12" fillId="12" borderId="0" xfId="0" applyFont="1" applyFill="1"/>
    <xf numFmtId="0" fontId="13" fillId="12" borderId="0" xfId="0" applyFont="1" applyFill="1"/>
    <xf numFmtId="0" fontId="4" fillId="12" borderId="0" xfId="0" applyFont="1" applyFill="1"/>
    <xf numFmtId="0" fontId="14" fillId="0" borderId="0" xfId="0" applyFont="1"/>
    <xf numFmtId="0" fontId="15" fillId="0" borderId="0" xfId="0" applyFont="1"/>
    <xf numFmtId="0" fontId="16" fillId="0" borderId="0" xfId="0" applyFont="1"/>
    <xf numFmtId="9" fontId="15" fillId="0" borderId="0" xfId="0" applyNumberFormat="1" applyFont="1"/>
    <xf numFmtId="9" fontId="0" fillId="0" borderId="0" xfId="0" applyNumberFormat="1"/>
    <xf numFmtId="0" fontId="0" fillId="13" borderId="0" xfId="0" applyFont="1" applyFill="1"/>
    <xf numFmtId="9" fontId="7" fillId="0" borderId="0" xfId="0" applyNumberFormat="1" applyFont="1"/>
    <xf numFmtId="0" fontId="0" fillId="2" borderId="0" xfId="0" applyFill="1"/>
    <xf numFmtId="3" fontId="0" fillId="0" borderId="0" xfId="0" applyNumberFormat="1" applyAlignment="1">
      <alignment horizontal="right" vertical="center"/>
    </xf>
    <xf numFmtId="3" fontId="18" fillId="0" borderId="0" xfId="0" applyNumberFormat="1" applyFont="1"/>
    <xf numFmtId="165" fontId="0" fillId="0" borderId="0" xfId="0" applyNumberFormat="1"/>
    <xf numFmtId="165" fontId="0" fillId="9" borderId="0" xfId="0" applyNumberFormat="1" applyFill="1"/>
    <xf numFmtId="9" fontId="0" fillId="9" borderId="0" xfId="0" applyNumberFormat="1" applyFill="1"/>
    <xf numFmtId="0" fontId="9" fillId="2" borderId="0" xfId="0" applyFont="1" applyFill="1"/>
    <xf numFmtId="9" fontId="9" fillId="2" borderId="0" xfId="0" applyNumberFormat="1" applyFont="1" applyFill="1"/>
    <xf numFmtId="0" fontId="0" fillId="0" borderId="0" xfId="0" applyAlignment="1">
      <alignment vertical="center"/>
    </xf>
    <xf numFmtId="0" fontId="0" fillId="0" borderId="0" xfId="0" applyAlignment="1">
      <alignment vertical="center" wrapText="1"/>
    </xf>
    <xf numFmtId="0" fontId="4" fillId="14" borderId="1" xfId="0" applyFont="1" applyFill="1" applyBorder="1" applyAlignment="1">
      <alignment vertical="center"/>
    </xf>
    <xf numFmtId="0" fontId="4" fillId="14" borderId="2" xfId="0" applyFont="1" applyFill="1" applyBorder="1" applyAlignment="1">
      <alignment vertical="center" wrapText="1"/>
    </xf>
    <xf numFmtId="0" fontId="4" fillId="14" borderId="2" xfId="0" applyFont="1" applyFill="1" applyBorder="1" applyAlignment="1">
      <alignment wrapText="1"/>
    </xf>
    <xf numFmtId="0" fontId="4" fillId="14" borderId="2" xfId="0" applyFont="1" applyFill="1" applyBorder="1"/>
    <xf numFmtId="0" fontId="4" fillId="14" borderId="3" xfId="0" applyFont="1" applyFill="1" applyBorder="1"/>
    <xf numFmtId="0" fontId="0" fillId="2" borderId="0" xfId="0" applyFont="1" applyFill="1" applyAlignment="1">
      <alignment vertical="center"/>
    </xf>
    <xf numFmtId="0" fontId="4" fillId="0" borderId="0" xfId="0"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Border="1" applyAlignment="1">
      <alignment vertical="center" wrapText="1"/>
    </xf>
    <xf numFmtId="0" fontId="0" fillId="0" borderId="0" xfId="0" applyFont="1" applyBorder="1"/>
    <xf numFmtId="0" fontId="6"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xf numFmtId="0" fontId="0" fillId="0" borderId="0" xfId="0" applyFont="1" applyBorder="1" applyAlignment="1">
      <alignment wrapText="1"/>
    </xf>
    <xf numFmtId="0" fontId="17" fillId="0" borderId="0" xfId="0" applyFont="1" applyBorder="1" applyAlignment="1">
      <alignment wrapText="1"/>
    </xf>
    <xf numFmtId="164" fontId="4" fillId="0" borderId="0" xfId="0" applyNumberFormat="1" applyFont="1" applyBorder="1" applyAlignment="1">
      <alignment horizontal="left" vertical="center" wrapText="1"/>
    </xf>
    <xf numFmtId="0" fontId="0" fillId="3" borderId="0" xfId="0" applyFont="1" applyFill="1" applyBorder="1" applyAlignment="1">
      <alignment vertical="center" wrapText="1"/>
    </xf>
    <xf numFmtId="0" fontId="4" fillId="0" borderId="0" xfId="0" applyFont="1" applyBorder="1" applyAlignment="1">
      <alignment vertical="center" wrapText="1"/>
    </xf>
    <xf numFmtId="0" fontId="0" fillId="0" borderId="0" xfId="0" applyFont="1" applyBorder="1" applyAlignment="1">
      <alignment vertical="center"/>
    </xf>
    <xf numFmtId="0" fontId="0" fillId="4" borderId="0" xfId="0" applyFont="1" applyFill="1" applyBorder="1" applyAlignment="1">
      <alignment vertical="center"/>
    </xf>
    <xf numFmtId="0" fontId="4" fillId="6" borderId="0" xfId="0" applyFont="1" applyFill="1" applyAlignment="1">
      <alignment vertical="center" wrapText="1"/>
    </xf>
    <xf numFmtId="0" fontId="7" fillId="0" borderId="0" xfId="0" applyFont="1" applyBorder="1" applyAlignment="1">
      <alignment wrapText="1"/>
    </xf>
    <xf numFmtId="0" fontId="15" fillId="0" borderId="0" xfId="0" applyFont="1" applyBorder="1"/>
    <xf numFmtId="0" fontId="4" fillId="5" borderId="0" xfId="0" applyFont="1" applyFill="1" applyAlignment="1">
      <alignment vertical="center" wrapText="1"/>
    </xf>
    <xf numFmtId="0" fontId="4" fillId="15" borderId="0" xfId="0" applyFont="1" applyFill="1" applyAlignment="1">
      <alignment vertical="center" wrapText="1"/>
    </xf>
    <xf numFmtId="0" fontId="0" fillId="7" borderId="0" xfId="0" applyFont="1" applyFill="1" applyBorder="1" applyAlignment="1">
      <alignment vertical="center" wrapText="1"/>
    </xf>
    <xf numFmtId="0" fontId="0" fillId="12" borderId="0" xfId="0" applyFont="1" applyFill="1" applyAlignment="1">
      <alignment vertical="center"/>
    </xf>
    <xf numFmtId="0" fontId="3" fillId="0" borderId="0" xfId="0" applyFont="1" applyBorder="1" applyAlignment="1">
      <alignment wrapText="1"/>
    </xf>
    <xf numFmtId="0" fontId="4" fillId="0" borderId="0" xfId="0" applyFont="1" applyBorder="1" applyAlignment="1">
      <alignment wrapText="1"/>
    </xf>
    <xf numFmtId="0" fontId="9" fillId="11" borderId="0" xfId="0" applyFont="1" applyFill="1" applyAlignment="1">
      <alignment vertical="center"/>
    </xf>
    <xf numFmtId="0" fontId="0" fillId="16" borderId="0" xfId="0" applyFill="1"/>
    <xf numFmtId="0" fontId="1" fillId="16" borderId="0" xfId="0" applyFont="1" applyFill="1"/>
    <xf numFmtId="0" fontId="9" fillId="16" borderId="0" xfId="0" applyFont="1" applyFill="1"/>
    <xf numFmtId="0" fontId="10" fillId="16" borderId="0" xfId="0" applyFont="1" applyFill="1"/>
    <xf numFmtId="3" fontId="0" fillId="16" borderId="0" xfId="0" applyNumberFormat="1" applyFill="1"/>
    <xf numFmtId="0" fontId="15" fillId="16" borderId="0" xfId="0" applyFont="1" applyFill="1"/>
    <xf numFmtId="9" fontId="0" fillId="16" borderId="0" xfId="0" applyNumberFormat="1" applyFill="1"/>
    <xf numFmtId="0" fontId="0" fillId="0" borderId="0" xfId="0" applyFill="1"/>
    <xf numFmtId="0" fontId="0" fillId="17" borderId="0" xfId="0" applyFill="1"/>
    <xf numFmtId="0" fontId="0" fillId="0" borderId="0" xfId="0" applyFont="1" applyFill="1"/>
    <xf numFmtId="3" fontId="0" fillId="16" borderId="0" xfId="0" applyNumberFormat="1" applyFont="1" applyFill="1" applyAlignment="1">
      <alignment horizontal="right" vertical="top"/>
    </xf>
    <xf numFmtId="0" fontId="0" fillId="18" borderId="0" xfId="0" applyFill="1"/>
    <xf numFmtId="0" fontId="21" fillId="0" borderId="0" xfId="0" applyFont="1"/>
    <xf numFmtId="0" fontId="22" fillId="0" borderId="0" xfId="0" applyFont="1"/>
    <xf numFmtId="0" fontId="23" fillId="0" borderId="0" xfId="0" applyFont="1"/>
    <xf numFmtId="9" fontId="22" fillId="0" borderId="0" xfId="0" applyNumberFormat="1" applyFont="1"/>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A6A6A6"/>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D966"/>
      <rgbColor rgb="FFA9D18E"/>
      <rgbColor rgb="FFFF99CC"/>
      <rgbColor rgb="FFCC99FF"/>
      <rgbColor rgb="FFFFCC99"/>
      <rgbColor rgb="FF4472C4"/>
      <rgbColor rgb="FF33CCCC"/>
      <rgbColor rgb="FF99CC00"/>
      <rgbColor rgb="FFFFC000"/>
      <rgbColor rgb="FFFF9900"/>
      <rgbColor rgb="FFED7D31"/>
      <rgbColor rgb="FF666699"/>
      <rgbColor rgb="FFA5A5A5"/>
      <rgbColor rgb="FF003366"/>
      <rgbColor rgb="FF339966"/>
      <rgbColor rgb="FF003300"/>
      <rgbColor rgb="FF333300"/>
      <rgbColor rgb="FF993300"/>
      <rgbColor rgb="FF993366"/>
      <rgbColor rgb="FF333399"/>
      <rgbColor rgb="FF2323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425520</xdr:colOff>
      <xdr:row>1</xdr:row>
      <xdr:rowOff>57240</xdr:rowOff>
    </xdr:from>
    <xdr:to>
      <xdr:col>10</xdr:col>
      <xdr:colOff>62280</xdr:colOff>
      <xdr:row>52</xdr:row>
      <xdr:rowOff>117360</xdr:rowOff>
    </xdr:to>
    <xdr:sp macro="" textlink="">
      <xdr:nvSpPr>
        <xdr:cNvPr id="2" name="TextBox 1">
          <a:extLst>
            <a:ext uri="{FF2B5EF4-FFF2-40B4-BE49-F238E27FC236}">
              <a16:creationId xmlns:a16="http://schemas.microsoft.com/office/drawing/2014/main" id="{00000000-0008-0000-0000-000002000000}"/>
            </a:ext>
          </a:extLst>
        </xdr:cNvPr>
        <xdr:cNvSpPr/>
      </xdr:nvSpPr>
      <xdr:spPr>
        <a:xfrm>
          <a:off x="425520" y="247680"/>
          <a:ext cx="5770800" cy="977580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100" b="1" strike="noStrike" spc="-1">
              <a:solidFill>
                <a:srgbClr val="000000"/>
              </a:solidFill>
              <a:latin typeface="Calibri"/>
            </a:rPr>
            <a:t>ITR Input data template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ITR tool can compute the temperature alignment equivalent for companies in four highest emitting sectors: Utilities, Steel, Oil and Gas and Automobiles.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To calculate  temperature alignment scores, the tool requires several types of data, in 2 separate tabs: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Input data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1" strike="noStrike" spc="-1">
              <a:solidFill>
                <a:srgbClr val="000000"/>
              </a:solidFill>
              <a:latin typeface="Calibri"/>
            </a:rPr>
            <a:t>Fundamental data: </a:t>
          </a:r>
          <a:r>
            <a:rPr lang="en-US" sz="1100" b="0" strike="noStrike" spc="-1">
              <a:solidFill>
                <a:srgbClr val="000000"/>
              </a:solidFill>
              <a:latin typeface="Calibri"/>
            </a:rPr>
            <a:t>information on a security level about your investments such as name, identifiers, and investment values.</a:t>
          </a:r>
          <a:endParaRPr lang="en-US" sz="1100" b="0" strike="noStrike" spc="-1">
            <a:latin typeface="Times New Roman"/>
          </a:endParaRPr>
        </a:p>
        <a:p>
          <a:pPr>
            <a:lnSpc>
              <a:spcPct val="100000"/>
            </a:lnSpc>
          </a:pPr>
          <a:r>
            <a:rPr lang="en-US" sz="1100" b="1" strike="noStrike" spc="-1">
              <a:solidFill>
                <a:srgbClr val="000000"/>
              </a:solidFill>
              <a:latin typeface="Calibri"/>
            </a:rPr>
            <a:t>Emissions data: </a:t>
          </a:r>
          <a:r>
            <a:rPr lang="en-US" sz="1100" b="0" strike="noStrike" spc="-1">
              <a:solidFill>
                <a:srgbClr val="000000"/>
              </a:solidFill>
              <a:latin typeface="Calibri"/>
            </a:rPr>
            <a:t>Reported GHG emissions for the past 5 years (timeseries) for scope 1 and scope 2 of investee companies </a:t>
          </a:r>
          <a:endParaRPr lang="en-US" sz="1100" b="0" strike="noStrike" spc="-1">
            <a:latin typeface="Times New Roman"/>
          </a:endParaRPr>
        </a:p>
        <a:p>
          <a:pPr>
            <a:lnSpc>
              <a:spcPct val="100000"/>
            </a:lnSpc>
          </a:pPr>
          <a:r>
            <a:rPr lang="en-US" sz="1100" b="1" strike="noStrike" spc="-1">
              <a:solidFill>
                <a:srgbClr val="000000"/>
              </a:solidFill>
              <a:latin typeface="Calibri"/>
            </a:rPr>
            <a:t>Production data</a:t>
          </a:r>
          <a:r>
            <a:rPr lang="en-US" sz="1100" b="0" strike="noStrike" spc="-1">
              <a:solidFill>
                <a:srgbClr val="000000"/>
              </a:solidFill>
              <a:latin typeface="Calibri"/>
            </a:rPr>
            <a:t>: reported production data specific to each sector of investee companies, for the past 5 years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Target input data:</a:t>
          </a:r>
          <a:endParaRPr lang="en-US" sz="1100" b="0" strike="noStrike" spc="-1">
            <a:latin typeface="Times New Roman"/>
          </a:endParaRPr>
        </a:p>
        <a:p>
          <a:pPr>
            <a:lnSpc>
              <a:spcPct val="100000"/>
            </a:lnSpc>
          </a:pPr>
          <a:r>
            <a:rPr lang="en-US" sz="1100" b="1" strike="noStrike" spc="-1">
              <a:solidFill>
                <a:srgbClr val="000000"/>
              </a:solidFill>
              <a:latin typeface="Calibri"/>
            </a:rPr>
            <a:t>Target data: </a:t>
          </a:r>
          <a:r>
            <a:rPr lang="en-US" sz="1100" b="0" strike="noStrike" spc="-1">
              <a:solidFill>
                <a:srgbClr val="000000"/>
              </a:solidFill>
              <a:latin typeface="Calibri"/>
            </a:rPr>
            <a:t>Data about the scope &amp; characteristics of the target set by investee companies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As a user, you will need to supply information about the portfolio and all investee companies on a security level in the "</a:t>
          </a:r>
          <a:r>
            <a:rPr lang="en-US" sz="1100" b="1" strike="noStrike" spc="-1">
              <a:solidFill>
                <a:srgbClr val="000000"/>
              </a:solidFill>
              <a:latin typeface="Calibri"/>
            </a:rPr>
            <a:t>ITR input data</a:t>
          </a:r>
          <a:r>
            <a:rPr lang="en-US" sz="1100" b="0" strike="noStrike" spc="-1">
              <a:solidFill>
                <a:srgbClr val="000000"/>
              </a:solidFill>
              <a:latin typeface="Calibri"/>
            </a:rPr>
            <a:t>" tab and in the "</a:t>
          </a:r>
          <a:r>
            <a:rPr lang="en-US" sz="1100" b="1" strike="noStrike" spc="-1">
              <a:solidFill>
                <a:srgbClr val="000000"/>
              </a:solidFill>
              <a:latin typeface="Calibri"/>
            </a:rPr>
            <a:t>ITR target input data</a:t>
          </a:r>
          <a:r>
            <a:rPr lang="en-US" sz="1100" b="0" strike="noStrike" spc="-1">
              <a:solidFill>
                <a:srgbClr val="000000"/>
              </a:solidFill>
              <a:latin typeface="Calibri"/>
            </a:rPr>
            <a:t>" tab. The </a:t>
          </a:r>
          <a:r>
            <a:rPr lang="en-US" sz="1100" b="1" strike="noStrike" spc="-1">
              <a:solidFill>
                <a:srgbClr val="000000"/>
              </a:solidFill>
              <a:latin typeface="Calibri"/>
            </a:rPr>
            <a:t>input data </a:t>
          </a:r>
          <a:r>
            <a:rPr lang="en-US" sz="1100" b="0" strike="noStrike" spc="-1">
              <a:solidFill>
                <a:srgbClr val="000000"/>
              </a:solidFill>
              <a:latin typeface="Calibri"/>
            </a:rPr>
            <a:t>includes both fundamental data as well as historic information on emissions and production levels for the past 5 years that are required to compute ITR results. The target data includes </a:t>
          </a:r>
          <a:r>
            <a:rPr lang="en-US" sz="1100" b="1" strike="noStrike" spc="-1">
              <a:solidFill>
                <a:srgbClr val="000000"/>
              </a:solidFill>
              <a:latin typeface="Calibri"/>
            </a:rPr>
            <a:t>reduction ambition, scope, begin and end year of the target </a:t>
          </a:r>
          <a:r>
            <a:rPr lang="en-US" sz="1100" b="0" strike="noStrike" spc="-1">
              <a:solidFill>
                <a:srgbClr val="000000"/>
              </a:solidFill>
              <a:latin typeface="Calibri"/>
            </a:rPr>
            <a:t>also required to compute the ITR result.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Once you have filled the input and target templates...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comes with several scenarios related to emission intensity and production projections from OECM and TPI.  It is possible to add other benchmark scenarios to the tool, but beyond the scope of this document.</a:t>
          </a:r>
          <a:endParaRPr lang="en-US" sz="1100" b="0" strike="noStrike" spc="-1">
            <a:latin typeface="Times New Roman"/>
          </a:endParaRPr>
        </a:p>
        <a:p>
          <a:pPr>
            <a:lnSpc>
              <a:spcPct val="100000"/>
            </a:lnSpc>
          </a:pPr>
          <a:r>
            <a:rPr lang="en-US" sz="1100" b="0" strike="noStrike" spc="-1">
              <a:solidFill>
                <a:srgbClr val="000000"/>
              </a:solidFill>
              <a:latin typeface="Calibri"/>
            </a:rPr>
            <a:t>Please contact the ITR tool team if you would like to add additional scenarios for testing or evaluation purposes.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will compute projections based on benchmark projections, as well as both stated targets (target projections) and an extrapolation of the past 5 years of performance (trajectory projections).  The target projections are computed against both near-term (typically 2030) and long-term goals (stated netzero attainment goals, typically 2040 or 2050). With those projections computed, the tool will calculate the Implied Temperature Rise of each portfolio company as pair of temperature scores that that the user can then evaluate in a number of ways.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Output:</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GUI of the tool allows the user to assign, on a position-by-position basis,  a probability that the subject company will succeed in hitting their (presumably more aggressive) stated targets vs. merely continuing on the path of the past 5 years of carbon reductions.  When probabilities are not set the tool assigns a probability of 50%.</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user can also select how they want to weight each position's temperature score to compute an overall temperature score for their portfolio.  The effects of the weightings can be visualized in the tools GUI, and can also be downloaded as an additional column of data as an enrichment to the submitted portfolio.  The weighting methods are:</a:t>
          </a:r>
          <a:endParaRPr lang="en-US" sz="1100" b="0" strike="noStrike" spc="-1">
            <a:latin typeface="Times New Roman"/>
          </a:endParaRPr>
        </a:p>
        <a:p>
          <a:pPr>
            <a:lnSpc>
              <a:spcPct val="100000"/>
            </a:lnSpc>
          </a:pPr>
          <a:r>
            <a:rPr lang="en-US" sz="1100" b="0" strike="noStrike" spc="-1">
              <a:solidFill>
                <a:srgbClr val="000000"/>
              </a:solidFill>
              <a:latin typeface="Calibri"/>
            </a:rPr>
            <a:t>* WATS = weighted average size of position in portfolio</a:t>
          </a:r>
          <a:endParaRPr lang="en-US" sz="1100" b="0" strike="noStrike" spc="-1">
            <a:latin typeface="Times New Roman"/>
          </a:endParaRPr>
        </a:p>
        <a:p>
          <a:pPr>
            <a:lnSpc>
              <a:spcPct val="100000"/>
            </a:lnSpc>
          </a:pPr>
          <a:r>
            <a:rPr lang="en-US" sz="1100" b="0" strike="noStrike" spc="-1">
              <a:solidFill>
                <a:srgbClr val="000000"/>
              </a:solidFill>
              <a:latin typeface="Calibri"/>
            </a:rPr>
            <a:t>* TETS = weighted based on total emissions</a:t>
          </a:r>
          <a:endParaRPr lang="en-US" sz="1100" b="0" strike="noStrike" spc="-1">
            <a:latin typeface="Times New Roman"/>
          </a:endParaRPr>
        </a:p>
        <a:p>
          <a:pPr>
            <a:lnSpc>
              <a:spcPct val="100000"/>
            </a:lnSpc>
          </a:pPr>
          <a:r>
            <a:rPr lang="en-US" sz="1100" b="0" strike="noStrike" spc="-1">
              <a:solidFill>
                <a:srgbClr val="000000"/>
              </a:solidFill>
              <a:latin typeface="Calibri"/>
            </a:rPr>
            <a:t>* MOTS = market cap weights</a:t>
          </a:r>
          <a:endParaRPr lang="en-US" sz="1100" b="0" strike="noStrike" spc="-1">
            <a:latin typeface="Times New Roman"/>
          </a:endParaRPr>
        </a:p>
        <a:p>
          <a:pPr>
            <a:lnSpc>
              <a:spcPct val="100000"/>
            </a:lnSpc>
          </a:pPr>
          <a:r>
            <a:rPr lang="en-US" sz="1100" b="0" strike="noStrike" spc="-1">
              <a:solidFill>
                <a:srgbClr val="000000"/>
              </a:solidFill>
              <a:latin typeface="Calibri"/>
            </a:rPr>
            <a:t>* EOTS = enterprise value weights</a:t>
          </a:r>
          <a:endParaRPr lang="en-US" sz="1100" b="0" strike="noStrike" spc="-1">
            <a:latin typeface="Times New Roman"/>
          </a:endParaRPr>
        </a:p>
        <a:p>
          <a:pPr>
            <a:lnSpc>
              <a:spcPct val="100000"/>
            </a:lnSpc>
          </a:pPr>
          <a:r>
            <a:rPr lang="en-US" sz="1100" b="0" strike="noStrike" spc="-1">
              <a:solidFill>
                <a:srgbClr val="000000"/>
              </a:solidFill>
              <a:latin typeface="Calibri"/>
            </a:rPr>
            <a:t>* ECOTS = EVIC weights</a:t>
          </a:r>
          <a:endParaRPr lang="en-US" sz="1100" b="0" strike="noStrike" spc="-1">
            <a:latin typeface="Times New Roman"/>
          </a:endParaRPr>
        </a:p>
        <a:p>
          <a:pPr>
            <a:lnSpc>
              <a:spcPct val="100000"/>
            </a:lnSpc>
          </a:pPr>
          <a:r>
            <a:rPr lang="en-US" sz="1100" b="0" strike="noStrike" spc="-1">
              <a:solidFill>
                <a:srgbClr val="000000"/>
              </a:solidFill>
              <a:latin typeface="Calibri"/>
            </a:rPr>
            <a:t>* AOTS = asset weights</a:t>
          </a:r>
          <a:endParaRPr lang="en-US" sz="1100" b="0" strike="noStrike" spc="-1">
            <a:latin typeface="Times New Roman"/>
          </a:endParaRPr>
        </a:p>
        <a:p>
          <a:pPr>
            <a:lnSpc>
              <a:spcPct val="100000"/>
            </a:lnSpc>
          </a:pPr>
          <a:r>
            <a:rPr lang="en-US" sz="1100" b="0" strike="noStrike" spc="-1">
              <a:solidFill>
                <a:srgbClr val="000000"/>
              </a:solidFill>
              <a:latin typeface="Calibri"/>
            </a:rPr>
            <a:t>* ROTS = revenue weights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i="1" strike="noStrike" spc="-1">
              <a:solidFill>
                <a:srgbClr val="000000"/>
              </a:solidFill>
              <a:latin typeface="Calibri"/>
            </a:rPr>
            <a:t>If you have any questions, please reach out to: </a:t>
          </a:r>
          <a:endParaRPr lang="en-US" sz="1100" b="0" strike="noStrike" spc="-1">
            <a:latin typeface="Times New Roman"/>
          </a:endParaRPr>
        </a:p>
        <a:p>
          <a:pPr>
            <a:lnSpc>
              <a:spcPct val="100000"/>
            </a:lnSpc>
          </a:pPr>
          <a:r>
            <a:rPr lang="en-US" sz="1100" b="0" strike="noStrike" spc="-1">
              <a:solidFill>
                <a:srgbClr val="000000"/>
              </a:solidFill>
              <a:latin typeface="Calibri"/>
            </a:rPr>
            <a:t>Franz.Croonenbrock@metafinanz.de</a:t>
          </a:r>
          <a:endParaRPr lang="en-US" sz="1100" b="0" strike="noStrike" spc="-1">
            <a:latin typeface="Times New Roman"/>
          </a:endParaRPr>
        </a:p>
        <a:p>
          <a:pPr>
            <a:lnSpc>
              <a:spcPct val="100000"/>
            </a:lnSpc>
          </a:pPr>
          <a:r>
            <a:rPr lang="en-US" sz="1100" b="0" strike="noStrike" spc="-1">
              <a:solidFill>
                <a:srgbClr val="000000"/>
              </a:solidFill>
              <a:latin typeface="Calibri"/>
            </a:rPr>
            <a:t>roland.oehen-kanzow@metafinanz.de</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50" zoomScaleNormal="150" workbookViewId="0"/>
  </sheetViews>
  <sheetFormatPr baseColWidth="10" defaultColWidth="8.6640625" defaultRowHeight="15"/>
  <sheetData/>
  <pageMargins left="0.7" right="0.7" top="0.75" bottom="0.75" header="0.3" footer="0.511811023622047"/>
  <pageSetup paperSize="9" orientation="portrait" horizontalDpi="300" verticalDpi="300"/>
  <headerFooter>
    <oddHeader>&amp;C&amp;10Confidential&amp;1#</oddHead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Z11"/>
  <sheetViews>
    <sheetView tabSelected="1" zoomScale="150" zoomScaleNormal="150" workbookViewId="0">
      <pane xSplit="1" ySplit="1" topLeftCell="B2" activePane="bottomRight" state="frozen"/>
      <selection pane="topRight" activeCell="AE1" sqref="AE1"/>
      <selection pane="bottomLeft" activeCell="A39" sqref="A39"/>
      <selection pane="bottomRight" activeCell="O3" sqref="O3:P5"/>
    </sheetView>
  </sheetViews>
  <sheetFormatPr baseColWidth="10" defaultColWidth="16.5" defaultRowHeight="15"/>
  <cols>
    <col min="2" max="2" width="26.6640625" style="1" customWidth="1"/>
    <col min="5" max="5" width="16.5" style="2"/>
    <col min="7" max="7" width="16.5" style="1"/>
    <col min="9" max="9" width="16.5" style="3"/>
    <col min="14" max="15" width="25.6640625" customWidth="1"/>
    <col min="16" max="16" width="22.1640625" customWidth="1"/>
    <col min="23" max="23" width="16.5" style="4"/>
    <col min="30" max="30" width="16.5" style="4"/>
    <col min="45" max="49" width="16.6640625" customWidth="1"/>
  </cols>
  <sheetData>
    <row r="1" spans="1:52" s="17" customFormat="1" ht="16">
      <c r="A1" s="5" t="s">
        <v>0</v>
      </c>
      <c r="B1" s="5" t="s">
        <v>1</v>
      </c>
      <c r="C1" s="5" t="s">
        <v>2</v>
      </c>
      <c r="D1" s="5" t="s">
        <v>3</v>
      </c>
      <c r="E1" s="6" t="s">
        <v>4</v>
      </c>
      <c r="F1" s="5" t="s">
        <v>5</v>
      </c>
      <c r="G1" s="6" t="s">
        <v>6</v>
      </c>
      <c r="H1" s="5" t="s">
        <v>7</v>
      </c>
      <c r="I1" s="7" t="s">
        <v>8</v>
      </c>
      <c r="J1" s="5" t="s">
        <v>9</v>
      </c>
      <c r="K1" s="5" t="s">
        <v>10</v>
      </c>
      <c r="L1" s="5" t="s">
        <v>11</v>
      </c>
      <c r="M1" s="5" t="s">
        <v>12</v>
      </c>
      <c r="N1" s="5" t="s">
        <v>13</v>
      </c>
      <c r="O1" s="8" t="s">
        <v>14</v>
      </c>
      <c r="P1" s="8" t="s">
        <v>15</v>
      </c>
      <c r="Q1" s="9" t="s">
        <v>16</v>
      </c>
      <c r="R1" s="9" t="s">
        <v>17</v>
      </c>
      <c r="S1" s="9" t="s">
        <v>18</v>
      </c>
      <c r="T1" s="9" t="s">
        <v>19</v>
      </c>
      <c r="U1" s="9" t="s">
        <v>20</v>
      </c>
      <c r="V1" s="9" t="s">
        <v>21</v>
      </c>
      <c r="W1" s="10" t="s">
        <v>22</v>
      </c>
      <c r="X1" s="11" t="s">
        <v>23</v>
      </c>
      <c r="Y1" s="11" t="s">
        <v>24</v>
      </c>
      <c r="Z1" s="11" t="s">
        <v>25</v>
      </c>
      <c r="AA1" s="11" t="s">
        <v>26</v>
      </c>
      <c r="AB1" s="11" t="s">
        <v>27</v>
      </c>
      <c r="AC1" s="11" t="s">
        <v>28</v>
      </c>
      <c r="AD1" s="12" t="s">
        <v>29</v>
      </c>
      <c r="AE1" s="13" t="s">
        <v>30</v>
      </c>
      <c r="AF1" s="14" t="s">
        <v>31</v>
      </c>
      <c r="AG1" s="14" t="s">
        <v>32</v>
      </c>
      <c r="AH1" s="14" t="s">
        <v>33</v>
      </c>
      <c r="AI1" s="14" t="s">
        <v>34</v>
      </c>
      <c r="AJ1" s="14" t="s">
        <v>35</v>
      </c>
      <c r="AK1" s="15" t="s">
        <v>36</v>
      </c>
      <c r="AL1" s="9" t="s">
        <v>37</v>
      </c>
      <c r="AM1" s="9" t="s">
        <v>38</v>
      </c>
      <c r="AN1" s="9" t="s">
        <v>39</v>
      </c>
      <c r="AO1" s="9" t="s">
        <v>40</v>
      </c>
      <c r="AP1" s="9" t="s">
        <v>41</v>
      </c>
      <c r="AQ1" s="9" t="s">
        <v>42</v>
      </c>
      <c r="AR1" s="10" t="s">
        <v>43</v>
      </c>
      <c r="AS1" s="16" t="s">
        <v>44</v>
      </c>
      <c r="AT1" s="16" t="s">
        <v>45</v>
      </c>
      <c r="AU1" s="16" t="s">
        <v>46</v>
      </c>
      <c r="AV1" s="16" t="s">
        <v>47</v>
      </c>
      <c r="AW1" s="16" t="s">
        <v>48</v>
      </c>
      <c r="AX1" s="16" t="s">
        <v>49</v>
      </c>
      <c r="AY1" s="16" t="s">
        <v>50</v>
      </c>
    </row>
    <row r="2" spans="1:52">
      <c r="A2" t="s">
        <v>389</v>
      </c>
      <c r="B2" s="1" t="s">
        <v>52</v>
      </c>
      <c r="C2" t="s">
        <v>53</v>
      </c>
      <c r="D2" t="s">
        <v>130</v>
      </c>
      <c r="E2" s="1"/>
      <c r="F2" t="s">
        <v>55</v>
      </c>
      <c r="G2" s="1" t="s">
        <v>56</v>
      </c>
      <c r="H2" t="s">
        <v>57</v>
      </c>
      <c r="I2" s="3">
        <v>44561</v>
      </c>
      <c r="J2">
        <v>16000</v>
      </c>
      <c r="K2">
        <v>2000</v>
      </c>
      <c r="L2">
        <v>100000</v>
      </c>
      <c r="M2">
        <v>400000</v>
      </c>
      <c r="N2">
        <f>1000000+L2</f>
        <v>1100000</v>
      </c>
      <c r="O2" t="s">
        <v>139</v>
      </c>
      <c r="P2" t="s">
        <v>65</v>
      </c>
      <c r="Q2">
        <v>1000</v>
      </c>
      <c r="R2">
        <v>995</v>
      </c>
      <c r="S2">
        <v>990</v>
      </c>
      <c r="T2">
        <v>985</v>
      </c>
      <c r="U2">
        <v>980</v>
      </c>
      <c r="V2">
        <v>975</v>
      </c>
      <c r="W2"/>
      <c r="X2">
        <v>100</v>
      </c>
      <c r="Y2">
        <v>99</v>
      </c>
      <c r="Z2">
        <v>98</v>
      </c>
      <c r="AA2">
        <v>97</v>
      </c>
      <c r="AB2">
        <v>96</v>
      </c>
      <c r="AC2">
        <v>95</v>
      </c>
      <c r="AD2" s="18"/>
      <c r="AE2" s="19">
        <f t="shared" ref="AE2:AK3" si="0">IF(ISBLANK(Q2),IF(ISBLANK(X2),"",X2),Q2+X2)</f>
        <v>1100</v>
      </c>
      <c r="AF2" s="19">
        <f t="shared" si="0"/>
        <v>1094</v>
      </c>
      <c r="AG2" s="19">
        <f t="shared" si="0"/>
        <v>1088</v>
      </c>
      <c r="AH2" s="19">
        <f t="shared" si="0"/>
        <v>1082</v>
      </c>
      <c r="AI2" s="19">
        <f t="shared" si="0"/>
        <v>1076</v>
      </c>
      <c r="AJ2" s="19">
        <f t="shared" si="0"/>
        <v>1070</v>
      </c>
      <c r="AK2" s="19" t="str">
        <f t="shared" si="0"/>
        <v/>
      </c>
      <c r="AL2" s="18">
        <v>0</v>
      </c>
      <c r="AM2" s="18">
        <v>0</v>
      </c>
      <c r="AN2" s="18">
        <v>0</v>
      </c>
      <c r="AO2" s="18">
        <v>0</v>
      </c>
      <c r="AP2" s="18">
        <v>0</v>
      </c>
      <c r="AQ2" s="18">
        <v>0</v>
      </c>
      <c r="AR2" s="18"/>
      <c r="AS2">
        <v>3</v>
      </c>
      <c r="AT2">
        <f>AS2+0.1</f>
        <v>3.1</v>
      </c>
      <c r="AU2">
        <f t="shared" ref="AU2:AX2" si="1">AT2+0.1</f>
        <v>3.2</v>
      </c>
      <c r="AV2">
        <f t="shared" si="1"/>
        <v>3.3000000000000003</v>
      </c>
      <c r="AW2">
        <f t="shared" si="1"/>
        <v>3.4000000000000004</v>
      </c>
      <c r="AX2">
        <f t="shared" si="1"/>
        <v>3.5000000000000004</v>
      </c>
      <c r="AY2" s="18"/>
      <c r="AZ2" s="18"/>
    </row>
    <row r="3" spans="1:52">
      <c r="A3" t="s">
        <v>390</v>
      </c>
      <c r="B3" s="1" t="s">
        <v>61</v>
      </c>
      <c r="C3" t="s">
        <v>62</v>
      </c>
      <c r="D3" t="s">
        <v>130</v>
      </c>
      <c r="E3" s="1"/>
      <c r="F3" t="s">
        <v>55</v>
      </c>
      <c r="G3" s="1" t="s">
        <v>56</v>
      </c>
      <c r="H3" t="s">
        <v>57</v>
      </c>
      <c r="I3" s="3">
        <v>44561</v>
      </c>
      <c r="J3">
        <v>8000</v>
      </c>
      <c r="K3">
        <v>4000</v>
      </c>
      <c r="L3">
        <v>200000</v>
      </c>
      <c r="M3">
        <v>400000</v>
      </c>
      <c r="N3">
        <f>1000000+L3</f>
        <v>1200000</v>
      </c>
      <c r="O3" t="s">
        <v>139</v>
      </c>
      <c r="P3" t="s">
        <v>65</v>
      </c>
      <c r="Q3">
        <v>1000</v>
      </c>
      <c r="R3">
        <v>995</v>
      </c>
      <c r="S3">
        <v>990</v>
      </c>
      <c r="T3">
        <v>985</v>
      </c>
      <c r="U3">
        <v>980</v>
      </c>
      <c r="V3">
        <v>975</v>
      </c>
      <c r="W3"/>
      <c r="X3">
        <v>100</v>
      </c>
      <c r="Y3">
        <v>99</v>
      </c>
      <c r="Z3">
        <v>98</v>
      </c>
      <c r="AA3">
        <v>97</v>
      </c>
      <c r="AB3">
        <v>96</v>
      </c>
      <c r="AC3">
        <v>95</v>
      </c>
      <c r="AD3"/>
      <c r="AE3" s="19">
        <f t="shared" si="0"/>
        <v>1100</v>
      </c>
      <c r="AF3" s="19">
        <f t="shared" si="0"/>
        <v>1094</v>
      </c>
      <c r="AG3" s="19">
        <f t="shared" si="0"/>
        <v>1088</v>
      </c>
      <c r="AH3" s="19">
        <f t="shared" si="0"/>
        <v>1082</v>
      </c>
      <c r="AI3" s="19">
        <f t="shared" si="0"/>
        <v>1076</v>
      </c>
      <c r="AJ3" s="19">
        <f t="shared" si="0"/>
        <v>1070</v>
      </c>
      <c r="AK3" s="19" t="str">
        <f t="shared" si="0"/>
        <v/>
      </c>
      <c r="AL3" s="18">
        <v>1000</v>
      </c>
      <c r="AM3" s="18">
        <v>1000</v>
      </c>
      <c r="AN3" s="18">
        <v>1000</v>
      </c>
      <c r="AO3" s="18">
        <v>1000</v>
      </c>
      <c r="AP3" s="18">
        <v>1000</v>
      </c>
      <c r="AQ3" s="18">
        <v>1000</v>
      </c>
      <c r="AS3">
        <v>3</v>
      </c>
      <c r="AT3">
        <f t="shared" ref="AT3:AX3" si="2">AS3+0.1</f>
        <v>3.1</v>
      </c>
      <c r="AU3">
        <f t="shared" si="2"/>
        <v>3.2</v>
      </c>
      <c r="AV3">
        <f t="shared" si="2"/>
        <v>3.3000000000000003</v>
      </c>
      <c r="AW3">
        <f t="shared" si="2"/>
        <v>3.4000000000000004</v>
      </c>
      <c r="AX3">
        <f t="shared" si="2"/>
        <v>3.5000000000000004</v>
      </c>
    </row>
    <row r="4" spans="1:52">
      <c r="A4" t="s">
        <v>391</v>
      </c>
      <c r="B4" s="1" t="s">
        <v>67</v>
      </c>
      <c r="C4" t="s">
        <v>68</v>
      </c>
      <c r="D4" t="s">
        <v>130</v>
      </c>
      <c r="E4" s="1"/>
      <c r="F4" t="s">
        <v>55</v>
      </c>
      <c r="G4" s="1" t="s">
        <v>56</v>
      </c>
      <c r="H4" t="s">
        <v>57</v>
      </c>
      <c r="I4" s="3">
        <v>44561</v>
      </c>
      <c r="J4">
        <v>4000</v>
      </c>
      <c r="K4">
        <v>8000</v>
      </c>
      <c r="L4">
        <v>300000</v>
      </c>
      <c r="M4">
        <v>400000</v>
      </c>
      <c r="N4">
        <f>1000000+L4</f>
        <v>1300000</v>
      </c>
      <c r="O4" t="s">
        <v>139</v>
      </c>
      <c r="P4" t="s">
        <v>65</v>
      </c>
      <c r="Q4">
        <v>1000</v>
      </c>
      <c r="R4">
        <v>995</v>
      </c>
      <c r="S4">
        <v>990</v>
      </c>
      <c r="T4">
        <v>985</v>
      </c>
      <c r="U4">
        <v>980</v>
      </c>
      <c r="V4">
        <v>975</v>
      </c>
      <c r="W4"/>
      <c r="X4">
        <v>100</v>
      </c>
      <c r="Y4">
        <v>99</v>
      </c>
      <c r="Z4">
        <v>98</v>
      </c>
      <c r="AA4">
        <v>97</v>
      </c>
      <c r="AB4">
        <v>96</v>
      </c>
      <c r="AC4">
        <v>95</v>
      </c>
      <c r="AD4"/>
      <c r="AE4" s="19">
        <f t="shared" ref="AE4" si="3">IF(ISBLANK(Q4),IF(ISBLANK(X4),"",X4),Q4+X4)</f>
        <v>1100</v>
      </c>
      <c r="AF4" s="19">
        <f t="shared" ref="AF4" si="4">IF(ISBLANK(R4),IF(ISBLANK(Y4),"",Y4),R4+Y4)</f>
        <v>1094</v>
      </c>
      <c r="AG4" s="19">
        <f t="shared" ref="AG4" si="5">IF(ISBLANK(S4),IF(ISBLANK(Z4),"",Z4),S4+Z4)</f>
        <v>1088</v>
      </c>
      <c r="AH4" s="19">
        <f t="shared" ref="AH4" si="6">IF(ISBLANK(T4),IF(ISBLANK(AA4),"",AA4),T4+AA4)</f>
        <v>1082</v>
      </c>
      <c r="AI4" s="19">
        <f t="shared" ref="AI4" si="7">IF(ISBLANK(U4),IF(ISBLANK(AB4),"",AB4),U4+AB4)</f>
        <v>1076</v>
      </c>
      <c r="AJ4" s="19">
        <f t="shared" ref="AJ4" si="8">IF(ISBLANK(V4),IF(ISBLANK(AC4),"",AC4),V4+AC4)</f>
        <v>1070</v>
      </c>
      <c r="AK4" s="19" t="str">
        <f t="shared" ref="AK4" si="9">IF(ISBLANK(W4),IF(ISBLANK(AD4),"",AD4),W4+AD4)</f>
        <v/>
      </c>
      <c r="AL4" s="18">
        <v>1000</v>
      </c>
      <c r="AM4" s="18">
        <v>1000</v>
      </c>
      <c r="AN4" s="18">
        <v>1000</v>
      </c>
      <c r="AO4" s="18">
        <v>1000</v>
      </c>
      <c r="AP4" s="18">
        <v>1000</v>
      </c>
      <c r="AQ4" s="18">
        <v>1000</v>
      </c>
      <c r="AS4">
        <v>3</v>
      </c>
      <c r="AT4">
        <f t="shared" ref="AT4:AX4" si="10">AS4+0.1</f>
        <v>3.1</v>
      </c>
      <c r="AU4">
        <f t="shared" si="10"/>
        <v>3.2</v>
      </c>
      <c r="AV4">
        <f t="shared" si="10"/>
        <v>3.3000000000000003</v>
      </c>
      <c r="AW4">
        <f t="shared" si="10"/>
        <v>3.4000000000000004</v>
      </c>
      <c r="AX4">
        <f t="shared" si="10"/>
        <v>3.5000000000000004</v>
      </c>
    </row>
    <row r="5" spans="1:52">
      <c r="A5" t="s">
        <v>392</v>
      </c>
      <c r="B5" s="1" t="s">
        <v>73</v>
      </c>
      <c r="C5" t="s">
        <v>74</v>
      </c>
      <c r="D5" t="s">
        <v>130</v>
      </c>
      <c r="E5" s="1"/>
      <c r="F5" t="s">
        <v>55</v>
      </c>
      <c r="G5" s="1" t="s">
        <v>56</v>
      </c>
      <c r="H5" t="s">
        <v>57</v>
      </c>
      <c r="I5" s="3">
        <v>44561</v>
      </c>
      <c r="J5">
        <v>2000</v>
      </c>
      <c r="K5">
        <v>16000</v>
      </c>
      <c r="L5">
        <v>400000</v>
      </c>
      <c r="M5">
        <v>400000</v>
      </c>
      <c r="N5">
        <f>1000000+L5</f>
        <v>1400000</v>
      </c>
      <c r="O5" t="s">
        <v>139</v>
      </c>
      <c r="P5" t="s">
        <v>65</v>
      </c>
      <c r="Q5">
        <v>1000</v>
      </c>
      <c r="R5">
        <v>995</v>
      </c>
      <c r="S5">
        <v>990</v>
      </c>
      <c r="T5">
        <v>985</v>
      </c>
      <c r="U5">
        <v>980</v>
      </c>
      <c r="V5">
        <v>975</v>
      </c>
      <c r="W5"/>
      <c r="X5">
        <v>100</v>
      </c>
      <c r="Y5">
        <v>99</v>
      </c>
      <c r="Z5">
        <v>98</v>
      </c>
      <c r="AA5">
        <v>97</v>
      </c>
      <c r="AB5">
        <v>96</v>
      </c>
      <c r="AC5">
        <v>95</v>
      </c>
      <c r="AD5"/>
      <c r="AE5" s="19">
        <f t="shared" ref="AE5" si="11">IF(ISBLANK(Q5),IF(ISBLANK(X5),"",X5),Q5+X5)</f>
        <v>1100</v>
      </c>
      <c r="AF5" s="19">
        <f t="shared" ref="AF5" si="12">IF(ISBLANK(R5),IF(ISBLANK(Y5),"",Y5),R5+Y5)</f>
        <v>1094</v>
      </c>
      <c r="AG5" s="19">
        <f t="shared" ref="AG5" si="13">IF(ISBLANK(S5),IF(ISBLANK(Z5),"",Z5),S5+Z5)</f>
        <v>1088</v>
      </c>
      <c r="AH5" s="19">
        <f t="shared" ref="AH5" si="14">IF(ISBLANK(T5),IF(ISBLANK(AA5),"",AA5),T5+AA5)</f>
        <v>1082</v>
      </c>
      <c r="AI5" s="19">
        <f t="shared" ref="AI5" si="15">IF(ISBLANK(U5),IF(ISBLANK(AB5),"",AB5),U5+AB5)</f>
        <v>1076</v>
      </c>
      <c r="AJ5" s="19">
        <f t="shared" ref="AJ5" si="16">IF(ISBLANK(V5),IF(ISBLANK(AC5),"",AC5),V5+AC5)</f>
        <v>1070</v>
      </c>
      <c r="AK5" s="19" t="str">
        <f t="shared" ref="AK5" si="17">IF(ISBLANK(W5),IF(ISBLANK(AD5),"",AD5),W5+AD5)</f>
        <v/>
      </c>
      <c r="AL5" s="18">
        <v>1000</v>
      </c>
      <c r="AM5" s="18">
        <v>1000</v>
      </c>
      <c r="AN5" s="18">
        <v>1000</v>
      </c>
      <c r="AO5" s="18">
        <v>1000</v>
      </c>
      <c r="AP5" s="18">
        <v>1000</v>
      </c>
      <c r="AQ5" s="18">
        <v>1000</v>
      </c>
      <c r="AS5">
        <v>3</v>
      </c>
      <c r="AT5">
        <f t="shared" ref="AT5:AX5" si="18">AS5+0.1</f>
        <v>3.1</v>
      </c>
      <c r="AU5">
        <f t="shared" si="18"/>
        <v>3.2</v>
      </c>
      <c r="AV5">
        <f t="shared" si="18"/>
        <v>3.3000000000000003</v>
      </c>
      <c r="AW5">
        <f t="shared" si="18"/>
        <v>3.4000000000000004</v>
      </c>
      <c r="AX5">
        <f t="shared" si="18"/>
        <v>3.5000000000000004</v>
      </c>
    </row>
    <row r="6" spans="1:52">
      <c r="E6"/>
    </row>
    <row r="7" spans="1:52">
      <c r="E7"/>
      <c r="O7" s="23"/>
      <c r="P7" s="23"/>
    </row>
    <row r="8" spans="1:52">
      <c r="E8"/>
      <c r="O8" s="23"/>
      <c r="P8" s="23"/>
    </row>
    <row r="9" spans="1:52">
      <c r="E9"/>
      <c r="O9" s="23"/>
      <c r="P9" s="23"/>
    </row>
    <row r="10" spans="1:52">
      <c r="E10"/>
    </row>
    <row r="11" spans="1:52">
      <c r="E11"/>
      <c r="O11" s="23"/>
      <c r="P11" s="23"/>
    </row>
  </sheetData>
  <pageMargins left="0.7" right="0.7" top="0.75" bottom="0.75" header="0.3" footer="0.511811023622047"/>
  <pageSetup paperSize="9" scale="50" fitToWidth="4" orientation="landscape" horizontalDpi="300" verticalDpi="300"/>
  <headerFooter>
    <oddHeader>&amp;C&amp;10Confidential&amp;1#</oddHead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71F4C-5624-6C40-9FAC-00228E3F7D7F}">
  <sheetPr>
    <pageSetUpPr fitToPage="1"/>
  </sheetPr>
  <dimension ref="A1:AZ75"/>
  <sheetViews>
    <sheetView zoomScale="150" zoomScaleNormal="150" workbookViewId="0">
      <pane xSplit="1" ySplit="1" topLeftCell="B2" activePane="bottomRight" state="frozen"/>
      <selection pane="topRight" activeCell="AE1" sqref="AE1"/>
      <selection pane="bottomLeft" activeCell="A39" sqref="A39"/>
      <selection pane="bottomRight" activeCell="J6" sqref="J6:N6"/>
    </sheetView>
  </sheetViews>
  <sheetFormatPr baseColWidth="10" defaultColWidth="16.5" defaultRowHeight="15"/>
  <cols>
    <col min="2" max="2" width="26.6640625" style="1" customWidth="1"/>
    <col min="5" max="5" width="16.5" style="2"/>
    <col min="7" max="7" width="16.5" style="1"/>
    <col min="9" max="9" width="16.5" style="3"/>
    <col min="14" max="15" width="25.6640625" customWidth="1"/>
    <col min="16" max="16" width="22.1640625" customWidth="1"/>
    <col min="23" max="23" width="16.5" style="4"/>
    <col min="30" max="30" width="16.5" style="4"/>
    <col min="45" max="49" width="16.6640625" customWidth="1"/>
  </cols>
  <sheetData>
    <row r="1" spans="1:52" s="17" customFormat="1" ht="16">
      <c r="A1" s="5" t="s">
        <v>0</v>
      </c>
      <c r="B1" s="5" t="s">
        <v>1</v>
      </c>
      <c r="C1" s="5" t="s">
        <v>2</v>
      </c>
      <c r="D1" s="5" t="s">
        <v>3</v>
      </c>
      <c r="E1" s="6" t="s">
        <v>4</v>
      </c>
      <c r="F1" s="5" t="s">
        <v>5</v>
      </c>
      <c r="G1" s="6" t="s">
        <v>6</v>
      </c>
      <c r="H1" s="5" t="s">
        <v>7</v>
      </c>
      <c r="I1" s="7" t="s">
        <v>8</v>
      </c>
      <c r="J1" s="5" t="s">
        <v>9</v>
      </c>
      <c r="K1" s="5" t="s">
        <v>10</v>
      </c>
      <c r="L1" s="5" t="s">
        <v>11</v>
      </c>
      <c r="M1" s="5" t="s">
        <v>12</v>
      </c>
      <c r="N1" s="5" t="s">
        <v>13</v>
      </c>
      <c r="O1" s="8" t="s">
        <v>14</v>
      </c>
      <c r="P1" s="8" t="s">
        <v>15</v>
      </c>
      <c r="Q1" s="9" t="s">
        <v>16</v>
      </c>
      <c r="R1" s="9" t="s">
        <v>17</v>
      </c>
      <c r="S1" s="9" t="s">
        <v>18</v>
      </c>
      <c r="T1" s="9" t="s">
        <v>19</v>
      </c>
      <c r="U1" s="9" t="s">
        <v>20</v>
      </c>
      <c r="V1" s="9" t="s">
        <v>21</v>
      </c>
      <c r="W1" s="10" t="s">
        <v>22</v>
      </c>
      <c r="X1" s="11" t="s">
        <v>23</v>
      </c>
      <c r="Y1" s="11" t="s">
        <v>24</v>
      </c>
      <c r="Z1" s="11" t="s">
        <v>25</v>
      </c>
      <c r="AA1" s="11" t="s">
        <v>26</v>
      </c>
      <c r="AB1" s="11" t="s">
        <v>27</v>
      </c>
      <c r="AC1" s="11" t="s">
        <v>28</v>
      </c>
      <c r="AD1" s="12" t="s">
        <v>29</v>
      </c>
      <c r="AE1" s="13" t="s">
        <v>30</v>
      </c>
      <c r="AF1" s="14" t="s">
        <v>31</v>
      </c>
      <c r="AG1" s="14" t="s">
        <v>32</v>
      </c>
      <c r="AH1" s="14" t="s">
        <v>33</v>
      </c>
      <c r="AI1" s="14" t="s">
        <v>34</v>
      </c>
      <c r="AJ1" s="14" t="s">
        <v>35</v>
      </c>
      <c r="AK1" s="15" t="s">
        <v>36</v>
      </c>
      <c r="AL1" s="9" t="s">
        <v>37</v>
      </c>
      <c r="AM1" s="9" t="s">
        <v>38</v>
      </c>
      <c r="AN1" s="9" t="s">
        <v>39</v>
      </c>
      <c r="AO1" s="9" t="s">
        <v>40</v>
      </c>
      <c r="AP1" s="9" t="s">
        <v>41</v>
      </c>
      <c r="AQ1" s="9" t="s">
        <v>42</v>
      </c>
      <c r="AR1" s="10" t="s">
        <v>43</v>
      </c>
      <c r="AS1" s="16" t="s">
        <v>44</v>
      </c>
      <c r="AT1" s="16" t="s">
        <v>45</v>
      </c>
      <c r="AU1" s="16" t="s">
        <v>46</v>
      </c>
      <c r="AV1" s="16" t="s">
        <v>47</v>
      </c>
      <c r="AW1" s="16" t="s">
        <v>48</v>
      </c>
      <c r="AX1" s="16" t="s">
        <v>49</v>
      </c>
      <c r="AY1" s="16" t="s">
        <v>50</v>
      </c>
    </row>
    <row r="2" spans="1:52">
      <c r="A2" t="s">
        <v>51</v>
      </c>
      <c r="B2" s="1" t="s">
        <v>52</v>
      </c>
      <c r="C2" t="s">
        <v>53</v>
      </c>
      <c r="D2" t="s">
        <v>54</v>
      </c>
      <c r="E2" s="1"/>
      <c r="F2" t="s">
        <v>55</v>
      </c>
      <c r="G2" s="1" t="s">
        <v>56</v>
      </c>
      <c r="H2" t="s">
        <v>57</v>
      </c>
      <c r="I2" s="3">
        <v>44196</v>
      </c>
      <c r="J2">
        <v>9420000000</v>
      </c>
      <c r="K2">
        <v>10189000000</v>
      </c>
      <c r="L2">
        <v>8652000000</v>
      </c>
      <c r="M2">
        <v>9681000000</v>
      </c>
      <c r="N2">
        <v>33648000000</v>
      </c>
      <c r="O2" t="s">
        <v>58</v>
      </c>
      <c r="P2" t="s">
        <v>59</v>
      </c>
      <c r="Q2" s="18">
        <v>70457000</v>
      </c>
      <c r="R2" s="18">
        <v>59804000</v>
      </c>
      <c r="S2" s="18">
        <v>50291000</v>
      </c>
      <c r="T2" s="18">
        <v>45611000</v>
      </c>
      <c r="U2" s="18">
        <v>42961000</v>
      </c>
      <c r="V2" s="18">
        <v>41202392</v>
      </c>
      <c r="W2" s="18"/>
      <c r="X2" s="18">
        <v>306000</v>
      </c>
      <c r="Y2" s="18">
        <v>220000</v>
      </c>
      <c r="Z2" s="18">
        <v>314000</v>
      </c>
      <c r="AA2" s="18">
        <v>324000</v>
      </c>
      <c r="AB2" s="18">
        <v>254000</v>
      </c>
      <c r="AC2" s="18">
        <v>253302</v>
      </c>
      <c r="AD2" s="18"/>
      <c r="AE2" s="19">
        <f t="shared" ref="AE2:AK10" si="0">IF(ISBLANK(Q2),IF(ISBLANK(X2),"",X2),Q2+X2)</f>
        <v>70763000</v>
      </c>
      <c r="AF2" s="19">
        <f t="shared" si="0"/>
        <v>60024000</v>
      </c>
      <c r="AG2" s="19">
        <f t="shared" si="0"/>
        <v>50605000</v>
      </c>
      <c r="AH2" s="19">
        <f t="shared" si="0"/>
        <v>45935000</v>
      </c>
      <c r="AI2" s="19">
        <f t="shared" si="0"/>
        <v>43215000</v>
      </c>
      <c r="AJ2" s="19">
        <f t="shared" si="0"/>
        <v>41455694</v>
      </c>
      <c r="AK2" s="19" t="str">
        <f t="shared" si="0"/>
        <v/>
      </c>
      <c r="AL2" s="18">
        <v>5864000</v>
      </c>
      <c r="AM2" s="18">
        <f>13871000+800</f>
        <v>13871800</v>
      </c>
      <c r="AN2" s="18">
        <f>10070000+1100</f>
        <v>10071100</v>
      </c>
      <c r="AO2" s="18">
        <f>9972000+1200</f>
        <v>9973200</v>
      </c>
      <c r="AP2" s="18">
        <f>7269000+200</f>
        <v>7269200</v>
      </c>
      <c r="AQ2" s="18">
        <f>7350511+527</f>
        <v>7351038</v>
      </c>
      <c r="AR2" s="18"/>
      <c r="AS2">
        <v>104312</v>
      </c>
      <c r="AT2">
        <f>(AS2+AU2)/2</f>
        <v>94148.97</v>
      </c>
      <c r="AU2">
        <v>83985.94</v>
      </c>
      <c r="AV2">
        <v>75904.354999999996</v>
      </c>
      <c r="AW2">
        <v>75271.521999999997</v>
      </c>
      <c r="AX2" s="18">
        <v>72506.148000000001</v>
      </c>
      <c r="AY2" s="18"/>
      <c r="AZ2" s="18"/>
    </row>
    <row r="3" spans="1:52">
      <c r="A3" t="s">
        <v>60</v>
      </c>
      <c r="B3" s="1" t="s">
        <v>61</v>
      </c>
      <c r="C3" t="s">
        <v>62</v>
      </c>
      <c r="D3" t="s">
        <v>54</v>
      </c>
      <c r="E3" s="1" t="s">
        <v>63</v>
      </c>
      <c r="F3" t="s">
        <v>55</v>
      </c>
      <c r="G3" s="1" t="s">
        <v>56</v>
      </c>
      <c r="H3" t="s">
        <v>57</v>
      </c>
      <c r="I3">
        <v>2019</v>
      </c>
      <c r="J3">
        <v>4285299935</v>
      </c>
      <c r="K3">
        <v>1240500000</v>
      </c>
      <c r="L3">
        <v>5829799935</v>
      </c>
      <c r="M3">
        <v>5899099935</v>
      </c>
      <c r="N3">
        <v>5482800000</v>
      </c>
      <c r="O3" t="s">
        <v>64</v>
      </c>
      <c r="P3" t="s">
        <v>65</v>
      </c>
      <c r="Q3">
        <v>8.0287915246316803</v>
      </c>
      <c r="R3">
        <v>6.5660701667357202</v>
      </c>
      <c r="S3">
        <v>6.62201886746863</v>
      </c>
      <c r="T3">
        <v>4.2233661489335503</v>
      </c>
      <c r="U3">
        <v>3.7507315607425</v>
      </c>
      <c r="V3">
        <v>4.2233661489335503</v>
      </c>
      <c r="W3"/>
      <c r="X3">
        <v>0</v>
      </c>
      <c r="Y3">
        <v>0</v>
      </c>
      <c r="Z3">
        <v>0</v>
      </c>
      <c r="AA3">
        <v>0</v>
      </c>
      <c r="AB3">
        <v>0</v>
      </c>
      <c r="AC3">
        <v>0</v>
      </c>
      <c r="AD3"/>
      <c r="AE3" s="19">
        <f t="shared" si="0"/>
        <v>8.0287915246316803</v>
      </c>
      <c r="AF3" s="19">
        <f t="shared" si="0"/>
        <v>6.5660701667357202</v>
      </c>
      <c r="AG3" s="19">
        <f t="shared" si="0"/>
        <v>6.62201886746863</v>
      </c>
      <c r="AH3" s="19">
        <f t="shared" si="0"/>
        <v>4.2233661489335503</v>
      </c>
      <c r="AI3" s="19">
        <f t="shared" si="0"/>
        <v>3.7507315607425</v>
      </c>
      <c r="AJ3" s="19">
        <f t="shared" si="0"/>
        <v>4.2233661489335503</v>
      </c>
      <c r="AK3" s="19" t="str">
        <f t="shared" si="0"/>
        <v/>
      </c>
      <c r="AS3">
        <v>10.311126979999999</v>
      </c>
      <c r="AT3">
        <v>9.0333661999999997</v>
      </c>
      <c r="AU3">
        <v>8.7434580000000004</v>
      </c>
      <c r="AV3">
        <v>6.4909062000000004</v>
      </c>
      <c r="AW3">
        <v>6.0783424000000004</v>
      </c>
      <c r="AX3">
        <v>6.4909062000000004</v>
      </c>
    </row>
    <row r="4" spans="1:52">
      <c r="A4" t="s">
        <v>66</v>
      </c>
      <c r="B4" s="1" t="s">
        <v>67</v>
      </c>
      <c r="C4" t="s">
        <v>68</v>
      </c>
      <c r="D4" t="s">
        <v>54</v>
      </c>
      <c r="E4" s="1" t="s">
        <v>63</v>
      </c>
      <c r="F4" t="s">
        <v>55</v>
      </c>
      <c r="G4" s="1" t="s">
        <v>56</v>
      </c>
      <c r="H4" t="s">
        <v>57</v>
      </c>
      <c r="I4">
        <v>2019</v>
      </c>
      <c r="J4">
        <v>11600000000</v>
      </c>
      <c r="K4">
        <v>3647700000</v>
      </c>
      <c r="L4">
        <v>18503600000</v>
      </c>
      <c r="M4">
        <v>18519900000</v>
      </c>
      <c r="N4">
        <v>16700700000</v>
      </c>
      <c r="O4" t="s">
        <v>64</v>
      </c>
      <c r="P4" t="s">
        <v>65</v>
      </c>
      <c r="Q4">
        <v>12.247083817892101</v>
      </c>
      <c r="R4">
        <v>13.5958064794906</v>
      </c>
      <c r="S4">
        <v>14.5804238153298</v>
      </c>
      <c r="T4">
        <v>11.098764958614</v>
      </c>
      <c r="U4">
        <v>11.0377558529367</v>
      </c>
      <c r="W4"/>
      <c r="X4">
        <v>0</v>
      </c>
      <c r="Y4">
        <v>0</v>
      </c>
      <c r="Z4">
        <v>0</v>
      </c>
      <c r="AA4">
        <v>0</v>
      </c>
      <c r="AB4">
        <v>0</v>
      </c>
      <c r="AD4"/>
      <c r="AE4" s="19">
        <f t="shared" si="0"/>
        <v>12.247083817892101</v>
      </c>
      <c r="AF4" s="19">
        <f t="shared" si="0"/>
        <v>13.5958064794906</v>
      </c>
      <c r="AG4" s="19">
        <f t="shared" si="0"/>
        <v>14.5804238153298</v>
      </c>
      <c r="AH4" s="19">
        <f t="shared" si="0"/>
        <v>11.098764958614</v>
      </c>
      <c r="AI4" s="19">
        <f t="shared" si="0"/>
        <v>11.0377558529367</v>
      </c>
      <c r="AJ4" s="19" t="str">
        <f t="shared" si="0"/>
        <v/>
      </c>
      <c r="AK4" s="19" t="str">
        <f t="shared" si="0"/>
        <v/>
      </c>
      <c r="AS4">
        <v>16.476443515</v>
      </c>
      <c r="AT4">
        <v>18.56133809</v>
      </c>
      <c r="AU4">
        <v>21.667851862999999</v>
      </c>
      <c r="AV4">
        <v>20.524337211500001</v>
      </c>
      <c r="AW4">
        <v>22.008184386</v>
      </c>
    </row>
    <row r="5" spans="1:52">
      <c r="A5" t="s">
        <v>69</v>
      </c>
      <c r="B5" s="1" t="s">
        <v>70</v>
      </c>
      <c r="C5" t="s">
        <v>71</v>
      </c>
      <c r="D5" t="s">
        <v>54</v>
      </c>
      <c r="E5" s="1" t="s">
        <v>63</v>
      </c>
      <c r="F5" t="s">
        <v>55</v>
      </c>
      <c r="G5" s="1" t="s">
        <v>56</v>
      </c>
      <c r="H5" t="s">
        <v>57</v>
      </c>
      <c r="I5">
        <v>2019</v>
      </c>
      <c r="J5">
        <v>18378774986</v>
      </c>
      <c r="K5">
        <v>5910000000</v>
      </c>
      <c r="L5">
        <v>27804774986</v>
      </c>
      <c r="M5">
        <v>27820774986</v>
      </c>
      <c r="N5">
        <v>28933000000</v>
      </c>
      <c r="O5" t="s">
        <v>64</v>
      </c>
      <c r="P5" t="s">
        <v>65</v>
      </c>
      <c r="Q5">
        <v>28.146923974777199</v>
      </c>
      <c r="R5">
        <v>31.187509563115398</v>
      </c>
      <c r="S5">
        <v>30.6720137556736</v>
      </c>
      <c r="T5">
        <v>23.409708274206501</v>
      </c>
      <c r="U5">
        <v>25.799494098497401</v>
      </c>
      <c r="W5"/>
      <c r="X5">
        <v>0</v>
      </c>
      <c r="Y5">
        <v>0</v>
      </c>
      <c r="Z5">
        <v>0</v>
      </c>
      <c r="AA5">
        <v>0</v>
      </c>
      <c r="AB5">
        <v>0</v>
      </c>
      <c r="AD5"/>
      <c r="AE5" s="19">
        <f t="shared" si="0"/>
        <v>28.146923974777199</v>
      </c>
      <c r="AF5" s="19">
        <f t="shared" si="0"/>
        <v>31.187509563115398</v>
      </c>
      <c r="AG5" s="19">
        <f t="shared" si="0"/>
        <v>30.6720137556736</v>
      </c>
      <c r="AH5" s="19">
        <f t="shared" si="0"/>
        <v>23.409708274206501</v>
      </c>
      <c r="AI5" s="19">
        <f t="shared" si="0"/>
        <v>25.799494098497401</v>
      </c>
      <c r="AJ5" s="19" t="str">
        <f t="shared" si="0"/>
        <v/>
      </c>
      <c r="AK5" s="19" t="str">
        <f t="shared" si="0"/>
        <v/>
      </c>
      <c r="AS5">
        <v>38.509234999999997</v>
      </c>
      <c r="AT5">
        <v>40.953088000000001</v>
      </c>
      <c r="AU5">
        <v>42.757387999999999</v>
      </c>
      <c r="AV5">
        <v>35.416853000000003</v>
      </c>
      <c r="AW5">
        <v>35.824987</v>
      </c>
    </row>
    <row r="6" spans="1:52">
      <c r="A6" t="s">
        <v>72</v>
      </c>
      <c r="B6" s="1" t="s">
        <v>73</v>
      </c>
      <c r="C6" t="s">
        <v>74</v>
      </c>
      <c r="D6" t="s">
        <v>54</v>
      </c>
      <c r="E6" s="1" t="s">
        <v>63</v>
      </c>
      <c r="F6" t="s">
        <v>55</v>
      </c>
      <c r="G6" s="1" t="s">
        <v>56</v>
      </c>
      <c r="H6" t="s">
        <v>57</v>
      </c>
      <c r="I6">
        <v>2019</v>
      </c>
      <c r="J6">
        <v>43491855142</v>
      </c>
      <c r="K6">
        <v>15561400000</v>
      </c>
      <c r="L6">
        <v>73417055142</v>
      </c>
      <c r="M6">
        <v>73663855142</v>
      </c>
      <c r="N6">
        <v>75892300000</v>
      </c>
      <c r="O6" t="s">
        <v>64</v>
      </c>
      <c r="P6" t="s">
        <v>65</v>
      </c>
      <c r="Q6">
        <v>91.800593776570196</v>
      </c>
      <c r="R6">
        <v>66.975500250346002</v>
      </c>
      <c r="S6">
        <v>66.441625876883506</v>
      </c>
      <c r="T6">
        <v>58.130282313466502</v>
      </c>
      <c r="U6">
        <v>43.9616275947863</v>
      </c>
      <c r="W6"/>
      <c r="X6">
        <v>0</v>
      </c>
      <c r="Y6">
        <v>0</v>
      </c>
      <c r="Z6">
        <v>0</v>
      </c>
      <c r="AA6">
        <v>0</v>
      </c>
      <c r="AB6">
        <v>0</v>
      </c>
      <c r="AD6"/>
      <c r="AE6" s="19">
        <f t="shared" si="0"/>
        <v>91.800593776570196</v>
      </c>
      <c r="AF6" s="19">
        <f t="shared" si="0"/>
        <v>66.975500250346002</v>
      </c>
      <c r="AG6" s="19">
        <f t="shared" si="0"/>
        <v>66.441625876883506</v>
      </c>
      <c r="AH6" s="19">
        <f t="shared" si="0"/>
        <v>58.130282313466502</v>
      </c>
      <c r="AI6" s="19">
        <f t="shared" si="0"/>
        <v>43.9616275947863</v>
      </c>
      <c r="AJ6" s="19" t="str">
        <f t="shared" si="0"/>
        <v/>
      </c>
      <c r="AK6" s="19" t="str">
        <f t="shared" si="0"/>
        <v/>
      </c>
      <c r="AS6">
        <v>127.7698075333</v>
      </c>
      <c r="AT6">
        <v>93.827355038848793</v>
      </c>
      <c r="AU6">
        <v>93.541288949491104</v>
      </c>
      <c r="AV6">
        <v>83.962493096499898</v>
      </c>
      <c r="AW6">
        <v>71.7325673733</v>
      </c>
    </row>
    <row r="7" spans="1:52">
      <c r="A7" t="s">
        <v>75</v>
      </c>
      <c r="B7" s="1" t="s">
        <v>76</v>
      </c>
      <c r="C7" t="s">
        <v>77</v>
      </c>
      <c r="D7" t="s">
        <v>54</v>
      </c>
      <c r="E7" s="1"/>
      <c r="F7" t="s">
        <v>55</v>
      </c>
      <c r="G7" s="1" t="s">
        <v>56</v>
      </c>
      <c r="H7" t="s">
        <v>57</v>
      </c>
      <c r="I7" s="3">
        <v>44196</v>
      </c>
      <c r="J7">
        <v>2374000000</v>
      </c>
      <c r="K7">
        <v>6336000000</v>
      </c>
      <c r="L7">
        <v>10364000000</v>
      </c>
      <c r="M7">
        <v>10542000000</v>
      </c>
      <c r="N7">
        <v>34394000000</v>
      </c>
      <c r="O7" t="s">
        <v>58</v>
      </c>
      <c r="P7" t="s">
        <v>59</v>
      </c>
      <c r="Q7" s="20">
        <v>1040335</v>
      </c>
      <c r="R7" s="20">
        <v>965570</v>
      </c>
      <c r="S7">
        <v>1363231</v>
      </c>
      <c r="T7">
        <v>1934393</v>
      </c>
      <c r="U7">
        <v>1416448</v>
      </c>
      <c r="X7">
        <v>0</v>
      </c>
      <c r="Y7">
        <v>0</v>
      </c>
      <c r="Z7">
        <v>381533</v>
      </c>
      <c r="AA7">
        <v>231192</v>
      </c>
      <c r="AB7">
        <v>297283</v>
      </c>
      <c r="AE7" s="19">
        <f t="shared" si="0"/>
        <v>1040335</v>
      </c>
      <c r="AF7" s="19">
        <f t="shared" si="0"/>
        <v>965570</v>
      </c>
      <c r="AG7" s="19">
        <f t="shared" si="0"/>
        <v>1744764</v>
      </c>
      <c r="AH7" s="19">
        <f t="shared" si="0"/>
        <v>2165585</v>
      </c>
      <c r="AI7" s="19">
        <f t="shared" si="0"/>
        <v>1713731</v>
      </c>
      <c r="AJ7" s="19" t="str">
        <f t="shared" si="0"/>
        <v/>
      </c>
      <c r="AK7" s="19" t="str">
        <f t="shared" si="0"/>
        <v/>
      </c>
      <c r="AN7">
        <v>21590220</v>
      </c>
      <c r="AO7">
        <v>19892852</v>
      </c>
      <c r="AP7">
        <v>24528246</v>
      </c>
      <c r="AS7" s="21">
        <v>17912</v>
      </c>
      <c r="AT7" s="21">
        <v>18104</v>
      </c>
      <c r="AU7">
        <v>20057</v>
      </c>
      <c r="AV7">
        <v>20960</v>
      </c>
      <c r="AW7">
        <v>22142</v>
      </c>
    </row>
    <row r="8" spans="1:52">
      <c r="A8" t="s">
        <v>78</v>
      </c>
      <c r="B8" s="1" t="s">
        <v>79</v>
      </c>
      <c r="C8" t="s">
        <v>80</v>
      </c>
      <c r="D8" t="s">
        <v>54</v>
      </c>
      <c r="E8" s="1"/>
      <c r="F8" t="s">
        <v>55</v>
      </c>
      <c r="G8" s="1" t="s">
        <v>56</v>
      </c>
      <c r="H8" t="s">
        <v>57</v>
      </c>
      <c r="I8" s="3">
        <v>44196</v>
      </c>
      <c r="J8">
        <v>3528768075</v>
      </c>
      <c r="K8">
        <v>1734900000</v>
      </c>
      <c r="L8">
        <v>6659087075</v>
      </c>
      <c r="M8">
        <v>6668864075</v>
      </c>
      <c r="N8">
        <v>7558457000</v>
      </c>
      <c r="O8" t="s">
        <v>58</v>
      </c>
      <c r="P8" t="s">
        <v>81</v>
      </c>
      <c r="S8" s="20">
        <v>4063143</v>
      </c>
      <c r="T8" s="20">
        <v>3963128</v>
      </c>
      <c r="U8" s="20">
        <v>4036591</v>
      </c>
      <c r="Z8" s="20">
        <v>1300042</v>
      </c>
      <c r="AA8" s="20">
        <v>1219954</v>
      </c>
      <c r="AB8" s="20">
        <v>1001588</v>
      </c>
      <c r="AE8" s="19" t="str">
        <f t="shared" si="0"/>
        <v/>
      </c>
      <c r="AF8" s="19" t="str">
        <f t="shared" si="0"/>
        <v/>
      </c>
      <c r="AG8" s="19">
        <f t="shared" si="0"/>
        <v>5363185</v>
      </c>
      <c r="AH8" s="19">
        <f t="shared" si="0"/>
        <v>5183082</v>
      </c>
      <c r="AI8" s="19">
        <f t="shared" si="0"/>
        <v>5038179</v>
      </c>
      <c r="AJ8" s="19" t="str">
        <f t="shared" si="0"/>
        <v/>
      </c>
      <c r="AK8" s="19" t="str">
        <f t="shared" si="0"/>
        <v/>
      </c>
      <c r="AU8">
        <v>7067031.0930000003</v>
      </c>
      <c r="AV8">
        <v>7195251.4900000002</v>
      </c>
      <c r="AW8" s="20">
        <v>7324609</v>
      </c>
    </row>
    <row r="9" spans="1:52">
      <c r="A9" t="s">
        <v>82</v>
      </c>
      <c r="B9" s="1" t="s">
        <v>83</v>
      </c>
      <c r="C9" t="s">
        <v>84</v>
      </c>
      <c r="D9" t="s">
        <v>85</v>
      </c>
      <c r="E9" s="1"/>
      <c r="F9" t="s">
        <v>86</v>
      </c>
      <c r="G9" s="1" t="s">
        <v>56</v>
      </c>
      <c r="H9" t="s">
        <v>57</v>
      </c>
      <c r="I9" s="3">
        <v>44561</v>
      </c>
      <c r="J9" s="22">
        <v>65110000000</v>
      </c>
      <c r="K9" s="22">
        <v>122400000000</v>
      </c>
      <c r="L9" s="22">
        <v>126440000000</v>
      </c>
      <c r="M9">
        <f>L9+18630000000</f>
        <v>145070000000</v>
      </c>
      <c r="N9" s="22">
        <v>229527000000</v>
      </c>
      <c r="O9" t="s">
        <v>58</v>
      </c>
      <c r="P9" t="s">
        <v>87</v>
      </c>
      <c r="R9" s="23">
        <v>625072</v>
      </c>
      <c r="S9" s="23">
        <v>581703</v>
      </c>
      <c r="T9" s="23">
        <v>678403</v>
      </c>
      <c r="U9" s="23">
        <v>678967</v>
      </c>
      <c r="V9" s="23">
        <v>699713</v>
      </c>
      <c r="Y9" s="23">
        <v>510911</v>
      </c>
      <c r="Z9" s="23">
        <v>538622</v>
      </c>
      <c r="AA9" s="23">
        <v>354095</v>
      </c>
      <c r="AB9" s="23">
        <v>130090</v>
      </c>
      <c r="AC9" s="23">
        <v>134849</v>
      </c>
      <c r="AE9" s="19" t="str">
        <f t="shared" si="0"/>
        <v/>
      </c>
      <c r="AF9" s="19">
        <f t="shared" si="0"/>
        <v>1135983</v>
      </c>
      <c r="AG9" s="19">
        <f t="shared" si="0"/>
        <v>1120325</v>
      </c>
      <c r="AH9" s="19">
        <f t="shared" si="0"/>
        <v>1032498</v>
      </c>
      <c r="AI9" s="19">
        <f t="shared" si="0"/>
        <v>809057</v>
      </c>
      <c r="AJ9" s="19">
        <f t="shared" si="0"/>
        <v>834562</v>
      </c>
      <c r="AK9" s="19" t="str">
        <f t="shared" si="0"/>
        <v/>
      </c>
      <c r="AM9" s="23">
        <v>71714741</v>
      </c>
      <c r="AN9" s="23">
        <v>73093077</v>
      </c>
      <c r="AO9" s="23">
        <v>132520346</v>
      </c>
      <c r="AP9" s="23">
        <v>117682832</v>
      </c>
      <c r="AQ9" s="23">
        <v>121705368</v>
      </c>
      <c r="AT9" s="24">
        <f>AM9*0.85/128</f>
        <v>476230.70195312501</v>
      </c>
      <c r="AU9" s="24">
        <f>AN9*0.85/127.5</f>
        <v>487287.18</v>
      </c>
      <c r="AV9" s="24">
        <f>AO9*0.85/127</f>
        <v>886947.19763779524</v>
      </c>
      <c r="AW9" s="24">
        <f>AP9*0.85/99.1</f>
        <v>1009388.569122099</v>
      </c>
      <c r="AX9" s="24">
        <f>AQ9*0.85/115.9</f>
        <v>892576.03796376183</v>
      </c>
    </row>
    <row r="10" spans="1:52">
      <c r="A10" t="s">
        <v>88</v>
      </c>
      <c r="B10" s="1" t="s">
        <v>89</v>
      </c>
      <c r="C10" t="s">
        <v>90</v>
      </c>
      <c r="D10" t="s">
        <v>91</v>
      </c>
      <c r="E10" s="1" t="s">
        <v>92</v>
      </c>
      <c r="F10" t="s">
        <v>93</v>
      </c>
      <c r="G10" s="1" t="s">
        <v>56</v>
      </c>
      <c r="H10" t="s">
        <v>57</v>
      </c>
      <c r="I10" s="3">
        <v>44561</v>
      </c>
      <c r="J10" s="22">
        <v>88050000000</v>
      </c>
      <c r="K10" s="22">
        <v>157730000000</v>
      </c>
      <c r="L10" s="22">
        <v>129010000000</v>
      </c>
      <c r="M10">
        <f>L10+33240000000</f>
        <v>162250000000</v>
      </c>
      <c r="N10" s="22">
        <v>287272000000</v>
      </c>
      <c r="O10" t="s">
        <v>64</v>
      </c>
      <c r="P10" t="s">
        <v>94</v>
      </c>
      <c r="R10">
        <v>50.5</v>
      </c>
      <c r="S10" s="20">
        <v>48.8</v>
      </c>
      <c r="T10" s="20">
        <v>49.2</v>
      </c>
      <c r="U10" s="20">
        <v>41.7</v>
      </c>
      <c r="V10">
        <v>33.200000000000003</v>
      </c>
      <c r="Y10">
        <v>6.1</v>
      </c>
      <c r="Z10" s="20">
        <v>5.4</v>
      </c>
      <c r="AA10" s="20">
        <v>5.2</v>
      </c>
      <c r="AB10" s="20">
        <v>3.8</v>
      </c>
      <c r="AC10">
        <v>2.4</v>
      </c>
      <c r="AE10" s="19" t="str">
        <f t="shared" si="0"/>
        <v/>
      </c>
      <c r="AF10" s="19">
        <f t="shared" si="0"/>
        <v>56.6</v>
      </c>
      <c r="AG10" s="19">
        <f t="shared" si="0"/>
        <v>54.199999999999996</v>
      </c>
      <c r="AH10" s="19">
        <f t="shared" si="0"/>
        <v>54.400000000000006</v>
      </c>
      <c r="AI10" s="19">
        <f t="shared" si="0"/>
        <v>45.5</v>
      </c>
      <c r="AJ10" s="19">
        <f t="shared" si="0"/>
        <v>35.6</v>
      </c>
      <c r="AK10" s="19"/>
      <c r="AM10" s="94">
        <f>AT10*0.43/5.712</f>
        <v>946.27100840336141</v>
      </c>
      <c r="AN10" s="94">
        <f t="shared" ref="AN10:AQ10" si="1">AU10*0.43/5.712</f>
        <v>946.27100840336141</v>
      </c>
      <c r="AO10" s="94">
        <f t="shared" si="1"/>
        <v>946.27100840336141</v>
      </c>
      <c r="AP10" s="94">
        <f t="shared" si="1"/>
        <v>822.359943977591</v>
      </c>
      <c r="AQ10" s="94">
        <f t="shared" si="1"/>
        <v>834.55532212885146</v>
      </c>
      <c r="AT10" s="25">
        <v>12570</v>
      </c>
      <c r="AU10" s="25">
        <v>12570</v>
      </c>
      <c r="AV10">
        <v>12570</v>
      </c>
      <c r="AW10" s="20">
        <v>10924</v>
      </c>
      <c r="AX10">
        <v>11086</v>
      </c>
    </row>
    <row r="11" spans="1:52">
      <c r="A11" t="s">
        <v>95</v>
      </c>
      <c r="B11" s="1" t="s">
        <v>96</v>
      </c>
      <c r="C11" t="s">
        <v>97</v>
      </c>
      <c r="D11" t="s">
        <v>54</v>
      </c>
      <c r="E11" s="1" t="s">
        <v>63</v>
      </c>
      <c r="F11" t="s">
        <v>98</v>
      </c>
      <c r="G11" s="1" t="s">
        <v>56</v>
      </c>
      <c r="H11" t="s">
        <v>57</v>
      </c>
      <c r="I11">
        <v>2019</v>
      </c>
      <c r="J11">
        <v>1687208892</v>
      </c>
      <c r="K11">
        <v>2380200000</v>
      </c>
      <c r="L11">
        <v>2210808892</v>
      </c>
      <c r="M11">
        <v>2237808892</v>
      </c>
      <c r="N11">
        <v>3187800000</v>
      </c>
      <c r="O11" s="23" t="s">
        <v>58</v>
      </c>
      <c r="P11" s="23" t="s">
        <v>99</v>
      </c>
      <c r="Q11">
        <v>298055</v>
      </c>
      <c r="R11">
        <v>298055</v>
      </c>
      <c r="S11">
        <v>298055</v>
      </c>
      <c r="T11">
        <v>298055</v>
      </c>
      <c r="U11">
        <v>292832.150987298</v>
      </c>
      <c r="W11"/>
      <c r="X11">
        <v>660000</v>
      </c>
      <c r="Y11">
        <v>660000</v>
      </c>
      <c r="Z11">
        <v>660000</v>
      </c>
      <c r="AA11">
        <v>660000</v>
      </c>
      <c r="AB11">
        <v>658435</v>
      </c>
      <c r="AD11"/>
      <c r="AE11">
        <v>958055</v>
      </c>
      <c r="AF11">
        <v>958055</v>
      </c>
      <c r="AG11">
        <v>958055</v>
      </c>
      <c r="AH11">
        <v>958055</v>
      </c>
      <c r="AI11">
        <v>951267.150987298</v>
      </c>
      <c r="AS11">
        <v>138831</v>
      </c>
      <c r="AT11">
        <v>138831</v>
      </c>
      <c r="AU11">
        <v>138831</v>
      </c>
      <c r="AV11">
        <v>138831</v>
      </c>
      <c r="AW11">
        <v>140944.858159875</v>
      </c>
    </row>
    <row r="12" spans="1:52">
      <c r="A12" t="s">
        <v>100</v>
      </c>
      <c r="B12" s="1" t="s">
        <v>101</v>
      </c>
      <c r="C12" t="s">
        <v>102</v>
      </c>
      <c r="D12" t="s">
        <v>54</v>
      </c>
      <c r="E12" s="1"/>
      <c r="F12" t="s">
        <v>93</v>
      </c>
      <c r="G12" s="1" t="s">
        <v>56</v>
      </c>
      <c r="H12" t="s">
        <v>57</v>
      </c>
      <c r="I12" s="3">
        <v>44561</v>
      </c>
      <c r="J12" s="22">
        <v>226210000000</v>
      </c>
      <c r="K12" s="22">
        <v>162465000000</v>
      </c>
      <c r="L12" s="22">
        <v>250506000000</v>
      </c>
      <c r="M12">
        <f>L12+5640000000</f>
        <v>256146000000</v>
      </c>
      <c r="N12" s="22">
        <v>239535000000</v>
      </c>
      <c r="O12" s="23" t="s">
        <v>64</v>
      </c>
      <c r="P12" s="23" t="s">
        <v>94</v>
      </c>
      <c r="R12">
        <v>63</v>
      </c>
      <c r="S12">
        <v>66</v>
      </c>
      <c r="T12">
        <v>62</v>
      </c>
      <c r="U12">
        <v>54</v>
      </c>
      <c r="V12">
        <v>57</v>
      </c>
      <c r="W12"/>
      <c r="Y12">
        <v>3</v>
      </c>
      <c r="Z12">
        <v>3</v>
      </c>
      <c r="AA12">
        <v>2</v>
      </c>
      <c r="AB12">
        <v>4</v>
      </c>
      <c r="AC12">
        <v>4</v>
      </c>
      <c r="AD12"/>
      <c r="AE12" s="19" t="str">
        <f t="shared" ref="AE12:AJ12" si="2">IF(ISBLANK(Q12),IF(ISBLANK(X12),"",X12),Q12+X12)</f>
        <v/>
      </c>
      <c r="AF12" s="19">
        <f t="shared" si="2"/>
        <v>66</v>
      </c>
      <c r="AG12" s="19">
        <f t="shared" si="2"/>
        <v>69</v>
      </c>
      <c r="AH12" s="19">
        <f t="shared" si="2"/>
        <v>64</v>
      </c>
      <c r="AI12" s="19">
        <f t="shared" si="2"/>
        <v>58</v>
      </c>
      <c r="AJ12" s="19">
        <f t="shared" si="2"/>
        <v>61</v>
      </c>
      <c r="AM12">
        <v>613</v>
      </c>
      <c r="AN12">
        <v>628</v>
      </c>
      <c r="AO12">
        <v>639</v>
      </c>
      <c r="AP12">
        <v>583</v>
      </c>
      <c r="AQ12">
        <v>611</v>
      </c>
      <c r="AT12" s="97">
        <f>9100*AM12/$AP12</f>
        <v>9568.2675814751292</v>
      </c>
      <c r="AU12" s="97">
        <f>9100*AN12/$AP12</f>
        <v>9802.4013722126929</v>
      </c>
      <c r="AV12" s="97">
        <f>9100*AO12/$AP12</f>
        <v>9974.0994854202399</v>
      </c>
      <c r="AW12">
        <v>9100</v>
      </c>
      <c r="AX12">
        <v>9500</v>
      </c>
    </row>
    <row r="13" spans="1:52">
      <c r="A13" t="s">
        <v>103</v>
      </c>
      <c r="B13" s="1" t="s">
        <v>104</v>
      </c>
      <c r="C13" t="s">
        <v>105</v>
      </c>
      <c r="D13" t="s">
        <v>54</v>
      </c>
      <c r="E13" s="1" t="s">
        <v>63</v>
      </c>
      <c r="F13" t="s">
        <v>98</v>
      </c>
      <c r="G13" s="1" t="s">
        <v>56</v>
      </c>
      <c r="H13" t="s">
        <v>57</v>
      </c>
      <c r="I13">
        <v>2019</v>
      </c>
      <c r="J13">
        <v>2839987963</v>
      </c>
      <c r="K13">
        <v>1989900000</v>
      </c>
      <c r="L13">
        <v>4601187963</v>
      </c>
      <c r="M13">
        <v>4953787963</v>
      </c>
      <c r="N13">
        <v>3503800000</v>
      </c>
      <c r="O13" t="s">
        <v>58</v>
      </c>
      <c r="P13" t="s">
        <v>99</v>
      </c>
      <c r="Q13">
        <v>33209464.625</v>
      </c>
      <c r="R13">
        <v>32357763.7366</v>
      </c>
      <c r="S13">
        <v>31034981.663759999</v>
      </c>
      <c r="T13">
        <v>30349904.449799899</v>
      </c>
      <c r="U13">
        <v>25607731.879518699</v>
      </c>
      <c r="W13"/>
      <c r="X13">
        <v>4431504.7156481296</v>
      </c>
      <c r="Y13">
        <v>4473104.3565879799</v>
      </c>
      <c r="Z13">
        <v>4413355.3696956905</v>
      </c>
      <c r="AA13">
        <v>4426105.2359619504</v>
      </c>
      <c r="AB13">
        <v>3671367</v>
      </c>
      <c r="AD13"/>
      <c r="AE13">
        <v>37640969.3406481</v>
      </c>
      <c r="AF13">
        <v>36830868.093188003</v>
      </c>
      <c r="AG13">
        <v>35448337.0334557</v>
      </c>
      <c r="AH13">
        <v>34776009.685761802</v>
      </c>
      <c r="AI13">
        <v>29279098.879518699</v>
      </c>
      <c r="AL13">
        <v>1934075.55568</v>
      </c>
      <c r="AM13">
        <v>2449774.8339999998</v>
      </c>
      <c r="AN13">
        <v>2449865.6460000002</v>
      </c>
      <c r="AO13">
        <v>2194701.7039999999</v>
      </c>
      <c r="AP13">
        <v>1851779.56275</v>
      </c>
      <c r="AS13">
        <v>89951800</v>
      </c>
      <c r="AT13">
        <v>90796200</v>
      </c>
      <c r="AU13">
        <v>89583400</v>
      </c>
      <c r="AV13">
        <v>89842200</v>
      </c>
      <c r="AW13">
        <v>74522333</v>
      </c>
    </row>
    <row r="14" spans="1:52">
      <c r="A14" t="s">
        <v>106</v>
      </c>
      <c r="B14" s="1" t="s">
        <v>107</v>
      </c>
      <c r="C14" t="s">
        <v>108</v>
      </c>
      <c r="D14" t="s">
        <v>54</v>
      </c>
      <c r="E14" s="1" t="s">
        <v>63</v>
      </c>
      <c r="F14" t="s">
        <v>55</v>
      </c>
      <c r="G14" s="1" t="s">
        <v>56</v>
      </c>
      <c r="H14" t="s">
        <v>57</v>
      </c>
      <c r="I14">
        <v>2019</v>
      </c>
      <c r="J14">
        <v>16352000000</v>
      </c>
      <c r="K14">
        <v>6845000000</v>
      </c>
      <c r="L14">
        <v>28163000000</v>
      </c>
      <c r="M14">
        <v>28303000000</v>
      </c>
      <c r="N14">
        <v>26837000000</v>
      </c>
      <c r="O14" t="s">
        <v>64</v>
      </c>
      <c r="P14" t="s">
        <v>65</v>
      </c>
      <c r="Q14">
        <v>12.6485763125094</v>
      </c>
      <c r="R14">
        <v>12.381008123704399</v>
      </c>
      <c r="S14">
        <v>12.277614766045099</v>
      </c>
      <c r="T14">
        <v>12.512963056846599</v>
      </c>
      <c r="U14">
        <v>10.700060724044199</v>
      </c>
      <c r="W14"/>
      <c r="X14">
        <v>0</v>
      </c>
      <c r="Y14">
        <v>0</v>
      </c>
      <c r="Z14">
        <v>0</v>
      </c>
      <c r="AA14">
        <v>0</v>
      </c>
      <c r="AB14">
        <v>0</v>
      </c>
      <c r="AD14"/>
      <c r="AE14" s="19">
        <f t="shared" ref="AE14:AK14" si="3">IF(ISBLANK(Q14),IF(ISBLANK(X14),"",X14),Q14+X14)</f>
        <v>12.6485763125094</v>
      </c>
      <c r="AF14" s="19">
        <f t="shared" si="3"/>
        <v>12.381008123704399</v>
      </c>
      <c r="AG14" s="19">
        <f t="shared" si="3"/>
        <v>12.277614766045099</v>
      </c>
      <c r="AH14" s="19">
        <f t="shared" si="3"/>
        <v>12.512963056846599</v>
      </c>
      <c r="AI14" s="19">
        <f t="shared" si="3"/>
        <v>10.700060724044199</v>
      </c>
      <c r="AJ14" s="19" t="str">
        <f t="shared" si="3"/>
        <v/>
      </c>
      <c r="AK14" s="19" t="str">
        <f t="shared" si="3"/>
        <v/>
      </c>
      <c r="AS14">
        <v>16.692451879226802</v>
      </c>
      <c r="AT14">
        <v>16.1094990846277</v>
      </c>
      <c r="AU14">
        <v>15.767973619907</v>
      </c>
      <c r="AV14">
        <v>17.0235153303285</v>
      </c>
      <c r="AW14">
        <v>15.014898459545799</v>
      </c>
    </row>
    <row r="15" spans="1:52">
      <c r="A15" t="s">
        <v>109</v>
      </c>
      <c r="B15" s="1" t="s">
        <v>110</v>
      </c>
      <c r="C15" t="s">
        <v>111</v>
      </c>
      <c r="D15" t="s">
        <v>54</v>
      </c>
      <c r="E15" s="1" t="s">
        <v>63</v>
      </c>
      <c r="F15" t="s">
        <v>98</v>
      </c>
      <c r="G15" s="1" t="s">
        <v>56</v>
      </c>
      <c r="H15" t="s">
        <v>57</v>
      </c>
      <c r="I15">
        <v>2019</v>
      </c>
      <c r="J15">
        <v>1900000000</v>
      </c>
      <c r="K15">
        <v>5829002000</v>
      </c>
      <c r="L15">
        <v>1</v>
      </c>
      <c r="M15">
        <v>3154921000</v>
      </c>
      <c r="N15">
        <v>3758771000</v>
      </c>
      <c r="O15" s="23" t="s">
        <v>58</v>
      </c>
      <c r="P15" s="23" t="s">
        <v>99</v>
      </c>
      <c r="Q15">
        <v>1048006</v>
      </c>
      <c r="R15">
        <v>1048006</v>
      </c>
      <c r="S15">
        <v>1048006</v>
      </c>
      <c r="T15">
        <v>1048006</v>
      </c>
      <c r="U15">
        <v>1106156</v>
      </c>
      <c r="W15"/>
      <c r="X15">
        <v>2548437</v>
      </c>
      <c r="Y15">
        <v>2548437</v>
      </c>
      <c r="Z15">
        <v>2548437</v>
      </c>
      <c r="AA15">
        <v>1500431</v>
      </c>
      <c r="AB15">
        <v>1466830</v>
      </c>
      <c r="AD15"/>
      <c r="AE15">
        <v>3596443</v>
      </c>
      <c r="AF15">
        <v>3596443</v>
      </c>
      <c r="AG15">
        <v>3596443</v>
      </c>
      <c r="AH15">
        <v>2548437</v>
      </c>
      <c r="AI15">
        <v>2572986</v>
      </c>
      <c r="AS15">
        <v>5301216</v>
      </c>
      <c r="AT15">
        <v>5301216</v>
      </c>
      <c r="AU15">
        <v>5301216</v>
      </c>
      <c r="AV15">
        <v>5301216</v>
      </c>
      <c r="AW15">
        <v>5543677</v>
      </c>
    </row>
    <row r="16" spans="1:52">
      <c r="A16" t="s">
        <v>112</v>
      </c>
      <c r="B16" s="1" t="s">
        <v>113</v>
      </c>
      <c r="C16" t="s">
        <v>114</v>
      </c>
      <c r="D16" t="s">
        <v>54</v>
      </c>
      <c r="E16" s="1" t="s">
        <v>63</v>
      </c>
      <c r="F16" t="s">
        <v>55</v>
      </c>
      <c r="G16" s="1" t="s">
        <v>56</v>
      </c>
      <c r="H16" t="s">
        <v>57</v>
      </c>
      <c r="I16">
        <v>2019</v>
      </c>
      <c r="K16">
        <v>1639605000</v>
      </c>
      <c r="L16">
        <v>1</v>
      </c>
      <c r="M16">
        <v>1</v>
      </c>
      <c r="N16">
        <v>7476298000</v>
      </c>
      <c r="O16" t="s">
        <v>64</v>
      </c>
      <c r="P16" t="s">
        <v>65</v>
      </c>
      <c r="Q16">
        <v>9.98209123846366</v>
      </c>
      <c r="R16">
        <v>8.7791840316313294</v>
      </c>
      <c r="S16">
        <v>9.3084717803376105</v>
      </c>
      <c r="T16">
        <v>8.4480133281525607</v>
      </c>
      <c r="U16">
        <v>8.0503032419862404</v>
      </c>
      <c r="W16"/>
      <c r="X16">
        <v>0</v>
      </c>
      <c r="Y16">
        <v>0</v>
      </c>
      <c r="Z16">
        <v>0</v>
      </c>
      <c r="AA16">
        <v>0</v>
      </c>
      <c r="AB16">
        <v>0</v>
      </c>
      <c r="AD16"/>
      <c r="AE16" s="19">
        <f t="shared" ref="AE16:AK31" si="4">IF(ISBLANK(Q16),IF(ISBLANK(X16),"",X16),Q16+X16)</f>
        <v>9.98209123846366</v>
      </c>
      <c r="AF16" s="19">
        <f t="shared" si="4"/>
        <v>8.7791840316313294</v>
      </c>
      <c r="AG16" s="19">
        <f t="shared" si="4"/>
        <v>9.3084717803376105</v>
      </c>
      <c r="AH16" s="19">
        <f t="shared" si="4"/>
        <v>8.4480133281525607</v>
      </c>
      <c r="AI16" s="19">
        <f t="shared" si="4"/>
        <v>8.0503032419862404</v>
      </c>
      <c r="AJ16" s="19" t="str">
        <f t="shared" si="4"/>
        <v/>
      </c>
      <c r="AK16" s="19" t="str">
        <f t="shared" si="4"/>
        <v/>
      </c>
      <c r="AS16">
        <v>13.525581534692501</v>
      </c>
      <c r="AT16">
        <v>11.5214877484265</v>
      </c>
      <c r="AU16">
        <v>12.199646670480099</v>
      </c>
      <c r="AV16">
        <v>12.8612387470939</v>
      </c>
      <c r="AW16">
        <v>12.092829316131199</v>
      </c>
    </row>
    <row r="17" spans="1:50">
      <c r="A17" t="s">
        <v>115</v>
      </c>
      <c r="B17" s="1" t="s">
        <v>116</v>
      </c>
      <c r="C17" t="s">
        <v>117</v>
      </c>
      <c r="D17" t="s">
        <v>54</v>
      </c>
      <c r="E17" s="1" t="s">
        <v>63</v>
      </c>
      <c r="F17" t="s">
        <v>55</v>
      </c>
      <c r="G17" s="1" t="s">
        <v>56</v>
      </c>
      <c r="H17" t="s">
        <v>57</v>
      </c>
      <c r="I17">
        <v>2019</v>
      </c>
      <c r="J17">
        <v>29100000000</v>
      </c>
      <c r="K17">
        <v>12574000000</v>
      </c>
      <c r="L17">
        <v>48092000000</v>
      </c>
      <c r="M17">
        <v>49073000000</v>
      </c>
      <c r="N17">
        <v>58079000000</v>
      </c>
      <c r="O17" t="s">
        <v>64</v>
      </c>
      <c r="P17" t="s">
        <v>65</v>
      </c>
      <c r="Q17">
        <v>1.32578662140228</v>
      </c>
      <c r="R17">
        <v>1.3237389779454301</v>
      </c>
      <c r="S17">
        <v>1.2684298153370399</v>
      </c>
      <c r="T17">
        <v>1.2026904049517599</v>
      </c>
      <c r="U17">
        <v>1.32787923872953</v>
      </c>
      <c r="W17"/>
      <c r="X17">
        <v>0</v>
      </c>
      <c r="Y17">
        <v>0</v>
      </c>
      <c r="Z17">
        <v>0</v>
      </c>
      <c r="AA17">
        <v>0</v>
      </c>
      <c r="AB17">
        <v>0</v>
      </c>
      <c r="AD17"/>
      <c r="AE17" s="19">
        <f t="shared" si="4"/>
        <v>1.32578662140228</v>
      </c>
      <c r="AF17" s="19">
        <f t="shared" si="4"/>
        <v>1.3237389779454301</v>
      </c>
      <c r="AG17" s="19">
        <f t="shared" si="4"/>
        <v>1.2684298153370399</v>
      </c>
      <c r="AH17" s="19">
        <f t="shared" si="4"/>
        <v>1.2026904049517599</v>
      </c>
      <c r="AI17" s="19">
        <f t="shared" si="4"/>
        <v>1.32787923872953</v>
      </c>
      <c r="AJ17" s="19" t="str">
        <f t="shared" si="4"/>
        <v/>
      </c>
      <c r="AK17" s="19" t="str">
        <f t="shared" si="4"/>
        <v/>
      </c>
      <c r="AS17">
        <v>3.0828950000000002</v>
      </c>
      <c r="AT17">
        <v>3.095761</v>
      </c>
      <c r="AU17">
        <v>2.9563009999999998</v>
      </c>
      <c r="AV17">
        <v>2.8198500000000002</v>
      </c>
      <c r="AW17">
        <v>3.1220319999999999</v>
      </c>
    </row>
    <row r="18" spans="1:50">
      <c r="A18" t="s">
        <v>118</v>
      </c>
      <c r="B18" s="1" t="s">
        <v>119</v>
      </c>
      <c r="C18" t="s">
        <v>120</v>
      </c>
      <c r="D18" t="s">
        <v>54</v>
      </c>
      <c r="E18" s="1" t="s">
        <v>63</v>
      </c>
      <c r="F18" t="s">
        <v>55</v>
      </c>
      <c r="G18" s="1" t="s">
        <v>56</v>
      </c>
      <c r="H18" t="s">
        <v>57</v>
      </c>
      <c r="I18">
        <v>2019</v>
      </c>
      <c r="J18">
        <v>23100000000</v>
      </c>
      <c r="K18">
        <v>12669000000</v>
      </c>
      <c r="L18">
        <v>39762000000</v>
      </c>
      <c r="M18">
        <v>39855000000</v>
      </c>
      <c r="N18">
        <v>41882000000</v>
      </c>
      <c r="O18" t="s">
        <v>64</v>
      </c>
      <c r="P18" t="s">
        <v>65</v>
      </c>
      <c r="Q18">
        <v>26.800952219832499</v>
      </c>
      <c r="R18">
        <v>27.947696991438701</v>
      </c>
      <c r="S18">
        <v>29.956332607558998</v>
      </c>
      <c r="T18">
        <v>27.000274246201201</v>
      </c>
      <c r="U18">
        <v>21.342605974850301</v>
      </c>
      <c r="W18"/>
      <c r="X18">
        <v>0</v>
      </c>
      <c r="Y18">
        <v>0</v>
      </c>
      <c r="Z18">
        <v>0</v>
      </c>
      <c r="AA18">
        <v>0</v>
      </c>
      <c r="AB18">
        <v>0</v>
      </c>
      <c r="AD18"/>
      <c r="AE18" s="19">
        <f t="shared" si="4"/>
        <v>26.800952219832499</v>
      </c>
      <c r="AF18" s="19">
        <f t="shared" si="4"/>
        <v>27.947696991438701</v>
      </c>
      <c r="AG18" s="19">
        <f t="shared" si="4"/>
        <v>29.956332607558998</v>
      </c>
      <c r="AH18" s="19">
        <f t="shared" si="4"/>
        <v>27.000274246201201</v>
      </c>
      <c r="AI18" s="19">
        <f t="shared" si="4"/>
        <v>21.342605974850301</v>
      </c>
      <c r="AJ18" s="19" t="str">
        <f t="shared" si="4"/>
        <v/>
      </c>
      <c r="AK18" s="19" t="str">
        <f t="shared" si="4"/>
        <v/>
      </c>
      <c r="AS18">
        <v>38.338929711799999</v>
      </c>
      <c r="AT18">
        <v>38.489939228899999</v>
      </c>
      <c r="AU18">
        <v>39.794065703999998</v>
      </c>
      <c r="AV18">
        <v>39.196437991400003</v>
      </c>
      <c r="AW18">
        <v>30.023384571499999</v>
      </c>
    </row>
    <row r="19" spans="1:50">
      <c r="A19" t="s">
        <v>121</v>
      </c>
      <c r="B19" s="1" t="s">
        <v>122</v>
      </c>
      <c r="C19" t="s">
        <v>123</v>
      </c>
      <c r="D19" t="s">
        <v>54</v>
      </c>
      <c r="E19" s="1" t="s">
        <v>63</v>
      </c>
      <c r="F19" t="s">
        <v>55</v>
      </c>
      <c r="G19" s="1" t="s">
        <v>56</v>
      </c>
      <c r="H19" t="s">
        <v>57</v>
      </c>
      <c r="I19">
        <v>2019</v>
      </c>
      <c r="J19">
        <v>62000000000</v>
      </c>
      <c r="K19">
        <v>16572000000</v>
      </c>
      <c r="L19">
        <v>95658000000</v>
      </c>
      <c r="M19">
        <v>95824000000</v>
      </c>
      <c r="N19">
        <v>103823000000</v>
      </c>
      <c r="O19" t="s">
        <v>64</v>
      </c>
      <c r="P19" t="s">
        <v>65</v>
      </c>
      <c r="Q19">
        <v>43.346668252252499</v>
      </c>
      <c r="R19">
        <v>36.8693615036822</v>
      </c>
      <c r="S19">
        <v>35.120067341795298</v>
      </c>
      <c r="T19">
        <v>31.432803553609599</v>
      </c>
      <c r="U19">
        <v>32.246843518396602</v>
      </c>
      <c r="W19"/>
      <c r="X19">
        <v>0</v>
      </c>
      <c r="Y19">
        <v>0</v>
      </c>
      <c r="Z19">
        <v>0</v>
      </c>
      <c r="AA19">
        <v>0</v>
      </c>
      <c r="AB19">
        <v>0</v>
      </c>
      <c r="AD19"/>
      <c r="AE19" s="19">
        <f t="shared" si="4"/>
        <v>43.346668252252499</v>
      </c>
      <c r="AF19" s="19">
        <f t="shared" si="4"/>
        <v>36.8693615036822</v>
      </c>
      <c r="AG19" s="19">
        <f t="shared" si="4"/>
        <v>35.120067341795298</v>
      </c>
      <c r="AH19" s="19">
        <f t="shared" si="4"/>
        <v>31.432803553609599</v>
      </c>
      <c r="AI19" s="19">
        <f t="shared" si="4"/>
        <v>32.246843518396602</v>
      </c>
      <c r="AJ19" s="19" t="str">
        <f t="shared" si="4"/>
        <v/>
      </c>
      <c r="AK19" s="19" t="str">
        <f t="shared" si="4"/>
        <v/>
      </c>
      <c r="AS19">
        <v>102.3781215467</v>
      </c>
      <c r="AT19">
        <v>95.363361617799995</v>
      </c>
      <c r="AU19">
        <v>95.723638083700195</v>
      </c>
      <c r="AV19">
        <v>97.768233357200003</v>
      </c>
      <c r="AW19">
        <v>101.0949584695</v>
      </c>
    </row>
    <row r="20" spans="1:50">
      <c r="A20" t="s">
        <v>124</v>
      </c>
      <c r="B20" s="1" t="s">
        <v>125</v>
      </c>
      <c r="C20" t="s">
        <v>126</v>
      </c>
      <c r="D20" t="s">
        <v>54</v>
      </c>
      <c r="E20" s="1" t="s">
        <v>63</v>
      </c>
      <c r="F20" t="s">
        <v>55</v>
      </c>
      <c r="G20" s="1" t="s">
        <v>56</v>
      </c>
      <c r="H20" t="s">
        <v>57</v>
      </c>
      <c r="I20">
        <v>2019</v>
      </c>
      <c r="J20">
        <v>64230558771</v>
      </c>
      <c r="K20">
        <v>25079000000</v>
      </c>
      <c r="L20">
        <v>126981558771</v>
      </c>
      <c r="M20">
        <v>127292558771</v>
      </c>
      <c r="N20">
        <v>158838000000</v>
      </c>
      <c r="O20" t="s">
        <v>64</v>
      </c>
      <c r="P20" t="s">
        <v>65</v>
      </c>
      <c r="Q20">
        <v>101.019277096862</v>
      </c>
      <c r="R20">
        <v>93.530450474088099</v>
      </c>
      <c r="S20">
        <v>95.012237689685406</v>
      </c>
      <c r="T20">
        <v>83.573620116699004</v>
      </c>
      <c r="U20">
        <v>74.771237187252794</v>
      </c>
      <c r="W20"/>
      <c r="X20">
        <v>0</v>
      </c>
      <c r="Y20">
        <v>0</v>
      </c>
      <c r="Z20">
        <v>0</v>
      </c>
      <c r="AA20">
        <v>0</v>
      </c>
      <c r="AB20">
        <v>0</v>
      </c>
      <c r="AD20"/>
      <c r="AE20" s="19">
        <f t="shared" si="4"/>
        <v>101.019277096862</v>
      </c>
      <c r="AF20" s="19">
        <f t="shared" si="4"/>
        <v>93.530450474088099</v>
      </c>
      <c r="AG20" s="19">
        <f t="shared" si="4"/>
        <v>95.012237689685406</v>
      </c>
      <c r="AH20" s="19">
        <f t="shared" si="4"/>
        <v>83.573620116699004</v>
      </c>
      <c r="AI20" s="19">
        <f t="shared" si="4"/>
        <v>74.771237187252794</v>
      </c>
      <c r="AJ20" s="19" t="str">
        <f t="shared" si="4"/>
        <v/>
      </c>
      <c r="AK20" s="19" t="str">
        <f t="shared" si="4"/>
        <v/>
      </c>
      <c r="AS20">
        <v>215.728917587978</v>
      </c>
      <c r="AT20">
        <v>209.732414023438</v>
      </c>
      <c r="AU20">
        <v>215.512044238328</v>
      </c>
      <c r="AV20">
        <v>206.167169888941</v>
      </c>
      <c r="AW20">
        <v>199.53951726531801</v>
      </c>
    </row>
    <row r="21" spans="1:50">
      <c r="A21" t="s">
        <v>127</v>
      </c>
      <c r="B21" s="1" t="s">
        <v>128</v>
      </c>
      <c r="C21" t="s">
        <v>129</v>
      </c>
      <c r="D21" t="s">
        <v>130</v>
      </c>
      <c r="E21" s="1" t="s">
        <v>92</v>
      </c>
      <c r="F21" t="s">
        <v>55</v>
      </c>
      <c r="G21" s="1" t="s">
        <v>56</v>
      </c>
      <c r="H21" t="s">
        <v>57</v>
      </c>
      <c r="I21" s="3">
        <v>44561</v>
      </c>
      <c r="J21">
        <v>50211000000</v>
      </c>
      <c r="K21">
        <v>84461000000</v>
      </c>
      <c r="L21">
        <f>M21-9919000000</f>
        <v>83280000000</v>
      </c>
      <c r="M21">
        <f>$J21+42988000000</f>
        <v>93199000000</v>
      </c>
      <c r="N21">
        <v>360966000000</v>
      </c>
      <c r="O21" t="s">
        <v>64</v>
      </c>
      <c r="P21" t="s">
        <v>59</v>
      </c>
      <c r="S21">
        <v>35.700000000000003</v>
      </c>
      <c r="T21">
        <v>33</v>
      </c>
      <c r="U21">
        <v>28</v>
      </c>
      <c r="V21">
        <v>27</v>
      </c>
      <c r="W21"/>
      <c r="Z21">
        <v>0.47</v>
      </c>
      <c r="AA21">
        <v>0.3</v>
      </c>
      <c r="AB21">
        <v>0.3</v>
      </c>
      <c r="AC21">
        <v>0.3</v>
      </c>
      <c r="AD21"/>
      <c r="AE21" s="19"/>
      <c r="AF21" s="19"/>
      <c r="AG21" s="19">
        <f t="shared" si="4"/>
        <v>36.17</v>
      </c>
      <c r="AH21" s="19">
        <f t="shared" si="4"/>
        <v>33.299999999999997</v>
      </c>
      <c r="AI21" s="19">
        <f t="shared" si="4"/>
        <v>28.3</v>
      </c>
      <c r="AJ21" s="19">
        <f t="shared" si="4"/>
        <v>27.3</v>
      </c>
      <c r="AK21" s="19"/>
      <c r="AN21">
        <v>110.8</v>
      </c>
      <c r="AO21">
        <v>119</v>
      </c>
      <c r="AP21">
        <v>107</v>
      </c>
      <c r="AQ21">
        <v>102</v>
      </c>
      <c r="AT21">
        <v>580.79999999999995</v>
      </c>
      <c r="AU21">
        <v>584</v>
      </c>
      <c r="AV21">
        <f>1000*AH21/55</f>
        <v>605.4545454545455</v>
      </c>
      <c r="AW21">
        <f>1000*AI21/51</f>
        <v>554.9019607843137</v>
      </c>
      <c r="AX21">
        <f>1000*AJ21/48</f>
        <v>568.75</v>
      </c>
    </row>
    <row r="22" spans="1:50">
      <c r="A22" t="s">
        <v>131</v>
      </c>
      <c r="B22" s="1" t="s">
        <v>132</v>
      </c>
      <c r="C22" t="s">
        <v>133</v>
      </c>
      <c r="D22" t="s">
        <v>54</v>
      </c>
      <c r="E22" s="1" t="s">
        <v>63</v>
      </c>
      <c r="F22" t="s">
        <v>55</v>
      </c>
      <c r="G22" s="1" t="s">
        <v>56</v>
      </c>
      <c r="H22" t="s">
        <v>57</v>
      </c>
      <c r="I22">
        <v>2019</v>
      </c>
      <c r="J22">
        <v>22000000000</v>
      </c>
      <c r="K22">
        <v>12347000000</v>
      </c>
      <c r="L22">
        <v>42069000000</v>
      </c>
      <c r="M22">
        <v>42137000000</v>
      </c>
      <c r="N22">
        <v>64382000000</v>
      </c>
      <c r="O22" t="s">
        <v>64</v>
      </c>
      <c r="P22" t="s">
        <v>65</v>
      </c>
      <c r="Q22">
        <v>2.1022921303922599</v>
      </c>
      <c r="R22">
        <v>1.78521414109194</v>
      </c>
      <c r="S22">
        <v>0.97111824551102</v>
      </c>
      <c r="T22">
        <v>1.31366464333349</v>
      </c>
      <c r="U22">
        <v>1.29392246561957</v>
      </c>
      <c r="W22"/>
      <c r="X22">
        <v>0</v>
      </c>
      <c r="Y22">
        <v>0</v>
      </c>
      <c r="Z22">
        <v>1.2</v>
      </c>
      <c r="AA22">
        <v>0.6</v>
      </c>
      <c r="AB22">
        <v>0.7</v>
      </c>
      <c r="AD22"/>
      <c r="AE22" s="19">
        <f>IF(ISBLANK(Q22),IF(ISBLANK(X22),"",X22),Q22+X22)</f>
        <v>2.1022921303922599</v>
      </c>
      <c r="AF22" s="19">
        <f>IF(ISBLANK(R22),IF(ISBLANK(Y22),"",Y22),R22+Y22)</f>
        <v>1.78521414109194</v>
      </c>
      <c r="AG22" s="19">
        <f t="shared" si="4"/>
        <v>2.1711182455110198</v>
      </c>
      <c r="AH22" s="19">
        <f t="shared" si="4"/>
        <v>1.9136646433334898</v>
      </c>
      <c r="AI22" s="19">
        <f t="shared" si="4"/>
        <v>1.99392246561957</v>
      </c>
      <c r="AJ22" s="19" t="str">
        <f t="shared" si="4"/>
        <v/>
      </c>
      <c r="AK22" s="19" t="str">
        <f>IF(ISBLANK(W22),IF(ISBLANK(AD22),"",AD22),W22+AD22)</f>
        <v/>
      </c>
      <c r="AN22">
        <v>15.8</v>
      </c>
      <c r="AO22">
        <v>9.8000000000000007</v>
      </c>
      <c r="AP22">
        <v>11.3</v>
      </c>
      <c r="AS22">
        <v>14.009789366</v>
      </c>
      <c r="AT22">
        <v>14.812107804</v>
      </c>
      <c r="AU22">
        <v>10.728513921999999</v>
      </c>
      <c r="AV22">
        <v>12.558661144</v>
      </c>
      <c r="AW22">
        <v>10.220820414</v>
      </c>
    </row>
    <row r="23" spans="1:50">
      <c r="A23" t="s">
        <v>134</v>
      </c>
      <c r="B23" s="1" t="s">
        <v>135</v>
      </c>
      <c r="C23" t="s">
        <v>136</v>
      </c>
      <c r="D23" t="s">
        <v>137</v>
      </c>
      <c r="E23" s="1" t="s">
        <v>138</v>
      </c>
      <c r="F23" t="s">
        <v>55</v>
      </c>
      <c r="G23" s="1" t="s">
        <v>56</v>
      </c>
      <c r="H23" t="s">
        <v>57</v>
      </c>
      <c r="I23" s="3">
        <v>44196</v>
      </c>
      <c r="J23">
        <v>8105859000</v>
      </c>
      <c r="K23" s="22">
        <v>12064489000</v>
      </c>
      <c r="L23">
        <v>11943556000</v>
      </c>
      <c r="M23">
        <f>L23+1649486000</f>
        <v>13593042000</v>
      </c>
      <c r="N23" s="22">
        <v>26933558000</v>
      </c>
      <c r="O23" t="s">
        <v>139</v>
      </c>
      <c r="P23" t="s">
        <v>59</v>
      </c>
      <c r="S23">
        <v>6817</v>
      </c>
      <c r="T23">
        <v>6964</v>
      </c>
      <c r="U23">
        <v>6896</v>
      </c>
      <c r="W23"/>
      <c r="Z23">
        <v>115</v>
      </c>
      <c r="AA23">
        <v>41</v>
      </c>
      <c r="AB23">
        <v>86</v>
      </c>
      <c r="AD23"/>
      <c r="AE23" s="19"/>
      <c r="AF23" s="19"/>
      <c r="AG23" s="19">
        <f t="shared" si="4"/>
        <v>6932</v>
      </c>
      <c r="AH23" s="19">
        <f t="shared" si="4"/>
        <v>7005</v>
      </c>
      <c r="AI23" s="19">
        <f t="shared" si="4"/>
        <v>6982</v>
      </c>
      <c r="AJ23" s="19"/>
      <c r="AK23" s="19"/>
      <c r="AN23">
        <v>5261</v>
      </c>
      <c r="AO23">
        <v>5819</v>
      </c>
      <c r="AP23">
        <v>5315</v>
      </c>
      <c r="AU23">
        <v>39863</v>
      </c>
      <c r="AV23">
        <v>41760</v>
      </c>
      <c r="AW23">
        <v>40455</v>
      </c>
    </row>
    <row r="24" spans="1:50">
      <c r="A24" t="s">
        <v>140</v>
      </c>
      <c r="B24" s="1" t="s">
        <v>141</v>
      </c>
      <c r="C24" t="s">
        <v>142</v>
      </c>
      <c r="D24" t="s">
        <v>54</v>
      </c>
      <c r="E24" s="1" t="s">
        <v>63</v>
      </c>
      <c r="F24" t="s">
        <v>55</v>
      </c>
      <c r="G24" s="1" t="s">
        <v>56</v>
      </c>
      <c r="H24" t="s">
        <v>57</v>
      </c>
      <c r="I24">
        <v>2019</v>
      </c>
      <c r="J24">
        <v>20500000000</v>
      </c>
      <c r="K24">
        <v>10878673000</v>
      </c>
      <c r="L24">
        <v>39134228000</v>
      </c>
      <c r="M24">
        <v>39559950000</v>
      </c>
      <c r="N24">
        <v>51723912000</v>
      </c>
      <c r="O24" t="s">
        <v>64</v>
      </c>
      <c r="P24" t="s">
        <v>65</v>
      </c>
      <c r="Q24">
        <v>32.534277276775498</v>
      </c>
      <c r="R24">
        <v>31.452615946488201</v>
      </c>
      <c r="S24">
        <v>34.632403953117503</v>
      </c>
      <c r="T24">
        <v>33.246229122713601</v>
      </c>
      <c r="U24">
        <v>30.543162251514801</v>
      </c>
      <c r="W24"/>
      <c r="X24">
        <v>0</v>
      </c>
      <c r="Y24">
        <v>0</v>
      </c>
      <c r="Z24">
        <v>0</v>
      </c>
      <c r="AA24">
        <v>0</v>
      </c>
      <c r="AB24">
        <v>0</v>
      </c>
      <c r="AD24"/>
      <c r="AE24" s="19">
        <f t="shared" ref="AE24:AK38" si="5">IF(ISBLANK(Q24),IF(ISBLANK(X24),"",X24),Q24+X24)</f>
        <v>32.534277276775498</v>
      </c>
      <c r="AF24" s="19">
        <f t="shared" si="5"/>
        <v>31.452615946488201</v>
      </c>
      <c r="AG24" s="19">
        <f t="shared" si="4"/>
        <v>34.632403953117503</v>
      </c>
      <c r="AH24" s="19">
        <f t="shared" si="4"/>
        <v>33.246229122713601</v>
      </c>
      <c r="AI24" s="19">
        <f t="shared" si="4"/>
        <v>30.543162251514801</v>
      </c>
      <c r="AJ24" s="19" t="str">
        <f t="shared" si="4"/>
        <v/>
      </c>
      <c r="AK24" s="19" t="str">
        <f t="shared" si="4"/>
        <v/>
      </c>
      <c r="AS24">
        <v>95.811363396945296</v>
      </c>
      <c r="AT24">
        <v>90.773791353405699</v>
      </c>
      <c r="AU24">
        <v>97.9689857895942</v>
      </c>
      <c r="AV24">
        <v>102.30344268821401</v>
      </c>
      <c r="AW24">
        <v>102.664904189743</v>
      </c>
    </row>
    <row r="25" spans="1:50">
      <c r="A25" t="s">
        <v>143</v>
      </c>
      <c r="B25" s="1" t="s">
        <v>144</v>
      </c>
      <c r="C25" t="s">
        <v>145</v>
      </c>
      <c r="D25" t="s">
        <v>54</v>
      </c>
      <c r="E25" s="1" t="s">
        <v>63</v>
      </c>
      <c r="F25" t="s">
        <v>55</v>
      </c>
      <c r="G25" s="1" t="s">
        <v>56</v>
      </c>
      <c r="H25" t="s">
        <v>57</v>
      </c>
      <c r="I25">
        <v>2019</v>
      </c>
      <c r="J25">
        <v>14138041261</v>
      </c>
      <c r="K25">
        <v>5147800000</v>
      </c>
      <c r="L25">
        <v>22861541261</v>
      </c>
      <c r="M25">
        <v>22884741261</v>
      </c>
      <c r="N25">
        <v>25975900000</v>
      </c>
      <c r="O25" t="s">
        <v>64</v>
      </c>
      <c r="P25" t="s">
        <v>65</v>
      </c>
      <c r="Q25">
        <v>35.143399275736499</v>
      </c>
      <c r="R25">
        <v>32.270603331565901</v>
      </c>
      <c r="S25">
        <v>30.548667622949999</v>
      </c>
      <c r="T25">
        <v>26.749411150191399</v>
      </c>
      <c r="U25">
        <v>24.402943213709602</v>
      </c>
      <c r="W25"/>
      <c r="X25">
        <v>0</v>
      </c>
      <c r="Y25">
        <v>0</v>
      </c>
      <c r="Z25">
        <v>0</v>
      </c>
      <c r="AA25">
        <v>0</v>
      </c>
      <c r="AB25">
        <v>0</v>
      </c>
      <c r="AD25"/>
      <c r="AE25" s="19">
        <f t="shared" si="5"/>
        <v>35.143399275736499</v>
      </c>
      <c r="AF25" s="19">
        <f t="shared" si="5"/>
        <v>32.270603331565901</v>
      </c>
      <c r="AG25" s="19">
        <f t="shared" si="4"/>
        <v>30.548667622949999</v>
      </c>
      <c r="AH25" s="19">
        <f t="shared" si="4"/>
        <v>26.749411150191399</v>
      </c>
      <c r="AI25" s="19">
        <f t="shared" si="4"/>
        <v>24.402943213709602</v>
      </c>
      <c r="AJ25" s="19" t="str">
        <f t="shared" si="4"/>
        <v/>
      </c>
      <c r="AK25" s="19" t="str">
        <f t="shared" si="4"/>
        <v/>
      </c>
      <c r="AS25">
        <v>44.026084980599997</v>
      </c>
      <c r="AT25">
        <v>43.611918605100001</v>
      </c>
      <c r="AU25">
        <v>40.625634925699998</v>
      </c>
      <c r="AV25">
        <v>37.623516467499996</v>
      </c>
      <c r="AW25">
        <v>35.892610833500001</v>
      </c>
    </row>
    <row r="26" spans="1:50">
      <c r="A26" t="s">
        <v>146</v>
      </c>
      <c r="B26" s="1" t="s">
        <v>147</v>
      </c>
      <c r="C26" t="s">
        <v>148</v>
      </c>
      <c r="D26" t="s">
        <v>54</v>
      </c>
      <c r="E26" s="1" t="s">
        <v>63</v>
      </c>
      <c r="F26" t="s">
        <v>55</v>
      </c>
      <c r="G26" s="1" t="s">
        <v>56</v>
      </c>
      <c r="H26" t="s">
        <v>57</v>
      </c>
      <c r="I26">
        <v>2019</v>
      </c>
      <c r="J26">
        <v>24486439602</v>
      </c>
      <c r="K26">
        <v>8526470000</v>
      </c>
      <c r="L26">
        <v>38241835602</v>
      </c>
      <c r="M26">
        <v>38257267602</v>
      </c>
      <c r="N26">
        <v>41123915000</v>
      </c>
      <c r="O26" t="s">
        <v>64</v>
      </c>
      <c r="P26" t="s">
        <v>65</v>
      </c>
      <c r="Q26">
        <v>0.54127068994473704</v>
      </c>
      <c r="R26">
        <v>0.38852905220415002</v>
      </c>
      <c r="S26">
        <v>3.4941452190248999E-3</v>
      </c>
      <c r="T26">
        <v>2.212864871423E-4</v>
      </c>
      <c r="U26">
        <v>3.6851314504339998E-4</v>
      </c>
      <c r="W26"/>
      <c r="X26">
        <v>0</v>
      </c>
      <c r="Y26">
        <v>0</v>
      </c>
      <c r="Z26">
        <v>0</v>
      </c>
      <c r="AA26">
        <v>0</v>
      </c>
      <c r="AB26">
        <v>0</v>
      </c>
      <c r="AD26"/>
      <c r="AE26" s="19">
        <f t="shared" si="5"/>
        <v>0.54127068994473704</v>
      </c>
      <c r="AF26" s="19">
        <f t="shared" si="5"/>
        <v>0.38852905220415002</v>
      </c>
      <c r="AG26" s="19">
        <f t="shared" si="4"/>
        <v>3.4941452190248999E-3</v>
      </c>
      <c r="AH26" s="19">
        <f t="shared" si="4"/>
        <v>2.212864871423E-4</v>
      </c>
      <c r="AI26" s="19">
        <f t="shared" si="4"/>
        <v>3.6851314504339998E-4</v>
      </c>
      <c r="AJ26" s="19" t="str">
        <f t="shared" si="4"/>
        <v/>
      </c>
      <c r="AK26" s="19" t="str">
        <f t="shared" si="4"/>
        <v/>
      </c>
      <c r="AS26">
        <v>1.0800586419061999</v>
      </c>
      <c r="AT26">
        <v>0.99355118802682396</v>
      </c>
      <c r="AU26">
        <v>1.74436112E-2</v>
      </c>
      <c r="AV26">
        <v>6.0743841799999997E-2</v>
      </c>
      <c r="AW26">
        <v>8.1134556999999996E-2</v>
      </c>
    </row>
    <row r="27" spans="1:50">
      <c r="A27" t="s">
        <v>149</v>
      </c>
      <c r="B27" s="1" t="s">
        <v>150</v>
      </c>
      <c r="C27" t="s">
        <v>151</v>
      </c>
      <c r="D27" t="s">
        <v>54</v>
      </c>
      <c r="E27" s="1"/>
      <c r="F27" t="s">
        <v>55</v>
      </c>
      <c r="G27" s="1" t="s">
        <v>56</v>
      </c>
      <c r="H27" t="s">
        <v>57</v>
      </c>
      <c r="I27" s="3">
        <v>44196</v>
      </c>
      <c r="J27">
        <v>35402501369</v>
      </c>
      <c r="K27">
        <v>34438000000</v>
      </c>
      <c r="L27">
        <v>66144501369</v>
      </c>
      <c r="M27">
        <v>66731501369</v>
      </c>
      <c r="N27">
        <v>124977000000</v>
      </c>
      <c r="O27" s="23" t="s">
        <v>58</v>
      </c>
      <c r="P27" s="23" t="s">
        <v>81</v>
      </c>
      <c r="Q27">
        <v>9723000</v>
      </c>
      <c r="R27" s="26">
        <v>9532000</v>
      </c>
      <c r="S27" s="26">
        <v>8841000</v>
      </c>
      <c r="T27" s="26">
        <v>8566000</v>
      </c>
      <c r="U27" s="26">
        <v>8493000</v>
      </c>
      <c r="X27">
        <v>7061000</v>
      </c>
      <c r="Y27" s="26">
        <v>17693000</v>
      </c>
      <c r="Z27" s="26">
        <v>21022000</v>
      </c>
      <c r="AA27" s="26">
        <v>18864000</v>
      </c>
      <c r="AB27" s="26">
        <v>13720000</v>
      </c>
      <c r="AE27" s="19">
        <f t="shared" si="5"/>
        <v>16784000</v>
      </c>
      <c r="AF27" s="19">
        <f t="shared" si="5"/>
        <v>27225000</v>
      </c>
      <c r="AG27" s="19">
        <f t="shared" si="4"/>
        <v>29863000</v>
      </c>
      <c r="AH27" s="19">
        <f t="shared" si="4"/>
        <v>27430000</v>
      </c>
      <c r="AI27" s="19">
        <f t="shared" si="4"/>
        <v>22213000</v>
      </c>
      <c r="AJ27" s="19" t="str">
        <f t="shared" si="4"/>
        <v/>
      </c>
      <c r="AK27" s="19" t="str">
        <f t="shared" si="4"/>
        <v/>
      </c>
      <c r="AS27" s="20">
        <v>186212000</v>
      </c>
      <c r="AT27" s="27">
        <f>195307000+51595000</f>
        <v>246902000</v>
      </c>
      <c r="AU27" s="26">
        <f>194224000+59050000</f>
        <v>253274000</v>
      </c>
      <c r="AV27" s="28">
        <f>189463000+69708000</f>
        <v>259171000</v>
      </c>
      <c r="AW27">
        <v>181369000</v>
      </c>
    </row>
    <row r="28" spans="1:50">
      <c r="A28" t="s">
        <v>152</v>
      </c>
      <c r="B28" s="1" t="s">
        <v>153</v>
      </c>
      <c r="C28" t="s">
        <v>154</v>
      </c>
      <c r="D28" t="s">
        <v>54</v>
      </c>
      <c r="E28" s="1" t="s">
        <v>63</v>
      </c>
      <c r="F28" t="s">
        <v>93</v>
      </c>
      <c r="G28" s="1" t="s">
        <v>56</v>
      </c>
      <c r="H28" t="s">
        <v>57</v>
      </c>
      <c r="I28" s="3">
        <v>44196</v>
      </c>
      <c r="J28" s="22">
        <v>174280000000</v>
      </c>
      <c r="K28" s="22">
        <v>181502000000</v>
      </c>
      <c r="L28" s="22">
        <v>310294000000</v>
      </c>
      <c r="M28">
        <f>L28+4364000000</f>
        <v>314658000000</v>
      </c>
      <c r="N28" s="22">
        <v>332750000000</v>
      </c>
      <c r="O28" s="23" t="s">
        <v>64</v>
      </c>
      <c r="P28" s="95" t="s">
        <v>388</v>
      </c>
      <c r="Q28">
        <v>117</v>
      </c>
      <c r="R28" s="26">
        <v>115</v>
      </c>
      <c r="S28" s="26">
        <v>116</v>
      </c>
      <c r="T28" s="26">
        <v>111</v>
      </c>
      <c r="U28" s="26">
        <v>105</v>
      </c>
      <c r="V28" s="96">
        <v>103</v>
      </c>
      <c r="X28">
        <v>8</v>
      </c>
      <c r="Y28" s="26">
        <v>8</v>
      </c>
      <c r="Z28" s="26">
        <v>8</v>
      </c>
      <c r="AA28" s="26">
        <v>8</v>
      </c>
      <c r="AB28" s="26">
        <v>7</v>
      </c>
      <c r="AC28" s="96">
        <v>6</v>
      </c>
      <c r="AE28" s="19">
        <f t="shared" si="5"/>
        <v>125</v>
      </c>
      <c r="AF28" s="19">
        <f t="shared" si="5"/>
        <v>123</v>
      </c>
      <c r="AG28" s="19">
        <f t="shared" si="4"/>
        <v>124</v>
      </c>
      <c r="AH28" s="19">
        <f t="shared" si="4"/>
        <v>119</v>
      </c>
      <c r="AI28" s="19">
        <f t="shared" si="4"/>
        <v>112</v>
      </c>
      <c r="AJ28" s="19">
        <f t="shared" si="4"/>
        <v>109</v>
      </c>
      <c r="AK28" s="19" t="str">
        <f t="shared" si="4"/>
        <v/>
      </c>
      <c r="AL28" s="94">
        <f t="shared" ref="AL28:AQ28" si="6">0.43*AS28/1000</f>
        <v>636.11834999999996</v>
      </c>
      <c r="AM28" s="94">
        <f t="shared" si="6"/>
        <v>625.44574999999998</v>
      </c>
      <c r="AN28" s="94">
        <f t="shared" si="6"/>
        <v>601.58934999999997</v>
      </c>
      <c r="AO28" s="94">
        <f t="shared" si="6"/>
        <v>620.26639999999998</v>
      </c>
      <c r="AP28" s="94">
        <f t="shared" si="6"/>
        <v>590.28895</v>
      </c>
      <c r="AQ28" s="94">
        <f t="shared" si="6"/>
        <v>582.59839999999997</v>
      </c>
      <c r="AS28" s="25">
        <f>4053*365</f>
        <v>1479345</v>
      </c>
      <c r="AT28" s="25">
        <f>3985*365</f>
        <v>1454525</v>
      </c>
      <c r="AU28" s="25">
        <f>3833*365</f>
        <v>1399045</v>
      </c>
      <c r="AV28" s="25">
        <f>3952*365</f>
        <v>1442480</v>
      </c>
      <c r="AW28" s="25">
        <f>3761*365</f>
        <v>1372765</v>
      </c>
      <c r="AX28" s="25">
        <f>3712*365</f>
        <v>1354880</v>
      </c>
    </row>
    <row r="29" spans="1:50">
      <c r="A29" t="s">
        <v>155</v>
      </c>
      <c r="B29" s="1" t="s">
        <v>156</v>
      </c>
      <c r="C29" t="s">
        <v>157</v>
      </c>
      <c r="D29" t="s">
        <v>54</v>
      </c>
      <c r="E29" s="1"/>
      <c r="F29" t="s">
        <v>55</v>
      </c>
      <c r="G29" s="1" t="s">
        <v>56</v>
      </c>
      <c r="H29" t="s">
        <v>57</v>
      </c>
      <c r="I29" s="3">
        <v>44196</v>
      </c>
      <c r="J29">
        <v>20967401361</v>
      </c>
      <c r="K29">
        <v>11035000000</v>
      </c>
      <c r="L29">
        <v>39958401361</v>
      </c>
      <c r="M29">
        <v>40585401361</v>
      </c>
      <c r="N29">
        <v>42301000000</v>
      </c>
      <c r="O29" s="23" t="s">
        <v>58</v>
      </c>
      <c r="P29" s="23" t="s">
        <v>81</v>
      </c>
      <c r="R29" s="20">
        <v>42354899</v>
      </c>
      <c r="S29" s="20">
        <v>32748805</v>
      </c>
      <c r="T29" s="20">
        <v>17935528</v>
      </c>
      <c r="U29" s="20">
        <v>14519279</v>
      </c>
      <c r="Y29" s="20">
        <v>18079772</v>
      </c>
      <c r="Z29" s="20">
        <v>20223892</v>
      </c>
      <c r="AA29" s="20">
        <v>31927583</v>
      </c>
      <c r="AB29" s="20">
        <v>28230946</v>
      </c>
      <c r="AE29" s="19" t="str">
        <f t="shared" si="5"/>
        <v/>
      </c>
      <c r="AF29" s="19">
        <f t="shared" si="5"/>
        <v>60434671</v>
      </c>
      <c r="AG29" s="19">
        <f t="shared" si="4"/>
        <v>52972697</v>
      </c>
      <c r="AH29" s="19">
        <f t="shared" si="4"/>
        <v>49863111</v>
      </c>
      <c r="AI29" s="19">
        <f t="shared" si="4"/>
        <v>42750225</v>
      </c>
      <c r="AJ29" s="19" t="str">
        <f t="shared" si="4"/>
        <v/>
      </c>
      <c r="AK29" s="19" t="str">
        <f t="shared" si="4"/>
        <v/>
      </c>
      <c r="AT29" s="20">
        <v>116315158</v>
      </c>
      <c r="AU29" s="20">
        <v>109322672</v>
      </c>
      <c r="AV29" s="20">
        <v>65313409</v>
      </c>
      <c r="AW29" s="20">
        <v>61496572</v>
      </c>
    </row>
    <row r="30" spans="1:50">
      <c r="A30" t="s">
        <v>158</v>
      </c>
      <c r="B30" s="1" t="s">
        <v>159</v>
      </c>
      <c r="C30" t="s">
        <v>160</v>
      </c>
      <c r="D30" t="s">
        <v>54</v>
      </c>
      <c r="E30" s="1"/>
      <c r="F30" t="s">
        <v>86</v>
      </c>
      <c r="G30" s="1" t="s">
        <v>56</v>
      </c>
      <c r="H30" t="s">
        <v>57</v>
      </c>
      <c r="I30" s="3">
        <v>44561</v>
      </c>
      <c r="J30" s="22">
        <v>83000000000</v>
      </c>
      <c r="K30" s="22">
        <v>136300000000</v>
      </c>
      <c r="L30" s="22">
        <v>185040000000</v>
      </c>
      <c r="M30">
        <f>L30+20540000000</f>
        <v>205580000000</v>
      </c>
      <c r="N30" s="22">
        <v>257035000000</v>
      </c>
      <c r="O30" s="23" t="s">
        <v>139</v>
      </c>
      <c r="P30" s="23" t="s">
        <v>161</v>
      </c>
      <c r="R30" s="20"/>
      <c r="S30" s="23">
        <v>1442.963</v>
      </c>
      <c r="T30" s="20">
        <v>1418.056</v>
      </c>
      <c r="U30" s="20">
        <v>1129.402</v>
      </c>
      <c r="V30">
        <v>910</v>
      </c>
      <c r="Y30" s="20"/>
      <c r="Z30" s="23">
        <v>3219.7159999999999</v>
      </c>
      <c r="AA30" s="23">
        <v>3040.2930000000001</v>
      </c>
      <c r="AB30" s="23">
        <v>2473.2730000000001</v>
      </c>
      <c r="AC30">
        <v>1680</v>
      </c>
      <c r="AE30" s="19" t="str">
        <f t="shared" si="5"/>
        <v/>
      </c>
      <c r="AF30" s="19" t="str">
        <f t="shared" si="5"/>
        <v/>
      </c>
      <c r="AG30" s="19">
        <f t="shared" si="4"/>
        <v>4662.6790000000001</v>
      </c>
      <c r="AH30" s="19">
        <f t="shared" si="4"/>
        <v>4458.3490000000002</v>
      </c>
      <c r="AI30" s="19">
        <f t="shared" si="4"/>
        <v>3602.6750000000002</v>
      </c>
      <c r="AJ30" s="19">
        <f t="shared" si="4"/>
        <v>2590</v>
      </c>
      <c r="AK30" s="19" t="str">
        <f t="shared" si="4"/>
        <v/>
      </c>
      <c r="AN30" s="23">
        <v>398915.81</v>
      </c>
      <c r="AO30">
        <v>435144.43800000002</v>
      </c>
      <c r="AP30">
        <v>349281.99200000003</v>
      </c>
      <c r="AQ30" s="25">
        <v>349281.99200000003</v>
      </c>
      <c r="AT30" s="20"/>
      <c r="AU30" s="20"/>
      <c r="AV30" s="24">
        <f>AO30*0.7/(309/1.6)</f>
        <v>1577.2225584466019</v>
      </c>
      <c r="AW30" s="24">
        <f>AP30*0.7/(301/1.6)</f>
        <v>1299.6539237209302</v>
      </c>
      <c r="AX30" s="24">
        <f>AQ30*0.7/(289/1.6)</f>
        <v>1353.6187925259514</v>
      </c>
    </row>
    <row r="31" spans="1:50">
      <c r="A31" t="s">
        <v>162</v>
      </c>
      <c r="B31" s="1" t="s">
        <v>163</v>
      </c>
      <c r="C31" t="s">
        <v>164</v>
      </c>
      <c r="D31" t="s">
        <v>165</v>
      </c>
      <c r="E31" s="1"/>
      <c r="F31" t="s">
        <v>55</v>
      </c>
      <c r="G31" s="1" t="s">
        <v>56</v>
      </c>
      <c r="H31" t="s">
        <v>57</v>
      </c>
      <c r="I31" s="3">
        <v>44196</v>
      </c>
      <c r="J31">
        <f>474900000*45</f>
        <v>21370500000</v>
      </c>
      <c r="K31">
        <v>6736467578.2073498</v>
      </c>
      <c r="L31">
        <v>1</v>
      </c>
      <c r="M31">
        <v>1</v>
      </c>
      <c r="N31">
        <v>40960299959.761497</v>
      </c>
      <c r="O31" s="23" t="s">
        <v>58</v>
      </c>
      <c r="P31" s="23" t="s">
        <v>81</v>
      </c>
      <c r="Q31">
        <v>10891000</v>
      </c>
      <c r="R31" s="20">
        <v>10010000</v>
      </c>
      <c r="S31" s="20">
        <v>10818000</v>
      </c>
      <c r="T31" s="20">
        <v>11925000</v>
      </c>
      <c r="U31" s="20">
        <v>10093000</v>
      </c>
      <c r="X31" s="20">
        <f>(191+3353)*1000</f>
        <v>3544000</v>
      </c>
      <c r="Y31" s="20">
        <f>(223+3625)*1000</f>
        <v>3848000</v>
      </c>
      <c r="Z31" s="20">
        <f>(222+2893)*1000</f>
        <v>3115000</v>
      </c>
      <c r="AA31" s="20">
        <v>2933000</v>
      </c>
      <c r="AB31" s="20">
        <v>2487000</v>
      </c>
      <c r="AE31" s="19">
        <f t="shared" si="5"/>
        <v>14435000</v>
      </c>
      <c r="AF31" s="19">
        <f t="shared" si="5"/>
        <v>13858000</v>
      </c>
      <c r="AG31" s="19">
        <f t="shared" si="4"/>
        <v>13933000</v>
      </c>
      <c r="AH31" s="19">
        <f t="shared" si="4"/>
        <v>14858000</v>
      </c>
      <c r="AI31" s="19">
        <f t="shared" si="4"/>
        <v>12580000</v>
      </c>
      <c r="AJ31" s="19" t="str">
        <f t="shared" si="4"/>
        <v/>
      </c>
      <c r="AK31" s="19" t="str">
        <f t="shared" si="4"/>
        <v/>
      </c>
      <c r="AS31">
        <f>(15818+18480)*1000</f>
        <v>34298000</v>
      </c>
      <c r="AT31">
        <f>(15369+19785)*1000</f>
        <v>35154000</v>
      </c>
      <c r="AU31">
        <f>(18776+19163)*1000</f>
        <v>37939000</v>
      </c>
      <c r="AV31">
        <f>18976000+19244000</f>
        <v>38220000</v>
      </c>
      <c r="AW31">
        <f>17694000+18255000</f>
        <v>35949000</v>
      </c>
    </row>
    <row r="32" spans="1:50">
      <c r="A32" t="s">
        <v>166</v>
      </c>
      <c r="B32" s="1" t="s">
        <v>167</v>
      </c>
      <c r="C32" t="s">
        <v>168</v>
      </c>
      <c r="D32" t="s">
        <v>54</v>
      </c>
      <c r="E32" s="1"/>
      <c r="F32" t="s">
        <v>86</v>
      </c>
      <c r="G32" s="1" t="s">
        <v>56</v>
      </c>
      <c r="H32" t="s">
        <v>57</v>
      </c>
      <c r="I32" s="3">
        <v>44561</v>
      </c>
      <c r="J32" s="22">
        <v>59590000000</v>
      </c>
      <c r="K32" s="22">
        <v>122000000000</v>
      </c>
      <c r="L32" s="22">
        <v>144100000000</v>
      </c>
      <c r="M32" s="22">
        <f>L32+19992000000</f>
        <v>164092000000</v>
      </c>
      <c r="N32">
        <v>235194000000</v>
      </c>
      <c r="O32" s="23" t="s">
        <v>58</v>
      </c>
      <c r="P32" s="23" t="s">
        <v>387</v>
      </c>
      <c r="R32" s="20"/>
      <c r="S32" s="20"/>
      <c r="T32" s="23">
        <v>1589700</v>
      </c>
      <c r="U32" s="23">
        <v>1214124</v>
      </c>
      <c r="V32" s="23">
        <v>1252906</v>
      </c>
      <c r="X32" s="20"/>
      <c r="Y32" s="20"/>
      <c r="Z32" s="20"/>
      <c r="AA32" s="23">
        <v>3721875</v>
      </c>
      <c r="AB32" s="23">
        <v>2599822</v>
      </c>
      <c r="AC32" s="23">
        <v>2150694</v>
      </c>
      <c r="AE32" s="19" t="str">
        <f t="shared" si="5"/>
        <v/>
      </c>
      <c r="AF32" s="19" t="str">
        <f t="shared" si="5"/>
        <v/>
      </c>
      <c r="AG32" s="19" t="str">
        <f t="shared" si="5"/>
        <v/>
      </c>
      <c r="AH32" s="19">
        <f t="shared" si="5"/>
        <v>5311575</v>
      </c>
      <c r="AI32" s="19">
        <f t="shared" si="5"/>
        <v>3813946</v>
      </c>
      <c r="AJ32" s="19">
        <f t="shared" si="5"/>
        <v>3403600</v>
      </c>
      <c r="AK32" s="19" t="str">
        <f t="shared" si="5"/>
        <v/>
      </c>
      <c r="AO32" s="23">
        <v>249384317</v>
      </c>
      <c r="AP32" s="23">
        <v>296411327</v>
      </c>
      <c r="AQ32" s="29">
        <v>296411327</v>
      </c>
      <c r="AV32" s="24">
        <f>AO32*0.85/293</f>
        <v>723469.86160409555</v>
      </c>
      <c r="AW32" s="24">
        <f>AP32*0.85/280</f>
        <v>899820.09982142854</v>
      </c>
      <c r="AX32" s="24">
        <f>AQ32*0.85/265</f>
        <v>950753.31301886786</v>
      </c>
    </row>
    <row r="33" spans="1:50">
      <c r="A33" t="s">
        <v>169</v>
      </c>
      <c r="B33" s="1" t="s">
        <v>170</v>
      </c>
      <c r="C33" t="s">
        <v>171</v>
      </c>
      <c r="D33" t="s">
        <v>172</v>
      </c>
      <c r="E33" s="1" t="s">
        <v>138</v>
      </c>
      <c r="F33" t="s">
        <v>98</v>
      </c>
      <c r="G33" s="1" t="s">
        <v>56</v>
      </c>
      <c r="H33" t="s">
        <v>57</v>
      </c>
      <c r="I33">
        <v>2019</v>
      </c>
      <c r="J33">
        <f>571900000*16.72*0.2</f>
        <v>1912433600</v>
      </c>
      <c r="K33">
        <v>9835514922.9662399</v>
      </c>
      <c r="L33">
        <v>1</v>
      </c>
      <c r="M33">
        <v>1</v>
      </c>
      <c r="N33">
        <v>13397913513.7817</v>
      </c>
      <c r="O33" s="23" t="s">
        <v>58</v>
      </c>
      <c r="P33" s="23" t="s">
        <v>99</v>
      </c>
      <c r="Q33">
        <v>12075000</v>
      </c>
      <c r="R33">
        <v>12075000</v>
      </c>
      <c r="S33">
        <v>10707412.125</v>
      </c>
      <c r="T33">
        <v>9056519</v>
      </c>
      <c r="U33">
        <v>9198407</v>
      </c>
      <c r="W33"/>
      <c r="X33">
        <v>4025000</v>
      </c>
      <c r="Y33">
        <v>4025000</v>
      </c>
      <c r="Z33">
        <v>3569137.375</v>
      </c>
      <c r="AA33">
        <v>2890986</v>
      </c>
      <c r="AB33">
        <v>2082515</v>
      </c>
      <c r="AD33"/>
      <c r="AE33" s="19">
        <f t="shared" si="5"/>
        <v>16100000</v>
      </c>
      <c r="AF33" s="19">
        <f t="shared" si="5"/>
        <v>16100000</v>
      </c>
      <c r="AG33" s="19">
        <f t="shared" si="5"/>
        <v>14276549.5</v>
      </c>
      <c r="AH33" s="19">
        <f t="shared" si="5"/>
        <v>11947505</v>
      </c>
      <c r="AI33" s="19">
        <f t="shared" si="5"/>
        <v>11280922</v>
      </c>
      <c r="AJ33" s="19" t="str">
        <f t="shared" si="5"/>
        <v/>
      </c>
      <c r="AK33" s="19" t="str">
        <f t="shared" si="5"/>
        <v/>
      </c>
      <c r="AS33">
        <v>16100000</v>
      </c>
      <c r="AT33">
        <v>16100000</v>
      </c>
      <c r="AU33">
        <v>14276549.5</v>
      </c>
      <c r="AV33">
        <v>12453099</v>
      </c>
      <c r="AW33">
        <v>13142354.300000001</v>
      </c>
    </row>
    <row r="34" spans="1:50">
      <c r="A34" t="s">
        <v>173</v>
      </c>
      <c r="B34" s="1" t="s">
        <v>174</v>
      </c>
      <c r="C34" t="s">
        <v>175</v>
      </c>
      <c r="D34" t="s">
        <v>54</v>
      </c>
      <c r="E34" s="1" t="s">
        <v>63</v>
      </c>
      <c r="F34" t="s">
        <v>55</v>
      </c>
      <c r="G34" s="1" t="s">
        <v>56</v>
      </c>
      <c r="H34" t="s">
        <v>57</v>
      </c>
      <c r="I34">
        <v>2019</v>
      </c>
      <c r="J34">
        <v>4745752027</v>
      </c>
      <c r="K34">
        <v>2874601000</v>
      </c>
      <c r="L34">
        <v>6513304027</v>
      </c>
      <c r="M34">
        <v>6710117027</v>
      </c>
      <c r="N34">
        <v>13745251000</v>
      </c>
      <c r="O34" t="s">
        <v>64</v>
      </c>
      <c r="P34" t="s">
        <v>65</v>
      </c>
      <c r="Q34">
        <v>3.88689418875878</v>
      </c>
      <c r="R34">
        <v>3.8663196803185498</v>
      </c>
      <c r="S34">
        <v>3.9373016635971498</v>
      </c>
      <c r="T34">
        <v>3.9790181439510599</v>
      </c>
      <c r="U34">
        <v>3.71643905269806</v>
      </c>
      <c r="W34"/>
      <c r="X34">
        <v>0</v>
      </c>
      <c r="Y34">
        <v>0</v>
      </c>
      <c r="Z34">
        <v>0</v>
      </c>
      <c r="AA34">
        <v>0</v>
      </c>
      <c r="AB34">
        <v>0</v>
      </c>
      <c r="AD34"/>
      <c r="AE34" s="19">
        <f t="shared" si="5"/>
        <v>3.88689418875878</v>
      </c>
      <c r="AF34" s="19">
        <f t="shared" si="5"/>
        <v>3.8663196803185498</v>
      </c>
      <c r="AG34" s="19">
        <f t="shared" si="5"/>
        <v>3.9373016635971498</v>
      </c>
      <c r="AH34" s="19">
        <f t="shared" si="5"/>
        <v>3.9790181439510599</v>
      </c>
      <c r="AI34" s="19">
        <f t="shared" si="5"/>
        <v>3.71643905269806</v>
      </c>
      <c r="AJ34" s="19" t="str">
        <f t="shared" si="5"/>
        <v/>
      </c>
      <c r="AK34" s="19" t="str">
        <f t="shared" si="5"/>
        <v/>
      </c>
      <c r="AS34">
        <v>4.9426490000000003</v>
      </c>
      <c r="AT34">
        <v>4.8881050000000004</v>
      </c>
      <c r="AU34">
        <v>4.9569289999999997</v>
      </c>
      <c r="AV34">
        <v>4.9702039999999998</v>
      </c>
      <c r="AW34">
        <v>4.6293220000000002</v>
      </c>
    </row>
    <row r="35" spans="1:50">
      <c r="A35" t="s">
        <v>176</v>
      </c>
      <c r="B35" s="1" t="s">
        <v>177</v>
      </c>
      <c r="C35" t="s">
        <v>178</v>
      </c>
      <c r="D35" t="s">
        <v>179</v>
      </c>
      <c r="E35" s="1" t="s">
        <v>92</v>
      </c>
      <c r="F35" t="s">
        <v>55</v>
      </c>
      <c r="G35" s="1" t="s">
        <v>56</v>
      </c>
      <c r="H35" t="s">
        <v>57</v>
      </c>
      <c r="I35" s="3">
        <v>44561</v>
      </c>
      <c r="J35">
        <v>66271000000</v>
      </c>
      <c r="K35">
        <v>39114000000</v>
      </c>
      <c r="L35">
        <f>J35-39119000000</f>
        <v>27152000000</v>
      </c>
      <c r="M35">
        <f>L35+4052000000</f>
        <v>31204000000</v>
      </c>
      <c r="N35">
        <v>141752000000</v>
      </c>
      <c r="O35" s="23" t="s">
        <v>139</v>
      </c>
      <c r="P35" s="23" t="s">
        <v>59</v>
      </c>
      <c r="R35">
        <v>15020</v>
      </c>
      <c r="S35">
        <v>13328</v>
      </c>
      <c r="T35">
        <v>13584</v>
      </c>
      <c r="U35">
        <v>13136</v>
      </c>
      <c r="V35">
        <v>13207</v>
      </c>
      <c r="W35"/>
      <c r="Y35">
        <v>3415</v>
      </c>
      <c r="Z35">
        <v>2544</v>
      </c>
      <c r="AA35">
        <v>2082</v>
      </c>
      <c r="AB35">
        <v>1883</v>
      </c>
      <c r="AC35">
        <v>2162</v>
      </c>
      <c r="AD35"/>
      <c r="AE35" s="19"/>
      <c r="AF35" s="19">
        <f t="shared" si="5"/>
        <v>18435</v>
      </c>
      <c r="AG35" s="19">
        <f t="shared" si="5"/>
        <v>15872</v>
      </c>
      <c r="AH35" s="19">
        <f t="shared" si="5"/>
        <v>15666</v>
      </c>
      <c r="AI35" s="19">
        <f t="shared" si="5"/>
        <v>15019</v>
      </c>
      <c r="AJ35" s="19">
        <f t="shared" si="5"/>
        <v>15369</v>
      </c>
      <c r="AK35" s="19"/>
      <c r="AM35">
        <v>56212</v>
      </c>
      <c r="AN35">
        <v>51969</v>
      </c>
      <c r="AO35">
        <v>54278</v>
      </c>
      <c r="AP35">
        <v>57852</v>
      </c>
      <c r="AQ35">
        <v>53898</v>
      </c>
      <c r="AT35">
        <v>137549</v>
      </c>
      <c r="AU35">
        <v>145605</v>
      </c>
      <c r="AV35">
        <v>151758</v>
      </c>
      <c r="AW35">
        <v>162842</v>
      </c>
      <c r="AX35">
        <v>164266</v>
      </c>
    </row>
    <row r="36" spans="1:50">
      <c r="A36" t="s">
        <v>181</v>
      </c>
      <c r="B36" s="1" t="s">
        <v>182</v>
      </c>
      <c r="C36" t="s">
        <v>183</v>
      </c>
      <c r="D36" t="s">
        <v>54</v>
      </c>
      <c r="E36" s="1" t="s">
        <v>63</v>
      </c>
      <c r="F36" t="s">
        <v>55</v>
      </c>
      <c r="G36" s="1" t="s">
        <v>56</v>
      </c>
      <c r="H36" t="s">
        <v>57</v>
      </c>
      <c r="I36">
        <v>2019</v>
      </c>
      <c r="J36">
        <v>5134204876</v>
      </c>
      <c r="K36">
        <v>5336776000</v>
      </c>
      <c r="L36">
        <v>7310852876</v>
      </c>
      <c r="M36">
        <v>7377311876</v>
      </c>
      <c r="N36">
        <v>7683059000</v>
      </c>
      <c r="O36" t="s">
        <v>64</v>
      </c>
      <c r="P36" t="s">
        <v>65</v>
      </c>
      <c r="Q36">
        <v>1.87462187527987</v>
      </c>
      <c r="R36">
        <v>1.84435992735308</v>
      </c>
      <c r="S36">
        <v>2.0515686489135501</v>
      </c>
      <c r="T36">
        <v>1.71049343073906</v>
      </c>
      <c r="U36">
        <v>1.8262746387694699</v>
      </c>
      <c r="W36"/>
      <c r="X36">
        <v>0</v>
      </c>
      <c r="Y36">
        <v>0</v>
      </c>
      <c r="Z36">
        <v>0</v>
      </c>
      <c r="AA36">
        <v>0</v>
      </c>
      <c r="AB36">
        <v>0</v>
      </c>
      <c r="AD36"/>
      <c r="AE36" s="19">
        <f>IF(ISBLANK(Q36),IF(ISBLANK(X36),"",X36),Q36+X36)</f>
        <v>1.87462187527987</v>
      </c>
      <c r="AF36" s="19">
        <f t="shared" si="5"/>
        <v>1.84435992735308</v>
      </c>
      <c r="AG36" s="19">
        <f t="shared" si="5"/>
        <v>2.0515686489135501</v>
      </c>
      <c r="AH36" s="19">
        <f t="shared" si="5"/>
        <v>1.71049343073906</v>
      </c>
      <c r="AI36" s="19">
        <f t="shared" si="5"/>
        <v>1.8262746387694699</v>
      </c>
      <c r="AJ36" s="19" t="str">
        <f t="shared" si="5"/>
        <v/>
      </c>
      <c r="AK36" s="19" t="str">
        <f>IF(ISBLANK(W36),IF(ISBLANK(AD36),"",AD36),W36+AD36)</f>
        <v/>
      </c>
      <c r="AS36">
        <v>2.1870177499999999</v>
      </c>
      <c r="AT36">
        <v>2.1656629999999999</v>
      </c>
      <c r="AU36">
        <v>2.3207654999999998</v>
      </c>
      <c r="AV36">
        <v>2.1471232499999999</v>
      </c>
      <c r="AW36">
        <v>2.2935585000000001</v>
      </c>
    </row>
    <row r="37" spans="1:50">
      <c r="A37" t="s">
        <v>187</v>
      </c>
      <c r="B37" s="1" t="s">
        <v>188</v>
      </c>
      <c r="C37" t="s">
        <v>189</v>
      </c>
      <c r="D37" t="s">
        <v>91</v>
      </c>
      <c r="E37" s="1" t="s">
        <v>92</v>
      </c>
      <c r="F37" t="s">
        <v>55</v>
      </c>
      <c r="G37" s="1" t="s">
        <v>56</v>
      </c>
      <c r="H37" t="s">
        <v>57</v>
      </c>
      <c r="I37">
        <v>2019</v>
      </c>
      <c r="J37">
        <v>40783780623.597</v>
      </c>
      <c r="K37">
        <v>19393506493.5065</v>
      </c>
      <c r="L37">
        <v>1</v>
      </c>
      <c r="M37">
        <v>1</v>
      </c>
      <c r="N37">
        <v>81770129870.129898</v>
      </c>
      <c r="O37" t="s">
        <v>64</v>
      </c>
      <c r="P37" t="s">
        <v>65</v>
      </c>
      <c r="Q37">
        <v>5.8304249123706402</v>
      </c>
      <c r="R37">
        <v>4.1059781322581701</v>
      </c>
      <c r="S37">
        <v>5.75632595190089</v>
      </c>
      <c r="T37">
        <v>4.7256911734020299</v>
      </c>
      <c r="U37">
        <v>6.07854526951468</v>
      </c>
      <c r="W37"/>
      <c r="X37">
        <v>0</v>
      </c>
      <c r="Y37">
        <v>0</v>
      </c>
      <c r="Z37">
        <v>0</v>
      </c>
      <c r="AA37">
        <v>0</v>
      </c>
      <c r="AB37">
        <v>0</v>
      </c>
      <c r="AD37"/>
      <c r="AE37" s="19">
        <f>IF(ISBLANK(Q37),IF(ISBLANK(X37),"",X37),Q37+X37)</f>
        <v>5.8304249123706402</v>
      </c>
      <c r="AF37" s="19">
        <f t="shared" si="5"/>
        <v>4.1059781322581701</v>
      </c>
      <c r="AG37" s="19">
        <f t="shared" si="5"/>
        <v>5.75632595190089</v>
      </c>
      <c r="AH37" s="19">
        <f t="shared" si="5"/>
        <v>4.7256911734020299</v>
      </c>
      <c r="AI37" s="19">
        <f t="shared" si="5"/>
        <v>6.07854526951468</v>
      </c>
      <c r="AJ37" s="19" t="str">
        <f t="shared" si="5"/>
        <v/>
      </c>
      <c r="AK37" s="19" t="str">
        <f>IF(ISBLANK(W37),IF(ISBLANK(AD37),"",AD37),W37+AD37)</f>
        <v/>
      </c>
      <c r="AS37">
        <v>9.6681579999999894</v>
      </c>
      <c r="AT37">
        <v>6.7177259999999999</v>
      </c>
      <c r="AU37">
        <v>9.3488639999999901</v>
      </c>
      <c r="AV37">
        <v>7.7770190000000001</v>
      </c>
      <c r="AW37">
        <v>10.203676</v>
      </c>
    </row>
    <row r="38" spans="1:50">
      <c r="A38" t="s">
        <v>190</v>
      </c>
      <c r="B38" s="1" t="s">
        <v>191</v>
      </c>
      <c r="C38" t="s">
        <v>192</v>
      </c>
      <c r="D38" t="s">
        <v>54</v>
      </c>
      <c r="E38" s="1" t="s">
        <v>63</v>
      </c>
      <c r="F38" t="s">
        <v>55</v>
      </c>
      <c r="G38" s="1" t="s">
        <v>56</v>
      </c>
      <c r="H38" t="s">
        <v>57</v>
      </c>
      <c r="I38">
        <v>2019</v>
      </c>
      <c r="J38">
        <v>97905404884</v>
      </c>
      <c r="K38">
        <v>19204000000</v>
      </c>
      <c r="L38">
        <v>134848404884</v>
      </c>
      <c r="M38">
        <v>135448404884</v>
      </c>
      <c r="N38">
        <v>117691000000</v>
      </c>
      <c r="O38" t="s">
        <v>64</v>
      </c>
      <c r="P38" t="s">
        <v>65</v>
      </c>
      <c r="Q38">
        <v>44.467669531403999</v>
      </c>
      <c r="R38">
        <v>45.156516685849297</v>
      </c>
      <c r="S38">
        <v>45.362601100706101</v>
      </c>
      <c r="T38">
        <v>44.579149470133402</v>
      </c>
      <c r="U38">
        <v>42.257461966110597</v>
      </c>
      <c r="W38"/>
      <c r="X38">
        <v>0</v>
      </c>
      <c r="Y38">
        <v>0</v>
      </c>
      <c r="Z38">
        <v>0</v>
      </c>
      <c r="AA38">
        <v>0</v>
      </c>
      <c r="AB38">
        <v>0</v>
      </c>
      <c r="AD38"/>
      <c r="AE38" s="19">
        <f>IF(ISBLANK(Q38),IF(ISBLANK(X38),"",X38),Q38+X38)</f>
        <v>44.467669531403999</v>
      </c>
      <c r="AF38" s="19">
        <f t="shared" si="5"/>
        <v>45.156516685849297</v>
      </c>
      <c r="AG38" s="19">
        <f t="shared" si="5"/>
        <v>45.362601100706101</v>
      </c>
      <c r="AH38" s="19">
        <f t="shared" si="5"/>
        <v>44.579149470133402</v>
      </c>
      <c r="AI38" s="19">
        <f t="shared" si="5"/>
        <v>42.257461966110597</v>
      </c>
      <c r="AJ38" s="19" t="str">
        <f t="shared" si="5"/>
        <v/>
      </c>
      <c r="AK38" s="19" t="str">
        <f>IF(ISBLANK(W38),IF(ISBLANK(AD38),"",AD38),W38+AD38)</f>
        <v/>
      </c>
      <c r="AS38">
        <v>127.73700738310001</v>
      </c>
      <c r="AT38">
        <v>129.144311972</v>
      </c>
      <c r="AU38">
        <v>133.74937911255</v>
      </c>
      <c r="AV38">
        <v>135.71818765739999</v>
      </c>
      <c r="AW38">
        <v>137.27814340149999</v>
      </c>
    </row>
    <row r="39" spans="1:50">
      <c r="A39" t="s">
        <v>193</v>
      </c>
      <c r="B39" s="1" t="s">
        <v>194</v>
      </c>
      <c r="C39" t="s">
        <v>195</v>
      </c>
      <c r="D39" t="s">
        <v>196</v>
      </c>
      <c r="E39" s="30" t="s">
        <v>197</v>
      </c>
      <c r="F39" t="s">
        <v>98</v>
      </c>
      <c r="G39" s="1" t="s">
        <v>56</v>
      </c>
      <c r="H39" t="s">
        <v>57</v>
      </c>
      <c r="I39">
        <v>2019</v>
      </c>
      <c r="J39">
        <f>879400*1000000/107.92</f>
        <v>8148628613.7879906</v>
      </c>
      <c r="K39">
        <f>5921500*1000000/107.92</f>
        <v>54869347664.936989</v>
      </c>
      <c r="L39">
        <f>M39+289549*1000000/107.92</f>
        <v>33892605633.802818</v>
      </c>
      <c r="M39">
        <f>J39+2488741*1000000/107.92</f>
        <v>31209608969.607117</v>
      </c>
      <c r="N39">
        <f>7444965*1000000/107.92</f>
        <v>68985961823.573013</v>
      </c>
      <c r="O39" t="s">
        <v>58</v>
      </c>
      <c r="P39" t="s">
        <v>99</v>
      </c>
      <c r="Q39">
        <v>80501000</v>
      </c>
      <c r="R39">
        <v>80501000</v>
      </c>
      <c r="S39">
        <v>81099000</v>
      </c>
      <c r="T39">
        <v>78384000</v>
      </c>
      <c r="U39">
        <v>62860000</v>
      </c>
      <c r="W39"/>
      <c r="X39">
        <v>12478000</v>
      </c>
      <c r="Y39">
        <v>12478000</v>
      </c>
      <c r="Z39">
        <v>12563000</v>
      </c>
      <c r="AA39">
        <v>11878000</v>
      </c>
      <c r="AB39">
        <v>10846000</v>
      </c>
      <c r="AD39"/>
      <c r="AE39">
        <v>92979000</v>
      </c>
      <c r="AF39">
        <v>92979000</v>
      </c>
      <c r="AG39">
        <v>93662000</v>
      </c>
      <c r="AH39">
        <v>90262000</v>
      </c>
      <c r="AI39">
        <v>73706000</v>
      </c>
      <c r="AL39">
        <v>20957000</v>
      </c>
      <c r="AM39">
        <v>20957000</v>
      </c>
      <c r="AN39">
        <v>21191000</v>
      </c>
      <c r="AO39">
        <v>20937000</v>
      </c>
      <c r="AP39">
        <v>18078000</v>
      </c>
      <c r="AS39">
        <v>49580000</v>
      </c>
      <c r="AT39">
        <v>49580000</v>
      </c>
      <c r="AU39">
        <v>48500000</v>
      </c>
      <c r="AV39">
        <v>45890000</v>
      </c>
      <c r="AW39">
        <v>36630000</v>
      </c>
    </row>
    <row r="40" spans="1:50">
      <c r="A40" t="s">
        <v>198</v>
      </c>
      <c r="B40" s="1" t="s">
        <v>199</v>
      </c>
      <c r="C40" t="s">
        <v>200</v>
      </c>
      <c r="D40" t="s">
        <v>54</v>
      </c>
      <c r="E40" s="1" t="s">
        <v>63</v>
      </c>
      <c r="F40" t="s">
        <v>55</v>
      </c>
      <c r="G40" s="1" t="s">
        <v>56</v>
      </c>
      <c r="H40" t="s">
        <v>57</v>
      </c>
      <c r="I40">
        <v>2019</v>
      </c>
      <c r="J40">
        <v>10713311150</v>
      </c>
      <c r="K40">
        <v>5053400000</v>
      </c>
      <c r="L40">
        <v>19338411150</v>
      </c>
      <c r="M40">
        <v>19477711150</v>
      </c>
      <c r="N40">
        <v>22659800000</v>
      </c>
      <c r="O40" t="s">
        <v>64</v>
      </c>
      <c r="P40" t="s">
        <v>65</v>
      </c>
      <c r="Q40">
        <v>9.9601014764331595</v>
      </c>
      <c r="R40">
        <v>9.6960935392110308</v>
      </c>
      <c r="S40">
        <v>10.8006060749735</v>
      </c>
      <c r="T40">
        <v>8.57140918766944</v>
      </c>
      <c r="U40">
        <v>5.9569034121262199</v>
      </c>
      <c r="W40"/>
      <c r="X40">
        <v>0</v>
      </c>
      <c r="Y40">
        <v>0</v>
      </c>
      <c r="Z40">
        <v>0</v>
      </c>
      <c r="AA40">
        <v>0</v>
      </c>
      <c r="AB40">
        <v>0</v>
      </c>
      <c r="AD40"/>
      <c r="AE40" s="19">
        <f t="shared" ref="AE40:AK45" si="7">IF(ISBLANK(Q40),IF(ISBLANK(X40),"",X40),Q40+X40)</f>
        <v>9.9601014764331595</v>
      </c>
      <c r="AF40" s="19">
        <f t="shared" si="7"/>
        <v>9.6960935392110308</v>
      </c>
      <c r="AG40" s="19">
        <f t="shared" si="7"/>
        <v>10.8006060749735</v>
      </c>
      <c r="AH40" s="19">
        <f t="shared" si="7"/>
        <v>8.57140918766944</v>
      </c>
      <c r="AI40" s="19">
        <f t="shared" si="7"/>
        <v>5.9569034121262199</v>
      </c>
      <c r="AJ40" s="19" t="str">
        <f t="shared" si="7"/>
        <v/>
      </c>
      <c r="AK40" s="19" t="str">
        <f t="shared" si="7"/>
        <v/>
      </c>
      <c r="AS40">
        <v>11.781155</v>
      </c>
      <c r="AT40">
        <v>11.451045000000001</v>
      </c>
      <c r="AU40">
        <v>11.979272999999999</v>
      </c>
      <c r="AV40">
        <v>10.329416</v>
      </c>
      <c r="AW40">
        <v>7.6103259999999997</v>
      </c>
    </row>
    <row r="41" spans="1:50">
      <c r="A41" t="s">
        <v>201</v>
      </c>
      <c r="B41" s="1" t="s">
        <v>202</v>
      </c>
      <c r="C41" t="s">
        <v>203</v>
      </c>
      <c r="D41" t="s">
        <v>54</v>
      </c>
      <c r="E41" s="1" t="s">
        <v>63</v>
      </c>
      <c r="F41" t="s">
        <v>55</v>
      </c>
      <c r="G41" s="1" t="s">
        <v>56</v>
      </c>
      <c r="H41" t="s">
        <v>57</v>
      </c>
      <c r="I41">
        <v>2019</v>
      </c>
      <c r="J41">
        <v>3639448000</v>
      </c>
      <c r="K41">
        <v>1257910000</v>
      </c>
      <c r="L41">
        <v>6051117000</v>
      </c>
      <c r="M41">
        <v>6056262000</v>
      </c>
      <c r="N41">
        <v>5910702000</v>
      </c>
      <c r="O41" t="s">
        <v>64</v>
      </c>
      <c r="P41" t="s">
        <v>65</v>
      </c>
      <c r="Q41">
        <v>10.5828883047778</v>
      </c>
      <c r="R41">
        <v>11.130297979750001</v>
      </c>
      <c r="S41">
        <v>10.9934962219328</v>
      </c>
      <c r="T41">
        <v>10.7429245489505</v>
      </c>
      <c r="U41">
        <v>7.6614925655895103</v>
      </c>
      <c r="W41"/>
      <c r="X41">
        <v>0</v>
      </c>
      <c r="Y41">
        <v>0</v>
      </c>
      <c r="Z41">
        <v>0</v>
      </c>
      <c r="AA41">
        <v>0</v>
      </c>
      <c r="AB41">
        <v>0</v>
      </c>
      <c r="AD41"/>
      <c r="AE41" s="19">
        <f t="shared" si="7"/>
        <v>10.5828883047778</v>
      </c>
      <c r="AF41" s="19">
        <f t="shared" si="7"/>
        <v>11.130297979750001</v>
      </c>
      <c r="AG41" s="19">
        <f t="shared" si="7"/>
        <v>10.9934962219328</v>
      </c>
      <c r="AH41" s="19">
        <f t="shared" si="7"/>
        <v>10.7429245489505</v>
      </c>
      <c r="AI41" s="19">
        <f t="shared" si="7"/>
        <v>7.6614925655895103</v>
      </c>
      <c r="AJ41" s="19" t="str">
        <f t="shared" si="7"/>
        <v/>
      </c>
      <c r="AK41" s="19" t="str">
        <f t="shared" si="7"/>
        <v/>
      </c>
      <c r="AS41">
        <v>21.821417649600001</v>
      </c>
      <c r="AT41">
        <v>23.083953169600001</v>
      </c>
      <c r="AU41">
        <v>23.586075636698801</v>
      </c>
      <c r="AV41">
        <v>23.480624323200001</v>
      </c>
      <c r="AW41">
        <v>19.634134127999999</v>
      </c>
    </row>
    <row r="42" spans="1:50">
      <c r="A42" t="s">
        <v>184</v>
      </c>
      <c r="B42" s="1" t="s">
        <v>185</v>
      </c>
      <c r="C42" t="s">
        <v>186</v>
      </c>
      <c r="D42" t="s">
        <v>54</v>
      </c>
      <c r="E42" s="1" t="s">
        <v>63</v>
      </c>
      <c r="F42" t="s">
        <v>98</v>
      </c>
      <c r="G42" s="1" t="s">
        <v>56</v>
      </c>
      <c r="H42" t="s">
        <v>57</v>
      </c>
      <c r="I42">
        <v>2019</v>
      </c>
      <c r="J42">
        <v>16580000000</v>
      </c>
      <c r="K42">
        <v>22588858000</v>
      </c>
      <c r="L42">
        <v>19336696000</v>
      </c>
      <c r="M42">
        <v>20871301000</v>
      </c>
      <c r="N42">
        <v>18344666000</v>
      </c>
      <c r="O42" s="23" t="s">
        <v>58</v>
      </c>
      <c r="P42" s="23" t="s">
        <v>99</v>
      </c>
      <c r="Q42">
        <v>4800000</v>
      </c>
      <c r="R42">
        <v>4800000</v>
      </c>
      <c r="S42">
        <v>4800000</v>
      </c>
      <c r="T42">
        <v>4400000</v>
      </c>
      <c r="U42">
        <v>4700000</v>
      </c>
      <c r="W42"/>
      <c r="X42">
        <v>5785714.2857142901</v>
      </c>
      <c r="Y42">
        <v>5785714.2857142901</v>
      </c>
      <c r="Z42">
        <v>5785714.2857142901</v>
      </c>
      <c r="AA42">
        <v>5400000</v>
      </c>
      <c r="AB42">
        <v>5400000</v>
      </c>
      <c r="AD42"/>
      <c r="AE42" s="19">
        <f t="shared" si="7"/>
        <v>10585714.285714291</v>
      </c>
      <c r="AF42" s="19">
        <f t="shared" si="7"/>
        <v>10585714.285714291</v>
      </c>
      <c r="AG42" s="19">
        <f t="shared" si="7"/>
        <v>10585714.285714291</v>
      </c>
      <c r="AH42" s="19">
        <f t="shared" si="7"/>
        <v>9800000</v>
      </c>
      <c r="AI42" s="19">
        <f t="shared" si="7"/>
        <v>10100000</v>
      </c>
      <c r="AJ42" s="19" t="str">
        <f t="shared" si="7"/>
        <v/>
      </c>
      <c r="AK42" s="19" t="str">
        <f t="shared" si="7"/>
        <v/>
      </c>
      <c r="AL42">
        <v>7557446.8085106397</v>
      </c>
      <c r="AM42">
        <v>7557446.8085106397</v>
      </c>
      <c r="AN42">
        <v>7557446.8085106397</v>
      </c>
      <c r="AO42">
        <v>6927659.5744680902</v>
      </c>
      <c r="AP42">
        <v>7400000</v>
      </c>
      <c r="AS42">
        <v>22500000</v>
      </c>
      <c r="AT42">
        <v>22500000</v>
      </c>
      <c r="AU42">
        <v>22500000</v>
      </c>
      <c r="AV42">
        <v>20700000</v>
      </c>
      <c r="AW42">
        <v>20300000</v>
      </c>
    </row>
    <row r="43" spans="1:50">
      <c r="A43" t="s">
        <v>204</v>
      </c>
      <c r="B43" s="1" t="s">
        <v>205</v>
      </c>
      <c r="C43" t="s">
        <v>206</v>
      </c>
      <c r="D43" t="s">
        <v>54</v>
      </c>
      <c r="E43" s="1"/>
      <c r="F43" t="s">
        <v>55</v>
      </c>
      <c r="G43" s="1" t="s">
        <v>56</v>
      </c>
      <c r="H43" t="s">
        <v>57</v>
      </c>
      <c r="I43" s="3">
        <v>44196</v>
      </c>
      <c r="J43">
        <v>6077156282</v>
      </c>
      <c r="K43">
        <v>2231600000</v>
      </c>
      <c r="L43">
        <v>1</v>
      </c>
      <c r="M43">
        <v>1</v>
      </c>
      <c r="N43">
        <v>11024300000</v>
      </c>
      <c r="O43" s="23" t="s">
        <v>58</v>
      </c>
      <c r="P43" s="23" t="s">
        <v>81</v>
      </c>
      <c r="Q43" s="20">
        <v>26596742</v>
      </c>
      <c r="R43" s="20">
        <v>29995758</v>
      </c>
      <c r="S43" s="20">
        <v>29344948</v>
      </c>
      <c r="T43" s="20">
        <v>24205850</v>
      </c>
      <c r="U43" s="20">
        <v>25759240</v>
      </c>
      <c r="X43" s="20">
        <v>6570582</v>
      </c>
      <c r="Y43" s="20">
        <v>6366492</v>
      </c>
      <c r="Z43" s="20">
        <v>6552023</v>
      </c>
      <c r="AA43" s="20">
        <v>6121318</v>
      </c>
      <c r="AB43" s="20">
        <v>6063090</v>
      </c>
      <c r="AE43" s="19">
        <f t="shared" si="7"/>
        <v>33167324</v>
      </c>
      <c r="AF43" s="19">
        <f t="shared" si="7"/>
        <v>36362250</v>
      </c>
      <c r="AG43" s="19">
        <f t="shared" si="7"/>
        <v>35896971</v>
      </c>
      <c r="AH43" s="19">
        <f t="shared" si="7"/>
        <v>30327168</v>
      </c>
      <c r="AI43" s="19">
        <f t="shared" si="7"/>
        <v>31822330</v>
      </c>
      <c r="AJ43" s="19" t="str">
        <f t="shared" si="7"/>
        <v/>
      </c>
      <c r="AK43" s="19" t="str">
        <f t="shared" si="7"/>
        <v/>
      </c>
      <c r="AS43" s="31">
        <f>27386150+337284+9430179+1135+58481+1356185+7487+317670+11610944</f>
        <v>50505515</v>
      </c>
      <c r="AT43" s="31">
        <f>31026112+283323+8304127+777+39306+1494512+5994+322935+11280342</f>
        <v>52757428</v>
      </c>
      <c r="AU43" s="31">
        <f>30506684+465026+10655278+4344+34495+1129399+5996+277653+11385085</f>
        <v>54463960</v>
      </c>
      <c r="AV43" s="31">
        <f>25067412+190452+9189864+4488+52483+1978567+7145+276564+11751484</f>
        <v>48518459</v>
      </c>
      <c r="AW43" s="31">
        <f>26746679+224926+7717598+760+62669+1795659+9332+269579+11586013</f>
        <v>48413215</v>
      </c>
    </row>
    <row r="44" spans="1:50">
      <c r="A44" t="s">
        <v>207</v>
      </c>
      <c r="B44" s="1" t="s">
        <v>208</v>
      </c>
      <c r="C44" t="s">
        <v>209</v>
      </c>
      <c r="D44" t="s">
        <v>54</v>
      </c>
      <c r="E44" s="1" t="s">
        <v>63</v>
      </c>
      <c r="F44" t="s">
        <v>55</v>
      </c>
      <c r="G44" s="1" t="s">
        <v>56</v>
      </c>
      <c r="H44" t="s">
        <v>57</v>
      </c>
      <c r="I44">
        <v>2019</v>
      </c>
      <c r="J44">
        <v>12130000000</v>
      </c>
      <c r="K44">
        <v>17129000000</v>
      </c>
      <c r="L44">
        <v>32736000000</v>
      </c>
      <c r="M44">
        <v>34306000000</v>
      </c>
      <c r="N44">
        <v>85196000000</v>
      </c>
      <c r="O44" t="s">
        <v>64</v>
      </c>
      <c r="P44" t="s">
        <v>65</v>
      </c>
      <c r="Q44">
        <v>2.21654399278684</v>
      </c>
      <c r="R44">
        <v>2.25119156640157</v>
      </c>
      <c r="S44">
        <v>2.4511497723448499</v>
      </c>
      <c r="T44">
        <v>2.4417731948327601</v>
      </c>
      <c r="U44">
        <v>2.4929495902512899</v>
      </c>
      <c r="W44"/>
      <c r="X44">
        <v>0</v>
      </c>
      <c r="Y44">
        <v>0</v>
      </c>
      <c r="Z44">
        <v>0</v>
      </c>
      <c r="AA44">
        <v>0</v>
      </c>
      <c r="AB44">
        <v>0</v>
      </c>
      <c r="AD44"/>
      <c r="AE44" s="19">
        <f t="shared" si="7"/>
        <v>2.21654399278684</v>
      </c>
      <c r="AF44" s="19">
        <f t="shared" si="7"/>
        <v>2.25119156640157</v>
      </c>
      <c r="AG44" s="19">
        <f t="shared" si="7"/>
        <v>2.4511497723448499</v>
      </c>
      <c r="AH44" s="19">
        <f t="shared" si="7"/>
        <v>2.4417731948327601</v>
      </c>
      <c r="AI44" s="19">
        <f t="shared" si="7"/>
        <v>2.4929495902512899</v>
      </c>
      <c r="AJ44" s="19" t="str">
        <f t="shared" si="7"/>
        <v/>
      </c>
      <c r="AK44" s="19" t="str">
        <f t="shared" si="7"/>
        <v/>
      </c>
      <c r="AS44">
        <v>32.993291999999997</v>
      </c>
      <c r="AT44">
        <v>34.490223999999998</v>
      </c>
      <c r="AU44">
        <v>32.281219999999998</v>
      </c>
      <c r="AV44">
        <v>33.513361000000003</v>
      </c>
      <c r="AW44">
        <v>28.915493999999999</v>
      </c>
    </row>
    <row r="45" spans="1:50">
      <c r="A45" t="s">
        <v>210</v>
      </c>
      <c r="B45" s="1" t="s">
        <v>211</v>
      </c>
      <c r="C45" t="s">
        <v>212</v>
      </c>
      <c r="D45" t="s">
        <v>54</v>
      </c>
      <c r="E45" s="1" t="s">
        <v>63</v>
      </c>
      <c r="F45" t="s">
        <v>55</v>
      </c>
      <c r="G45" s="1" t="s">
        <v>56</v>
      </c>
      <c r="H45" t="s">
        <v>57</v>
      </c>
      <c r="I45">
        <v>2019</v>
      </c>
      <c r="J45">
        <v>4055165998</v>
      </c>
      <c r="K45">
        <v>1457603000</v>
      </c>
      <c r="L45">
        <v>6568781998</v>
      </c>
      <c r="M45">
        <v>6572614998</v>
      </c>
      <c r="N45">
        <v>7298774000</v>
      </c>
      <c r="O45" t="s">
        <v>64</v>
      </c>
      <c r="P45" t="s">
        <v>65</v>
      </c>
      <c r="Q45">
        <v>6.3372507858173801</v>
      </c>
      <c r="R45">
        <v>6.4887687018882199</v>
      </c>
      <c r="S45">
        <v>5.2178957581488197</v>
      </c>
      <c r="T45">
        <v>5.3678279888909604</v>
      </c>
      <c r="U45">
        <v>5.2994389016205004</v>
      </c>
      <c r="W45"/>
      <c r="X45">
        <v>0</v>
      </c>
      <c r="Y45">
        <v>0</v>
      </c>
      <c r="Z45">
        <v>0</v>
      </c>
      <c r="AA45">
        <v>0</v>
      </c>
      <c r="AB45">
        <v>0</v>
      </c>
      <c r="AD45"/>
      <c r="AE45" s="19">
        <f t="shared" si="7"/>
        <v>6.3372507858173801</v>
      </c>
      <c r="AF45" s="19">
        <f t="shared" si="7"/>
        <v>6.4887687018882199</v>
      </c>
      <c r="AG45" s="19">
        <f t="shared" si="7"/>
        <v>5.2178957581488197</v>
      </c>
      <c r="AH45" s="19">
        <f t="shared" si="7"/>
        <v>5.3678279888909604</v>
      </c>
      <c r="AI45" s="19">
        <f t="shared" si="7"/>
        <v>5.2994389016205004</v>
      </c>
      <c r="AJ45" s="19" t="str">
        <f t="shared" si="7"/>
        <v/>
      </c>
      <c r="AK45" s="19" t="str">
        <f t="shared" si="7"/>
        <v/>
      </c>
      <c r="AS45">
        <v>10.2316756958</v>
      </c>
      <c r="AT45">
        <v>10.1709745005</v>
      </c>
      <c r="AU45">
        <v>9.3077880987999997</v>
      </c>
      <c r="AV45">
        <v>9.9073846084999992</v>
      </c>
      <c r="AW45">
        <v>9.7428489771999995</v>
      </c>
    </row>
    <row r="46" spans="1:50">
      <c r="A46" t="s">
        <v>213</v>
      </c>
      <c r="B46" s="1" t="s">
        <v>214</v>
      </c>
      <c r="C46" t="s">
        <v>215</v>
      </c>
      <c r="D46" t="s">
        <v>216</v>
      </c>
      <c r="E46" s="1" t="s">
        <v>197</v>
      </c>
      <c r="F46" t="s">
        <v>98</v>
      </c>
      <c r="G46" s="1" t="s">
        <v>56</v>
      </c>
      <c r="H46" t="s">
        <v>57</v>
      </c>
      <c r="I46">
        <v>2019</v>
      </c>
      <c r="J46">
        <v>20260000000</v>
      </c>
      <c r="K46">
        <v>55955872344.100899</v>
      </c>
      <c r="L46">
        <v>1</v>
      </c>
      <c r="M46">
        <v>1</v>
      </c>
      <c r="N46">
        <v>68553124892.036598</v>
      </c>
      <c r="O46" s="23" t="s">
        <v>58</v>
      </c>
      <c r="P46" s="23" t="s">
        <v>99</v>
      </c>
      <c r="Q46">
        <v>81309800</v>
      </c>
      <c r="R46">
        <v>75633360</v>
      </c>
      <c r="S46">
        <v>77391479</v>
      </c>
      <c r="T46">
        <v>79447924</v>
      </c>
      <c r="U46">
        <v>75069656</v>
      </c>
      <c r="W46"/>
      <c r="X46">
        <v>3715700</v>
      </c>
      <c r="Y46">
        <v>1107681</v>
      </c>
      <c r="Z46">
        <v>1106964</v>
      </c>
      <c r="AA46">
        <v>815966</v>
      </c>
      <c r="AB46">
        <v>580226</v>
      </c>
      <c r="AD46"/>
      <c r="AE46">
        <v>85025500</v>
      </c>
      <c r="AF46">
        <v>76741041</v>
      </c>
      <c r="AG46">
        <v>78498443</v>
      </c>
      <c r="AH46">
        <v>80263890</v>
      </c>
      <c r="AI46">
        <v>75649882</v>
      </c>
      <c r="AL46">
        <v>18044000</v>
      </c>
      <c r="AM46">
        <v>18044000</v>
      </c>
      <c r="AN46">
        <v>18903000</v>
      </c>
      <c r="AO46">
        <v>13139000</v>
      </c>
      <c r="AP46">
        <v>11951000</v>
      </c>
      <c r="AS46">
        <v>42199000</v>
      </c>
      <c r="AT46">
        <v>37207000</v>
      </c>
      <c r="AU46">
        <v>37735000</v>
      </c>
      <c r="AV46">
        <v>38007000</v>
      </c>
      <c r="AW46">
        <v>35935000</v>
      </c>
    </row>
    <row r="47" spans="1:50">
      <c r="A47" t="s">
        <v>217</v>
      </c>
      <c r="B47" s="1" t="s">
        <v>218</v>
      </c>
      <c r="C47" t="s">
        <v>219</v>
      </c>
      <c r="D47" t="s">
        <v>54</v>
      </c>
      <c r="E47" s="1" t="s">
        <v>63</v>
      </c>
      <c r="F47" t="s">
        <v>55</v>
      </c>
      <c r="G47" s="1" t="s">
        <v>56</v>
      </c>
      <c r="H47" t="s">
        <v>57</v>
      </c>
      <c r="I47">
        <v>2019</v>
      </c>
      <c r="J47">
        <v>22384264788</v>
      </c>
      <c r="K47">
        <v>7769000000</v>
      </c>
      <c r="L47">
        <v>43462264788</v>
      </c>
      <c r="M47">
        <v>44277264788</v>
      </c>
      <c r="N47">
        <v>45680000000</v>
      </c>
      <c r="O47" t="s">
        <v>64</v>
      </c>
      <c r="P47" t="s">
        <v>65</v>
      </c>
      <c r="Q47">
        <v>30.0884872251346</v>
      </c>
      <c r="R47">
        <v>30.248371457395901</v>
      </c>
      <c r="S47">
        <v>31.6114690424515</v>
      </c>
      <c r="T47">
        <v>28.7789153183409</v>
      </c>
      <c r="U47">
        <v>26.356336337583201</v>
      </c>
      <c r="W47"/>
      <c r="X47">
        <v>0</v>
      </c>
      <c r="Y47">
        <v>0</v>
      </c>
      <c r="Z47">
        <v>0</v>
      </c>
      <c r="AA47">
        <v>0</v>
      </c>
      <c r="AB47">
        <v>0</v>
      </c>
      <c r="AD47"/>
      <c r="AE47" s="19">
        <f t="shared" ref="AE47:AK54" si="8">IF(ISBLANK(Q47),IF(ISBLANK(X47),"",X47),Q47+X47)</f>
        <v>30.0884872251346</v>
      </c>
      <c r="AF47" s="19">
        <f t="shared" si="8"/>
        <v>30.248371457395901</v>
      </c>
      <c r="AG47" s="19">
        <f t="shared" si="8"/>
        <v>31.6114690424515</v>
      </c>
      <c r="AH47" s="19">
        <f t="shared" si="8"/>
        <v>28.7789153183409</v>
      </c>
      <c r="AI47" s="19">
        <f t="shared" si="8"/>
        <v>26.356336337583201</v>
      </c>
      <c r="AJ47" s="19" t="str">
        <f t="shared" si="8"/>
        <v/>
      </c>
      <c r="AK47" s="19" t="str">
        <f t="shared" si="8"/>
        <v/>
      </c>
      <c r="AS47">
        <v>34.6132211708955</v>
      </c>
      <c r="AT47">
        <v>33.532868484328297</v>
      </c>
      <c r="AU47">
        <v>35.571970040298503</v>
      </c>
      <c r="AV47">
        <v>33.152931723134301</v>
      </c>
      <c r="AW47">
        <v>30.552479561194001</v>
      </c>
    </row>
    <row r="48" spans="1:50">
      <c r="A48" t="s">
        <v>220</v>
      </c>
      <c r="B48" s="1" t="s">
        <v>221</v>
      </c>
      <c r="C48" t="s">
        <v>222</v>
      </c>
      <c r="D48" t="s">
        <v>54</v>
      </c>
      <c r="E48" s="1" t="s">
        <v>63</v>
      </c>
      <c r="F48" t="s">
        <v>55</v>
      </c>
      <c r="G48" s="1" t="s">
        <v>56</v>
      </c>
      <c r="H48" t="s">
        <v>57</v>
      </c>
      <c r="I48">
        <v>2019</v>
      </c>
      <c r="J48">
        <v>10536165750</v>
      </c>
      <c r="K48">
        <v>3471209000</v>
      </c>
      <c r="L48">
        <v>16720274750</v>
      </c>
      <c r="M48">
        <v>16730557750</v>
      </c>
      <c r="N48">
        <v>18479247000</v>
      </c>
      <c r="O48" t="s">
        <v>64</v>
      </c>
      <c r="P48" t="s">
        <v>65</v>
      </c>
      <c r="Q48">
        <v>10.1264200928455</v>
      </c>
      <c r="R48">
        <v>11.1203926606529</v>
      </c>
      <c r="S48">
        <v>11.1870425101908</v>
      </c>
      <c r="T48">
        <v>10.549571530444201</v>
      </c>
      <c r="U48">
        <v>10.831472549502299</v>
      </c>
      <c r="W48"/>
      <c r="X48">
        <v>0</v>
      </c>
      <c r="Y48">
        <v>0</v>
      </c>
      <c r="Z48">
        <v>0</v>
      </c>
      <c r="AA48">
        <v>0</v>
      </c>
      <c r="AB48">
        <v>0</v>
      </c>
      <c r="AD48"/>
      <c r="AE48" s="19">
        <f t="shared" si="8"/>
        <v>10.1264200928455</v>
      </c>
      <c r="AF48" s="19">
        <f t="shared" si="8"/>
        <v>11.1203926606529</v>
      </c>
      <c r="AG48" s="19">
        <f t="shared" si="8"/>
        <v>11.1870425101908</v>
      </c>
      <c r="AH48" s="19">
        <f t="shared" si="8"/>
        <v>10.549571530444201</v>
      </c>
      <c r="AI48" s="19">
        <f t="shared" si="8"/>
        <v>10.831472549502299</v>
      </c>
      <c r="AJ48" s="19" t="str">
        <f t="shared" si="8"/>
        <v/>
      </c>
      <c r="AK48" s="19" t="str">
        <f t="shared" si="8"/>
        <v/>
      </c>
      <c r="AS48">
        <v>24.816709093617501</v>
      </c>
      <c r="AT48">
        <v>25.543286224276802</v>
      </c>
      <c r="AU48">
        <v>25.3295254644724</v>
      </c>
      <c r="AV48">
        <v>25.6144668764736</v>
      </c>
      <c r="AW48">
        <v>26.617025473167001</v>
      </c>
    </row>
    <row r="49" spans="1:50">
      <c r="A49" t="s">
        <v>223</v>
      </c>
      <c r="B49" s="1" t="s">
        <v>224</v>
      </c>
      <c r="C49" t="s">
        <v>225</v>
      </c>
      <c r="D49" t="s">
        <v>54</v>
      </c>
      <c r="E49" s="1" t="s">
        <v>63</v>
      </c>
      <c r="F49" t="s">
        <v>55</v>
      </c>
      <c r="G49" s="1" t="s">
        <v>56</v>
      </c>
      <c r="H49" t="s">
        <v>57</v>
      </c>
      <c r="I49">
        <v>2019</v>
      </c>
      <c r="J49">
        <v>4823580272</v>
      </c>
      <c r="K49">
        <v>2123000000</v>
      </c>
      <c r="L49">
        <v>7832580272</v>
      </c>
      <c r="M49">
        <v>7862580272</v>
      </c>
      <c r="N49">
        <v>8394000000</v>
      </c>
      <c r="O49" t="s">
        <v>64</v>
      </c>
      <c r="P49" t="s">
        <v>65</v>
      </c>
      <c r="Q49">
        <v>5.9896601061833996</v>
      </c>
      <c r="R49">
        <v>5.9839268728476602</v>
      </c>
      <c r="S49">
        <v>6.0355401320321702</v>
      </c>
      <c r="T49">
        <v>7.6219275866474101</v>
      </c>
      <c r="U49">
        <v>6.2495578398509801</v>
      </c>
      <c r="W49"/>
      <c r="X49">
        <v>0</v>
      </c>
      <c r="Y49">
        <v>0</v>
      </c>
      <c r="Z49">
        <v>0</v>
      </c>
      <c r="AA49">
        <v>0</v>
      </c>
      <c r="AB49">
        <v>0</v>
      </c>
      <c r="AD49"/>
      <c r="AE49" s="19">
        <f t="shared" si="8"/>
        <v>5.9896601061833996</v>
      </c>
      <c r="AF49" s="19">
        <f t="shared" si="8"/>
        <v>5.9839268728476602</v>
      </c>
      <c r="AG49" s="19">
        <f t="shared" si="8"/>
        <v>6.0355401320321702</v>
      </c>
      <c r="AH49" s="19">
        <f t="shared" si="8"/>
        <v>7.6219275866474101</v>
      </c>
      <c r="AI49" s="19">
        <f t="shared" si="8"/>
        <v>6.2495578398509801</v>
      </c>
      <c r="AJ49" s="19" t="str">
        <f t="shared" si="8"/>
        <v/>
      </c>
      <c r="AK49" s="19" t="str">
        <f t="shared" si="8"/>
        <v/>
      </c>
      <c r="AS49">
        <v>13.0388771586</v>
      </c>
      <c r="AT49">
        <v>13.1581340554</v>
      </c>
      <c r="AU49">
        <v>13.925387108697</v>
      </c>
      <c r="AV49">
        <v>15.800690788500001</v>
      </c>
      <c r="AW49">
        <v>14.4241320008</v>
      </c>
    </row>
    <row r="50" spans="1:50">
      <c r="A50" t="s">
        <v>226</v>
      </c>
      <c r="B50" s="1" t="s">
        <v>227</v>
      </c>
      <c r="C50" t="s">
        <v>228</v>
      </c>
      <c r="D50" t="s">
        <v>54</v>
      </c>
      <c r="E50" s="1" t="s">
        <v>63</v>
      </c>
      <c r="F50" t="s">
        <v>55</v>
      </c>
      <c r="G50" s="1" t="s">
        <v>56</v>
      </c>
      <c r="H50" t="s">
        <v>57</v>
      </c>
      <c r="I50">
        <v>2019</v>
      </c>
      <c r="J50">
        <v>29513402185</v>
      </c>
      <c r="K50">
        <v>10076000000</v>
      </c>
      <c r="L50">
        <v>46089402185</v>
      </c>
      <c r="M50">
        <v>46236402185</v>
      </c>
      <c r="N50">
        <v>47730000000</v>
      </c>
      <c r="O50" t="s">
        <v>64</v>
      </c>
      <c r="P50" t="s">
        <v>65</v>
      </c>
      <c r="Q50">
        <v>11.7569055157382</v>
      </c>
      <c r="R50">
        <v>10.497003363215899</v>
      </c>
      <c r="S50">
        <v>11.8664996455886</v>
      </c>
      <c r="T50">
        <v>11.5717537423113</v>
      </c>
      <c r="U50">
        <v>8.2013432159027992</v>
      </c>
      <c r="W50"/>
      <c r="X50">
        <v>0</v>
      </c>
      <c r="Y50">
        <v>0</v>
      </c>
      <c r="Z50">
        <v>0</v>
      </c>
      <c r="AA50">
        <v>0</v>
      </c>
      <c r="AB50">
        <v>0</v>
      </c>
      <c r="AD50"/>
      <c r="AE50" s="19">
        <f t="shared" si="8"/>
        <v>11.7569055157382</v>
      </c>
      <c r="AF50" s="19">
        <f t="shared" si="8"/>
        <v>10.497003363215899</v>
      </c>
      <c r="AG50" s="19">
        <f t="shared" si="8"/>
        <v>11.8664996455886</v>
      </c>
      <c r="AH50" s="19">
        <f t="shared" si="8"/>
        <v>11.5717537423113</v>
      </c>
      <c r="AI50" s="19">
        <f t="shared" si="8"/>
        <v>8.2013432159027992</v>
      </c>
      <c r="AJ50" s="19" t="str">
        <f t="shared" si="8"/>
        <v/>
      </c>
      <c r="AK50" s="19" t="str">
        <f t="shared" si="8"/>
        <v/>
      </c>
      <c r="AS50">
        <v>51.638514609600001</v>
      </c>
      <c r="AT50">
        <v>51.196017137600002</v>
      </c>
      <c r="AU50">
        <v>53.823207085</v>
      </c>
      <c r="AV50">
        <v>53.4572160069999</v>
      </c>
      <c r="AW50">
        <v>49.809330486083802</v>
      </c>
    </row>
    <row r="51" spans="1:50">
      <c r="A51" t="s">
        <v>229</v>
      </c>
      <c r="B51" s="1" t="s">
        <v>230</v>
      </c>
      <c r="C51" t="s">
        <v>231</v>
      </c>
      <c r="D51" t="s">
        <v>232</v>
      </c>
      <c r="E51" s="1"/>
      <c r="F51" t="s">
        <v>93</v>
      </c>
      <c r="G51" s="1" t="s">
        <v>56</v>
      </c>
      <c r="H51" t="s">
        <v>57</v>
      </c>
      <c r="I51" s="3">
        <v>44561</v>
      </c>
      <c r="J51" s="22">
        <v>1908000000000</v>
      </c>
      <c r="K51" s="22">
        <v>359460000000</v>
      </c>
      <c r="L51" s="22">
        <v>7400000000000</v>
      </c>
      <c r="M51">
        <f>L51+356460000000</f>
        <v>7756460000000</v>
      </c>
      <c r="N51" s="22">
        <v>576700000000</v>
      </c>
      <c r="O51" t="s">
        <v>64</v>
      </c>
      <c r="P51" t="s">
        <v>180</v>
      </c>
      <c r="S51">
        <f>46.6*(52/44.7)</f>
        <v>54.210290827740494</v>
      </c>
      <c r="T51">
        <v>52</v>
      </c>
      <c r="U51">
        <v>50.2</v>
      </c>
      <c r="V51">
        <v>52.3</v>
      </c>
      <c r="W51"/>
      <c r="Z51">
        <f>14.7*(19/14.7)</f>
        <v>19</v>
      </c>
      <c r="AA51">
        <v>19</v>
      </c>
      <c r="AB51">
        <v>18.100000000000001</v>
      </c>
      <c r="AC51">
        <v>15.5</v>
      </c>
      <c r="AD51"/>
      <c r="AE51" s="19" t="str">
        <f t="shared" si="8"/>
        <v/>
      </c>
      <c r="AF51" s="19" t="str">
        <f t="shared" si="8"/>
        <v/>
      </c>
      <c r="AG51" s="19">
        <f t="shared" si="8"/>
        <v>73.210290827740494</v>
      </c>
      <c r="AH51" s="19">
        <f t="shared" si="8"/>
        <v>71</v>
      </c>
      <c r="AI51" s="19">
        <f t="shared" si="8"/>
        <v>68.300000000000011</v>
      </c>
      <c r="AJ51" s="19">
        <f t="shared" si="8"/>
        <v>67.8</v>
      </c>
      <c r="AK51" s="19" t="str">
        <f t="shared" si="8"/>
        <v/>
      </c>
      <c r="AN51" s="94">
        <f>AU51*0.43</f>
        <v>3751.105</v>
      </c>
      <c r="AO51" s="94">
        <f t="shared" ref="AO51:AQ51" si="9">AV51*0.43</f>
        <v>3625.5450000000001</v>
      </c>
      <c r="AP51" s="94">
        <f t="shared" si="9"/>
        <v>3390.1200000000003</v>
      </c>
      <c r="AQ51" s="94">
        <f t="shared" si="9"/>
        <v>3374.4249999999997</v>
      </c>
      <c r="AU51">
        <f>(13.6+10.3)*365</f>
        <v>8723.5</v>
      </c>
      <c r="AV51">
        <f>(13.2+9.9)*365</f>
        <v>8431.5</v>
      </c>
      <c r="AW51">
        <f>(12.4+9.2)*365</f>
        <v>7884.0000000000009</v>
      </c>
      <c r="AX51">
        <f>(12.3+9.2)*365</f>
        <v>7847.5</v>
      </c>
    </row>
    <row r="52" spans="1:50">
      <c r="A52" t="s">
        <v>233</v>
      </c>
      <c r="B52" s="1" t="s">
        <v>234</v>
      </c>
      <c r="C52" t="s">
        <v>235</v>
      </c>
      <c r="D52" t="s">
        <v>54</v>
      </c>
      <c r="E52" s="1" t="s">
        <v>63</v>
      </c>
      <c r="F52" t="s">
        <v>55</v>
      </c>
      <c r="G52" s="1" t="s">
        <v>56</v>
      </c>
      <c r="H52" t="s">
        <v>57</v>
      </c>
      <c r="I52">
        <v>2019</v>
      </c>
      <c r="J52">
        <v>37700000000</v>
      </c>
      <c r="K52">
        <v>10829000000</v>
      </c>
      <c r="L52">
        <v>58377000000</v>
      </c>
      <c r="M52">
        <v>58485000000</v>
      </c>
      <c r="N52">
        <v>65665000000</v>
      </c>
      <c r="O52" t="s">
        <v>64</v>
      </c>
      <c r="P52" t="s">
        <v>65</v>
      </c>
      <c r="Q52">
        <v>0.93325631030505496</v>
      </c>
      <c r="R52">
        <v>1.0145733542115101</v>
      </c>
      <c r="S52">
        <v>0.78712423475055404</v>
      </c>
      <c r="T52">
        <v>0.49535753618873202</v>
      </c>
      <c r="U52">
        <v>0.81038145236854997</v>
      </c>
      <c r="W52"/>
      <c r="X52">
        <v>0</v>
      </c>
      <c r="Y52">
        <v>0</v>
      </c>
      <c r="Z52">
        <v>0</v>
      </c>
      <c r="AA52">
        <v>0</v>
      </c>
      <c r="AB52">
        <v>0</v>
      </c>
      <c r="AD52"/>
      <c r="AE52" s="19">
        <f t="shared" si="8"/>
        <v>0.93325631030505496</v>
      </c>
      <c r="AF52" s="19">
        <f t="shared" si="8"/>
        <v>1.0145733542115101</v>
      </c>
      <c r="AG52" s="19">
        <f t="shared" si="8"/>
        <v>0.78712423475055404</v>
      </c>
      <c r="AH52" s="19">
        <f t="shared" si="8"/>
        <v>0.49535753618873202</v>
      </c>
      <c r="AI52" s="19">
        <f t="shared" si="8"/>
        <v>0.81038145236854997</v>
      </c>
      <c r="AJ52" s="19" t="str">
        <f t="shared" si="8"/>
        <v/>
      </c>
      <c r="AK52" s="19" t="str">
        <f t="shared" si="8"/>
        <v/>
      </c>
      <c r="AS52">
        <v>2.4300410000000001</v>
      </c>
      <c r="AT52">
        <v>2.6489569999999998</v>
      </c>
      <c r="AU52">
        <v>2.03335</v>
      </c>
      <c r="AV52">
        <v>1.263015</v>
      </c>
      <c r="AW52">
        <v>2.1170110000000002</v>
      </c>
    </row>
    <row r="53" spans="1:50">
      <c r="A53" t="s">
        <v>236</v>
      </c>
      <c r="B53" s="1" t="s">
        <v>237</v>
      </c>
      <c r="C53" t="s">
        <v>238</v>
      </c>
      <c r="D53" t="s">
        <v>91</v>
      </c>
      <c r="E53" s="1" t="s">
        <v>92</v>
      </c>
      <c r="F53" t="s">
        <v>93</v>
      </c>
      <c r="G53" s="1" t="s">
        <v>56</v>
      </c>
      <c r="H53" t="s">
        <v>57</v>
      </c>
      <c r="I53" s="3">
        <v>44561</v>
      </c>
      <c r="J53" s="22">
        <v>89760000000</v>
      </c>
      <c r="K53" s="22">
        <v>261500000000</v>
      </c>
      <c r="L53" s="22">
        <v>147090000000</v>
      </c>
      <c r="M53">
        <f>L53+38970000000</f>
        <v>186060000000</v>
      </c>
      <c r="N53" s="22">
        <v>404379000000</v>
      </c>
      <c r="O53" t="s">
        <v>64</v>
      </c>
      <c r="P53" t="s">
        <v>239</v>
      </c>
      <c r="Q53">
        <v>68</v>
      </c>
      <c r="R53">
        <v>73</v>
      </c>
      <c r="S53">
        <v>71</v>
      </c>
      <c r="T53">
        <v>70</v>
      </c>
      <c r="U53">
        <v>63</v>
      </c>
      <c r="V53">
        <v>60</v>
      </c>
      <c r="W53"/>
      <c r="Y53">
        <v>12</v>
      </c>
      <c r="Z53">
        <v>11</v>
      </c>
      <c r="AA53">
        <v>10</v>
      </c>
      <c r="AB53">
        <v>8</v>
      </c>
      <c r="AC53">
        <v>8</v>
      </c>
      <c r="AD53"/>
      <c r="AE53" s="19">
        <f t="shared" si="8"/>
        <v>68</v>
      </c>
      <c r="AF53" s="19">
        <f t="shared" si="8"/>
        <v>85</v>
      </c>
      <c r="AG53" s="19">
        <f t="shared" si="8"/>
        <v>82</v>
      </c>
      <c r="AH53" s="19">
        <f t="shared" si="8"/>
        <v>80</v>
      </c>
      <c r="AI53" s="19">
        <f t="shared" si="8"/>
        <v>71</v>
      </c>
      <c r="AJ53" s="19">
        <f t="shared" si="8"/>
        <v>68</v>
      </c>
      <c r="AK53" s="19"/>
      <c r="AL53" s="86">
        <f>186+87+1318+582+736</f>
        <v>2909</v>
      </c>
      <c r="AM53">
        <f>186+87+1318+582+736</f>
        <v>2909</v>
      </c>
      <c r="AN53">
        <f>190+96+1351+594+757</f>
        <v>2988</v>
      </c>
      <c r="AO53">
        <f>178+102+1271+564+708</f>
        <v>2823</v>
      </c>
      <c r="AP53">
        <f>147+103+1054+452+602</f>
        <v>2358</v>
      </c>
      <c r="AQ53">
        <f>147+136+6+1010+380+630</f>
        <v>2309</v>
      </c>
      <c r="AS53" s="86">
        <v>21.44</v>
      </c>
      <c r="AT53">
        <v>21.44</v>
      </c>
      <c r="AU53">
        <v>22</v>
      </c>
      <c r="AV53">
        <v>21.05</v>
      </c>
      <c r="AW53">
        <v>18.399999999999999</v>
      </c>
      <c r="AX53">
        <v>17.89</v>
      </c>
    </row>
    <row r="54" spans="1:50">
      <c r="A54" t="s">
        <v>240</v>
      </c>
      <c r="B54" s="1" t="s">
        <v>241</v>
      </c>
      <c r="C54" t="s">
        <v>242</v>
      </c>
      <c r="D54" t="s">
        <v>54</v>
      </c>
      <c r="E54" s="1" t="s">
        <v>63</v>
      </c>
      <c r="F54" t="s">
        <v>55</v>
      </c>
      <c r="G54" s="1" t="s">
        <v>56</v>
      </c>
      <c r="H54" t="s">
        <v>57</v>
      </c>
      <c r="I54">
        <v>2019</v>
      </c>
      <c r="J54">
        <v>57800000000</v>
      </c>
      <c r="K54">
        <v>21419000000</v>
      </c>
      <c r="L54">
        <v>97623000000</v>
      </c>
      <c r="M54">
        <v>99598000000</v>
      </c>
      <c r="N54">
        <v>118700000000</v>
      </c>
      <c r="O54" t="s">
        <v>64</v>
      </c>
      <c r="P54" t="s">
        <v>65</v>
      </c>
      <c r="Q54">
        <v>73.158060139100499</v>
      </c>
      <c r="R54">
        <v>68.701762309261795</v>
      </c>
      <c r="S54">
        <v>70.065115266754603</v>
      </c>
      <c r="T54">
        <v>63.436734029678099</v>
      </c>
      <c r="U54">
        <v>55.268400132395499</v>
      </c>
      <c r="W54"/>
      <c r="X54">
        <v>0</v>
      </c>
      <c r="Y54">
        <v>0</v>
      </c>
      <c r="Z54">
        <v>0</v>
      </c>
      <c r="AA54">
        <v>0</v>
      </c>
      <c r="AB54">
        <v>0</v>
      </c>
      <c r="AD54"/>
      <c r="AE54" s="19">
        <f t="shared" si="8"/>
        <v>73.158060139100499</v>
      </c>
      <c r="AF54" s="19">
        <f t="shared" si="8"/>
        <v>68.701762309261795</v>
      </c>
      <c r="AG54" s="19">
        <f t="shared" si="8"/>
        <v>70.065115266754603</v>
      </c>
      <c r="AH54" s="19">
        <f t="shared" si="8"/>
        <v>63.436734029678099</v>
      </c>
      <c r="AI54" s="19">
        <f t="shared" si="8"/>
        <v>55.268400132395499</v>
      </c>
      <c r="AJ54" s="19" t="str">
        <f t="shared" si="8"/>
        <v/>
      </c>
      <c r="AK54" s="19" t="str">
        <f>IF(ISBLANK(W54),IF(ISBLANK(AD54),"",AD54),W54+AD54)</f>
        <v/>
      </c>
      <c r="AS54">
        <v>142.170798416672</v>
      </c>
      <c r="AT54">
        <v>139.134164092411</v>
      </c>
      <c r="AU54">
        <v>143.25452060572201</v>
      </c>
      <c r="AV54">
        <v>139.142471613559</v>
      </c>
      <c r="AW54">
        <v>133.66992427778101</v>
      </c>
    </row>
    <row r="55" spans="1:50">
      <c r="A55" t="s">
        <v>243</v>
      </c>
      <c r="B55" s="1" t="s">
        <v>244</v>
      </c>
      <c r="C55" t="s">
        <v>245</v>
      </c>
      <c r="D55" t="s">
        <v>54</v>
      </c>
      <c r="E55" s="1" t="s">
        <v>63</v>
      </c>
      <c r="F55" t="s">
        <v>98</v>
      </c>
      <c r="G55" s="1" t="s">
        <v>56</v>
      </c>
      <c r="H55" t="s">
        <v>57</v>
      </c>
      <c r="I55">
        <v>2019</v>
      </c>
      <c r="J55">
        <v>5000000000</v>
      </c>
      <c r="K55">
        <v>10464991000</v>
      </c>
      <c r="L55">
        <v>6352884000</v>
      </c>
      <c r="M55">
        <v>7734344000</v>
      </c>
      <c r="N55">
        <v>8275765000</v>
      </c>
      <c r="O55" s="23" t="s">
        <v>58</v>
      </c>
      <c r="P55" s="23" t="s">
        <v>99</v>
      </c>
      <c r="Q55">
        <v>3215942</v>
      </c>
      <c r="R55">
        <v>3215942</v>
      </c>
      <c r="S55">
        <v>3299883</v>
      </c>
      <c r="T55">
        <v>3145097</v>
      </c>
      <c r="U55">
        <v>3063829.9454545402</v>
      </c>
      <c r="W55"/>
      <c r="X55">
        <v>1700245</v>
      </c>
      <c r="Y55">
        <v>1700245</v>
      </c>
      <c r="Z55">
        <v>1863045</v>
      </c>
      <c r="AA55">
        <v>1744669</v>
      </c>
      <c r="AB55">
        <v>1694260.13636364</v>
      </c>
      <c r="AD55"/>
      <c r="AE55">
        <v>4916187</v>
      </c>
      <c r="AF55">
        <v>4916187</v>
      </c>
      <c r="AG55">
        <v>5162928</v>
      </c>
      <c r="AH55">
        <v>4889766</v>
      </c>
      <c r="AI55">
        <v>4758090.0818181802</v>
      </c>
      <c r="AS55">
        <v>8529969</v>
      </c>
      <c r="AT55">
        <v>8529969</v>
      </c>
      <c r="AU55">
        <v>9074135</v>
      </c>
      <c r="AV55">
        <v>8793160</v>
      </c>
      <c r="AW55">
        <v>8925057.4000000004</v>
      </c>
    </row>
    <row r="56" spans="1:50">
      <c r="A56" t="s">
        <v>246</v>
      </c>
      <c r="B56" s="1" t="s">
        <v>247</v>
      </c>
      <c r="C56" t="s">
        <v>248</v>
      </c>
      <c r="D56" t="s">
        <v>165</v>
      </c>
      <c r="E56" s="1" t="s">
        <v>63</v>
      </c>
      <c r="F56" t="s">
        <v>55</v>
      </c>
      <c r="G56" s="1" t="s">
        <v>56</v>
      </c>
      <c r="H56" t="s">
        <v>57</v>
      </c>
      <c r="I56">
        <v>2019</v>
      </c>
      <c r="J56" s="32">
        <v>50030000000</v>
      </c>
      <c r="K56">
        <v>10175225448.559799</v>
      </c>
      <c r="L56">
        <v>1</v>
      </c>
      <c r="M56">
        <v>1</v>
      </c>
      <c r="N56">
        <v>76211709340.442902</v>
      </c>
      <c r="O56" t="s">
        <v>64</v>
      </c>
      <c r="P56" t="s">
        <v>65</v>
      </c>
      <c r="Q56">
        <v>0.376086646397781</v>
      </c>
      <c r="R56">
        <v>0.47113547279974</v>
      </c>
      <c r="S56">
        <v>0.71664363849399704</v>
      </c>
      <c r="T56">
        <v>0.58371024316223097</v>
      </c>
      <c r="U56">
        <v>0.54203648477180599</v>
      </c>
      <c r="W56"/>
      <c r="X56">
        <v>0</v>
      </c>
      <c r="Y56">
        <v>0</v>
      </c>
      <c r="Z56">
        <v>0</v>
      </c>
      <c r="AA56">
        <v>0</v>
      </c>
      <c r="AB56">
        <v>0</v>
      </c>
      <c r="AD56"/>
      <c r="AE56" s="19">
        <f t="shared" ref="AE56:AK56" si="10">IF(ISBLANK(Q56),IF(ISBLANK(X56),"",X56),Q56+X56)</f>
        <v>0.376086646397781</v>
      </c>
      <c r="AF56" s="19">
        <f t="shared" si="10"/>
        <v>0.47113547279974</v>
      </c>
      <c r="AG56" s="19">
        <f t="shared" si="10"/>
        <v>0.71664363849399704</v>
      </c>
      <c r="AH56" s="19">
        <f t="shared" si="10"/>
        <v>0.58371024316223097</v>
      </c>
      <c r="AI56" s="19">
        <f t="shared" si="10"/>
        <v>0.54203648477180599</v>
      </c>
      <c r="AJ56" s="19" t="str">
        <f t="shared" si="10"/>
        <v/>
      </c>
      <c r="AK56" s="19" t="str">
        <f t="shared" si="10"/>
        <v/>
      </c>
      <c r="AS56">
        <v>2.0033089999999998</v>
      </c>
      <c r="AT56">
        <v>1.0567139999999999</v>
      </c>
      <c r="AU56">
        <v>1.51502</v>
      </c>
      <c r="AV56">
        <v>1.2483029999999999</v>
      </c>
      <c r="AW56">
        <v>1.2963249999999999</v>
      </c>
    </row>
    <row r="57" spans="1:50">
      <c r="A57" t="s">
        <v>249</v>
      </c>
      <c r="B57" s="1" t="s">
        <v>250</v>
      </c>
      <c r="C57" t="s">
        <v>251</v>
      </c>
      <c r="D57" t="s">
        <v>252</v>
      </c>
      <c r="E57" s="1" t="s">
        <v>92</v>
      </c>
      <c r="F57" t="s">
        <v>98</v>
      </c>
      <c r="G57" s="1" t="s">
        <v>56</v>
      </c>
      <c r="H57" t="s">
        <v>57</v>
      </c>
      <c r="I57">
        <v>2019</v>
      </c>
      <c r="J57" s="33">
        <v>590000000</v>
      </c>
      <c r="K57">
        <v>7294055000</v>
      </c>
      <c r="L57">
        <v>1</v>
      </c>
      <c r="M57">
        <v>1</v>
      </c>
      <c r="N57">
        <v>14842991000</v>
      </c>
      <c r="O57" s="23" t="s">
        <v>58</v>
      </c>
      <c r="P57" s="23" t="s">
        <v>99</v>
      </c>
      <c r="Q57">
        <v>2000000</v>
      </c>
      <c r="R57">
        <v>2000000</v>
      </c>
      <c r="S57">
        <v>2000000</v>
      </c>
      <c r="T57">
        <v>1800000</v>
      </c>
      <c r="U57">
        <v>1100000</v>
      </c>
      <c r="W57"/>
      <c r="X57">
        <v>1000000</v>
      </c>
      <c r="Y57">
        <v>1000000</v>
      </c>
      <c r="Z57">
        <v>1000000</v>
      </c>
      <c r="AA57">
        <v>800000</v>
      </c>
      <c r="AB57">
        <v>400000</v>
      </c>
      <c r="AD57"/>
      <c r="AE57">
        <v>3000000</v>
      </c>
      <c r="AF57">
        <v>3000000</v>
      </c>
      <c r="AG57">
        <v>3000000</v>
      </c>
      <c r="AH57">
        <v>2600000</v>
      </c>
      <c r="AI57">
        <v>1500000</v>
      </c>
      <c r="AL57">
        <v>3200000</v>
      </c>
      <c r="AM57">
        <v>3200000</v>
      </c>
      <c r="AN57">
        <v>3200000</v>
      </c>
      <c r="AO57">
        <v>2300000</v>
      </c>
      <c r="AP57">
        <v>1300000</v>
      </c>
      <c r="AS57">
        <v>2900000</v>
      </c>
      <c r="AT57">
        <v>2900000</v>
      </c>
      <c r="AU57">
        <v>2900000</v>
      </c>
      <c r="AV57">
        <v>2900000</v>
      </c>
      <c r="AW57">
        <v>1800000</v>
      </c>
    </row>
    <row r="58" spans="1:50">
      <c r="A58" t="s">
        <v>253</v>
      </c>
      <c r="B58" s="1" t="s">
        <v>254</v>
      </c>
      <c r="C58" t="s">
        <v>255</v>
      </c>
      <c r="D58" t="s">
        <v>252</v>
      </c>
      <c r="E58" s="1" t="s">
        <v>92</v>
      </c>
      <c r="F58" t="s">
        <v>98</v>
      </c>
      <c r="G58" s="1" t="s">
        <v>56</v>
      </c>
      <c r="H58" t="s">
        <v>57</v>
      </c>
      <c r="I58">
        <v>2019</v>
      </c>
      <c r="J58" s="33">
        <v>352130000</v>
      </c>
      <c r="K58">
        <v>10192818000</v>
      </c>
      <c r="L58">
        <v>1</v>
      </c>
      <c r="M58">
        <v>1</v>
      </c>
      <c r="N58">
        <v>12935533000</v>
      </c>
      <c r="O58" s="23" t="s">
        <v>58</v>
      </c>
      <c r="P58" s="23" t="s">
        <v>99</v>
      </c>
      <c r="Q58">
        <v>17744560</v>
      </c>
      <c r="R58">
        <v>17744560</v>
      </c>
      <c r="S58">
        <v>17744560</v>
      </c>
      <c r="T58">
        <v>16682357</v>
      </c>
      <c r="U58">
        <v>15257923</v>
      </c>
      <c r="W58"/>
      <c r="X58">
        <v>858941</v>
      </c>
      <c r="Y58">
        <v>858941</v>
      </c>
      <c r="Z58">
        <v>858941</v>
      </c>
      <c r="AA58">
        <v>1141024</v>
      </c>
      <c r="AB58">
        <v>1154111</v>
      </c>
      <c r="AD58"/>
      <c r="AE58">
        <v>18603501</v>
      </c>
      <c r="AF58">
        <v>18603501</v>
      </c>
      <c r="AG58">
        <v>18603501</v>
      </c>
      <c r="AH58">
        <v>17823381</v>
      </c>
      <c r="AI58">
        <v>16412034</v>
      </c>
      <c r="AL58">
        <v>1056210</v>
      </c>
      <c r="AM58">
        <v>1056210</v>
      </c>
      <c r="AN58">
        <v>1056210</v>
      </c>
      <c r="AO58">
        <v>910292</v>
      </c>
      <c r="AP58">
        <v>767666</v>
      </c>
      <c r="AS58">
        <v>10953432.098765399</v>
      </c>
      <c r="AT58">
        <v>10953432.098765399</v>
      </c>
      <c r="AU58">
        <v>10953432.098765399</v>
      </c>
      <c r="AV58">
        <v>10297751.234567899</v>
      </c>
      <c r="AW58">
        <v>9418470.9876543209</v>
      </c>
    </row>
    <row r="59" spans="1:50">
      <c r="A59" t="s">
        <v>256</v>
      </c>
      <c r="B59" s="1" t="s">
        <v>257</v>
      </c>
      <c r="C59" t="s">
        <v>258</v>
      </c>
      <c r="D59" t="s">
        <v>54</v>
      </c>
      <c r="E59" s="1" t="s">
        <v>63</v>
      </c>
      <c r="F59" t="s">
        <v>86</v>
      </c>
      <c r="G59" s="1" t="s">
        <v>56</v>
      </c>
      <c r="H59" t="s">
        <v>57</v>
      </c>
      <c r="I59" s="3">
        <v>44561</v>
      </c>
      <c r="J59" s="34">
        <v>1061000000000</v>
      </c>
      <c r="K59" s="22">
        <v>53820000000</v>
      </c>
      <c r="L59" s="22">
        <v>1090000000000</v>
      </c>
      <c r="M59" s="22">
        <f>L59+18920000000</f>
        <v>1108920000000</v>
      </c>
      <c r="N59" s="22">
        <v>62131000000</v>
      </c>
      <c r="O59" s="23" t="s">
        <v>139</v>
      </c>
      <c r="P59" s="23" t="s">
        <v>87</v>
      </c>
      <c r="R59">
        <f>185*100/900</f>
        <v>20.555555555555557</v>
      </c>
      <c r="S59">
        <f>185*250/900</f>
        <v>51.388888888888886</v>
      </c>
      <c r="T59">
        <f>185*350/900</f>
        <v>71.944444444444443</v>
      </c>
      <c r="U59">
        <f>185*500/900</f>
        <v>102.77777777777777</v>
      </c>
      <c r="V59">
        <f>185*900/900</f>
        <v>185</v>
      </c>
      <c r="W59"/>
      <c r="Y59">
        <f>403*100/900</f>
        <v>44.777777777777779</v>
      </c>
      <c r="Z59">
        <f>403*250/900</f>
        <v>111.94444444444444</v>
      </c>
      <c r="AA59">
        <f>403*350/900</f>
        <v>156.72222222222223</v>
      </c>
      <c r="AB59">
        <f>403*500/900</f>
        <v>223.88888888888889</v>
      </c>
      <c r="AC59">
        <f>403*900/900</f>
        <v>403</v>
      </c>
      <c r="AD59"/>
      <c r="AE59" s="19" t="str">
        <f t="shared" ref="AE59:AK59" si="11">IF(ISBLANK(Q59),IF(ISBLANK(X59),"",X59),Q59+X59)</f>
        <v/>
      </c>
      <c r="AF59" s="19">
        <f t="shared" si="11"/>
        <v>65.333333333333343</v>
      </c>
      <c r="AG59" s="19">
        <f t="shared" si="11"/>
        <v>163.33333333333331</v>
      </c>
      <c r="AH59" s="19">
        <f t="shared" si="11"/>
        <v>228.66666666666669</v>
      </c>
      <c r="AI59" s="19">
        <f t="shared" si="11"/>
        <v>326.66666666666663</v>
      </c>
      <c r="AJ59" s="19">
        <f t="shared" si="11"/>
        <v>588</v>
      </c>
      <c r="AK59" s="19" t="str">
        <f t="shared" si="11"/>
        <v/>
      </c>
      <c r="AM59">
        <f>1954*100/900</f>
        <v>217.11111111111111</v>
      </c>
      <c r="AN59">
        <f>1954*250/900</f>
        <v>542.77777777777783</v>
      </c>
      <c r="AO59">
        <f>1954*350/900</f>
        <v>759.88888888888891</v>
      </c>
      <c r="AP59">
        <f>1954*500/900</f>
        <v>1085.5555555555557</v>
      </c>
      <c r="AQ59">
        <f>1954*900/900</f>
        <v>1954</v>
      </c>
      <c r="AT59">
        <f>12*100</f>
        <v>1200</v>
      </c>
      <c r="AU59">
        <f>12*250+AT59</f>
        <v>4200</v>
      </c>
      <c r="AV59">
        <f>12*350+AU59</f>
        <v>8400</v>
      </c>
      <c r="AW59">
        <f>12*500+AV59</f>
        <v>14400</v>
      </c>
      <c r="AX59">
        <f>12*900+AW59</f>
        <v>25200</v>
      </c>
    </row>
    <row r="60" spans="1:50">
      <c r="A60" t="s">
        <v>259</v>
      </c>
      <c r="B60" s="1" t="s">
        <v>260</v>
      </c>
      <c r="C60" t="s">
        <v>261</v>
      </c>
      <c r="D60" t="s">
        <v>54</v>
      </c>
      <c r="E60" s="1" t="s">
        <v>63</v>
      </c>
      <c r="F60" t="s">
        <v>98</v>
      </c>
      <c r="G60" s="1" t="s">
        <v>56</v>
      </c>
      <c r="H60" t="s">
        <v>57</v>
      </c>
      <c r="I60">
        <v>2019</v>
      </c>
      <c r="J60">
        <v>337525844</v>
      </c>
      <c r="K60">
        <v>1208800000</v>
      </c>
      <c r="L60">
        <v>400425844</v>
      </c>
      <c r="M60">
        <v>427525844</v>
      </c>
      <c r="N60">
        <v>1085200000</v>
      </c>
      <c r="O60" s="23" t="s">
        <v>58</v>
      </c>
      <c r="P60" s="23" t="s">
        <v>99</v>
      </c>
      <c r="Q60">
        <v>99660</v>
      </c>
      <c r="R60">
        <v>99660</v>
      </c>
      <c r="S60">
        <v>99660</v>
      </c>
      <c r="T60">
        <v>94460</v>
      </c>
      <c r="U60">
        <v>91490</v>
      </c>
      <c r="W60"/>
      <c r="X60">
        <v>371530</v>
      </c>
      <c r="Y60">
        <v>371530</v>
      </c>
      <c r="Z60">
        <v>371530</v>
      </c>
      <c r="AA60">
        <v>336550</v>
      </c>
      <c r="AB60">
        <v>316640</v>
      </c>
      <c r="AD60"/>
      <c r="AE60">
        <v>471190</v>
      </c>
      <c r="AF60">
        <v>471190</v>
      </c>
      <c r="AG60">
        <v>471190</v>
      </c>
      <c r="AH60">
        <v>431010</v>
      </c>
      <c r="AI60">
        <v>408130</v>
      </c>
      <c r="AL60">
        <v>421722</v>
      </c>
      <c r="AM60">
        <v>421722</v>
      </c>
      <c r="AN60">
        <v>421722</v>
      </c>
      <c r="AO60">
        <v>298526</v>
      </c>
      <c r="AP60">
        <v>197605</v>
      </c>
      <c r="AS60">
        <v>1472468.75</v>
      </c>
      <c r="AT60">
        <v>1472468.75</v>
      </c>
      <c r="AU60">
        <v>1472468.75</v>
      </c>
      <c r="AV60">
        <v>1346906.25</v>
      </c>
      <c r="AW60">
        <v>1360433.33333333</v>
      </c>
    </row>
    <row r="61" spans="1:50">
      <c r="A61" t="s">
        <v>262</v>
      </c>
      <c r="B61" s="1" t="s">
        <v>263</v>
      </c>
      <c r="C61" t="s">
        <v>264</v>
      </c>
      <c r="D61" t="s">
        <v>196</v>
      </c>
      <c r="E61" s="1"/>
      <c r="F61" t="s">
        <v>86</v>
      </c>
      <c r="G61" s="1" t="s">
        <v>56</v>
      </c>
      <c r="H61" t="s">
        <v>57</v>
      </c>
      <c r="I61" s="3">
        <v>44196</v>
      </c>
      <c r="J61" s="22">
        <v>216000000000</v>
      </c>
      <c r="K61" s="22">
        <v>251620000000</v>
      </c>
      <c r="L61" s="22">
        <v>372000000000</v>
      </c>
      <c r="M61">
        <f>L61+52400000000</f>
        <v>424400000000</v>
      </c>
      <c r="N61" s="22">
        <v>484660000000</v>
      </c>
      <c r="O61" s="23" t="s">
        <v>64</v>
      </c>
      <c r="P61" s="23" t="s">
        <v>87</v>
      </c>
      <c r="S61">
        <v>1.92</v>
      </c>
      <c r="T61">
        <v>1.9</v>
      </c>
      <c r="U61">
        <v>1.64</v>
      </c>
      <c r="W61"/>
      <c r="Z61">
        <v>4.08</v>
      </c>
      <c r="AA61">
        <v>3.78</v>
      </c>
      <c r="AB61">
        <v>3.26</v>
      </c>
      <c r="AD61"/>
      <c r="AE61" s="19" t="str">
        <f t="shared" ref="AE61:AK61" si="12">IF(ISBLANK(Q61),IF(ISBLANK(X61),"",X61),Q61+X61)</f>
        <v/>
      </c>
      <c r="AF61" s="19" t="str">
        <f t="shared" si="12"/>
        <v/>
      </c>
      <c r="AG61" s="19">
        <f t="shared" si="12"/>
        <v>6</v>
      </c>
      <c r="AH61" s="19">
        <f t="shared" si="12"/>
        <v>5.68</v>
      </c>
      <c r="AI61" s="19">
        <f t="shared" si="12"/>
        <v>4.8999999999999995</v>
      </c>
      <c r="AJ61" s="19" t="str">
        <f t="shared" si="12"/>
        <v/>
      </c>
      <c r="AK61" s="19" t="str">
        <f t="shared" si="12"/>
        <v/>
      </c>
      <c r="AN61">
        <v>414.91</v>
      </c>
      <c r="AO61">
        <v>397.94</v>
      </c>
      <c r="AP61">
        <v>341.35</v>
      </c>
      <c r="AT61" s="24"/>
      <c r="AU61" s="24">
        <f>AN61*0.85*1000/(150)</f>
        <v>2351.1566666666668</v>
      </c>
      <c r="AV61" s="24">
        <f>AO61*0.85*1000/(140)</f>
        <v>2416.0642857142852</v>
      </c>
      <c r="AW61" s="24">
        <f>AP61*0.85*1000/(130)</f>
        <v>2231.9038461538466</v>
      </c>
      <c r="AX61" s="24"/>
    </row>
    <row r="62" spans="1:50">
      <c r="A62" t="s">
        <v>265</v>
      </c>
      <c r="B62" s="1" t="s">
        <v>266</v>
      </c>
      <c r="C62" t="s">
        <v>267</v>
      </c>
      <c r="D62" t="s">
        <v>54</v>
      </c>
      <c r="E62" s="1" t="s">
        <v>63</v>
      </c>
      <c r="F62" t="s">
        <v>98</v>
      </c>
      <c r="G62" s="1" t="s">
        <v>56</v>
      </c>
      <c r="H62" t="s">
        <v>57</v>
      </c>
      <c r="I62">
        <v>2019</v>
      </c>
      <c r="J62">
        <v>2600000000</v>
      </c>
      <c r="K62">
        <v>12937000000</v>
      </c>
      <c r="L62">
        <v>5630000000</v>
      </c>
      <c r="M62">
        <v>6379000000</v>
      </c>
      <c r="N62">
        <v>11608000000</v>
      </c>
      <c r="O62" s="23" t="s">
        <v>58</v>
      </c>
      <c r="P62" s="23" t="s">
        <v>99</v>
      </c>
      <c r="Q62">
        <v>29000000</v>
      </c>
      <c r="R62">
        <v>30000000</v>
      </c>
      <c r="S62">
        <v>32500000</v>
      </c>
      <c r="T62">
        <v>29500000</v>
      </c>
      <c r="U62">
        <v>24500000</v>
      </c>
      <c r="W62"/>
      <c r="X62">
        <v>3200000</v>
      </c>
      <c r="Y62">
        <v>3300000</v>
      </c>
      <c r="Z62">
        <v>3300000</v>
      </c>
      <c r="AA62">
        <v>3200000</v>
      </c>
      <c r="AB62">
        <v>2000000</v>
      </c>
      <c r="AD62"/>
      <c r="AE62">
        <v>32200000</v>
      </c>
      <c r="AF62">
        <v>33300000</v>
      </c>
      <c r="AG62">
        <v>35800000</v>
      </c>
      <c r="AH62">
        <v>32700000</v>
      </c>
      <c r="AI62">
        <v>26500000</v>
      </c>
      <c r="AS62">
        <v>14220000</v>
      </c>
      <c r="AT62">
        <v>14440000</v>
      </c>
      <c r="AU62">
        <v>15350000</v>
      </c>
      <c r="AV62">
        <v>13890000</v>
      </c>
      <c r="AW62">
        <v>11540000</v>
      </c>
    </row>
    <row r="63" spans="1:50">
      <c r="A63" t="s">
        <v>268</v>
      </c>
      <c r="B63" s="1" t="s">
        <v>269</v>
      </c>
      <c r="C63" t="s">
        <v>270</v>
      </c>
      <c r="D63" t="s">
        <v>271</v>
      </c>
      <c r="E63" s="1" t="s">
        <v>92</v>
      </c>
      <c r="F63" t="s">
        <v>55</v>
      </c>
      <c r="G63" s="1" t="s">
        <v>56</v>
      </c>
      <c r="H63" t="s">
        <v>57</v>
      </c>
      <c r="I63" s="3">
        <v>44561</v>
      </c>
      <c r="J63">
        <v>34359400000</v>
      </c>
      <c r="K63">
        <v>4776600000</v>
      </c>
      <c r="L63">
        <f>M63-318600000</f>
        <v>37551600000</v>
      </c>
      <c r="M63">
        <f>J63+3510800000</f>
        <v>37870200000</v>
      </c>
      <c r="N63">
        <v>17111600000</v>
      </c>
      <c r="O63" s="23" t="s">
        <v>139</v>
      </c>
      <c r="P63" s="23" t="s">
        <v>272</v>
      </c>
      <c r="T63">
        <v>1073</v>
      </c>
      <c r="U63">
        <v>654</v>
      </c>
      <c r="V63">
        <v>454</v>
      </c>
      <c r="W63"/>
      <c r="AA63">
        <v>272</v>
      </c>
      <c r="AB63">
        <v>265</v>
      </c>
      <c r="AC63">
        <v>255</v>
      </c>
      <c r="AD63"/>
      <c r="AE63" s="19" t="str">
        <f t="shared" ref="AE63:AK66" si="13">IF(ISBLANK(Q63),IF(ISBLANK(X63),"",X63),Q63+X63)</f>
        <v/>
      </c>
      <c r="AF63" s="19" t="str">
        <f t="shared" si="13"/>
        <v/>
      </c>
      <c r="AG63" s="19" t="str">
        <f t="shared" si="13"/>
        <v/>
      </c>
      <c r="AH63" s="19">
        <f t="shared" si="13"/>
        <v>1345</v>
      </c>
      <c r="AI63" s="19">
        <f t="shared" si="13"/>
        <v>919</v>
      </c>
      <c r="AJ63" s="19">
        <f t="shared" si="13"/>
        <v>709</v>
      </c>
      <c r="AK63" s="19" t="str">
        <f t="shared" si="13"/>
        <v/>
      </c>
      <c r="AO63">
        <v>198</v>
      </c>
      <c r="AP63">
        <v>221</v>
      </c>
      <c r="AQ63">
        <v>249</v>
      </c>
      <c r="AT63">
        <v>58518</v>
      </c>
      <c r="AU63">
        <v>58908</v>
      </c>
      <c r="AV63">
        <v>62179</v>
      </c>
      <c r="AW63">
        <v>62741</v>
      </c>
      <c r="AX63">
        <v>58896</v>
      </c>
    </row>
    <row r="64" spans="1:50">
      <c r="A64" t="s">
        <v>273</v>
      </c>
      <c r="B64" s="1" t="s">
        <v>274</v>
      </c>
      <c r="C64" t="s">
        <v>275</v>
      </c>
      <c r="D64" t="s">
        <v>165</v>
      </c>
      <c r="E64" s="1" t="s">
        <v>63</v>
      </c>
      <c r="F64" t="s">
        <v>55</v>
      </c>
      <c r="G64" s="1" t="s">
        <v>56</v>
      </c>
      <c r="H64" t="s">
        <v>57</v>
      </c>
      <c r="I64">
        <v>2019</v>
      </c>
      <c r="K64">
        <v>4691120536.8652601</v>
      </c>
      <c r="L64">
        <v>1</v>
      </c>
      <c r="M64">
        <v>1</v>
      </c>
      <c r="N64">
        <v>24443570632.443699</v>
      </c>
      <c r="O64" t="s">
        <v>64</v>
      </c>
      <c r="P64" t="s">
        <v>65</v>
      </c>
      <c r="Q64">
        <v>11.6416389602593</v>
      </c>
      <c r="R64">
        <v>9.41263241795032</v>
      </c>
      <c r="S64">
        <v>10.1279024835251</v>
      </c>
      <c r="T64">
        <v>8.7046989666181105</v>
      </c>
      <c r="U64">
        <v>7.8127186930359001</v>
      </c>
      <c r="W64"/>
      <c r="X64">
        <v>0</v>
      </c>
      <c r="Y64">
        <v>0</v>
      </c>
      <c r="Z64">
        <v>0</v>
      </c>
      <c r="AA64">
        <v>0</v>
      </c>
      <c r="AB64">
        <v>0</v>
      </c>
      <c r="AD64"/>
      <c r="AE64" s="19">
        <f t="shared" si="13"/>
        <v>11.6416389602593</v>
      </c>
      <c r="AF64" s="19">
        <f t="shared" si="13"/>
        <v>9.41263241795032</v>
      </c>
      <c r="AG64" s="19">
        <f t="shared" si="13"/>
        <v>10.1279024835251</v>
      </c>
      <c r="AH64" s="19">
        <f t="shared" si="13"/>
        <v>8.7046989666181105</v>
      </c>
      <c r="AI64" s="19">
        <f t="shared" si="13"/>
        <v>7.8127186930359001</v>
      </c>
      <c r="AJ64" s="19" t="str">
        <f t="shared" si="13"/>
        <v/>
      </c>
      <c r="AK64" s="19" t="str">
        <f t="shared" si="13"/>
        <v/>
      </c>
      <c r="AS64">
        <v>17.412890000000001</v>
      </c>
      <c r="AT64">
        <v>13.2565779694781</v>
      </c>
      <c r="AU64">
        <v>19.823205962022801</v>
      </c>
      <c r="AV64">
        <v>19.4268650530346</v>
      </c>
      <c r="AW64">
        <v>18.5517652927645</v>
      </c>
    </row>
    <row r="65" spans="1:49">
      <c r="A65" t="s">
        <v>276</v>
      </c>
      <c r="B65" s="1" t="s">
        <v>277</v>
      </c>
      <c r="C65" t="s">
        <v>278</v>
      </c>
      <c r="D65" t="s">
        <v>54</v>
      </c>
      <c r="E65" s="1" t="s">
        <v>63</v>
      </c>
      <c r="F65" t="s">
        <v>55</v>
      </c>
      <c r="G65" s="1" t="s">
        <v>56</v>
      </c>
      <c r="H65" t="s">
        <v>57</v>
      </c>
      <c r="I65">
        <v>2019</v>
      </c>
      <c r="J65">
        <v>8654325784</v>
      </c>
      <c r="K65">
        <v>11809000000</v>
      </c>
      <c r="L65">
        <v>18456325784</v>
      </c>
      <c r="M65">
        <v>18756325784</v>
      </c>
      <c r="N65">
        <v>26616000000</v>
      </c>
      <c r="O65" t="s">
        <v>64</v>
      </c>
      <c r="P65" t="s">
        <v>65</v>
      </c>
      <c r="Q65">
        <v>10.712493099879101</v>
      </c>
      <c r="R65">
        <v>12.320930744122</v>
      </c>
      <c r="S65">
        <v>12.777919806678399</v>
      </c>
      <c r="T65">
        <v>6.8411353909788097</v>
      </c>
      <c r="U65">
        <v>5.9194542371742198</v>
      </c>
      <c r="W65"/>
      <c r="X65">
        <v>0</v>
      </c>
      <c r="Y65">
        <v>0</v>
      </c>
      <c r="Z65">
        <v>0</v>
      </c>
      <c r="AA65">
        <v>0</v>
      </c>
      <c r="AB65">
        <v>0</v>
      </c>
      <c r="AD65"/>
      <c r="AE65" s="19">
        <f t="shared" si="13"/>
        <v>10.712493099879101</v>
      </c>
      <c r="AF65" s="19">
        <f t="shared" si="13"/>
        <v>12.320930744122</v>
      </c>
      <c r="AG65" s="19">
        <f t="shared" si="13"/>
        <v>12.777919806678399</v>
      </c>
      <c r="AH65" s="19">
        <f t="shared" si="13"/>
        <v>6.8411353909788097</v>
      </c>
      <c r="AI65" s="19">
        <f t="shared" si="13"/>
        <v>5.9194542371742198</v>
      </c>
      <c r="AJ65" s="19" t="str">
        <f t="shared" si="13"/>
        <v/>
      </c>
      <c r="AK65" s="19" t="str">
        <f t="shared" si="13"/>
        <v/>
      </c>
      <c r="AS65">
        <v>10.467761579104501</v>
      </c>
      <c r="AT65">
        <v>11.983721265671599</v>
      </c>
      <c r="AU65">
        <v>12.392416459701501</v>
      </c>
      <c r="AV65">
        <v>6.7384240268656699</v>
      </c>
      <c r="AW65">
        <v>5.9371504388059702</v>
      </c>
    </row>
    <row r="66" spans="1:49">
      <c r="A66" t="s">
        <v>279</v>
      </c>
      <c r="B66" s="1" t="s">
        <v>280</v>
      </c>
      <c r="C66" t="s">
        <v>281</v>
      </c>
      <c r="D66" t="s">
        <v>54</v>
      </c>
      <c r="E66" s="1" t="s">
        <v>63</v>
      </c>
      <c r="F66" t="s">
        <v>55</v>
      </c>
      <c r="G66" s="1" t="s">
        <v>56</v>
      </c>
      <c r="H66" t="s">
        <v>57</v>
      </c>
      <c r="I66">
        <v>2019</v>
      </c>
      <c r="J66">
        <v>26300000000</v>
      </c>
      <c r="K66">
        <v>7523100000</v>
      </c>
      <c r="L66">
        <v>38120800000</v>
      </c>
      <c r="M66">
        <v>38158300000</v>
      </c>
      <c r="N66">
        <v>34951800000</v>
      </c>
      <c r="O66" t="s">
        <v>64</v>
      </c>
      <c r="P66" t="s">
        <v>65</v>
      </c>
      <c r="Q66">
        <v>19.0203714477306</v>
      </c>
      <c r="R66">
        <v>19.627231815165601</v>
      </c>
      <c r="S66">
        <v>16.478434173257199</v>
      </c>
      <c r="T66">
        <v>9.8745765849492209</v>
      </c>
      <c r="U66">
        <v>9.6672977881650493</v>
      </c>
      <c r="W66"/>
      <c r="X66">
        <v>0</v>
      </c>
      <c r="Y66">
        <v>0</v>
      </c>
      <c r="Z66">
        <v>0</v>
      </c>
      <c r="AA66">
        <v>0</v>
      </c>
      <c r="AB66">
        <v>0</v>
      </c>
      <c r="AD66"/>
      <c r="AE66" s="19">
        <f t="shared" si="13"/>
        <v>19.0203714477306</v>
      </c>
      <c r="AF66" s="19">
        <f t="shared" si="13"/>
        <v>19.627231815165601</v>
      </c>
      <c r="AG66" s="19">
        <f t="shared" si="13"/>
        <v>16.478434173257199</v>
      </c>
      <c r="AH66" s="19">
        <f t="shared" si="13"/>
        <v>9.8745765849492209</v>
      </c>
      <c r="AI66" s="19">
        <f t="shared" si="13"/>
        <v>9.6672977881650493</v>
      </c>
      <c r="AJ66" s="19" t="str">
        <f t="shared" si="13"/>
        <v/>
      </c>
      <c r="AK66" s="19" t="str">
        <f t="shared" si="13"/>
        <v/>
      </c>
      <c r="AS66">
        <v>23.3673241056539</v>
      </c>
      <c r="AT66">
        <v>23.864635428668901</v>
      </c>
      <c r="AU66">
        <v>21.139317437999999</v>
      </c>
      <c r="AV66">
        <v>15.874233994000001</v>
      </c>
      <c r="AW66">
        <v>15.8652856885</v>
      </c>
    </row>
    <row r="67" spans="1:49">
      <c r="A67" t="s">
        <v>282</v>
      </c>
      <c r="B67" s="1" t="s">
        <v>283</v>
      </c>
      <c r="C67" t="s">
        <v>284</v>
      </c>
      <c r="D67" t="s">
        <v>54</v>
      </c>
      <c r="E67" s="1" t="s">
        <v>63</v>
      </c>
      <c r="F67" t="s">
        <v>98</v>
      </c>
      <c r="G67" s="1" t="s">
        <v>56</v>
      </c>
      <c r="H67" t="s">
        <v>57</v>
      </c>
      <c r="I67">
        <v>2019</v>
      </c>
      <c r="J67">
        <v>1633376617</v>
      </c>
      <c r="K67">
        <v>3759556000</v>
      </c>
      <c r="L67">
        <v>2294113617</v>
      </c>
      <c r="M67">
        <v>2386476617</v>
      </c>
      <c r="N67">
        <v>2510796000</v>
      </c>
      <c r="O67" t="s">
        <v>58</v>
      </c>
      <c r="P67" t="s">
        <v>99</v>
      </c>
      <c r="Q67">
        <v>126399</v>
      </c>
      <c r="R67">
        <v>132944</v>
      </c>
      <c r="S67">
        <v>139953</v>
      </c>
      <c r="T67">
        <v>134257</v>
      </c>
      <c r="U67">
        <v>130506</v>
      </c>
      <c r="W67"/>
      <c r="X67">
        <v>191840</v>
      </c>
      <c r="Y67">
        <v>176617</v>
      </c>
      <c r="Z67">
        <v>175958</v>
      </c>
      <c r="AA67">
        <v>160799</v>
      </c>
      <c r="AB67">
        <v>139201</v>
      </c>
      <c r="AD67"/>
      <c r="AE67">
        <v>318239</v>
      </c>
      <c r="AF67">
        <v>309561</v>
      </c>
      <c r="AG67">
        <v>315911</v>
      </c>
      <c r="AH67">
        <v>295056</v>
      </c>
      <c r="AI67">
        <v>269707</v>
      </c>
      <c r="AS67">
        <v>3523000</v>
      </c>
      <c r="AT67">
        <v>4070000</v>
      </c>
      <c r="AU67">
        <v>3820000</v>
      </c>
      <c r="AV67">
        <v>3715000</v>
      </c>
      <c r="AW67">
        <v>3830000</v>
      </c>
    </row>
    <row r="68" spans="1:49">
      <c r="A68" t="s">
        <v>285</v>
      </c>
      <c r="B68" s="1" t="s">
        <v>286</v>
      </c>
      <c r="C68" t="s">
        <v>287</v>
      </c>
      <c r="D68" t="s">
        <v>54</v>
      </c>
      <c r="E68" s="1" t="s">
        <v>63</v>
      </c>
      <c r="F68" t="s">
        <v>55</v>
      </c>
      <c r="G68" s="1" t="s">
        <v>56</v>
      </c>
      <c r="H68" t="s">
        <v>57</v>
      </c>
      <c r="I68">
        <v>2019</v>
      </c>
      <c r="J68">
        <v>30629347167</v>
      </c>
      <c r="K68">
        <v>11529000000</v>
      </c>
      <c r="L68">
        <v>50608347167</v>
      </c>
      <c r="M68">
        <v>50856347167</v>
      </c>
      <c r="N68">
        <v>50448000000</v>
      </c>
      <c r="O68" t="s">
        <v>64</v>
      </c>
      <c r="P68" t="s">
        <v>65</v>
      </c>
      <c r="Q68">
        <v>46.128179096556003</v>
      </c>
      <c r="R68">
        <v>45.010998633485997</v>
      </c>
      <c r="S68">
        <v>45.358516394732497</v>
      </c>
      <c r="T68">
        <v>41.448404774063498</v>
      </c>
      <c r="U68">
        <v>34.8794800473854</v>
      </c>
      <c r="W68"/>
      <c r="X68">
        <v>0</v>
      </c>
      <c r="Y68">
        <v>0</v>
      </c>
      <c r="Z68">
        <v>0</v>
      </c>
      <c r="AA68">
        <v>0</v>
      </c>
      <c r="AB68">
        <v>0</v>
      </c>
      <c r="AD68"/>
      <c r="AE68" s="19">
        <f t="shared" ref="AE68:AK68" si="14">IF(ISBLANK(Q68),IF(ISBLANK(X68),"",X68),Q68+X68)</f>
        <v>46.128179096556003</v>
      </c>
      <c r="AF68" s="19">
        <f t="shared" si="14"/>
        <v>45.010998633485997</v>
      </c>
      <c r="AG68" s="19">
        <f t="shared" si="14"/>
        <v>45.358516394732497</v>
      </c>
      <c r="AH68" s="19">
        <f t="shared" si="14"/>
        <v>41.448404774063498</v>
      </c>
      <c r="AI68" s="19">
        <f t="shared" si="14"/>
        <v>34.8794800473854</v>
      </c>
      <c r="AJ68" s="19" t="str">
        <f t="shared" si="14"/>
        <v/>
      </c>
      <c r="AK68" s="19" t="str">
        <f t="shared" si="14"/>
        <v/>
      </c>
      <c r="AS68">
        <v>73.830967827900906</v>
      </c>
      <c r="AT68">
        <v>72.028542699037601</v>
      </c>
      <c r="AU68">
        <v>76.006929525492396</v>
      </c>
      <c r="AV68">
        <v>75.731406905347697</v>
      </c>
      <c r="AW68">
        <v>69.493403520078303</v>
      </c>
    </row>
    <row r="69" spans="1:49">
      <c r="E69"/>
    </row>
    <row r="70" spans="1:49">
      <c r="E70"/>
    </row>
    <row r="71" spans="1:49">
      <c r="E71"/>
      <c r="O71" s="23"/>
      <c r="P71" s="23"/>
    </row>
    <row r="72" spans="1:49">
      <c r="E72"/>
      <c r="O72" s="23"/>
      <c r="P72" s="23"/>
    </row>
    <row r="73" spans="1:49">
      <c r="E73"/>
      <c r="O73" s="23"/>
      <c r="P73" s="23"/>
    </row>
    <row r="74" spans="1:49">
      <c r="E74"/>
    </row>
    <row r="75" spans="1:49">
      <c r="E75"/>
      <c r="O75" s="23"/>
      <c r="P75" s="23"/>
    </row>
  </sheetData>
  <pageMargins left="0.7" right="0.7" top="0.75" bottom="0.75" header="0.3" footer="0.511811023622047"/>
  <pageSetup paperSize="9" scale="50" fitToWidth="4" orientation="landscape" horizontalDpi="300" verticalDpi="300"/>
  <headerFooter>
    <oddHeader>&amp;C&amp;10Confidential&amp;1#</oddHead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zoomScale="150" zoomScaleNormal="150" workbookViewId="0">
      <pane xSplit="1" ySplit="1" topLeftCell="B2" activePane="bottomRight" state="frozen"/>
      <selection pane="topRight" activeCell="B1" sqref="B1"/>
      <selection pane="bottomLeft" activeCell="A54" sqref="A54"/>
      <selection pane="bottomRight" activeCell="E6" sqref="E6:E9"/>
    </sheetView>
  </sheetViews>
  <sheetFormatPr baseColWidth="10" defaultColWidth="8.6640625" defaultRowHeight="15"/>
  <cols>
    <col min="1" max="1" width="29.33203125" customWidth="1"/>
    <col min="2" max="2" width="25.5" style="1" customWidth="1"/>
    <col min="3" max="4" width="16.5" customWidth="1"/>
    <col min="5" max="5" width="16.5" style="30" customWidth="1"/>
    <col min="6" max="6" width="17.5" style="30" customWidth="1"/>
    <col min="7" max="8" width="24" customWidth="1"/>
    <col min="9" max="9" width="22.5" style="33" customWidth="1"/>
    <col min="10" max="10" width="23.33203125" customWidth="1"/>
    <col min="11" max="11" width="24" customWidth="1"/>
    <col min="12" max="12" width="19.33203125" customWidth="1"/>
    <col min="13" max="13" width="21.5" customWidth="1"/>
  </cols>
  <sheetData>
    <row r="1" spans="1:13">
      <c r="A1" s="5" t="s">
        <v>0</v>
      </c>
      <c r="B1" s="5" t="s">
        <v>1</v>
      </c>
      <c r="C1" s="5" t="s">
        <v>2</v>
      </c>
      <c r="D1" s="5" t="s">
        <v>3</v>
      </c>
      <c r="E1" s="35" t="s">
        <v>288</v>
      </c>
      <c r="F1" s="36" t="s">
        <v>289</v>
      </c>
      <c r="G1" s="36" t="s">
        <v>290</v>
      </c>
      <c r="H1" s="37" t="s">
        <v>291</v>
      </c>
      <c r="I1" s="36" t="s">
        <v>292</v>
      </c>
      <c r="J1" s="36" t="s">
        <v>293</v>
      </c>
      <c r="K1" s="36" t="s">
        <v>294</v>
      </c>
      <c r="L1" s="38" t="s">
        <v>295</v>
      </c>
      <c r="M1" s="38" t="s">
        <v>296</v>
      </c>
    </row>
    <row r="2" spans="1:13">
      <c r="A2" t="s">
        <v>389</v>
      </c>
      <c r="B2" s="1" t="s">
        <v>52</v>
      </c>
      <c r="C2" t="s">
        <v>53</v>
      </c>
      <c r="D2" t="str">
        <f>'ITR input data'!D2</f>
        <v>FR</v>
      </c>
      <c r="E2" s="40">
        <v>2050</v>
      </c>
      <c r="F2" s="40" t="s">
        <v>297</v>
      </c>
      <c r="G2" s="40" t="s">
        <v>298</v>
      </c>
      <c r="H2" s="40">
        <v>2019</v>
      </c>
      <c r="I2">
        <v>2016</v>
      </c>
      <c r="J2" s="41">
        <f>'ITR input data'!AE2/'ITR input data'!AS2</f>
        <v>366.66666666666669</v>
      </c>
      <c r="K2" s="40" t="str">
        <f>CONCATENATE('ITR input data'!O2,"/(",'ITR input data'!P2,")")</f>
        <v>kt CO2/(TWh)</v>
      </c>
      <c r="L2" s="40">
        <v>2030</v>
      </c>
      <c r="M2" s="42">
        <v>0.5</v>
      </c>
    </row>
    <row r="3" spans="1:13">
      <c r="A3" t="s">
        <v>390</v>
      </c>
      <c r="B3" s="1" t="s">
        <v>61</v>
      </c>
      <c r="C3" t="s">
        <v>62</v>
      </c>
      <c r="D3" t="str">
        <f>'ITR input data'!D3</f>
        <v>FR</v>
      </c>
      <c r="E3" s="40">
        <v>2050</v>
      </c>
      <c r="F3" s="40" t="s">
        <v>297</v>
      </c>
      <c r="G3" s="40" t="s">
        <v>298</v>
      </c>
      <c r="H3" s="40">
        <v>2019</v>
      </c>
      <c r="I3">
        <v>2016</v>
      </c>
      <c r="J3" s="41">
        <f>'ITR input data'!AE3/'ITR input data'!AS3</f>
        <v>366.66666666666669</v>
      </c>
      <c r="K3" s="40" t="str">
        <f>CONCATENATE('ITR input data'!O3,"/(",'ITR input data'!P3,")")</f>
        <v>kt CO2/(TWh)</v>
      </c>
      <c r="L3">
        <v>2030</v>
      </c>
      <c r="M3" s="43">
        <v>0.5</v>
      </c>
    </row>
    <row r="4" spans="1:13">
      <c r="A4" s="30" t="s">
        <v>391</v>
      </c>
      <c r="B4" s="1" t="s">
        <v>67</v>
      </c>
      <c r="C4" s="30" t="s">
        <v>68</v>
      </c>
      <c r="D4" s="30" t="str">
        <f>'ITR input data'!D4</f>
        <v>FR</v>
      </c>
      <c r="E4" s="99">
        <v>2050</v>
      </c>
      <c r="F4" s="99" t="s">
        <v>297</v>
      </c>
      <c r="G4" s="40" t="s">
        <v>298</v>
      </c>
      <c r="H4" s="99">
        <v>2019</v>
      </c>
      <c r="I4" s="99">
        <v>2016</v>
      </c>
      <c r="J4" s="100">
        <f>'ITR input data'!AE4/'ITR input data'!AS4</f>
        <v>366.66666666666669</v>
      </c>
      <c r="K4" s="40" t="str">
        <f>CONCATENATE('ITR input data'!O4,"/(",'ITR input data'!P4,")")</f>
        <v>kt CO2/(TWh)</v>
      </c>
      <c r="L4" s="99">
        <v>2030</v>
      </c>
      <c r="M4" s="101">
        <v>0.5</v>
      </c>
    </row>
    <row r="5" spans="1:13">
      <c r="A5" s="30" t="s">
        <v>392</v>
      </c>
      <c r="B5" s="1" t="s">
        <v>73</v>
      </c>
      <c r="C5" s="30" t="s">
        <v>74</v>
      </c>
      <c r="D5" s="30" t="str">
        <f>'ITR input data'!D5</f>
        <v>FR</v>
      </c>
      <c r="E5" s="99">
        <v>2050</v>
      </c>
      <c r="F5" s="99" t="s">
        <v>297</v>
      </c>
      <c r="G5" s="40" t="s">
        <v>298</v>
      </c>
      <c r="H5" s="99">
        <v>2019</v>
      </c>
      <c r="I5" s="99">
        <v>2016</v>
      </c>
      <c r="J5" s="100">
        <f>'ITR input data'!AE5/'ITR input data'!AS5</f>
        <v>366.66666666666669</v>
      </c>
      <c r="K5" s="40" t="str">
        <f>CONCATENATE('ITR input data'!O5,"/(",'ITR input data'!P5,")")</f>
        <v>kt CO2/(TWh)</v>
      </c>
      <c r="L5" s="99">
        <v>2030</v>
      </c>
      <c r="M5" s="101">
        <v>0.5</v>
      </c>
    </row>
    <row r="6" spans="1:13">
      <c r="A6" t="s">
        <v>389</v>
      </c>
      <c r="B6" s="1" t="s">
        <v>52</v>
      </c>
      <c r="C6" t="s">
        <v>53</v>
      </c>
      <c r="D6" t="str">
        <f>'ITR input data'!D2</f>
        <v>FR</v>
      </c>
      <c r="E6" s="99">
        <v>2050</v>
      </c>
      <c r="F6" s="40" t="s">
        <v>297</v>
      </c>
      <c r="G6" s="40" t="s">
        <v>304</v>
      </c>
      <c r="H6" s="40">
        <v>2019</v>
      </c>
      <c r="I6">
        <v>2016</v>
      </c>
      <c r="J6" s="41">
        <f>'ITR input data'!AL2/'ITR input data'!AS2</f>
        <v>0</v>
      </c>
      <c r="K6" s="40" t="str">
        <f>CONCATENATE('ITR input data'!O2,"/(",'ITR input data'!P2,")")</f>
        <v>kt CO2/(TWh)</v>
      </c>
      <c r="L6" s="40">
        <v>2030</v>
      </c>
      <c r="M6" s="42">
        <v>0</v>
      </c>
    </row>
    <row r="7" spans="1:13">
      <c r="A7" t="s">
        <v>390</v>
      </c>
      <c r="B7" s="1" t="s">
        <v>61</v>
      </c>
      <c r="C7" t="s">
        <v>62</v>
      </c>
      <c r="D7" t="str">
        <f>'ITR input data'!D3</f>
        <v>FR</v>
      </c>
      <c r="E7" s="99">
        <v>2050</v>
      </c>
      <c r="F7" s="40" t="s">
        <v>297</v>
      </c>
      <c r="G7" s="40" t="s">
        <v>304</v>
      </c>
      <c r="H7" s="40">
        <v>2019</v>
      </c>
      <c r="I7">
        <v>2016</v>
      </c>
      <c r="J7" s="41">
        <f>'ITR input data'!AL3/'ITR input data'!AS3</f>
        <v>333.33333333333331</v>
      </c>
      <c r="K7" s="40" t="str">
        <f>CONCATENATE('ITR input data'!O3,"/(",'ITR input data'!P3,")")</f>
        <v>kt CO2/(TWh)</v>
      </c>
      <c r="L7">
        <v>2030</v>
      </c>
      <c r="M7" s="43">
        <v>0</v>
      </c>
    </row>
    <row r="8" spans="1:13">
      <c r="A8" s="30" t="s">
        <v>391</v>
      </c>
      <c r="B8" s="1" t="s">
        <v>67</v>
      </c>
      <c r="C8" s="30" t="s">
        <v>68</v>
      </c>
      <c r="D8" t="str">
        <f>'ITR input data'!D4</f>
        <v>FR</v>
      </c>
      <c r="E8" s="99">
        <v>2050</v>
      </c>
      <c r="F8" s="99" t="s">
        <v>297</v>
      </c>
      <c r="G8" s="40" t="s">
        <v>304</v>
      </c>
      <c r="H8" s="99">
        <v>2019</v>
      </c>
      <c r="I8" s="99">
        <v>2016</v>
      </c>
      <c r="J8" s="41">
        <f>'ITR input data'!AL4/'ITR input data'!AS4</f>
        <v>333.33333333333331</v>
      </c>
      <c r="K8" s="40" t="str">
        <f>CONCATENATE('ITR input data'!O4,"/(",'ITR input data'!P4,")")</f>
        <v>kt CO2/(TWh)</v>
      </c>
      <c r="L8" s="99">
        <v>2030</v>
      </c>
      <c r="M8" s="101">
        <v>1</v>
      </c>
    </row>
    <row r="9" spans="1:13">
      <c r="A9" s="30" t="s">
        <v>392</v>
      </c>
      <c r="B9" s="1" t="s">
        <v>73</v>
      </c>
      <c r="C9" s="30" t="s">
        <v>74</v>
      </c>
      <c r="D9" t="str">
        <f>'ITR input data'!D5</f>
        <v>FR</v>
      </c>
      <c r="E9" s="99">
        <v>2050</v>
      </c>
      <c r="F9" s="99" t="s">
        <v>297</v>
      </c>
      <c r="G9" s="40" t="s">
        <v>304</v>
      </c>
      <c r="H9" s="99">
        <v>2019</v>
      </c>
      <c r="I9" s="99">
        <v>2016</v>
      </c>
      <c r="J9" s="41">
        <f>'ITR input data'!AL5/'ITR input data'!AS5</f>
        <v>333.33333333333331</v>
      </c>
      <c r="K9" s="40" t="str">
        <f>CONCATENATE('ITR input data'!O5,"/(",'ITR input data'!P5,")")</f>
        <v>kt CO2/(TWh)</v>
      </c>
      <c r="L9" s="99">
        <v>2030</v>
      </c>
      <c r="M9" s="101">
        <v>0.25</v>
      </c>
    </row>
  </sheetData>
  <pageMargins left="0.7" right="0.7" top="0.75" bottom="0.75" header="0.3" footer="0.511811023622047"/>
  <pageSetup orientation="portrait" horizontalDpi="300" verticalDpi="300"/>
  <headerFooter>
    <oddHeader>&amp;C&amp;10Confidential&amp;1#</oddHead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37E7-5A4E-414A-BF92-7BB716BBE8F2}">
  <dimension ref="A1:M88"/>
  <sheetViews>
    <sheetView zoomScale="150" zoomScaleNormal="150" workbookViewId="0">
      <pane xSplit="1" ySplit="1" topLeftCell="B2" activePane="bottomRight" state="frozen"/>
      <selection pane="topRight" activeCell="B1" sqref="B1"/>
      <selection pane="bottomLeft" activeCell="A54" sqref="A54"/>
      <selection pane="bottomRight" activeCell="A48" sqref="A48:XFD48"/>
    </sheetView>
  </sheetViews>
  <sheetFormatPr baseColWidth="10" defaultColWidth="8.6640625" defaultRowHeight="15"/>
  <cols>
    <col min="1" max="1" width="29.33203125" customWidth="1"/>
    <col min="2" max="2" width="25.5" style="1" customWidth="1"/>
    <col min="3" max="4" width="16.5" customWidth="1"/>
    <col min="5" max="5" width="16.5" style="30" customWidth="1"/>
    <col min="6" max="6" width="17.5" style="30" customWidth="1"/>
    <col min="7" max="8" width="24" customWidth="1"/>
    <col min="9" max="9" width="22.5" style="33" customWidth="1"/>
    <col min="10" max="10" width="23.33203125" customWidth="1"/>
    <col min="11" max="11" width="24" customWidth="1"/>
    <col min="12" max="12" width="19.33203125" customWidth="1"/>
    <col min="13" max="13" width="21.5" customWidth="1"/>
  </cols>
  <sheetData>
    <row r="1" spans="1:13">
      <c r="A1" s="5" t="s">
        <v>0</v>
      </c>
      <c r="B1" s="5" t="s">
        <v>1</v>
      </c>
      <c r="C1" s="5" t="s">
        <v>2</v>
      </c>
      <c r="D1" s="5" t="s">
        <v>3</v>
      </c>
      <c r="E1" s="35" t="s">
        <v>288</v>
      </c>
      <c r="F1" s="36" t="s">
        <v>289</v>
      </c>
      <c r="G1" s="36" t="s">
        <v>290</v>
      </c>
      <c r="H1" s="37" t="s">
        <v>291</v>
      </c>
      <c r="I1" s="36" t="s">
        <v>292</v>
      </c>
      <c r="J1" s="36" t="s">
        <v>293</v>
      </c>
      <c r="K1" s="36" t="s">
        <v>294</v>
      </c>
      <c r="L1" s="38" t="s">
        <v>295</v>
      </c>
      <c r="M1" s="38" t="s">
        <v>296</v>
      </c>
    </row>
    <row r="2" spans="1:13">
      <c r="A2" t="s">
        <v>51</v>
      </c>
      <c r="B2" s="39" t="s">
        <v>52</v>
      </c>
      <c r="C2" s="40" t="s">
        <v>53</v>
      </c>
      <c r="D2" t="s">
        <v>54</v>
      </c>
      <c r="E2" s="40">
        <v>2050</v>
      </c>
      <c r="F2" s="40" t="s">
        <v>297</v>
      </c>
      <c r="G2" s="40" t="s">
        <v>298</v>
      </c>
      <c r="H2" s="40">
        <v>2019</v>
      </c>
      <c r="I2">
        <v>2016</v>
      </c>
      <c r="J2" s="41">
        <v>0.67400000000000004</v>
      </c>
      <c r="K2" s="40" t="s">
        <v>299</v>
      </c>
      <c r="L2" s="40">
        <v>2040</v>
      </c>
      <c r="M2" s="42">
        <v>1</v>
      </c>
    </row>
    <row r="3" spans="1:13">
      <c r="A3" t="s">
        <v>51</v>
      </c>
      <c r="B3" s="1" t="s">
        <v>52</v>
      </c>
      <c r="C3" t="s">
        <v>53</v>
      </c>
      <c r="D3" t="s">
        <v>54</v>
      </c>
      <c r="E3" s="40">
        <v>2050</v>
      </c>
      <c r="F3" t="s">
        <v>300</v>
      </c>
      <c r="G3" t="s">
        <v>301</v>
      </c>
      <c r="H3" s="40">
        <v>2019</v>
      </c>
      <c r="I3">
        <v>2016</v>
      </c>
      <c r="J3" s="20">
        <v>70457</v>
      </c>
      <c r="K3" t="s">
        <v>64</v>
      </c>
      <c r="L3">
        <v>2050</v>
      </c>
      <c r="M3" s="43">
        <v>1</v>
      </c>
    </row>
    <row r="4" spans="1:13">
      <c r="A4" t="s">
        <v>51</v>
      </c>
      <c r="B4" s="1" t="s">
        <v>52</v>
      </c>
      <c r="C4" t="s">
        <v>53</v>
      </c>
      <c r="D4" t="s">
        <v>54</v>
      </c>
      <c r="E4" s="40">
        <v>2050</v>
      </c>
      <c r="F4" s="44" t="s">
        <v>297</v>
      </c>
      <c r="G4" t="s">
        <v>298</v>
      </c>
      <c r="H4" s="40">
        <v>2019</v>
      </c>
      <c r="I4">
        <v>2016</v>
      </c>
      <c r="J4">
        <v>0.67</v>
      </c>
      <c r="K4" t="s">
        <v>299</v>
      </c>
      <c r="L4">
        <v>2030</v>
      </c>
      <c r="M4" s="43">
        <v>0.7</v>
      </c>
    </row>
    <row r="5" spans="1:13">
      <c r="A5" t="s">
        <v>60</v>
      </c>
      <c r="B5" s="1" t="s">
        <v>61</v>
      </c>
      <c r="C5" t="s">
        <v>62</v>
      </c>
      <c r="D5" t="s">
        <v>54</v>
      </c>
      <c r="E5" s="18">
        <v>2050</v>
      </c>
      <c r="F5" s="40" t="s">
        <v>300</v>
      </c>
      <c r="G5" s="40" t="s">
        <v>298</v>
      </c>
      <c r="H5" s="18"/>
      <c r="I5" s="18">
        <v>2005</v>
      </c>
      <c r="J5" s="41">
        <v>10178945</v>
      </c>
      <c r="K5" s="40" t="s">
        <v>58</v>
      </c>
      <c r="L5" s="18">
        <v>2050</v>
      </c>
      <c r="M5" s="45">
        <v>1</v>
      </c>
    </row>
    <row r="6" spans="1:13">
      <c r="A6" t="s">
        <v>66</v>
      </c>
      <c r="B6" s="1" t="s">
        <v>302</v>
      </c>
      <c r="C6" t="s">
        <v>68</v>
      </c>
      <c r="D6" t="s">
        <v>54</v>
      </c>
      <c r="E6" s="30">
        <v>2050</v>
      </c>
      <c r="F6" s="40" t="s">
        <v>297</v>
      </c>
      <c r="G6" t="s">
        <v>298</v>
      </c>
      <c r="I6" s="33">
        <v>2005</v>
      </c>
      <c r="J6">
        <f>(16*0.4+9*0.5)/(16+9)</f>
        <v>0.436</v>
      </c>
      <c r="K6" t="s">
        <v>299</v>
      </c>
      <c r="L6">
        <v>2030</v>
      </c>
      <c r="M6" s="43">
        <v>0.5</v>
      </c>
    </row>
    <row r="7" spans="1:13">
      <c r="A7" t="s">
        <v>69</v>
      </c>
      <c r="B7" s="1" t="s">
        <v>70</v>
      </c>
      <c r="C7" t="s">
        <v>71</v>
      </c>
      <c r="D7" t="s">
        <v>54</v>
      </c>
      <c r="E7" s="30">
        <v>2050</v>
      </c>
      <c r="F7" s="40" t="s">
        <v>300</v>
      </c>
      <c r="G7" t="s">
        <v>298</v>
      </c>
      <c r="I7" s="33">
        <v>2005</v>
      </c>
      <c r="J7" s="20">
        <v>38113792</v>
      </c>
      <c r="K7" s="40" t="s">
        <v>58</v>
      </c>
      <c r="L7">
        <v>2030</v>
      </c>
      <c r="M7" s="43">
        <v>0.5</v>
      </c>
    </row>
    <row r="8" spans="1:13">
      <c r="A8" t="s">
        <v>69</v>
      </c>
      <c r="B8" s="1" t="s">
        <v>70</v>
      </c>
      <c r="C8" t="s">
        <v>71</v>
      </c>
      <c r="D8" t="s">
        <v>54</v>
      </c>
      <c r="E8" s="30">
        <v>2050</v>
      </c>
      <c r="F8" s="40" t="s">
        <v>300</v>
      </c>
      <c r="G8" t="s">
        <v>298</v>
      </c>
      <c r="I8" s="33">
        <v>2005</v>
      </c>
      <c r="J8" s="20">
        <v>38113792</v>
      </c>
      <c r="K8" s="40" t="s">
        <v>58</v>
      </c>
      <c r="L8">
        <v>2040</v>
      </c>
      <c r="M8" s="43">
        <v>0.85</v>
      </c>
    </row>
    <row r="9" spans="1:13">
      <c r="A9" t="s">
        <v>72</v>
      </c>
      <c r="B9" s="1" t="s">
        <v>73</v>
      </c>
      <c r="C9" t="s">
        <v>74</v>
      </c>
      <c r="D9" t="s">
        <v>54</v>
      </c>
      <c r="E9" s="30">
        <v>2050</v>
      </c>
      <c r="F9" s="30" t="s">
        <v>300</v>
      </c>
      <c r="G9" t="s">
        <v>303</v>
      </c>
      <c r="I9" s="33">
        <v>2000</v>
      </c>
      <c r="J9" s="30">
        <v>167000000</v>
      </c>
      <c r="K9" s="40" t="s">
        <v>58</v>
      </c>
      <c r="L9">
        <v>2030</v>
      </c>
      <c r="M9" s="43">
        <v>0.8</v>
      </c>
    </row>
    <row r="10" spans="1:13">
      <c r="A10" t="s">
        <v>75</v>
      </c>
      <c r="B10" s="1" t="s">
        <v>76</v>
      </c>
      <c r="C10" t="s">
        <v>77</v>
      </c>
      <c r="D10" t="s">
        <v>54</v>
      </c>
      <c r="E10" s="30">
        <v>2035</v>
      </c>
      <c r="F10" s="30" t="s">
        <v>300</v>
      </c>
      <c r="G10" t="s">
        <v>303</v>
      </c>
      <c r="I10" s="33">
        <v>2015</v>
      </c>
      <c r="J10" s="41">
        <v>1.3146552000000001E-2</v>
      </c>
      <c r="K10" s="40" t="s">
        <v>64</v>
      </c>
      <c r="L10">
        <v>2025</v>
      </c>
      <c r="M10" s="43">
        <v>0.35</v>
      </c>
    </row>
    <row r="11" spans="1:13">
      <c r="A11" t="s">
        <v>78</v>
      </c>
      <c r="B11" s="1" t="s">
        <v>79</v>
      </c>
      <c r="C11" t="s">
        <v>80</v>
      </c>
      <c r="D11" t="s">
        <v>54</v>
      </c>
      <c r="F11" s="30" t="s">
        <v>297</v>
      </c>
      <c r="G11" t="s">
        <v>303</v>
      </c>
      <c r="I11" s="33">
        <v>2005</v>
      </c>
      <c r="J11">
        <v>1</v>
      </c>
      <c r="K11" s="40" t="s">
        <v>299</v>
      </c>
      <c r="L11">
        <v>2030</v>
      </c>
      <c r="M11" s="43">
        <v>0.4</v>
      </c>
    </row>
    <row r="12" spans="1:13">
      <c r="A12" t="s">
        <v>78</v>
      </c>
      <c r="B12" s="1" t="s">
        <v>79</v>
      </c>
      <c r="C12" t="s">
        <v>80</v>
      </c>
      <c r="D12" t="s">
        <v>54</v>
      </c>
      <c r="F12" s="30" t="s">
        <v>297</v>
      </c>
      <c r="G12" t="s">
        <v>303</v>
      </c>
      <c r="I12" s="33">
        <v>2005</v>
      </c>
      <c r="J12">
        <v>1</v>
      </c>
      <c r="K12" s="40" t="s">
        <v>299</v>
      </c>
      <c r="L12">
        <v>2040</v>
      </c>
      <c r="M12" s="43">
        <v>0.7</v>
      </c>
    </row>
    <row r="13" spans="1:13">
      <c r="A13" t="s">
        <v>82</v>
      </c>
      <c r="B13" s="1" t="s">
        <v>83</v>
      </c>
      <c r="C13" t="s">
        <v>84</v>
      </c>
      <c r="D13" t="s">
        <v>85</v>
      </c>
      <c r="E13" s="30">
        <v>2050</v>
      </c>
      <c r="F13" s="30" t="s">
        <v>297</v>
      </c>
      <c r="G13" t="s">
        <v>304</v>
      </c>
      <c r="H13">
        <v>2021</v>
      </c>
      <c r="I13" s="33">
        <v>2019</v>
      </c>
      <c r="J13">
        <v>127</v>
      </c>
      <c r="K13" t="s">
        <v>305</v>
      </c>
      <c r="L13">
        <v>2030</v>
      </c>
      <c r="M13" s="43">
        <v>0.5</v>
      </c>
    </row>
    <row r="14" spans="1:13">
      <c r="A14" t="s">
        <v>82</v>
      </c>
      <c r="B14" s="1" t="s">
        <v>83</v>
      </c>
      <c r="C14" t="s">
        <v>84</v>
      </c>
      <c r="D14" t="s">
        <v>85</v>
      </c>
      <c r="E14" s="30">
        <v>2050</v>
      </c>
      <c r="F14" s="30" t="s">
        <v>300</v>
      </c>
      <c r="G14" t="s">
        <v>298</v>
      </c>
      <c r="H14">
        <v>2021</v>
      </c>
      <c r="I14" s="33">
        <v>2019</v>
      </c>
      <c r="J14">
        <v>834562</v>
      </c>
      <c r="K14" s="40" t="s">
        <v>58</v>
      </c>
      <c r="L14">
        <v>2030</v>
      </c>
      <c r="M14" s="43">
        <v>0.8</v>
      </c>
    </row>
    <row r="15" spans="1:13">
      <c r="A15" t="s">
        <v>88</v>
      </c>
      <c r="B15" s="1" t="s">
        <v>89</v>
      </c>
      <c r="C15" t="s">
        <v>90</v>
      </c>
      <c r="D15" t="s">
        <v>91</v>
      </c>
      <c r="E15" s="30">
        <v>2050</v>
      </c>
      <c r="F15" s="30" t="s">
        <v>300</v>
      </c>
      <c r="G15" t="s">
        <v>298</v>
      </c>
      <c r="H15">
        <v>2021</v>
      </c>
      <c r="I15" s="33">
        <v>2019</v>
      </c>
      <c r="J15" t="e">
        <f>'ITR input data'!AH40+'ITR input data'!#REF!</f>
        <v>#REF!</v>
      </c>
      <c r="K15" s="40" t="s">
        <v>64</v>
      </c>
      <c r="L15">
        <v>2030</v>
      </c>
      <c r="M15" s="43">
        <v>0.5</v>
      </c>
    </row>
    <row r="16" spans="1:13">
      <c r="A16" t="s">
        <v>95</v>
      </c>
      <c r="B16" s="1" t="s">
        <v>96</v>
      </c>
      <c r="C16" t="s">
        <v>97</v>
      </c>
      <c r="D16" t="s">
        <v>54</v>
      </c>
      <c r="F16" s="30" t="s">
        <v>297</v>
      </c>
      <c r="G16" t="s">
        <v>298</v>
      </c>
      <c r="I16" s="33">
        <v>2020</v>
      </c>
      <c r="J16">
        <f>0.292832151/0.141</f>
        <v>2.0768237659574469</v>
      </c>
      <c r="K16" s="40" t="s">
        <v>306</v>
      </c>
      <c r="L16">
        <v>2050</v>
      </c>
      <c r="M16" s="43">
        <v>0.1</v>
      </c>
    </row>
    <row r="17" spans="1:13">
      <c r="A17" t="s">
        <v>100</v>
      </c>
      <c r="B17" s="1" t="s">
        <v>101</v>
      </c>
      <c r="C17" t="s">
        <v>102</v>
      </c>
      <c r="D17" t="s">
        <v>54</v>
      </c>
      <c r="F17" s="30" t="s">
        <v>297</v>
      </c>
      <c r="G17" t="s">
        <v>298</v>
      </c>
      <c r="H17">
        <v>2021</v>
      </c>
      <c r="I17" s="33">
        <v>2017</v>
      </c>
      <c r="J17">
        <v>73.8</v>
      </c>
      <c r="K17" s="40" t="s">
        <v>307</v>
      </c>
      <c r="L17">
        <v>2028</v>
      </c>
      <c r="M17" s="43">
        <f>73.8/71-1</f>
        <v>3.9436619718309807E-2</v>
      </c>
    </row>
    <row r="18" spans="1:13">
      <c r="A18" t="s">
        <v>103</v>
      </c>
      <c r="B18" s="1" t="s">
        <v>104</v>
      </c>
      <c r="C18" t="s">
        <v>105</v>
      </c>
      <c r="D18" t="s">
        <v>54</v>
      </c>
      <c r="F18" s="30" t="s">
        <v>297</v>
      </c>
      <c r="G18" t="s">
        <v>298</v>
      </c>
      <c r="H18">
        <v>2021</v>
      </c>
      <c r="I18" s="33">
        <v>2017</v>
      </c>
      <c r="J18">
        <f>36830868.09/90796200</f>
        <v>0.40564327681114409</v>
      </c>
      <c r="K18" s="40" t="s">
        <v>306</v>
      </c>
      <c r="L18">
        <v>2030</v>
      </c>
      <c r="M18" s="43">
        <v>0.25</v>
      </c>
    </row>
    <row r="19" spans="1:13">
      <c r="A19" t="s">
        <v>106</v>
      </c>
      <c r="B19" s="1" t="s">
        <v>107</v>
      </c>
      <c r="C19" t="s">
        <v>108</v>
      </c>
      <c r="D19" t="s">
        <v>54</v>
      </c>
      <c r="F19" t="s">
        <v>300</v>
      </c>
      <c r="G19" t="s">
        <v>298</v>
      </c>
      <c r="H19">
        <v>2020</v>
      </c>
      <c r="I19" s="33">
        <v>2005</v>
      </c>
      <c r="J19">
        <v>25218000</v>
      </c>
      <c r="K19" t="s">
        <v>58</v>
      </c>
      <c r="L19">
        <v>2040</v>
      </c>
      <c r="M19" s="43">
        <v>1</v>
      </c>
    </row>
    <row r="20" spans="1:13">
      <c r="A20" t="s">
        <v>109</v>
      </c>
      <c r="B20" s="1" t="s">
        <v>110</v>
      </c>
      <c r="C20" t="s">
        <v>111</v>
      </c>
      <c r="D20" t="s">
        <v>54</v>
      </c>
      <c r="F20" s="30" t="s">
        <v>297</v>
      </c>
      <c r="G20" t="s">
        <v>298</v>
      </c>
      <c r="H20">
        <v>2021</v>
      </c>
      <c r="I20" s="33">
        <v>2019</v>
      </c>
      <c r="J20">
        <v>0.48099999999999998</v>
      </c>
      <c r="K20" s="40" t="s">
        <v>306</v>
      </c>
      <c r="L20">
        <v>2030</v>
      </c>
      <c r="M20" s="43">
        <v>0.2</v>
      </c>
    </row>
    <row r="21" spans="1:13">
      <c r="A21" t="s">
        <v>112</v>
      </c>
      <c r="B21" s="1" t="s">
        <v>113</v>
      </c>
      <c r="C21" t="s">
        <v>114</v>
      </c>
      <c r="D21" t="s">
        <v>54</v>
      </c>
      <c r="E21" s="30">
        <v>2050</v>
      </c>
      <c r="F21" s="30" t="s">
        <v>300</v>
      </c>
      <c r="G21" t="s">
        <v>298</v>
      </c>
      <c r="I21" s="33">
        <v>2011</v>
      </c>
      <c r="J21">
        <v>24000000</v>
      </c>
      <c r="K21" s="40" t="s">
        <v>58</v>
      </c>
      <c r="L21">
        <v>2030</v>
      </c>
      <c r="M21" s="43">
        <v>0.6</v>
      </c>
    </row>
    <row r="22" spans="1:13">
      <c r="A22" t="s">
        <v>115</v>
      </c>
      <c r="B22" s="1" t="s">
        <v>116</v>
      </c>
      <c r="C22" t="s">
        <v>117</v>
      </c>
      <c r="D22" t="s">
        <v>54</v>
      </c>
      <c r="E22" s="30">
        <v>2040</v>
      </c>
      <c r="F22" s="30" t="s">
        <v>300</v>
      </c>
      <c r="G22" t="s">
        <v>303</v>
      </c>
      <c r="H22">
        <v>2021</v>
      </c>
      <c r="I22" s="33">
        <v>2020</v>
      </c>
      <c r="J22">
        <v>1.32787923872953</v>
      </c>
      <c r="K22" t="s">
        <v>64</v>
      </c>
      <c r="L22">
        <v>2040</v>
      </c>
      <c r="M22" s="43">
        <v>1</v>
      </c>
    </row>
    <row r="23" spans="1:13">
      <c r="A23" t="s">
        <v>118</v>
      </c>
      <c r="B23" s="1" t="s">
        <v>119</v>
      </c>
      <c r="C23" t="s">
        <v>120</v>
      </c>
      <c r="D23" t="s">
        <v>54</v>
      </c>
      <c r="E23" s="30">
        <v>2050</v>
      </c>
      <c r="F23" s="30" t="s">
        <v>300</v>
      </c>
      <c r="G23" t="s">
        <v>303</v>
      </c>
      <c r="H23">
        <v>2017</v>
      </c>
      <c r="I23" s="33">
        <v>2005</v>
      </c>
      <c r="J23">
        <v>37700000</v>
      </c>
      <c r="K23" s="40" t="s">
        <v>58</v>
      </c>
      <c r="L23">
        <v>2030</v>
      </c>
      <c r="M23" s="43">
        <v>0.5</v>
      </c>
    </row>
    <row r="24" spans="1:13">
      <c r="A24" t="s">
        <v>118</v>
      </c>
      <c r="B24" s="1" t="s">
        <v>119</v>
      </c>
      <c r="C24" t="s">
        <v>120</v>
      </c>
      <c r="D24" t="s">
        <v>54</v>
      </c>
      <c r="E24" s="30">
        <v>2050</v>
      </c>
      <c r="F24" s="30" t="s">
        <v>300</v>
      </c>
      <c r="G24" t="s">
        <v>303</v>
      </c>
      <c r="H24">
        <v>2017</v>
      </c>
      <c r="I24" s="33">
        <v>2005</v>
      </c>
      <c r="J24">
        <v>37700000</v>
      </c>
      <c r="K24" s="40" t="s">
        <v>58</v>
      </c>
      <c r="L24">
        <v>2040</v>
      </c>
      <c r="M24" s="43">
        <v>0.8</v>
      </c>
    </row>
    <row r="25" spans="1:13">
      <c r="A25" t="s">
        <v>121</v>
      </c>
      <c r="B25" s="1" t="s">
        <v>122</v>
      </c>
      <c r="C25" t="s">
        <v>123</v>
      </c>
      <c r="D25" t="s">
        <v>54</v>
      </c>
      <c r="E25" s="30">
        <v>2050</v>
      </c>
      <c r="F25" s="30" t="s">
        <v>300</v>
      </c>
      <c r="G25" t="s">
        <v>303</v>
      </c>
      <c r="I25" s="33">
        <v>2005</v>
      </c>
      <c r="J25">
        <v>59.347999999999999</v>
      </c>
      <c r="K25" s="40" t="s">
        <v>64</v>
      </c>
      <c r="L25">
        <v>2030</v>
      </c>
      <c r="M25" s="43">
        <v>0.55000000000000004</v>
      </c>
    </row>
    <row r="26" spans="1:13">
      <c r="A26" t="s">
        <v>124</v>
      </c>
      <c r="B26" s="1" t="s">
        <v>125</v>
      </c>
      <c r="C26" t="s">
        <v>126</v>
      </c>
      <c r="D26" t="s">
        <v>54</v>
      </c>
      <c r="E26" s="30">
        <v>2050</v>
      </c>
      <c r="F26" s="30" t="s">
        <v>300</v>
      </c>
      <c r="G26" t="s">
        <v>303</v>
      </c>
      <c r="I26" s="33">
        <v>2005</v>
      </c>
      <c r="J26">
        <v>153000000</v>
      </c>
      <c r="K26" s="40" t="s">
        <v>58</v>
      </c>
      <c r="L26">
        <v>2030</v>
      </c>
      <c r="M26" s="43">
        <v>0.5</v>
      </c>
    </row>
    <row r="27" spans="1:13">
      <c r="A27" t="s">
        <v>127</v>
      </c>
      <c r="B27" s="1" t="s">
        <v>128</v>
      </c>
      <c r="C27" t="s">
        <v>129</v>
      </c>
      <c r="D27" t="s">
        <v>130</v>
      </c>
      <c r="E27" s="30">
        <v>2050</v>
      </c>
      <c r="F27" s="30" t="s">
        <v>300</v>
      </c>
      <c r="G27" t="s">
        <v>298</v>
      </c>
      <c r="H27">
        <v>2020</v>
      </c>
      <c r="I27" s="33">
        <v>2017</v>
      </c>
      <c r="J27">
        <v>51</v>
      </c>
      <c r="K27" s="40" t="s">
        <v>64</v>
      </c>
      <c r="L27">
        <v>2023</v>
      </c>
      <c r="M27" s="43">
        <v>0.4</v>
      </c>
    </row>
    <row r="28" spans="1:13">
      <c r="A28" t="s">
        <v>127</v>
      </c>
      <c r="B28" s="1" t="s">
        <v>128</v>
      </c>
      <c r="C28" t="s">
        <v>129</v>
      </c>
      <c r="D28" t="s">
        <v>130</v>
      </c>
      <c r="E28" s="30">
        <v>2050</v>
      </c>
      <c r="F28" s="30" t="s">
        <v>300</v>
      </c>
      <c r="G28" t="s">
        <v>304</v>
      </c>
      <c r="H28">
        <v>2020</v>
      </c>
      <c r="I28" s="33">
        <v>2019</v>
      </c>
      <c r="J28">
        <v>119</v>
      </c>
      <c r="K28" s="40" t="s">
        <v>64</v>
      </c>
      <c r="L28">
        <v>2023</v>
      </c>
      <c r="M28" s="43">
        <v>0.08</v>
      </c>
    </row>
    <row r="29" spans="1:13">
      <c r="A29" t="s">
        <v>127</v>
      </c>
      <c r="B29" s="1" t="s">
        <v>128</v>
      </c>
      <c r="C29" t="s">
        <v>129</v>
      </c>
      <c r="D29" t="s">
        <v>130</v>
      </c>
      <c r="E29" s="30">
        <v>2050</v>
      </c>
      <c r="F29" s="30" t="s">
        <v>300</v>
      </c>
      <c r="G29" t="s">
        <v>298</v>
      </c>
      <c r="H29">
        <v>2020</v>
      </c>
      <c r="I29" s="33">
        <v>2017</v>
      </c>
      <c r="J29">
        <v>51</v>
      </c>
      <c r="K29" s="40" t="s">
        <v>64</v>
      </c>
      <c r="L29">
        <v>2030</v>
      </c>
      <c r="M29" s="43">
        <v>0.5</v>
      </c>
    </row>
    <row r="30" spans="1:13">
      <c r="A30" t="s">
        <v>127</v>
      </c>
      <c r="B30" s="1" t="s">
        <v>128</v>
      </c>
      <c r="C30" t="s">
        <v>129</v>
      </c>
      <c r="D30" t="s">
        <v>130</v>
      </c>
      <c r="E30" s="30">
        <v>2050</v>
      </c>
      <c r="F30" s="30" t="s">
        <v>300</v>
      </c>
      <c r="G30" t="s">
        <v>304</v>
      </c>
      <c r="H30">
        <v>2020</v>
      </c>
      <c r="I30" s="33">
        <v>2019</v>
      </c>
      <c r="J30">
        <v>119</v>
      </c>
      <c r="K30" s="40" t="s">
        <v>64</v>
      </c>
      <c r="L30">
        <v>2030</v>
      </c>
      <c r="M30" s="43">
        <v>0.28000000000000003</v>
      </c>
    </row>
    <row r="31" spans="1:13">
      <c r="A31" t="s">
        <v>131</v>
      </c>
      <c r="B31" t="s">
        <v>132</v>
      </c>
      <c r="C31" t="s">
        <v>133</v>
      </c>
      <c r="D31" t="s">
        <v>54</v>
      </c>
      <c r="E31" s="30">
        <v>2045</v>
      </c>
      <c r="F31" s="30" t="s">
        <v>300</v>
      </c>
      <c r="G31" t="s">
        <v>298</v>
      </c>
      <c r="H31">
        <v>2021</v>
      </c>
      <c r="I31" s="33">
        <v>2018</v>
      </c>
      <c r="J31" s="46">
        <f>1.1+1.2+0*15.8</f>
        <v>2.2999999999999998</v>
      </c>
      <c r="K31" t="s">
        <v>64</v>
      </c>
      <c r="L31">
        <v>2045</v>
      </c>
      <c r="M31" s="43">
        <v>1</v>
      </c>
    </row>
    <row r="32" spans="1:13">
      <c r="A32" t="s">
        <v>134</v>
      </c>
      <c r="B32" s="1" t="s">
        <v>135</v>
      </c>
      <c r="C32" t="s">
        <v>136</v>
      </c>
      <c r="D32" t="s">
        <v>137</v>
      </c>
      <c r="E32" s="30">
        <v>2030</v>
      </c>
      <c r="F32" s="30" t="s">
        <v>297</v>
      </c>
      <c r="G32" t="s">
        <v>303</v>
      </c>
      <c r="H32">
        <v>2020</v>
      </c>
      <c r="I32" s="33">
        <v>2017</v>
      </c>
      <c r="J32">
        <v>125</v>
      </c>
      <c r="K32" s="40" t="s">
        <v>308</v>
      </c>
      <c r="L32">
        <v>2030</v>
      </c>
      <c r="M32" s="43">
        <v>0.8</v>
      </c>
    </row>
    <row r="33" spans="1:13">
      <c r="A33" t="s">
        <v>140</v>
      </c>
      <c r="B33" s="1" t="s">
        <v>141</v>
      </c>
      <c r="C33" t="s">
        <v>142</v>
      </c>
      <c r="D33" t="s">
        <v>54</v>
      </c>
      <c r="E33" s="30">
        <v>2050</v>
      </c>
      <c r="F33" s="30" t="s">
        <v>300</v>
      </c>
      <c r="G33" t="s">
        <v>298</v>
      </c>
      <c r="H33">
        <v>2020</v>
      </c>
      <c r="I33" s="33">
        <v>2000</v>
      </c>
      <c r="J33">
        <v>49960899</v>
      </c>
      <c r="K33" s="40" t="s">
        <v>58</v>
      </c>
      <c r="L33">
        <v>2050</v>
      </c>
      <c r="M33" s="43">
        <v>1</v>
      </c>
    </row>
    <row r="34" spans="1:13">
      <c r="A34" t="s">
        <v>140</v>
      </c>
      <c r="B34" s="1" t="s">
        <v>141</v>
      </c>
      <c r="C34" t="s">
        <v>142</v>
      </c>
      <c r="D34" t="s">
        <v>54</v>
      </c>
      <c r="E34" s="30">
        <v>2050</v>
      </c>
      <c r="F34" s="30" t="s">
        <v>297</v>
      </c>
      <c r="G34" t="s">
        <v>303</v>
      </c>
      <c r="H34">
        <v>2030</v>
      </c>
      <c r="I34" s="33">
        <v>2000</v>
      </c>
      <c r="J34">
        <v>0.4826223</v>
      </c>
      <c r="K34" s="40" t="s">
        <v>299</v>
      </c>
      <c r="L34">
        <v>2030</v>
      </c>
      <c r="M34" s="43">
        <v>0.5</v>
      </c>
    </row>
    <row r="35" spans="1:13">
      <c r="A35" t="s">
        <v>143</v>
      </c>
      <c r="B35" s="1" t="s">
        <v>144</v>
      </c>
      <c r="C35" t="s">
        <v>145</v>
      </c>
      <c r="D35" t="s">
        <v>54</v>
      </c>
      <c r="E35" s="30">
        <v>2045</v>
      </c>
      <c r="F35" s="30" t="s">
        <v>300</v>
      </c>
      <c r="G35" t="s">
        <v>303</v>
      </c>
      <c r="I35" s="33">
        <v>2005</v>
      </c>
      <c r="J35" s="20">
        <v>48455198</v>
      </c>
      <c r="K35" s="40" t="s">
        <v>58</v>
      </c>
      <c r="L35">
        <v>2030</v>
      </c>
      <c r="M35" s="43">
        <v>0.7</v>
      </c>
    </row>
    <row r="36" spans="1:13">
      <c r="A36" t="s">
        <v>146</v>
      </c>
      <c r="B36" s="1" t="s">
        <v>147</v>
      </c>
      <c r="C36" t="s">
        <v>148</v>
      </c>
      <c r="D36" t="s">
        <v>54</v>
      </c>
      <c r="E36" s="30">
        <v>2030</v>
      </c>
      <c r="F36" s="30" t="s">
        <v>300</v>
      </c>
      <c r="G36" t="s">
        <v>298</v>
      </c>
      <c r="H36">
        <v>2019</v>
      </c>
      <c r="I36" s="33">
        <v>2018</v>
      </c>
      <c r="J36">
        <v>828107</v>
      </c>
      <c r="K36" s="40" t="s">
        <v>58</v>
      </c>
      <c r="L36">
        <v>2030</v>
      </c>
      <c r="M36" s="43">
        <v>1</v>
      </c>
    </row>
    <row r="37" spans="1:13">
      <c r="A37" t="s">
        <v>149</v>
      </c>
      <c r="B37" s="1" t="s">
        <v>150</v>
      </c>
      <c r="C37" t="s">
        <v>151</v>
      </c>
      <c r="D37" t="s">
        <v>54</v>
      </c>
      <c r="E37" s="30">
        <v>2050</v>
      </c>
      <c r="F37" s="30" t="s">
        <v>300</v>
      </c>
      <c r="G37" t="s">
        <v>298</v>
      </c>
      <c r="H37">
        <v>2021</v>
      </c>
      <c r="I37" s="33">
        <v>2015</v>
      </c>
      <c r="J37">
        <v>1100</v>
      </c>
      <c r="K37" s="40" t="s">
        <v>139</v>
      </c>
      <c r="L37">
        <v>2030</v>
      </c>
      <c r="M37" s="43">
        <v>0.5</v>
      </c>
    </row>
    <row r="38" spans="1:13">
      <c r="A38" t="s">
        <v>152</v>
      </c>
      <c r="B38" s="1" t="s">
        <v>153</v>
      </c>
      <c r="C38" t="s">
        <v>154</v>
      </c>
      <c r="D38" t="s">
        <v>54</v>
      </c>
      <c r="E38" s="30">
        <v>2050</v>
      </c>
      <c r="F38" s="30" t="s">
        <v>300</v>
      </c>
      <c r="G38" t="s">
        <v>298</v>
      </c>
      <c r="H38">
        <v>2021</v>
      </c>
      <c r="I38" s="33">
        <v>2016</v>
      </c>
      <c r="J38">
        <v>125</v>
      </c>
      <c r="K38" s="40" t="s">
        <v>64</v>
      </c>
      <c r="L38">
        <v>2025</v>
      </c>
      <c r="M38" s="43">
        <v>0.2</v>
      </c>
    </row>
    <row r="39" spans="1:13">
      <c r="A39" t="s">
        <v>155</v>
      </c>
      <c r="B39" s="1" t="s">
        <v>156</v>
      </c>
      <c r="C39" t="s">
        <v>157</v>
      </c>
      <c r="D39" t="s">
        <v>54</v>
      </c>
      <c r="F39" s="30" t="s">
        <v>300</v>
      </c>
      <c r="G39" t="s">
        <v>303</v>
      </c>
      <c r="H39">
        <v>2015</v>
      </c>
      <c r="I39" s="33">
        <v>2005</v>
      </c>
      <c r="J39">
        <v>86403130</v>
      </c>
      <c r="K39" s="40" t="s">
        <v>58</v>
      </c>
      <c r="L39">
        <v>2045</v>
      </c>
      <c r="M39" s="43">
        <v>0.62</v>
      </c>
    </row>
    <row r="40" spans="1:13">
      <c r="A40" t="s">
        <v>158</v>
      </c>
      <c r="B40" s="1" t="s">
        <v>159</v>
      </c>
      <c r="C40" t="s">
        <v>160</v>
      </c>
      <c r="D40" t="s">
        <v>54</v>
      </c>
      <c r="F40" s="30" t="s">
        <v>297</v>
      </c>
      <c r="G40" t="s">
        <v>304</v>
      </c>
      <c r="H40">
        <v>2021</v>
      </c>
      <c r="I40" s="33">
        <v>2019</v>
      </c>
      <c r="J40">
        <v>309</v>
      </c>
      <c r="K40" s="40" t="s">
        <v>309</v>
      </c>
      <c r="L40">
        <v>2035</v>
      </c>
      <c r="M40" s="43">
        <v>0.5</v>
      </c>
    </row>
    <row r="41" spans="1:13">
      <c r="A41" t="s">
        <v>158</v>
      </c>
      <c r="B41" s="1" t="s">
        <v>159</v>
      </c>
      <c r="C41" t="s">
        <v>160</v>
      </c>
      <c r="D41" t="s">
        <v>54</v>
      </c>
      <c r="F41" s="30" t="s">
        <v>300</v>
      </c>
      <c r="G41" t="s">
        <v>298</v>
      </c>
      <c r="H41">
        <v>2021</v>
      </c>
      <c r="I41" s="33">
        <v>2019</v>
      </c>
      <c r="J41">
        <v>3480</v>
      </c>
      <c r="K41" s="40" t="s">
        <v>58</v>
      </c>
      <c r="L41">
        <v>2035</v>
      </c>
      <c r="M41" s="43">
        <v>0.76</v>
      </c>
    </row>
    <row r="42" spans="1:13">
      <c r="A42" t="s">
        <v>162</v>
      </c>
      <c r="B42" s="1" t="s">
        <v>163</v>
      </c>
      <c r="C42" t="s">
        <v>164</v>
      </c>
      <c r="D42" t="s">
        <v>165</v>
      </c>
      <c r="F42" s="30" t="s">
        <v>300</v>
      </c>
      <c r="G42" t="s">
        <v>303</v>
      </c>
      <c r="H42">
        <v>2020</v>
      </c>
      <c r="I42" s="33">
        <v>2019</v>
      </c>
      <c r="J42" s="20">
        <v>11925000</v>
      </c>
      <c r="K42" s="40" t="s">
        <v>58</v>
      </c>
      <c r="L42">
        <v>2035</v>
      </c>
      <c r="M42" s="43">
        <v>0.75</v>
      </c>
    </row>
    <row r="43" spans="1:13" s="93" customFormat="1">
      <c r="A43" s="86" t="s">
        <v>166</v>
      </c>
      <c r="B43" s="87" t="s">
        <v>167</v>
      </c>
      <c r="C43" s="86" t="s">
        <v>168</v>
      </c>
      <c r="D43" s="86" t="s">
        <v>54</v>
      </c>
      <c r="E43" s="88">
        <v>2040</v>
      </c>
      <c r="F43" s="88" t="s">
        <v>297</v>
      </c>
      <c r="G43" s="86" t="s">
        <v>304</v>
      </c>
      <c r="H43" s="86">
        <v>2021</v>
      </c>
      <c r="I43" s="89">
        <v>2020</v>
      </c>
      <c r="J43" s="90">
        <v>309</v>
      </c>
      <c r="K43" s="91" t="s">
        <v>309</v>
      </c>
      <c r="L43" s="86">
        <v>2040</v>
      </c>
      <c r="M43" s="92">
        <v>0.2</v>
      </c>
    </row>
    <row r="44" spans="1:13">
      <c r="A44" t="s">
        <v>166</v>
      </c>
      <c r="B44" s="1" t="s">
        <v>167</v>
      </c>
      <c r="C44" t="s">
        <v>168</v>
      </c>
      <c r="D44" t="s">
        <v>54</v>
      </c>
      <c r="E44" s="30">
        <v>2040</v>
      </c>
      <c r="F44" s="30" t="s">
        <v>300</v>
      </c>
      <c r="G44" t="s">
        <v>298</v>
      </c>
      <c r="H44">
        <v>2021</v>
      </c>
      <c r="I44" s="33">
        <v>2020</v>
      </c>
      <c r="J44" s="20">
        <v>3813946</v>
      </c>
      <c r="K44" s="40" t="s">
        <v>58</v>
      </c>
      <c r="L44">
        <v>2040</v>
      </c>
      <c r="M44" s="43">
        <v>1</v>
      </c>
    </row>
    <row r="45" spans="1:13">
      <c r="A45" t="s">
        <v>169</v>
      </c>
      <c r="B45" s="1" t="s">
        <v>170</v>
      </c>
      <c r="C45" t="s">
        <v>171</v>
      </c>
      <c r="D45" t="s">
        <v>172</v>
      </c>
      <c r="E45" s="30">
        <v>2050</v>
      </c>
      <c r="F45" s="30" t="s">
        <v>297</v>
      </c>
      <c r="G45" t="s">
        <v>298</v>
      </c>
      <c r="H45">
        <v>2022</v>
      </c>
      <c r="I45" s="33">
        <v>2020</v>
      </c>
      <c r="J45">
        <v>0.93</v>
      </c>
      <c r="K45" s="40" t="s">
        <v>306</v>
      </c>
      <c r="L45">
        <v>2031</v>
      </c>
      <c r="M45" s="43">
        <v>0.108</v>
      </c>
    </row>
    <row r="46" spans="1:13">
      <c r="A46" t="s">
        <v>173</v>
      </c>
      <c r="B46" s="1" t="s">
        <v>174</v>
      </c>
      <c r="C46" t="s">
        <v>175</v>
      </c>
      <c r="D46" t="s">
        <v>54</v>
      </c>
      <c r="F46" s="30" t="s">
        <v>297</v>
      </c>
      <c r="G46" t="s">
        <v>303</v>
      </c>
      <c r="H46">
        <v>2020</v>
      </c>
      <c r="I46" s="33">
        <v>2010</v>
      </c>
      <c r="J46">
        <v>0.76300000000000001</v>
      </c>
      <c r="K46" s="40" t="s">
        <v>299</v>
      </c>
      <c r="L46">
        <v>2030</v>
      </c>
      <c r="M46" s="43">
        <v>0.1</v>
      </c>
    </row>
    <row r="47" spans="1:13">
      <c r="A47" t="s">
        <v>176</v>
      </c>
      <c r="B47" s="1" t="s">
        <v>177</v>
      </c>
      <c r="C47" t="s">
        <v>178</v>
      </c>
      <c r="D47" t="s">
        <v>179</v>
      </c>
      <c r="E47" s="30">
        <v>2050</v>
      </c>
      <c r="F47" s="30" t="s">
        <v>297</v>
      </c>
      <c r="G47" t="s">
        <v>303</v>
      </c>
      <c r="H47">
        <v>2022</v>
      </c>
      <c r="I47" s="33">
        <v>2021</v>
      </c>
      <c r="J47">
        <v>96</v>
      </c>
      <c r="K47" s="40" t="s">
        <v>308</v>
      </c>
      <c r="L47">
        <v>2030</v>
      </c>
      <c r="M47" s="43">
        <f>50/96</f>
        <v>0.52083333333333337</v>
      </c>
    </row>
    <row r="48" spans="1:13">
      <c r="A48" t="s">
        <v>181</v>
      </c>
      <c r="B48" s="1" t="s">
        <v>182</v>
      </c>
      <c r="C48" t="s">
        <v>183</v>
      </c>
      <c r="D48" t="s">
        <v>54</v>
      </c>
      <c r="F48" s="30" t="s">
        <v>297</v>
      </c>
      <c r="G48" t="s">
        <v>298</v>
      </c>
      <c r="I48" s="33">
        <v>2000</v>
      </c>
      <c r="J48">
        <f>2650/2000</f>
        <v>1.325</v>
      </c>
      <c r="K48" s="40" t="s">
        <v>299</v>
      </c>
      <c r="L48">
        <v>2030</v>
      </c>
      <c r="M48" s="43">
        <v>0.5</v>
      </c>
    </row>
    <row r="49" spans="1:13">
      <c r="A49" t="s">
        <v>187</v>
      </c>
      <c r="B49" s="1" t="s">
        <v>188</v>
      </c>
      <c r="C49" t="s">
        <v>189</v>
      </c>
      <c r="D49" t="s">
        <v>91</v>
      </c>
      <c r="E49" s="30">
        <v>2050</v>
      </c>
      <c r="F49" t="s">
        <v>300</v>
      </c>
      <c r="G49" t="s">
        <v>298</v>
      </c>
      <c r="H49">
        <v>2020</v>
      </c>
      <c r="I49">
        <v>1990</v>
      </c>
      <c r="J49">
        <f>7000000/(1-0.68)</f>
        <v>21875000.000000004</v>
      </c>
      <c r="K49" t="s">
        <v>58</v>
      </c>
      <c r="L49">
        <v>2030</v>
      </c>
      <c r="M49" s="43">
        <v>0.8</v>
      </c>
    </row>
    <row r="50" spans="1:13">
      <c r="A50" t="s">
        <v>187</v>
      </c>
      <c r="B50" s="1" t="s">
        <v>188</v>
      </c>
      <c r="C50" t="s">
        <v>189</v>
      </c>
      <c r="D50" t="s">
        <v>91</v>
      </c>
      <c r="E50" s="30">
        <v>2050</v>
      </c>
      <c r="F50" t="s">
        <v>300</v>
      </c>
      <c r="G50" t="s">
        <v>298</v>
      </c>
      <c r="H50">
        <v>2020</v>
      </c>
      <c r="I50">
        <v>1990</v>
      </c>
      <c r="J50">
        <f>7000000/(1-0.68)</f>
        <v>21875000.000000004</v>
      </c>
      <c r="K50" t="s">
        <v>58</v>
      </c>
      <c r="L50">
        <v>2040</v>
      </c>
      <c r="M50" s="43">
        <v>0.9</v>
      </c>
    </row>
    <row r="51" spans="1:13">
      <c r="A51" t="s">
        <v>190</v>
      </c>
      <c r="B51" t="s">
        <v>191</v>
      </c>
      <c r="C51" t="s">
        <v>192</v>
      </c>
      <c r="D51" t="s">
        <v>54</v>
      </c>
      <c r="E51" s="30">
        <v>2050</v>
      </c>
      <c r="F51" s="30" t="s">
        <v>297</v>
      </c>
      <c r="G51" t="s">
        <v>298</v>
      </c>
      <c r="H51">
        <v>2020</v>
      </c>
      <c r="I51">
        <v>2005</v>
      </c>
      <c r="J51">
        <v>843</v>
      </c>
      <c r="K51" s="40" t="s">
        <v>310</v>
      </c>
      <c r="L51">
        <v>2025</v>
      </c>
      <c r="M51" s="43">
        <v>0.67</v>
      </c>
    </row>
    <row r="52" spans="1:13">
      <c r="A52" t="s">
        <v>198</v>
      </c>
      <c r="B52" t="s">
        <v>199</v>
      </c>
      <c r="C52" t="s">
        <v>200</v>
      </c>
      <c r="D52" t="s">
        <v>54</v>
      </c>
      <c r="E52" s="30">
        <v>2050</v>
      </c>
      <c r="F52" t="s">
        <v>300</v>
      </c>
      <c r="G52" t="s">
        <v>298</v>
      </c>
      <c r="H52">
        <v>2020</v>
      </c>
      <c r="I52">
        <v>2005</v>
      </c>
      <c r="J52">
        <f>6332981/(1-0.63)</f>
        <v>17116164.864864863</v>
      </c>
      <c r="K52" t="s">
        <v>58</v>
      </c>
      <c r="L52">
        <v>2030</v>
      </c>
      <c r="M52" s="43">
        <v>0.9</v>
      </c>
    </row>
    <row r="53" spans="1:13">
      <c r="A53" t="s">
        <v>201</v>
      </c>
      <c r="B53" s="1" t="s">
        <v>202</v>
      </c>
      <c r="C53" t="s">
        <v>203</v>
      </c>
      <c r="D53" t="s">
        <v>54</v>
      </c>
      <c r="E53" s="30">
        <v>2050</v>
      </c>
      <c r="F53" s="30" t="s">
        <v>300</v>
      </c>
      <c r="G53" t="s">
        <v>303</v>
      </c>
      <c r="H53">
        <v>2019</v>
      </c>
      <c r="I53" s="33">
        <v>2010</v>
      </c>
      <c r="J53" s="20">
        <v>3734024</v>
      </c>
      <c r="K53" t="s">
        <v>58</v>
      </c>
      <c r="L53">
        <v>2045</v>
      </c>
      <c r="M53" s="43">
        <v>0.9</v>
      </c>
    </row>
    <row r="54" spans="1:13">
      <c r="A54" s="23" t="s">
        <v>193</v>
      </c>
      <c r="B54" s="23" t="s">
        <v>194</v>
      </c>
      <c r="C54" s="23" t="s">
        <v>195</v>
      </c>
      <c r="D54" t="s">
        <v>196</v>
      </c>
      <c r="E54" s="30">
        <v>2050</v>
      </c>
      <c r="F54" t="s">
        <v>300</v>
      </c>
      <c r="G54" t="s">
        <v>298</v>
      </c>
      <c r="H54">
        <v>2021</v>
      </c>
      <c r="I54">
        <v>2013</v>
      </c>
      <c r="J54">
        <v>102</v>
      </c>
      <c r="K54" t="s">
        <v>64</v>
      </c>
      <c r="L54">
        <v>2030</v>
      </c>
      <c r="M54" s="43">
        <v>0.3</v>
      </c>
    </row>
    <row r="55" spans="1:13">
      <c r="A55" t="s">
        <v>184</v>
      </c>
      <c r="B55" s="1" t="s">
        <v>185</v>
      </c>
      <c r="C55" t="s">
        <v>186</v>
      </c>
      <c r="D55" t="s">
        <v>54</v>
      </c>
      <c r="F55" t="s">
        <v>297</v>
      </c>
      <c r="G55" t="s">
        <v>298</v>
      </c>
      <c r="H55">
        <v>2020</v>
      </c>
      <c r="I55">
        <v>2015</v>
      </c>
      <c r="J55">
        <v>0.82</v>
      </c>
      <c r="K55" t="s">
        <v>306</v>
      </c>
      <c r="L55">
        <v>2030</v>
      </c>
      <c r="M55" s="43">
        <v>0.35</v>
      </c>
    </row>
    <row r="56" spans="1:13">
      <c r="A56" t="s">
        <v>204</v>
      </c>
      <c r="B56" s="1" t="s">
        <v>205</v>
      </c>
      <c r="C56" t="s">
        <v>206</v>
      </c>
      <c r="D56" t="s">
        <v>54</v>
      </c>
      <c r="F56" s="30" t="s">
        <v>300</v>
      </c>
      <c r="G56" t="s">
        <v>303</v>
      </c>
      <c r="H56">
        <v>2018</v>
      </c>
      <c r="I56" s="33">
        <v>2005</v>
      </c>
      <c r="J56" s="20">
        <v>21445571</v>
      </c>
      <c r="K56" t="s">
        <v>58</v>
      </c>
      <c r="L56">
        <v>2030</v>
      </c>
      <c r="M56" s="43">
        <v>0.5</v>
      </c>
    </row>
    <row r="57" spans="1:13">
      <c r="A57" t="s">
        <v>204</v>
      </c>
      <c r="B57" s="1" t="s">
        <v>205</v>
      </c>
      <c r="C57" t="s">
        <v>206</v>
      </c>
      <c r="D57" t="s">
        <v>54</v>
      </c>
      <c r="F57" s="30" t="s">
        <v>300</v>
      </c>
      <c r="G57" t="s">
        <v>303</v>
      </c>
      <c r="H57">
        <v>2018</v>
      </c>
      <c r="I57" s="33">
        <v>2005</v>
      </c>
      <c r="J57" s="20">
        <v>21445571</v>
      </c>
      <c r="K57" t="s">
        <v>58</v>
      </c>
      <c r="L57">
        <v>2050</v>
      </c>
      <c r="M57" s="43">
        <v>0.95</v>
      </c>
    </row>
    <row r="58" spans="1:13">
      <c r="A58" t="s">
        <v>207</v>
      </c>
      <c r="B58" s="1" t="s">
        <v>208</v>
      </c>
      <c r="C58" t="s">
        <v>209</v>
      </c>
      <c r="D58" t="s">
        <v>54</v>
      </c>
      <c r="E58" s="30">
        <v>2045</v>
      </c>
      <c r="F58" s="30" t="s">
        <v>300</v>
      </c>
      <c r="G58" t="s">
        <v>298</v>
      </c>
      <c r="H58">
        <v>2021</v>
      </c>
      <c r="I58" s="33">
        <v>2016</v>
      </c>
      <c r="J58">
        <v>2.2165439930000002</v>
      </c>
      <c r="K58" t="s">
        <v>64</v>
      </c>
      <c r="L58">
        <v>2045</v>
      </c>
      <c r="M58" s="43">
        <v>1</v>
      </c>
    </row>
    <row r="59" spans="1:13">
      <c r="A59" t="s">
        <v>210</v>
      </c>
      <c r="B59" s="1" t="s">
        <v>211</v>
      </c>
      <c r="C59" t="s">
        <v>212</v>
      </c>
      <c r="D59" t="s">
        <v>54</v>
      </c>
      <c r="E59" s="30">
        <v>2040</v>
      </c>
      <c r="F59" s="30" t="s">
        <v>300</v>
      </c>
      <c r="G59" t="s">
        <v>303</v>
      </c>
      <c r="H59">
        <v>2019</v>
      </c>
      <c r="I59" s="33">
        <v>2005</v>
      </c>
      <c r="J59" s="47">
        <v>6976930.1319702603</v>
      </c>
      <c r="K59" t="s">
        <v>58</v>
      </c>
      <c r="L59">
        <v>2040</v>
      </c>
      <c r="M59" s="43">
        <v>1</v>
      </c>
    </row>
    <row r="60" spans="1:13">
      <c r="A60" t="s">
        <v>213</v>
      </c>
      <c r="B60" s="1" t="s">
        <v>214</v>
      </c>
      <c r="C60" t="s">
        <v>215</v>
      </c>
      <c r="D60" t="s">
        <v>216</v>
      </c>
      <c r="E60" s="30">
        <v>2050</v>
      </c>
      <c r="F60" s="30" t="s">
        <v>297</v>
      </c>
      <c r="G60" t="s">
        <v>298</v>
      </c>
      <c r="H60">
        <v>2020</v>
      </c>
      <c r="I60" s="33">
        <v>2017</v>
      </c>
      <c r="J60">
        <v>2.06</v>
      </c>
      <c r="K60" t="s">
        <v>306</v>
      </c>
      <c r="L60">
        <v>2030</v>
      </c>
      <c r="M60" s="43">
        <v>0.2</v>
      </c>
    </row>
    <row r="61" spans="1:13">
      <c r="A61" t="s">
        <v>213</v>
      </c>
      <c r="B61" s="1" t="s">
        <v>214</v>
      </c>
      <c r="C61" t="s">
        <v>215</v>
      </c>
      <c r="D61" t="s">
        <v>216</v>
      </c>
      <c r="E61" s="30">
        <v>2050</v>
      </c>
      <c r="F61" s="30" t="s">
        <v>297</v>
      </c>
      <c r="G61" t="s">
        <v>298</v>
      </c>
      <c r="H61">
        <v>2020</v>
      </c>
      <c r="I61" s="33">
        <v>2017</v>
      </c>
      <c r="J61">
        <v>2.06</v>
      </c>
      <c r="K61" t="s">
        <v>306</v>
      </c>
      <c r="L61">
        <v>2040</v>
      </c>
      <c r="M61" s="43">
        <v>0.5</v>
      </c>
    </row>
    <row r="62" spans="1:13">
      <c r="A62" t="s">
        <v>217</v>
      </c>
      <c r="B62" s="1" t="s">
        <v>218</v>
      </c>
      <c r="C62" t="s">
        <v>219</v>
      </c>
      <c r="D62" t="s">
        <v>54</v>
      </c>
      <c r="E62" s="30">
        <v>2050</v>
      </c>
      <c r="F62" s="30" t="s">
        <v>300</v>
      </c>
      <c r="G62" t="s">
        <v>298</v>
      </c>
      <c r="H62">
        <v>2021</v>
      </c>
      <c r="I62" s="33">
        <v>2010</v>
      </c>
      <c r="J62" s="20">
        <f>60736086+1597157</f>
        <v>62333243</v>
      </c>
      <c r="K62" t="s">
        <v>58</v>
      </c>
      <c r="L62">
        <v>2035</v>
      </c>
      <c r="M62" s="43">
        <v>0.7</v>
      </c>
    </row>
    <row r="63" spans="1:13">
      <c r="A63" t="s">
        <v>217</v>
      </c>
      <c r="B63" s="1" t="s">
        <v>218</v>
      </c>
      <c r="C63" t="s">
        <v>219</v>
      </c>
      <c r="D63" t="s">
        <v>54</v>
      </c>
      <c r="E63" s="30">
        <v>2050</v>
      </c>
      <c r="F63" s="30" t="s">
        <v>300</v>
      </c>
      <c r="G63" t="s">
        <v>298</v>
      </c>
      <c r="H63">
        <v>2021</v>
      </c>
      <c r="I63" s="33">
        <v>2010</v>
      </c>
      <c r="J63" s="20">
        <f>60736086+1597157</f>
        <v>62333243</v>
      </c>
      <c r="K63" t="s">
        <v>58</v>
      </c>
      <c r="L63">
        <v>2040</v>
      </c>
      <c r="M63" s="43">
        <v>0.8</v>
      </c>
    </row>
    <row r="64" spans="1:13">
      <c r="A64" t="s">
        <v>220</v>
      </c>
      <c r="B64" s="1" t="s">
        <v>221</v>
      </c>
      <c r="C64" t="s">
        <v>222</v>
      </c>
      <c r="D64" t="s">
        <v>54</v>
      </c>
      <c r="E64" s="30">
        <v>2050</v>
      </c>
      <c r="F64" s="30" t="s">
        <v>300</v>
      </c>
      <c r="G64" t="s">
        <v>298</v>
      </c>
      <c r="H64">
        <v>2020</v>
      </c>
      <c r="I64" s="33">
        <v>2005</v>
      </c>
      <c r="J64" s="48">
        <v>16557441</v>
      </c>
      <c r="K64" t="s">
        <v>58</v>
      </c>
      <c r="L64">
        <v>2030</v>
      </c>
      <c r="M64" s="43">
        <v>0.7</v>
      </c>
    </row>
    <row r="65" spans="1:13">
      <c r="A65" t="s">
        <v>223</v>
      </c>
      <c r="B65" s="1" t="s">
        <v>224</v>
      </c>
      <c r="C65" t="s">
        <v>225</v>
      </c>
      <c r="D65" t="s">
        <v>54</v>
      </c>
      <c r="E65" s="30">
        <v>2040</v>
      </c>
      <c r="F65" s="30" t="s">
        <v>297</v>
      </c>
      <c r="G65" t="s">
        <v>298</v>
      </c>
      <c r="H65">
        <v>2020</v>
      </c>
      <c r="I65" s="33">
        <v>2010</v>
      </c>
      <c r="J65">
        <v>0.47</v>
      </c>
      <c r="K65" t="s">
        <v>299</v>
      </c>
      <c r="L65">
        <v>2030</v>
      </c>
      <c r="M65" s="43">
        <v>0.8</v>
      </c>
    </row>
    <row r="66" spans="1:13">
      <c r="A66" t="s">
        <v>226</v>
      </c>
      <c r="B66" s="1" t="s">
        <v>227</v>
      </c>
      <c r="C66" t="s">
        <v>228</v>
      </c>
      <c r="D66" t="s">
        <v>54</v>
      </c>
      <c r="E66" s="30">
        <v>2030</v>
      </c>
      <c r="F66" s="30" t="s">
        <v>300</v>
      </c>
      <c r="G66" t="s">
        <v>298</v>
      </c>
      <c r="H66">
        <v>2021</v>
      </c>
      <c r="I66" s="33">
        <v>2005</v>
      </c>
      <c r="J66" s="20">
        <v>26566330</v>
      </c>
      <c r="K66" t="s">
        <v>58</v>
      </c>
      <c r="L66">
        <v>2030</v>
      </c>
      <c r="M66" s="43">
        <v>1</v>
      </c>
    </row>
    <row r="67" spans="1:13">
      <c r="A67" t="s">
        <v>229</v>
      </c>
      <c r="B67" s="1" t="s">
        <v>230</v>
      </c>
      <c r="C67" t="s">
        <v>231</v>
      </c>
      <c r="D67" t="s">
        <v>232</v>
      </c>
      <c r="F67" s="30" t="s">
        <v>297</v>
      </c>
      <c r="G67" t="s">
        <v>298</v>
      </c>
      <c r="H67">
        <v>2021</v>
      </c>
      <c r="I67" s="33">
        <v>2018</v>
      </c>
      <c r="J67" s="20">
        <v>10.199999999999999</v>
      </c>
      <c r="K67" t="s">
        <v>311</v>
      </c>
      <c r="L67">
        <v>2035</v>
      </c>
      <c r="M67" s="43">
        <v>0.15</v>
      </c>
    </row>
    <row r="68" spans="1:13">
      <c r="A68" t="s">
        <v>233</v>
      </c>
      <c r="B68" s="1" t="s">
        <v>234</v>
      </c>
      <c r="C68" t="s">
        <v>235</v>
      </c>
      <c r="D68" t="s">
        <v>54</v>
      </c>
      <c r="E68" s="30">
        <v>2050</v>
      </c>
      <c r="F68" s="30" t="s">
        <v>297</v>
      </c>
      <c r="G68" t="s">
        <v>298</v>
      </c>
      <c r="H68">
        <v>2020</v>
      </c>
      <c r="I68" s="33">
        <v>2019</v>
      </c>
      <c r="J68" s="49">
        <v>0.80243130614229896</v>
      </c>
      <c r="K68" t="s">
        <v>299</v>
      </c>
      <c r="L68">
        <v>2030</v>
      </c>
      <c r="M68" s="43">
        <v>0.5</v>
      </c>
    </row>
    <row r="69" spans="1:13">
      <c r="A69" t="s">
        <v>236</v>
      </c>
      <c r="B69" s="1" t="s">
        <v>237</v>
      </c>
      <c r="C69" t="s">
        <v>238</v>
      </c>
      <c r="D69" t="s">
        <v>91</v>
      </c>
      <c r="E69" s="30">
        <v>2050</v>
      </c>
      <c r="F69" s="30" t="s">
        <v>300</v>
      </c>
      <c r="G69" t="s">
        <v>298</v>
      </c>
      <c r="H69">
        <v>2021</v>
      </c>
      <c r="I69" s="33">
        <v>2016</v>
      </c>
      <c r="J69" s="49">
        <v>68</v>
      </c>
      <c r="K69" t="s">
        <v>64</v>
      </c>
      <c r="L69">
        <v>2030</v>
      </c>
      <c r="M69" s="43">
        <v>0.5</v>
      </c>
    </row>
    <row r="70" spans="1:13">
      <c r="A70" t="s">
        <v>240</v>
      </c>
      <c r="B70" s="1" t="s">
        <v>241</v>
      </c>
      <c r="C70" t="s">
        <v>242</v>
      </c>
      <c r="D70" t="s">
        <v>54</v>
      </c>
      <c r="E70" s="30">
        <v>2050</v>
      </c>
      <c r="F70" s="30" t="s">
        <v>297</v>
      </c>
      <c r="G70" t="s">
        <v>298</v>
      </c>
      <c r="H70">
        <v>2020</v>
      </c>
      <c r="I70" s="33">
        <v>2007</v>
      </c>
      <c r="J70" s="49">
        <v>0.98420553538837796</v>
      </c>
      <c r="K70" t="s">
        <v>299</v>
      </c>
      <c r="L70">
        <v>2030</v>
      </c>
      <c r="M70" s="43">
        <v>0.5</v>
      </c>
    </row>
    <row r="71" spans="1:13">
      <c r="A71" t="s">
        <v>243</v>
      </c>
      <c r="B71" s="1" t="s">
        <v>244</v>
      </c>
      <c r="C71" t="s">
        <v>245</v>
      </c>
      <c r="D71" t="s">
        <v>54</v>
      </c>
      <c r="E71" s="30">
        <v>2050</v>
      </c>
      <c r="F71" s="30" t="s">
        <v>297</v>
      </c>
      <c r="G71" t="s">
        <v>298</v>
      </c>
      <c r="H71">
        <v>2021</v>
      </c>
      <c r="I71" s="33">
        <v>2018</v>
      </c>
      <c r="J71">
        <v>5.162928</v>
      </c>
      <c r="K71" t="s">
        <v>306</v>
      </c>
      <c r="L71">
        <v>2025</v>
      </c>
      <c r="M71" s="43">
        <v>0.2</v>
      </c>
    </row>
    <row r="72" spans="1:13">
      <c r="A72" t="s">
        <v>243</v>
      </c>
      <c r="B72" s="1" t="s">
        <v>244</v>
      </c>
      <c r="C72" t="s">
        <v>245</v>
      </c>
      <c r="D72" t="s">
        <v>54</v>
      </c>
      <c r="E72" s="30">
        <v>2050</v>
      </c>
      <c r="F72" s="30" t="s">
        <v>297</v>
      </c>
      <c r="G72" t="s">
        <v>298</v>
      </c>
      <c r="H72">
        <v>2021</v>
      </c>
      <c r="I72" s="33">
        <v>2018</v>
      </c>
      <c r="J72">
        <v>5.162928</v>
      </c>
      <c r="K72" t="s">
        <v>306</v>
      </c>
      <c r="L72">
        <v>2030</v>
      </c>
      <c r="M72" s="43">
        <v>0.3</v>
      </c>
    </row>
    <row r="73" spans="1:13">
      <c r="A73" t="s">
        <v>246</v>
      </c>
      <c r="B73" s="1" t="s">
        <v>247</v>
      </c>
      <c r="C73" t="s">
        <v>248</v>
      </c>
      <c r="D73" t="s">
        <v>165</v>
      </c>
      <c r="E73" s="30">
        <v>2050</v>
      </c>
      <c r="F73" s="30" t="s">
        <v>297</v>
      </c>
      <c r="G73" t="s">
        <v>298</v>
      </c>
      <c r="H73">
        <v>2020</v>
      </c>
      <c r="I73" s="33">
        <v>2019</v>
      </c>
      <c r="J73" s="49">
        <v>0.46760301224943002</v>
      </c>
      <c r="K73" t="s">
        <v>299</v>
      </c>
      <c r="L73">
        <v>2030</v>
      </c>
      <c r="M73" s="43">
        <v>0.3</v>
      </c>
    </row>
    <row r="74" spans="1:13">
      <c r="A74" t="s">
        <v>249</v>
      </c>
      <c r="B74" s="1" t="s">
        <v>250</v>
      </c>
      <c r="C74" t="s">
        <v>251</v>
      </c>
      <c r="D74" t="s">
        <v>252</v>
      </c>
      <c r="F74" s="30" t="s">
        <v>297</v>
      </c>
      <c r="G74" t="s">
        <v>298</v>
      </c>
      <c r="H74">
        <v>2021</v>
      </c>
      <c r="I74" s="33">
        <v>2018</v>
      </c>
      <c r="J74" s="49">
        <v>2.9</v>
      </c>
      <c r="K74" t="s">
        <v>306</v>
      </c>
      <c r="L74">
        <v>2030</v>
      </c>
      <c r="M74" s="43">
        <v>0.3</v>
      </c>
    </row>
    <row r="75" spans="1:13">
      <c r="A75" t="s">
        <v>253</v>
      </c>
      <c r="B75" t="s">
        <v>254</v>
      </c>
      <c r="C75" t="s">
        <v>255</v>
      </c>
      <c r="D75" t="s">
        <v>252</v>
      </c>
      <c r="F75" s="30" t="s">
        <v>297</v>
      </c>
      <c r="G75" t="s">
        <v>298</v>
      </c>
      <c r="H75">
        <v>2021</v>
      </c>
      <c r="I75" s="33">
        <v>2018</v>
      </c>
      <c r="J75" s="49">
        <v>1.69</v>
      </c>
      <c r="K75" t="s">
        <v>306</v>
      </c>
      <c r="L75">
        <v>2030</v>
      </c>
      <c r="M75" s="43">
        <v>0.2</v>
      </c>
    </row>
    <row r="76" spans="1:13">
      <c r="A76" t="s">
        <v>256</v>
      </c>
      <c r="B76" s="1" t="s">
        <v>257</v>
      </c>
      <c r="C76" t="s">
        <v>258</v>
      </c>
      <c r="D76" t="s">
        <v>54</v>
      </c>
      <c r="E76" s="30">
        <v>2050</v>
      </c>
      <c r="F76" s="30" t="s">
        <v>297</v>
      </c>
      <c r="G76" t="s">
        <v>304</v>
      </c>
      <c r="H76">
        <v>2021</v>
      </c>
      <c r="I76" s="33">
        <v>2017</v>
      </c>
      <c r="J76" s="49">
        <f>(185000+403000)/(25200*1.6)</f>
        <v>14.583333333333334</v>
      </c>
      <c r="K76" t="s">
        <v>305</v>
      </c>
      <c r="L76">
        <v>2030</v>
      </c>
      <c r="M76" s="43">
        <v>0</v>
      </c>
    </row>
    <row r="77" spans="1:13">
      <c r="A77" t="s">
        <v>259</v>
      </c>
      <c r="B77" s="1" t="s">
        <v>260</v>
      </c>
      <c r="C77" t="s">
        <v>261</v>
      </c>
      <c r="D77" t="s">
        <v>54</v>
      </c>
      <c r="F77" s="30" t="s">
        <v>297</v>
      </c>
      <c r="G77" t="s">
        <v>298</v>
      </c>
      <c r="H77">
        <v>2021</v>
      </c>
      <c r="I77" s="33">
        <v>2018</v>
      </c>
      <c r="J77" s="49">
        <v>0.42172199999999999</v>
      </c>
      <c r="K77" t="s">
        <v>306</v>
      </c>
      <c r="L77">
        <v>2030</v>
      </c>
      <c r="M77" s="43">
        <v>0.4</v>
      </c>
    </row>
    <row r="78" spans="1:13">
      <c r="A78" t="s">
        <v>262</v>
      </c>
      <c r="B78" s="1" t="s">
        <v>263</v>
      </c>
      <c r="C78" t="s">
        <v>264</v>
      </c>
      <c r="D78" t="s">
        <v>196</v>
      </c>
      <c r="E78" s="30">
        <v>2050</v>
      </c>
      <c r="F78" s="30" t="s">
        <v>297</v>
      </c>
      <c r="G78" t="s">
        <v>304</v>
      </c>
      <c r="H78">
        <v>2020</v>
      </c>
      <c r="I78" s="33">
        <v>2020</v>
      </c>
      <c r="J78" s="50">
        <v>130</v>
      </c>
      <c r="K78" t="s">
        <v>305</v>
      </c>
      <c r="L78">
        <v>2030</v>
      </c>
      <c r="M78" s="51">
        <v>0.2</v>
      </c>
    </row>
    <row r="79" spans="1:13">
      <c r="A79" t="s">
        <v>262</v>
      </c>
      <c r="B79" s="1" t="s">
        <v>263</v>
      </c>
      <c r="C79" t="s">
        <v>264</v>
      </c>
      <c r="D79" t="s">
        <v>196</v>
      </c>
      <c r="E79" s="30">
        <v>2050</v>
      </c>
      <c r="F79" s="30" t="s">
        <v>300</v>
      </c>
      <c r="G79" t="s">
        <v>298</v>
      </c>
      <c r="I79" s="33">
        <v>2020</v>
      </c>
      <c r="J79" s="50">
        <v>4.9000000000000004</v>
      </c>
      <c r="K79" t="s">
        <v>64</v>
      </c>
      <c r="L79">
        <v>2030</v>
      </c>
      <c r="M79" s="51">
        <v>0.2</v>
      </c>
    </row>
    <row r="80" spans="1:13">
      <c r="A80" t="s">
        <v>265</v>
      </c>
      <c r="B80" s="1" t="s">
        <v>266</v>
      </c>
      <c r="C80" t="s">
        <v>267</v>
      </c>
      <c r="D80" t="s">
        <v>54</v>
      </c>
      <c r="F80" s="30" t="s">
        <v>297</v>
      </c>
      <c r="G80" t="s">
        <v>298</v>
      </c>
      <c r="H80">
        <v>2020</v>
      </c>
      <c r="I80" s="33">
        <v>2018</v>
      </c>
      <c r="J80" s="49">
        <v>0.315911</v>
      </c>
      <c r="K80" t="s">
        <v>306</v>
      </c>
      <c r="L80">
        <v>2030</v>
      </c>
      <c r="M80" s="43">
        <v>0.2</v>
      </c>
    </row>
    <row r="81" spans="1:13">
      <c r="A81" t="s">
        <v>268</v>
      </c>
      <c r="B81" s="1" t="s">
        <v>269</v>
      </c>
      <c r="C81" t="s">
        <v>270</v>
      </c>
      <c r="D81" t="s">
        <v>271</v>
      </c>
      <c r="E81" s="30">
        <v>2050</v>
      </c>
      <c r="F81" s="30" t="s">
        <v>300</v>
      </c>
      <c r="G81" t="s">
        <v>303</v>
      </c>
      <c r="H81">
        <v>2021</v>
      </c>
      <c r="I81" s="33">
        <v>2015</v>
      </c>
      <c r="J81" s="49">
        <v>1.8</v>
      </c>
      <c r="K81" t="s">
        <v>64</v>
      </c>
      <c r="L81">
        <v>2030</v>
      </c>
      <c r="M81" s="43">
        <v>0.16</v>
      </c>
    </row>
    <row r="82" spans="1:13">
      <c r="A82" t="s">
        <v>268</v>
      </c>
      <c r="B82" s="1" t="s">
        <v>269</v>
      </c>
      <c r="C82" t="s">
        <v>270</v>
      </c>
      <c r="D82" t="s">
        <v>271</v>
      </c>
      <c r="E82" s="30">
        <v>2050</v>
      </c>
      <c r="F82" s="30" t="s">
        <v>300</v>
      </c>
      <c r="G82" t="s">
        <v>312</v>
      </c>
      <c r="H82">
        <v>2021</v>
      </c>
      <c r="I82" s="33">
        <v>2015</v>
      </c>
      <c r="J82" s="49">
        <v>3.7</v>
      </c>
      <c r="K82" t="s">
        <v>64</v>
      </c>
      <c r="L82">
        <v>2030</v>
      </c>
      <c r="M82" s="43">
        <f>3.7/3.5-1</f>
        <v>5.7142857142857162E-2</v>
      </c>
    </row>
    <row r="83" spans="1:13">
      <c r="A83" s="52" t="s">
        <v>273</v>
      </c>
      <c r="B83" s="52" t="s">
        <v>274</v>
      </c>
      <c r="C83" s="52" t="s">
        <v>275</v>
      </c>
      <c r="D83" t="s">
        <v>165</v>
      </c>
      <c r="E83" s="52">
        <v>2050</v>
      </c>
      <c r="F83" s="52" t="s">
        <v>300</v>
      </c>
      <c r="G83" s="52" t="s">
        <v>303</v>
      </c>
      <c r="H83" s="52">
        <v>2020</v>
      </c>
      <c r="I83" s="52">
        <v>2005</v>
      </c>
      <c r="J83" s="52">
        <v>11.6416389602593</v>
      </c>
      <c r="K83" s="52" t="s">
        <v>64</v>
      </c>
      <c r="L83" s="52">
        <v>2050</v>
      </c>
      <c r="M83" s="53">
        <v>1</v>
      </c>
    </row>
    <row r="84" spans="1:13">
      <c r="A84" t="s">
        <v>276</v>
      </c>
      <c r="B84" t="s">
        <v>277</v>
      </c>
      <c r="C84" t="s">
        <v>278</v>
      </c>
      <c r="D84" t="s">
        <v>54</v>
      </c>
      <c r="E84" s="30">
        <v>2050</v>
      </c>
      <c r="F84" s="30" t="s">
        <v>300</v>
      </c>
      <c r="G84" t="s">
        <v>298</v>
      </c>
      <c r="H84">
        <v>2020</v>
      </c>
      <c r="I84" s="33">
        <v>2010</v>
      </c>
      <c r="J84">
        <v>69124235.200000003</v>
      </c>
      <c r="K84" t="s">
        <v>58</v>
      </c>
      <c r="L84">
        <v>2030</v>
      </c>
      <c r="M84" s="43">
        <v>0.6</v>
      </c>
    </row>
    <row r="85" spans="1:13">
      <c r="A85" t="s">
        <v>279</v>
      </c>
      <c r="B85" s="1" t="s">
        <v>280</v>
      </c>
      <c r="C85" t="s">
        <v>281</v>
      </c>
      <c r="D85" t="s">
        <v>54</v>
      </c>
      <c r="E85" s="30">
        <v>2050</v>
      </c>
      <c r="F85" s="30" t="s">
        <v>297</v>
      </c>
      <c r="G85" t="s">
        <v>298</v>
      </c>
      <c r="H85">
        <v>2020</v>
      </c>
      <c r="I85" s="33">
        <v>2005</v>
      </c>
      <c r="J85">
        <v>0.78</v>
      </c>
      <c r="K85" t="s">
        <v>299</v>
      </c>
      <c r="L85">
        <v>2025</v>
      </c>
      <c r="M85" s="43">
        <v>0.6</v>
      </c>
    </row>
    <row r="86" spans="1:13">
      <c r="A86" t="s">
        <v>279</v>
      </c>
      <c r="B86" s="1" t="s">
        <v>280</v>
      </c>
      <c r="C86" t="s">
        <v>281</v>
      </c>
      <c r="D86" t="s">
        <v>54</v>
      </c>
      <c r="E86" s="30">
        <v>2050</v>
      </c>
      <c r="F86" s="30" t="s">
        <v>297</v>
      </c>
      <c r="G86" t="s">
        <v>298</v>
      </c>
      <c r="H86">
        <v>2020</v>
      </c>
      <c r="I86" s="33">
        <v>2005</v>
      </c>
      <c r="J86">
        <v>0.78</v>
      </c>
      <c r="K86" t="s">
        <v>299</v>
      </c>
      <c r="L86">
        <v>2030</v>
      </c>
      <c r="M86" s="43">
        <v>0.8</v>
      </c>
    </row>
    <row r="87" spans="1:13">
      <c r="A87" t="s">
        <v>282</v>
      </c>
      <c r="B87" t="s">
        <v>283</v>
      </c>
      <c r="C87" t="s">
        <v>284</v>
      </c>
      <c r="D87" t="s">
        <v>54</v>
      </c>
      <c r="E87" s="30">
        <v>2050</v>
      </c>
      <c r="F87" s="30" t="s">
        <v>297</v>
      </c>
      <c r="G87" t="s">
        <v>298</v>
      </c>
      <c r="H87">
        <v>2020</v>
      </c>
      <c r="I87" s="33">
        <v>2018</v>
      </c>
      <c r="J87" s="49">
        <v>0.315911</v>
      </c>
      <c r="K87" t="s">
        <v>306</v>
      </c>
      <c r="L87">
        <v>2030</v>
      </c>
      <c r="M87" s="43">
        <v>0.3</v>
      </c>
    </row>
    <row r="88" spans="1:13">
      <c r="A88" t="s">
        <v>285</v>
      </c>
      <c r="B88" s="1" t="s">
        <v>286</v>
      </c>
      <c r="C88" t="s">
        <v>287</v>
      </c>
      <c r="D88" t="s">
        <v>54</v>
      </c>
      <c r="E88" s="30">
        <v>2050</v>
      </c>
      <c r="F88" s="30" t="s">
        <v>297</v>
      </c>
      <c r="G88" t="s">
        <v>298</v>
      </c>
      <c r="H88">
        <v>2020</v>
      </c>
      <c r="I88" s="33">
        <v>2005</v>
      </c>
      <c r="J88" s="49">
        <v>0.88086205923584704</v>
      </c>
      <c r="K88" t="s">
        <v>299</v>
      </c>
      <c r="L88">
        <v>2030</v>
      </c>
      <c r="M88" s="43">
        <v>0.8</v>
      </c>
    </row>
  </sheetData>
  <pageMargins left="0.7" right="0.7" top="0.75" bottom="0.75" header="0.3" footer="0.511811023622047"/>
  <pageSetup orientation="portrait" horizontalDpi="300" verticalDpi="300"/>
  <headerFooter>
    <oddHeader>&amp;C&amp;10Confidential&amp;1#</oddHead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0"/>
  <sheetViews>
    <sheetView zoomScale="150" zoomScaleNormal="150" workbookViewId="0">
      <selection activeCell="D58" sqref="D58"/>
    </sheetView>
  </sheetViews>
  <sheetFormatPr baseColWidth="10" defaultColWidth="8.6640625" defaultRowHeight="15"/>
  <cols>
    <col min="1" max="1" width="17.5" style="54" customWidth="1"/>
    <col min="2" max="2" width="22.6640625" style="55" customWidth="1"/>
    <col min="3" max="3" width="21.6640625" style="55" customWidth="1"/>
    <col min="4" max="4" width="44" customWidth="1"/>
    <col min="5" max="5" width="25.1640625" customWidth="1"/>
    <col min="6" max="6" width="26.6640625" customWidth="1"/>
    <col min="8" max="8" width="87.6640625" customWidth="1"/>
  </cols>
  <sheetData>
    <row r="1" spans="1:6" ht="16">
      <c r="A1" s="56" t="s">
        <v>313</v>
      </c>
      <c r="B1" s="57" t="s">
        <v>314</v>
      </c>
      <c r="C1" s="57" t="s">
        <v>315</v>
      </c>
      <c r="D1" s="58" t="s">
        <v>316</v>
      </c>
      <c r="E1" s="59" t="s">
        <v>317</v>
      </c>
      <c r="F1" s="60" t="s">
        <v>318</v>
      </c>
    </row>
    <row r="2" spans="1:6" ht="16">
      <c r="A2" s="61" t="s">
        <v>319</v>
      </c>
      <c r="B2" s="62" t="s">
        <v>0</v>
      </c>
      <c r="C2" s="63" t="s">
        <v>320</v>
      </c>
      <c r="D2" s="64" t="s">
        <v>321</v>
      </c>
      <c r="E2" s="65" t="s">
        <v>322</v>
      </c>
      <c r="F2" s="65" t="s">
        <v>323</v>
      </c>
    </row>
    <row r="3" spans="1:6" ht="16">
      <c r="A3" s="61" t="s">
        <v>319</v>
      </c>
      <c r="B3" s="66" t="s">
        <v>1</v>
      </c>
      <c r="C3" s="63" t="s">
        <v>320</v>
      </c>
      <c r="D3" s="67" t="s">
        <v>324</v>
      </c>
      <c r="E3" s="68" t="s">
        <v>322</v>
      </c>
      <c r="F3" s="68" t="s">
        <v>325</v>
      </c>
    </row>
    <row r="4" spans="1:6" ht="32">
      <c r="A4" s="61" t="s">
        <v>319</v>
      </c>
      <c r="B4" s="62" t="s">
        <v>2</v>
      </c>
      <c r="C4" s="63" t="s">
        <v>320</v>
      </c>
      <c r="D4" s="64" t="s">
        <v>326</v>
      </c>
      <c r="E4" s="65" t="s">
        <v>322</v>
      </c>
      <c r="F4" s="65" t="s">
        <v>323</v>
      </c>
    </row>
    <row r="5" spans="1:6" ht="32">
      <c r="A5" s="61" t="s">
        <v>319</v>
      </c>
      <c r="B5" s="62" t="s">
        <v>3</v>
      </c>
      <c r="C5" s="63" t="s">
        <v>320</v>
      </c>
      <c r="D5" s="64" t="s">
        <v>327</v>
      </c>
      <c r="E5" s="65" t="s">
        <v>322</v>
      </c>
      <c r="F5" s="65" t="s">
        <v>323</v>
      </c>
    </row>
    <row r="6" spans="1:6" ht="48">
      <c r="A6" s="61" t="s">
        <v>319</v>
      </c>
      <c r="B6" s="66" t="s">
        <v>4</v>
      </c>
      <c r="C6" s="63" t="s">
        <v>320</v>
      </c>
      <c r="D6" s="67" t="s">
        <v>328</v>
      </c>
      <c r="E6" s="68" t="s">
        <v>322</v>
      </c>
      <c r="F6" s="68" t="s">
        <v>325</v>
      </c>
    </row>
    <row r="7" spans="1:6" ht="32">
      <c r="A7" s="61" t="s">
        <v>319</v>
      </c>
      <c r="B7" s="62" t="s">
        <v>5</v>
      </c>
      <c r="C7" s="63" t="s">
        <v>320</v>
      </c>
      <c r="D7" s="69" t="s">
        <v>329</v>
      </c>
      <c r="E7" s="70" t="s">
        <v>330</v>
      </c>
      <c r="F7" s="65" t="s">
        <v>323</v>
      </c>
    </row>
    <row r="8" spans="1:6" ht="16">
      <c r="A8" s="61" t="s">
        <v>319</v>
      </c>
      <c r="B8" s="62" t="s">
        <v>6</v>
      </c>
      <c r="C8" s="63" t="s">
        <v>320</v>
      </c>
      <c r="D8" s="69" t="s">
        <v>331</v>
      </c>
      <c r="E8" s="65" t="s">
        <v>332</v>
      </c>
      <c r="F8" s="65" t="s">
        <v>323</v>
      </c>
    </row>
    <row r="9" spans="1:6" ht="32">
      <c r="A9" s="61" t="s">
        <v>319</v>
      </c>
      <c r="B9" s="62" t="s">
        <v>7</v>
      </c>
      <c r="C9" s="63" t="s">
        <v>320</v>
      </c>
      <c r="D9" s="64" t="s">
        <v>333</v>
      </c>
      <c r="E9" s="65" t="s">
        <v>322</v>
      </c>
      <c r="F9" s="65" t="s">
        <v>323</v>
      </c>
    </row>
    <row r="10" spans="1:6" ht="16">
      <c r="A10" s="61" t="s">
        <v>319</v>
      </c>
      <c r="B10" s="71" t="s">
        <v>8</v>
      </c>
      <c r="C10" s="63" t="s">
        <v>320</v>
      </c>
      <c r="D10" s="64" t="s">
        <v>334</v>
      </c>
      <c r="E10" s="65" t="s">
        <v>335</v>
      </c>
      <c r="F10" s="65" t="s">
        <v>323</v>
      </c>
    </row>
    <row r="11" spans="1:6" ht="16">
      <c r="A11" s="61" t="s">
        <v>319</v>
      </c>
      <c r="B11" s="62" t="s">
        <v>9</v>
      </c>
      <c r="C11" s="63" t="s">
        <v>320</v>
      </c>
      <c r="D11" s="31" t="s">
        <v>336</v>
      </c>
      <c r="E11" s="65" t="s">
        <v>337</v>
      </c>
      <c r="F11" s="65" t="s">
        <v>323</v>
      </c>
    </row>
    <row r="12" spans="1:6" ht="16">
      <c r="A12" s="61" t="s">
        <v>319</v>
      </c>
      <c r="B12" s="62" t="s">
        <v>10</v>
      </c>
      <c r="C12" s="63" t="s">
        <v>320</v>
      </c>
      <c r="D12" s="31" t="s">
        <v>338</v>
      </c>
      <c r="E12" s="65" t="s">
        <v>337</v>
      </c>
      <c r="F12" s="65" t="s">
        <v>323</v>
      </c>
    </row>
    <row r="13" spans="1:6" ht="16">
      <c r="A13" s="61" t="s">
        <v>319</v>
      </c>
      <c r="B13" s="62" t="s">
        <v>11</v>
      </c>
      <c r="C13" s="63" t="s">
        <v>320</v>
      </c>
      <c r="D13" s="31" t="s">
        <v>339</v>
      </c>
      <c r="E13" s="65" t="s">
        <v>337</v>
      </c>
      <c r="F13" s="65" t="s">
        <v>323</v>
      </c>
    </row>
    <row r="14" spans="1:6" ht="16">
      <c r="A14" s="61" t="s">
        <v>319</v>
      </c>
      <c r="B14" s="62" t="s">
        <v>12</v>
      </c>
      <c r="C14" s="63" t="s">
        <v>320</v>
      </c>
      <c r="D14" s="31" t="s">
        <v>340</v>
      </c>
      <c r="E14" s="65" t="s">
        <v>337</v>
      </c>
      <c r="F14" s="65" t="s">
        <v>323</v>
      </c>
    </row>
    <row r="15" spans="1:6" ht="32">
      <c r="A15" s="61" t="s">
        <v>319</v>
      </c>
      <c r="B15" s="62" t="s">
        <v>13</v>
      </c>
      <c r="C15" s="63" t="s">
        <v>320</v>
      </c>
      <c r="D15" s="31" t="s">
        <v>341</v>
      </c>
      <c r="E15" s="65" t="s">
        <v>337</v>
      </c>
      <c r="F15" s="65" t="s">
        <v>323</v>
      </c>
    </row>
    <row r="16" spans="1:6" s="54" customFormat="1" ht="72.75" customHeight="1">
      <c r="A16" s="72" t="s">
        <v>342</v>
      </c>
      <c r="B16" s="62" t="s">
        <v>343</v>
      </c>
      <c r="C16" s="63" t="s">
        <v>320</v>
      </c>
      <c r="D16" s="64" t="s">
        <v>344</v>
      </c>
      <c r="E16" s="73" t="s">
        <v>345</v>
      </c>
      <c r="F16" s="74" t="s">
        <v>323</v>
      </c>
    </row>
    <row r="17" spans="1:6" s="54" customFormat="1" ht="72.75" customHeight="1">
      <c r="A17" s="72" t="s">
        <v>346</v>
      </c>
      <c r="B17" s="62" t="s">
        <v>15</v>
      </c>
      <c r="C17" s="63" t="s">
        <v>320</v>
      </c>
      <c r="D17" s="64" t="s">
        <v>347</v>
      </c>
      <c r="E17" s="73" t="s">
        <v>348</v>
      </c>
      <c r="F17" s="74" t="s">
        <v>323</v>
      </c>
    </row>
    <row r="18" spans="1:6" ht="32">
      <c r="A18" s="75" t="s">
        <v>349</v>
      </c>
      <c r="B18" s="76" t="s">
        <v>16</v>
      </c>
      <c r="C18" s="63" t="s">
        <v>320</v>
      </c>
      <c r="D18" s="69" t="s">
        <v>350</v>
      </c>
      <c r="E18" s="65" t="s">
        <v>351</v>
      </c>
      <c r="F18" s="65" t="s">
        <v>323</v>
      </c>
    </row>
    <row r="19" spans="1:6" ht="32">
      <c r="A19" s="75" t="s">
        <v>349</v>
      </c>
      <c r="B19" s="76" t="s">
        <v>17</v>
      </c>
      <c r="C19" s="63" t="s">
        <v>320</v>
      </c>
      <c r="D19" s="69" t="s">
        <v>350</v>
      </c>
      <c r="E19" s="65" t="s">
        <v>351</v>
      </c>
      <c r="F19" s="65" t="s">
        <v>323</v>
      </c>
    </row>
    <row r="20" spans="1:6" ht="32">
      <c r="A20" s="75" t="s">
        <v>349</v>
      </c>
      <c r="B20" s="76" t="s">
        <v>18</v>
      </c>
      <c r="C20" s="63" t="s">
        <v>320</v>
      </c>
      <c r="D20" s="69" t="s">
        <v>350</v>
      </c>
      <c r="E20" s="65" t="s">
        <v>351</v>
      </c>
      <c r="F20" s="65" t="s">
        <v>323</v>
      </c>
    </row>
    <row r="21" spans="1:6" ht="32">
      <c r="A21" s="75" t="s">
        <v>349</v>
      </c>
      <c r="B21" s="76" t="s">
        <v>19</v>
      </c>
      <c r="C21" s="63" t="s">
        <v>320</v>
      </c>
      <c r="D21" s="69" t="s">
        <v>350</v>
      </c>
      <c r="E21" s="65" t="s">
        <v>351</v>
      </c>
      <c r="F21" s="65" t="s">
        <v>323</v>
      </c>
    </row>
    <row r="22" spans="1:6" ht="32">
      <c r="A22" s="75" t="s">
        <v>349</v>
      </c>
      <c r="B22" s="76" t="s">
        <v>20</v>
      </c>
      <c r="C22" s="63" t="s">
        <v>320</v>
      </c>
      <c r="D22" s="69" t="s">
        <v>350</v>
      </c>
      <c r="E22" s="65" t="s">
        <v>351</v>
      </c>
      <c r="F22" s="65" t="s">
        <v>323</v>
      </c>
    </row>
    <row r="23" spans="1:6" ht="32">
      <c r="A23" s="75" t="s">
        <v>349</v>
      </c>
      <c r="B23" s="76" t="s">
        <v>21</v>
      </c>
      <c r="C23" s="63" t="s">
        <v>320</v>
      </c>
      <c r="D23" s="69" t="s">
        <v>352</v>
      </c>
      <c r="E23" s="65" t="s">
        <v>351</v>
      </c>
      <c r="F23" s="65" t="s">
        <v>325</v>
      </c>
    </row>
    <row r="24" spans="1:6" ht="48">
      <c r="A24" s="75" t="s">
        <v>349</v>
      </c>
      <c r="B24" s="76" t="s">
        <v>22</v>
      </c>
      <c r="C24" s="63" t="s">
        <v>320</v>
      </c>
      <c r="D24" s="77" t="s">
        <v>353</v>
      </c>
      <c r="E24" s="78" t="s">
        <v>351</v>
      </c>
      <c r="F24" s="77" t="s">
        <v>354</v>
      </c>
    </row>
    <row r="25" spans="1:6" ht="32">
      <c r="A25" s="75" t="s">
        <v>349</v>
      </c>
      <c r="B25" s="79" t="s">
        <v>23</v>
      </c>
      <c r="C25" s="63" t="s">
        <v>320</v>
      </c>
      <c r="D25" s="69" t="s">
        <v>355</v>
      </c>
      <c r="E25" s="65" t="s">
        <v>351</v>
      </c>
      <c r="F25" s="65" t="s">
        <v>323</v>
      </c>
    </row>
    <row r="26" spans="1:6" ht="32">
      <c r="A26" s="75" t="s">
        <v>349</v>
      </c>
      <c r="B26" s="79" t="s">
        <v>24</v>
      </c>
      <c r="C26" s="63" t="s">
        <v>320</v>
      </c>
      <c r="D26" s="69" t="s">
        <v>355</v>
      </c>
      <c r="E26" s="65" t="s">
        <v>351</v>
      </c>
      <c r="F26" s="65" t="s">
        <v>323</v>
      </c>
    </row>
    <row r="27" spans="1:6" ht="32">
      <c r="A27" s="75" t="s">
        <v>349</v>
      </c>
      <c r="B27" s="79" t="s">
        <v>25</v>
      </c>
      <c r="C27" s="63" t="s">
        <v>320</v>
      </c>
      <c r="D27" s="69" t="s">
        <v>355</v>
      </c>
      <c r="E27" s="65" t="s">
        <v>351</v>
      </c>
      <c r="F27" s="65" t="s">
        <v>323</v>
      </c>
    </row>
    <row r="28" spans="1:6" ht="32">
      <c r="A28" s="75" t="s">
        <v>349</v>
      </c>
      <c r="B28" s="79" t="s">
        <v>26</v>
      </c>
      <c r="C28" s="63" t="s">
        <v>320</v>
      </c>
      <c r="D28" s="69" t="s">
        <v>355</v>
      </c>
      <c r="E28" s="65" t="s">
        <v>351</v>
      </c>
      <c r="F28" s="65" t="s">
        <v>323</v>
      </c>
    </row>
    <row r="29" spans="1:6" ht="32">
      <c r="A29" s="75" t="s">
        <v>349</v>
      </c>
      <c r="B29" s="79" t="s">
        <v>27</v>
      </c>
      <c r="C29" s="63" t="s">
        <v>320</v>
      </c>
      <c r="D29" s="69" t="s">
        <v>355</v>
      </c>
      <c r="E29" s="65" t="s">
        <v>351</v>
      </c>
      <c r="F29" s="65" t="s">
        <v>323</v>
      </c>
    </row>
    <row r="30" spans="1:6" ht="32">
      <c r="A30" s="75" t="s">
        <v>349</v>
      </c>
      <c r="B30" s="79" t="s">
        <v>28</v>
      </c>
      <c r="C30" s="63" t="s">
        <v>320</v>
      </c>
      <c r="D30" s="69" t="s">
        <v>356</v>
      </c>
      <c r="E30" s="65" t="s">
        <v>351</v>
      </c>
      <c r="F30" s="65" t="s">
        <v>325</v>
      </c>
    </row>
    <row r="31" spans="1:6" ht="48">
      <c r="A31" s="75" t="s">
        <v>349</v>
      </c>
      <c r="B31" s="79" t="s">
        <v>29</v>
      </c>
      <c r="C31" s="63" t="s">
        <v>320</v>
      </c>
      <c r="D31" s="77" t="s">
        <v>357</v>
      </c>
      <c r="E31" s="78" t="s">
        <v>351</v>
      </c>
      <c r="F31" s="77" t="s">
        <v>354</v>
      </c>
    </row>
    <row r="32" spans="1:6" ht="32">
      <c r="A32" s="75" t="s">
        <v>349</v>
      </c>
      <c r="B32" s="76" t="s">
        <v>30</v>
      </c>
      <c r="C32" s="63" t="s">
        <v>320</v>
      </c>
      <c r="D32" s="69" t="s">
        <v>358</v>
      </c>
      <c r="E32" s="65" t="s">
        <v>351</v>
      </c>
      <c r="F32" s="65" t="s">
        <v>323</v>
      </c>
    </row>
    <row r="33" spans="1:6" ht="32">
      <c r="A33" s="75" t="s">
        <v>349</v>
      </c>
      <c r="B33" s="76" t="s">
        <v>31</v>
      </c>
      <c r="C33" s="63" t="s">
        <v>320</v>
      </c>
      <c r="D33" s="69" t="s">
        <v>358</v>
      </c>
      <c r="E33" s="65" t="s">
        <v>351</v>
      </c>
      <c r="F33" s="65" t="s">
        <v>323</v>
      </c>
    </row>
    <row r="34" spans="1:6" ht="32">
      <c r="A34" s="75" t="s">
        <v>349</v>
      </c>
      <c r="B34" s="76" t="s">
        <v>32</v>
      </c>
      <c r="C34" s="63" t="s">
        <v>320</v>
      </c>
      <c r="D34" s="69" t="s">
        <v>358</v>
      </c>
      <c r="E34" s="65" t="s">
        <v>351</v>
      </c>
      <c r="F34" s="65" t="s">
        <v>323</v>
      </c>
    </row>
    <row r="35" spans="1:6" ht="32">
      <c r="A35" s="75" t="s">
        <v>349</v>
      </c>
      <c r="B35" s="76" t="s">
        <v>33</v>
      </c>
      <c r="C35" s="63" t="s">
        <v>320</v>
      </c>
      <c r="D35" s="69" t="s">
        <v>358</v>
      </c>
      <c r="E35" s="65" t="s">
        <v>351</v>
      </c>
      <c r="F35" s="65" t="s">
        <v>323</v>
      </c>
    </row>
    <row r="36" spans="1:6" ht="32">
      <c r="A36" s="75" t="s">
        <v>349</v>
      </c>
      <c r="B36" s="76" t="s">
        <v>34</v>
      </c>
      <c r="C36" s="63" t="s">
        <v>320</v>
      </c>
      <c r="D36" s="69" t="s">
        <v>358</v>
      </c>
      <c r="E36" s="65" t="s">
        <v>351</v>
      </c>
      <c r="F36" s="65" t="s">
        <v>323</v>
      </c>
    </row>
    <row r="37" spans="1:6" ht="32">
      <c r="A37" s="75" t="s">
        <v>349</v>
      </c>
      <c r="B37" s="76" t="s">
        <v>35</v>
      </c>
      <c r="C37" s="63" t="s">
        <v>320</v>
      </c>
      <c r="D37" s="69" t="s">
        <v>359</v>
      </c>
      <c r="E37" s="65" t="s">
        <v>351</v>
      </c>
      <c r="F37" s="65" t="s">
        <v>325</v>
      </c>
    </row>
    <row r="38" spans="1:6" ht="48">
      <c r="A38" s="75" t="s">
        <v>349</v>
      </c>
      <c r="B38" s="76" t="s">
        <v>36</v>
      </c>
      <c r="C38" s="63" t="s">
        <v>320</v>
      </c>
      <c r="D38" s="77" t="s">
        <v>360</v>
      </c>
      <c r="E38" s="78" t="s">
        <v>351</v>
      </c>
      <c r="F38" s="77" t="s">
        <v>354</v>
      </c>
    </row>
    <row r="39" spans="1:6" ht="32">
      <c r="A39" s="75" t="s">
        <v>349</v>
      </c>
      <c r="B39" s="80" t="s">
        <v>37</v>
      </c>
      <c r="C39" s="63" t="s">
        <v>320</v>
      </c>
      <c r="D39" s="69" t="s">
        <v>361</v>
      </c>
      <c r="E39" s="65" t="s">
        <v>351</v>
      </c>
      <c r="F39" s="65" t="s">
        <v>323</v>
      </c>
    </row>
    <row r="40" spans="1:6" ht="32">
      <c r="A40" s="75" t="s">
        <v>349</v>
      </c>
      <c r="B40" s="80" t="s">
        <v>38</v>
      </c>
      <c r="C40" s="63" t="s">
        <v>320</v>
      </c>
      <c r="D40" s="69" t="s">
        <v>361</v>
      </c>
      <c r="E40" s="65" t="s">
        <v>351</v>
      </c>
      <c r="F40" s="65" t="s">
        <v>323</v>
      </c>
    </row>
    <row r="41" spans="1:6" ht="32">
      <c r="A41" s="75" t="s">
        <v>349</v>
      </c>
      <c r="B41" s="80" t="s">
        <v>39</v>
      </c>
      <c r="C41" s="63" t="s">
        <v>320</v>
      </c>
      <c r="D41" s="69" t="s">
        <v>361</v>
      </c>
      <c r="E41" s="65" t="s">
        <v>351</v>
      </c>
      <c r="F41" s="65" t="s">
        <v>323</v>
      </c>
    </row>
    <row r="42" spans="1:6" ht="32">
      <c r="A42" s="75" t="s">
        <v>349</v>
      </c>
      <c r="B42" s="80" t="s">
        <v>40</v>
      </c>
      <c r="C42" s="63" t="s">
        <v>320</v>
      </c>
      <c r="D42" s="69" t="s">
        <v>361</v>
      </c>
      <c r="E42" s="65" t="s">
        <v>351</v>
      </c>
      <c r="F42" s="65" t="s">
        <v>323</v>
      </c>
    </row>
    <row r="43" spans="1:6" ht="32">
      <c r="A43" s="75" t="s">
        <v>349</v>
      </c>
      <c r="B43" s="80" t="s">
        <v>41</v>
      </c>
      <c r="C43" s="63" t="s">
        <v>320</v>
      </c>
      <c r="D43" s="69" t="s">
        <v>361</v>
      </c>
      <c r="E43" s="65" t="s">
        <v>351</v>
      </c>
      <c r="F43" s="65" t="s">
        <v>323</v>
      </c>
    </row>
    <row r="44" spans="1:6" ht="32">
      <c r="A44" s="75" t="s">
        <v>349</v>
      </c>
      <c r="B44" s="80" t="s">
        <v>42</v>
      </c>
      <c r="C44" s="63" t="s">
        <v>320</v>
      </c>
      <c r="D44" s="69" t="s">
        <v>362</v>
      </c>
      <c r="E44" s="65" t="s">
        <v>351</v>
      </c>
      <c r="F44" s="65" t="s">
        <v>325</v>
      </c>
    </row>
    <row r="45" spans="1:6" ht="48">
      <c r="A45" s="75" t="s">
        <v>349</v>
      </c>
      <c r="B45" s="80" t="s">
        <v>43</v>
      </c>
      <c r="C45" s="63" t="s">
        <v>320</v>
      </c>
      <c r="D45" s="77" t="s">
        <v>363</v>
      </c>
      <c r="E45" s="78" t="s">
        <v>351</v>
      </c>
      <c r="F45" s="77" t="s">
        <v>354</v>
      </c>
    </row>
    <row r="46" spans="1:6" ht="32">
      <c r="A46" s="81" t="s">
        <v>364</v>
      </c>
      <c r="B46" s="62" t="s">
        <v>44</v>
      </c>
      <c r="C46" s="63" t="s">
        <v>320</v>
      </c>
      <c r="D46" s="69" t="s">
        <v>365</v>
      </c>
      <c r="E46" s="65" t="s">
        <v>351</v>
      </c>
      <c r="F46" s="65" t="s">
        <v>323</v>
      </c>
    </row>
    <row r="47" spans="1:6" ht="32">
      <c r="A47" s="81" t="s">
        <v>364</v>
      </c>
      <c r="B47" s="62" t="s">
        <v>45</v>
      </c>
      <c r="C47" s="63" t="s">
        <v>320</v>
      </c>
      <c r="D47" s="69" t="s">
        <v>365</v>
      </c>
      <c r="E47" s="65" t="s">
        <v>351</v>
      </c>
      <c r="F47" s="65" t="s">
        <v>323</v>
      </c>
    </row>
    <row r="48" spans="1:6" ht="32">
      <c r="A48" s="81" t="s">
        <v>364</v>
      </c>
      <c r="B48" s="62" t="s">
        <v>46</v>
      </c>
      <c r="C48" s="63" t="s">
        <v>320</v>
      </c>
      <c r="D48" s="69" t="s">
        <v>365</v>
      </c>
      <c r="E48" s="65" t="s">
        <v>351</v>
      </c>
      <c r="F48" s="65" t="s">
        <v>323</v>
      </c>
    </row>
    <row r="49" spans="1:6" ht="32">
      <c r="A49" s="81" t="s">
        <v>364</v>
      </c>
      <c r="B49" s="62" t="s">
        <v>47</v>
      </c>
      <c r="C49" s="63" t="s">
        <v>320</v>
      </c>
      <c r="D49" s="69" t="s">
        <v>365</v>
      </c>
      <c r="E49" s="65" t="s">
        <v>351</v>
      </c>
      <c r="F49" s="65" t="s">
        <v>323</v>
      </c>
    </row>
    <row r="50" spans="1:6" ht="32">
      <c r="A50" s="81" t="s">
        <v>364</v>
      </c>
      <c r="B50" s="62" t="s">
        <v>48</v>
      </c>
      <c r="C50" s="63" t="s">
        <v>320</v>
      </c>
      <c r="D50" s="69" t="s">
        <v>365</v>
      </c>
      <c r="E50" s="65" t="s">
        <v>351</v>
      </c>
      <c r="F50" s="65" t="s">
        <v>323</v>
      </c>
    </row>
    <row r="51" spans="1:6" ht="32">
      <c r="A51" s="81" t="s">
        <v>364</v>
      </c>
      <c r="B51" s="62" t="s">
        <v>49</v>
      </c>
      <c r="C51" s="63" t="s">
        <v>320</v>
      </c>
      <c r="D51" s="69" t="s">
        <v>365</v>
      </c>
      <c r="E51" s="65" t="s">
        <v>351</v>
      </c>
      <c r="F51" s="65" t="s">
        <v>325</v>
      </c>
    </row>
    <row r="52" spans="1:6" ht="32">
      <c r="A52" s="82" t="s">
        <v>366</v>
      </c>
      <c r="B52" s="62" t="s">
        <v>289</v>
      </c>
      <c r="C52" s="63" t="s">
        <v>367</v>
      </c>
      <c r="D52" s="69" t="s">
        <v>368</v>
      </c>
      <c r="E52" s="65" t="s">
        <v>369</v>
      </c>
      <c r="F52" s="65" t="s">
        <v>323</v>
      </c>
    </row>
    <row r="53" spans="1:6" ht="48">
      <c r="A53" s="82" t="s">
        <v>366</v>
      </c>
      <c r="B53" s="62" t="s">
        <v>290</v>
      </c>
      <c r="C53" s="63" t="s">
        <v>367</v>
      </c>
      <c r="D53" s="69" t="s">
        <v>370</v>
      </c>
      <c r="E53" s="65" t="s">
        <v>371</v>
      </c>
      <c r="F53" s="65" t="s">
        <v>323</v>
      </c>
    </row>
    <row r="54" spans="1:6" ht="16">
      <c r="A54" s="82" t="s">
        <v>366</v>
      </c>
      <c r="B54" s="66" t="s">
        <v>291</v>
      </c>
      <c r="C54" s="63" t="s">
        <v>367</v>
      </c>
      <c r="D54" s="83" t="s">
        <v>372</v>
      </c>
      <c r="E54" s="68" t="s">
        <v>373</v>
      </c>
      <c r="F54" s="68" t="s">
        <v>325</v>
      </c>
    </row>
    <row r="55" spans="1:6" ht="16">
      <c r="A55" s="82" t="s">
        <v>366</v>
      </c>
      <c r="B55" s="62" t="s">
        <v>292</v>
      </c>
      <c r="C55" s="63" t="s">
        <v>367</v>
      </c>
      <c r="D55" s="69" t="s">
        <v>374</v>
      </c>
      <c r="E55" s="65" t="s">
        <v>373</v>
      </c>
      <c r="F55" s="65" t="s">
        <v>323</v>
      </c>
    </row>
    <row r="56" spans="1:6" ht="80">
      <c r="A56" s="82" t="s">
        <v>366</v>
      </c>
      <c r="B56" s="62" t="s">
        <v>293</v>
      </c>
      <c r="C56" s="63" t="s">
        <v>367</v>
      </c>
      <c r="D56" s="69" t="s">
        <v>375</v>
      </c>
      <c r="E56" s="65" t="s">
        <v>376</v>
      </c>
      <c r="F56" s="65" t="s">
        <v>323</v>
      </c>
    </row>
    <row r="57" spans="1:6" ht="112">
      <c r="A57" s="82" t="s">
        <v>366</v>
      </c>
      <c r="B57" s="62" t="s">
        <v>294</v>
      </c>
      <c r="C57" s="63" t="s">
        <v>367</v>
      </c>
      <c r="D57" s="64" t="s">
        <v>377</v>
      </c>
      <c r="E57" s="84" t="s">
        <v>378</v>
      </c>
      <c r="F57" s="65" t="s">
        <v>323</v>
      </c>
    </row>
    <row r="58" spans="1:6" ht="16">
      <c r="A58" s="82" t="s">
        <v>366</v>
      </c>
      <c r="B58" s="62" t="s">
        <v>295</v>
      </c>
      <c r="C58" s="63" t="s">
        <v>367</v>
      </c>
      <c r="D58" s="69" t="s">
        <v>379</v>
      </c>
      <c r="E58" s="65" t="s">
        <v>373</v>
      </c>
      <c r="F58" s="65" t="s">
        <v>323</v>
      </c>
    </row>
    <row r="59" spans="1:6" ht="32">
      <c r="A59" s="82" t="s">
        <v>366</v>
      </c>
      <c r="B59" s="62" t="s">
        <v>296</v>
      </c>
      <c r="C59" s="63" t="s">
        <v>367</v>
      </c>
      <c r="D59" s="69" t="s">
        <v>380</v>
      </c>
      <c r="E59" s="65" t="s">
        <v>381</v>
      </c>
      <c r="F59" s="65" t="s">
        <v>323</v>
      </c>
    </row>
    <row r="60" spans="1:6" ht="48">
      <c r="A60" s="85" t="s">
        <v>382</v>
      </c>
      <c r="B60" s="62" t="s">
        <v>383</v>
      </c>
      <c r="C60" s="63" t="s">
        <v>367</v>
      </c>
      <c r="D60" s="69" t="s">
        <v>384</v>
      </c>
      <c r="E60" s="65" t="s">
        <v>373</v>
      </c>
      <c r="F60" s="65" t="s">
        <v>323</v>
      </c>
    </row>
  </sheetData>
  <pageMargins left="0.7" right="0.7" top="0.75" bottom="0.75" header="0.3" footer="0.511811023622047"/>
  <pageSetup orientation="portrait" horizontalDpi="300" verticalDpi="300"/>
  <headerFooter>
    <oddHeader>&amp;C&amp;10Confidential&amp;1#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zoomScale="150" zoomScaleNormal="150" workbookViewId="0">
      <selection activeCell="A5" sqref="A5"/>
    </sheetView>
  </sheetViews>
  <sheetFormatPr baseColWidth="10" defaultColWidth="11.5" defaultRowHeight="15"/>
  <cols>
    <col min="1" max="1" width="40.6640625" customWidth="1"/>
    <col min="2" max="2" width="22.6640625" customWidth="1"/>
    <col min="3" max="4" width="13.6640625" customWidth="1"/>
  </cols>
  <sheetData>
    <row r="1" spans="1:5">
      <c r="A1" s="5" t="s">
        <v>0</v>
      </c>
      <c r="B1" s="5" t="s">
        <v>1</v>
      </c>
      <c r="C1" s="5" t="s">
        <v>2</v>
      </c>
      <c r="D1" s="5" t="s">
        <v>385</v>
      </c>
      <c r="E1" s="5" t="s">
        <v>386</v>
      </c>
    </row>
    <row r="2" spans="1:5">
      <c r="A2" t="s">
        <v>389</v>
      </c>
      <c r="B2" s="1" t="s">
        <v>52</v>
      </c>
      <c r="C2" t="s">
        <v>53</v>
      </c>
      <c r="D2" t="s">
        <v>53</v>
      </c>
      <c r="E2">
        <f t="shared" ref="E2:E5" ca="1" si="0">RANDBETWEEN(35000,250000)</f>
        <v>145271</v>
      </c>
    </row>
    <row r="3" spans="1:5">
      <c r="A3" t="s">
        <v>390</v>
      </c>
      <c r="B3" s="1" t="s">
        <v>61</v>
      </c>
      <c r="C3" t="s">
        <v>62</v>
      </c>
      <c r="D3" t="s">
        <v>62</v>
      </c>
      <c r="E3">
        <f t="shared" ca="1" si="0"/>
        <v>75881</v>
      </c>
    </row>
    <row r="4" spans="1:5">
      <c r="A4" t="s">
        <v>391</v>
      </c>
      <c r="B4" s="1" t="s">
        <v>67</v>
      </c>
      <c r="C4" t="s">
        <v>68</v>
      </c>
      <c r="D4" t="s">
        <v>68</v>
      </c>
      <c r="E4">
        <f t="shared" ca="1" si="0"/>
        <v>192235</v>
      </c>
    </row>
    <row r="5" spans="1:5">
      <c r="A5" t="s">
        <v>392</v>
      </c>
      <c r="B5" s="98" t="s">
        <v>73</v>
      </c>
      <c r="C5" t="s">
        <v>74</v>
      </c>
      <c r="D5" t="s">
        <v>74</v>
      </c>
      <c r="E5">
        <f t="shared" ca="1" si="0"/>
        <v>55337</v>
      </c>
    </row>
  </sheetData>
  <pageMargins left="0.7" right="0.7" top="0.75" bottom="0.75" header="0.3" footer="0.511811023622047"/>
  <pageSetup orientation="portrait" horizontalDpi="300" verticalDpi="300"/>
  <headerFooter>
    <oddHeader>&amp;C&amp;10Confidential&amp;1#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65BE1-441B-D040-B1DF-62FCAD91D929}">
  <dimension ref="A1:E68"/>
  <sheetViews>
    <sheetView zoomScale="150" zoomScaleNormal="150" workbookViewId="0">
      <selection activeCell="A36" sqref="A36:XFD36"/>
    </sheetView>
  </sheetViews>
  <sheetFormatPr baseColWidth="10" defaultColWidth="11.5" defaultRowHeight="15"/>
  <cols>
    <col min="1" max="1" width="40.6640625" customWidth="1"/>
    <col min="2" max="2" width="22.6640625" customWidth="1"/>
    <col min="3" max="4" width="13.6640625" customWidth="1"/>
  </cols>
  <sheetData>
    <row r="1" spans="1:5">
      <c r="A1" s="5" t="s">
        <v>0</v>
      </c>
      <c r="B1" s="5" t="s">
        <v>1</v>
      </c>
      <c r="C1" s="5" t="s">
        <v>2</v>
      </c>
      <c r="D1" s="5" t="s">
        <v>385</v>
      </c>
      <c r="E1" s="5" t="s">
        <v>386</v>
      </c>
    </row>
    <row r="2" spans="1:5">
      <c r="A2" t="s">
        <v>51</v>
      </c>
      <c r="B2" s="1" t="s">
        <v>52</v>
      </c>
      <c r="C2" t="s">
        <v>53</v>
      </c>
      <c r="D2" t="s">
        <v>53</v>
      </c>
      <c r="E2">
        <f t="shared" ref="E2:E65" ca="1" si="0">RANDBETWEEN(35000,250000)</f>
        <v>180848</v>
      </c>
    </row>
    <row r="3" spans="1:5">
      <c r="A3" t="s">
        <v>60</v>
      </c>
      <c r="B3" s="1" t="s">
        <v>61</v>
      </c>
      <c r="C3" t="s">
        <v>62</v>
      </c>
      <c r="D3" t="s">
        <v>62</v>
      </c>
      <c r="E3">
        <f t="shared" ca="1" si="0"/>
        <v>219215</v>
      </c>
    </row>
    <row r="4" spans="1:5">
      <c r="A4" t="s">
        <v>66</v>
      </c>
      <c r="B4" s="1" t="s">
        <v>67</v>
      </c>
      <c r="C4" t="s">
        <v>68</v>
      </c>
      <c r="D4" t="s">
        <v>68</v>
      </c>
      <c r="E4">
        <f t="shared" ca="1" si="0"/>
        <v>156762</v>
      </c>
    </row>
    <row r="5" spans="1:5">
      <c r="A5" t="s">
        <v>69</v>
      </c>
      <c r="B5" s="1" t="s">
        <v>70</v>
      </c>
      <c r="C5" t="s">
        <v>71</v>
      </c>
      <c r="D5" t="s">
        <v>71</v>
      </c>
      <c r="E5">
        <f t="shared" ca="1" si="0"/>
        <v>242552</v>
      </c>
    </row>
    <row r="6" spans="1:5">
      <c r="A6" t="s">
        <v>72</v>
      </c>
      <c r="B6" s="1" t="s">
        <v>73</v>
      </c>
      <c r="C6" t="s">
        <v>74</v>
      </c>
      <c r="D6" t="s">
        <v>74</v>
      </c>
      <c r="E6">
        <f t="shared" ca="1" si="0"/>
        <v>156618</v>
      </c>
    </row>
    <row r="7" spans="1:5">
      <c r="A7" t="s">
        <v>75</v>
      </c>
      <c r="B7" s="1" t="s">
        <v>76</v>
      </c>
      <c r="C7" t="s">
        <v>77</v>
      </c>
      <c r="D7" t="s">
        <v>77</v>
      </c>
      <c r="E7">
        <f t="shared" ca="1" si="0"/>
        <v>118411</v>
      </c>
    </row>
    <row r="8" spans="1:5">
      <c r="A8" t="s">
        <v>78</v>
      </c>
      <c r="B8" s="1" t="s">
        <v>79</v>
      </c>
      <c r="C8" t="s">
        <v>80</v>
      </c>
      <c r="D8" t="s">
        <v>80</v>
      </c>
      <c r="E8">
        <f t="shared" ca="1" si="0"/>
        <v>214547</v>
      </c>
    </row>
    <row r="9" spans="1:5">
      <c r="A9" t="s">
        <v>82</v>
      </c>
      <c r="B9" s="1" t="s">
        <v>83</v>
      </c>
      <c r="C9" t="s">
        <v>84</v>
      </c>
      <c r="D9" t="s">
        <v>84</v>
      </c>
      <c r="E9">
        <f t="shared" ca="1" si="0"/>
        <v>157284</v>
      </c>
    </row>
    <row r="10" spans="1:5">
      <c r="A10" t="s">
        <v>88</v>
      </c>
      <c r="B10" s="1" t="s">
        <v>89</v>
      </c>
      <c r="C10" t="s">
        <v>90</v>
      </c>
      <c r="D10" t="s">
        <v>90</v>
      </c>
      <c r="E10">
        <f t="shared" ca="1" si="0"/>
        <v>125069</v>
      </c>
    </row>
    <row r="11" spans="1:5">
      <c r="A11" t="s">
        <v>95</v>
      </c>
      <c r="B11" s="1" t="s">
        <v>96</v>
      </c>
      <c r="C11" t="s">
        <v>97</v>
      </c>
      <c r="D11" t="s">
        <v>97</v>
      </c>
      <c r="E11">
        <f t="shared" ca="1" si="0"/>
        <v>58501</v>
      </c>
    </row>
    <row r="12" spans="1:5">
      <c r="A12" t="s">
        <v>100</v>
      </c>
      <c r="B12" s="1" t="s">
        <v>101</v>
      </c>
      <c r="C12" t="s">
        <v>102</v>
      </c>
      <c r="D12" t="s">
        <v>102</v>
      </c>
      <c r="E12">
        <f t="shared" ca="1" si="0"/>
        <v>45553</v>
      </c>
    </row>
    <row r="13" spans="1:5">
      <c r="A13" t="s">
        <v>103</v>
      </c>
      <c r="B13" s="1" t="s">
        <v>104</v>
      </c>
      <c r="C13" t="s">
        <v>105</v>
      </c>
      <c r="D13" t="s">
        <v>105</v>
      </c>
      <c r="E13">
        <f t="shared" ca="1" si="0"/>
        <v>94873</v>
      </c>
    </row>
    <row r="14" spans="1:5">
      <c r="A14" t="s">
        <v>106</v>
      </c>
      <c r="B14" s="1" t="s">
        <v>107</v>
      </c>
      <c r="C14" t="s">
        <v>108</v>
      </c>
      <c r="D14" t="s">
        <v>108</v>
      </c>
      <c r="E14">
        <f t="shared" ca="1" si="0"/>
        <v>47157</v>
      </c>
    </row>
    <row r="15" spans="1:5">
      <c r="A15" t="s">
        <v>109</v>
      </c>
      <c r="B15" s="1" t="s">
        <v>110</v>
      </c>
      <c r="C15" t="s">
        <v>111</v>
      </c>
      <c r="D15" t="s">
        <v>111</v>
      </c>
      <c r="E15">
        <f t="shared" ca="1" si="0"/>
        <v>100314</v>
      </c>
    </row>
    <row r="16" spans="1:5">
      <c r="A16" t="s">
        <v>112</v>
      </c>
      <c r="B16" s="1" t="s">
        <v>113</v>
      </c>
      <c r="C16" t="s">
        <v>114</v>
      </c>
      <c r="D16" t="s">
        <v>114</v>
      </c>
      <c r="E16">
        <f t="shared" ca="1" si="0"/>
        <v>46823</v>
      </c>
    </row>
    <row r="17" spans="1:5">
      <c r="A17" t="s">
        <v>115</v>
      </c>
      <c r="B17" s="1" t="s">
        <v>116</v>
      </c>
      <c r="C17" t="s">
        <v>117</v>
      </c>
      <c r="D17" t="s">
        <v>117</v>
      </c>
      <c r="E17">
        <f t="shared" ca="1" si="0"/>
        <v>137769</v>
      </c>
    </row>
    <row r="18" spans="1:5">
      <c r="A18" t="s">
        <v>118</v>
      </c>
      <c r="B18" s="1" t="s">
        <v>119</v>
      </c>
      <c r="C18" t="s">
        <v>120</v>
      </c>
      <c r="D18" t="s">
        <v>120</v>
      </c>
      <c r="E18">
        <f t="shared" ca="1" si="0"/>
        <v>229464</v>
      </c>
    </row>
    <row r="19" spans="1:5">
      <c r="A19" t="s">
        <v>121</v>
      </c>
      <c r="B19" s="1" t="s">
        <v>122</v>
      </c>
      <c r="C19" t="s">
        <v>123</v>
      </c>
      <c r="D19" t="s">
        <v>123</v>
      </c>
      <c r="E19">
        <f t="shared" ca="1" si="0"/>
        <v>201059</v>
      </c>
    </row>
    <row r="20" spans="1:5">
      <c r="A20" t="s">
        <v>124</v>
      </c>
      <c r="B20" s="1" t="s">
        <v>125</v>
      </c>
      <c r="C20" t="s">
        <v>126</v>
      </c>
      <c r="D20" t="s">
        <v>126</v>
      </c>
      <c r="E20">
        <f t="shared" ca="1" si="0"/>
        <v>114563</v>
      </c>
    </row>
    <row r="21" spans="1:5">
      <c r="A21" t="s">
        <v>127</v>
      </c>
      <c r="B21" s="1" t="s">
        <v>128</v>
      </c>
      <c r="C21" t="s">
        <v>129</v>
      </c>
      <c r="D21" t="s">
        <v>129</v>
      </c>
      <c r="E21">
        <f t="shared" ca="1" si="0"/>
        <v>207401</v>
      </c>
    </row>
    <row r="22" spans="1:5">
      <c r="A22" t="s">
        <v>131</v>
      </c>
      <c r="B22" s="1" t="s">
        <v>132</v>
      </c>
      <c r="C22" t="s">
        <v>133</v>
      </c>
      <c r="D22" t="s">
        <v>133</v>
      </c>
      <c r="E22">
        <f t="shared" ca="1" si="0"/>
        <v>81422</v>
      </c>
    </row>
    <row r="23" spans="1:5">
      <c r="A23" t="s">
        <v>134</v>
      </c>
      <c r="B23" s="1" t="s">
        <v>135</v>
      </c>
      <c r="C23" t="s">
        <v>136</v>
      </c>
      <c r="D23" t="s">
        <v>136</v>
      </c>
      <c r="E23">
        <f t="shared" ca="1" si="0"/>
        <v>198173</v>
      </c>
    </row>
    <row r="24" spans="1:5">
      <c r="A24" t="s">
        <v>140</v>
      </c>
      <c r="B24" s="1" t="s">
        <v>141</v>
      </c>
      <c r="C24" t="s">
        <v>142</v>
      </c>
      <c r="D24" t="s">
        <v>142</v>
      </c>
      <c r="E24">
        <f t="shared" ca="1" si="0"/>
        <v>153432</v>
      </c>
    </row>
    <row r="25" spans="1:5">
      <c r="A25" t="s">
        <v>143</v>
      </c>
      <c r="B25" s="1" t="s">
        <v>144</v>
      </c>
      <c r="C25" t="s">
        <v>145</v>
      </c>
      <c r="D25" t="s">
        <v>145</v>
      </c>
      <c r="E25">
        <f t="shared" ca="1" si="0"/>
        <v>248842</v>
      </c>
    </row>
    <row r="26" spans="1:5">
      <c r="A26" t="s">
        <v>146</v>
      </c>
      <c r="B26" s="1" t="s">
        <v>147</v>
      </c>
      <c r="C26" t="s">
        <v>148</v>
      </c>
      <c r="D26" t="s">
        <v>148</v>
      </c>
      <c r="E26">
        <f t="shared" ca="1" si="0"/>
        <v>104286</v>
      </c>
    </row>
    <row r="27" spans="1:5">
      <c r="A27" t="s">
        <v>149</v>
      </c>
      <c r="B27" s="1" t="s">
        <v>150</v>
      </c>
      <c r="C27" t="s">
        <v>151</v>
      </c>
      <c r="D27" t="s">
        <v>151</v>
      </c>
      <c r="E27">
        <f t="shared" ca="1" si="0"/>
        <v>147298</v>
      </c>
    </row>
    <row r="28" spans="1:5">
      <c r="A28" t="s">
        <v>152</v>
      </c>
      <c r="B28" s="1" t="s">
        <v>153</v>
      </c>
      <c r="C28" t="s">
        <v>154</v>
      </c>
      <c r="D28" t="s">
        <v>154</v>
      </c>
      <c r="E28">
        <f t="shared" ca="1" si="0"/>
        <v>137469</v>
      </c>
    </row>
    <row r="29" spans="1:5">
      <c r="A29" t="s">
        <v>155</v>
      </c>
      <c r="B29" s="1" t="s">
        <v>156</v>
      </c>
      <c r="C29" t="s">
        <v>157</v>
      </c>
      <c r="D29" t="s">
        <v>157</v>
      </c>
      <c r="E29">
        <f t="shared" ca="1" si="0"/>
        <v>173711</v>
      </c>
    </row>
    <row r="30" spans="1:5">
      <c r="A30" t="s">
        <v>158</v>
      </c>
      <c r="B30" s="1" t="s">
        <v>159</v>
      </c>
      <c r="C30" t="s">
        <v>160</v>
      </c>
      <c r="D30" t="s">
        <v>160</v>
      </c>
      <c r="E30">
        <f t="shared" ca="1" si="0"/>
        <v>188784</v>
      </c>
    </row>
    <row r="31" spans="1:5">
      <c r="A31" t="s">
        <v>162</v>
      </c>
      <c r="B31" s="1" t="s">
        <v>163</v>
      </c>
      <c r="C31" t="s">
        <v>164</v>
      </c>
      <c r="D31" t="s">
        <v>164</v>
      </c>
      <c r="E31">
        <f t="shared" ca="1" si="0"/>
        <v>143128</v>
      </c>
    </row>
    <row r="32" spans="1:5">
      <c r="A32" t="s">
        <v>166</v>
      </c>
      <c r="B32" s="1" t="s">
        <v>167</v>
      </c>
      <c r="C32" t="s">
        <v>168</v>
      </c>
      <c r="D32" t="s">
        <v>168</v>
      </c>
      <c r="E32">
        <f t="shared" ca="1" si="0"/>
        <v>147393</v>
      </c>
    </row>
    <row r="33" spans="1:5">
      <c r="A33" t="s">
        <v>169</v>
      </c>
      <c r="B33" s="1" t="s">
        <v>170</v>
      </c>
      <c r="C33" t="s">
        <v>171</v>
      </c>
      <c r="D33" t="s">
        <v>171</v>
      </c>
      <c r="E33">
        <f t="shared" ca="1" si="0"/>
        <v>100187</v>
      </c>
    </row>
    <row r="34" spans="1:5">
      <c r="A34" t="s">
        <v>173</v>
      </c>
      <c r="B34" s="1" t="s">
        <v>174</v>
      </c>
      <c r="C34" t="s">
        <v>175</v>
      </c>
      <c r="D34" t="s">
        <v>175</v>
      </c>
      <c r="E34">
        <f t="shared" ca="1" si="0"/>
        <v>69539</v>
      </c>
    </row>
    <row r="35" spans="1:5">
      <c r="A35" t="s">
        <v>176</v>
      </c>
      <c r="B35" s="1" t="s">
        <v>177</v>
      </c>
      <c r="C35" t="s">
        <v>178</v>
      </c>
      <c r="D35" t="s">
        <v>178</v>
      </c>
      <c r="E35">
        <f t="shared" ca="1" si="0"/>
        <v>207669</v>
      </c>
    </row>
    <row r="36" spans="1:5">
      <c r="A36" t="s">
        <v>181</v>
      </c>
      <c r="B36" s="1" t="s">
        <v>182</v>
      </c>
      <c r="C36" t="s">
        <v>183</v>
      </c>
      <c r="D36" t="s">
        <v>183</v>
      </c>
      <c r="E36">
        <f t="shared" ca="1" si="0"/>
        <v>157169</v>
      </c>
    </row>
    <row r="37" spans="1:5">
      <c r="A37" t="s">
        <v>184</v>
      </c>
      <c r="B37" s="1" t="s">
        <v>185</v>
      </c>
      <c r="C37" t="s">
        <v>186</v>
      </c>
      <c r="D37" t="s">
        <v>186</v>
      </c>
      <c r="E37">
        <f t="shared" ca="1" si="0"/>
        <v>55507</v>
      </c>
    </row>
    <row r="38" spans="1:5">
      <c r="A38" t="s">
        <v>187</v>
      </c>
      <c r="B38" s="1" t="s">
        <v>188</v>
      </c>
      <c r="C38" t="s">
        <v>189</v>
      </c>
      <c r="D38" t="s">
        <v>189</v>
      </c>
      <c r="E38">
        <f t="shared" ca="1" si="0"/>
        <v>102636</v>
      </c>
    </row>
    <row r="39" spans="1:5">
      <c r="A39" t="s">
        <v>190</v>
      </c>
      <c r="B39" s="1" t="s">
        <v>191</v>
      </c>
      <c r="C39" t="s">
        <v>192</v>
      </c>
      <c r="D39" t="s">
        <v>192</v>
      </c>
      <c r="E39">
        <f t="shared" ca="1" si="0"/>
        <v>202686</v>
      </c>
    </row>
    <row r="40" spans="1:5">
      <c r="A40" t="s">
        <v>193</v>
      </c>
      <c r="B40" s="1" t="s">
        <v>194</v>
      </c>
      <c r="C40" t="s">
        <v>195</v>
      </c>
      <c r="D40" t="s">
        <v>195</v>
      </c>
      <c r="E40">
        <f t="shared" ca="1" si="0"/>
        <v>71058</v>
      </c>
    </row>
    <row r="41" spans="1:5">
      <c r="A41" t="s">
        <v>198</v>
      </c>
      <c r="B41" s="1" t="s">
        <v>199</v>
      </c>
      <c r="C41" t="s">
        <v>200</v>
      </c>
      <c r="D41" t="s">
        <v>200</v>
      </c>
      <c r="E41">
        <f t="shared" ca="1" si="0"/>
        <v>207966</v>
      </c>
    </row>
    <row r="42" spans="1:5">
      <c r="A42" t="s">
        <v>201</v>
      </c>
      <c r="B42" s="1" t="s">
        <v>202</v>
      </c>
      <c r="C42" t="s">
        <v>203</v>
      </c>
      <c r="D42" t="s">
        <v>203</v>
      </c>
      <c r="E42">
        <f t="shared" ca="1" si="0"/>
        <v>147509</v>
      </c>
    </row>
    <row r="43" spans="1:5">
      <c r="A43" t="s">
        <v>204</v>
      </c>
      <c r="B43" s="1" t="s">
        <v>205</v>
      </c>
      <c r="C43" t="s">
        <v>206</v>
      </c>
      <c r="D43" t="s">
        <v>206</v>
      </c>
      <c r="E43">
        <f t="shared" ca="1" si="0"/>
        <v>143275</v>
      </c>
    </row>
    <row r="44" spans="1:5">
      <c r="A44" t="s">
        <v>207</v>
      </c>
      <c r="B44" s="1" t="s">
        <v>208</v>
      </c>
      <c r="C44" t="s">
        <v>209</v>
      </c>
      <c r="D44" t="s">
        <v>209</v>
      </c>
      <c r="E44">
        <f t="shared" ca="1" si="0"/>
        <v>100736</v>
      </c>
    </row>
    <row r="45" spans="1:5">
      <c r="A45" t="s">
        <v>210</v>
      </c>
      <c r="B45" s="1" t="s">
        <v>211</v>
      </c>
      <c r="C45" t="s">
        <v>212</v>
      </c>
      <c r="D45" t="s">
        <v>212</v>
      </c>
      <c r="E45">
        <f t="shared" ca="1" si="0"/>
        <v>94913</v>
      </c>
    </row>
    <row r="46" spans="1:5">
      <c r="A46" t="s">
        <v>213</v>
      </c>
      <c r="B46" s="1" t="s">
        <v>214</v>
      </c>
      <c r="C46" t="s">
        <v>215</v>
      </c>
      <c r="D46" t="s">
        <v>215</v>
      </c>
      <c r="E46">
        <f t="shared" ca="1" si="0"/>
        <v>191011</v>
      </c>
    </row>
    <row r="47" spans="1:5">
      <c r="A47" t="s">
        <v>217</v>
      </c>
      <c r="B47" s="1" t="s">
        <v>218</v>
      </c>
      <c r="C47" t="s">
        <v>219</v>
      </c>
      <c r="D47" t="s">
        <v>219</v>
      </c>
      <c r="E47">
        <f t="shared" ca="1" si="0"/>
        <v>48026</v>
      </c>
    </row>
    <row r="48" spans="1:5">
      <c r="A48" t="s">
        <v>220</v>
      </c>
      <c r="B48" s="1" t="s">
        <v>221</v>
      </c>
      <c r="C48" t="s">
        <v>222</v>
      </c>
      <c r="D48" t="s">
        <v>222</v>
      </c>
      <c r="E48">
        <f t="shared" ca="1" si="0"/>
        <v>91093</v>
      </c>
    </row>
    <row r="49" spans="1:5">
      <c r="A49" t="s">
        <v>223</v>
      </c>
      <c r="B49" s="1" t="s">
        <v>224</v>
      </c>
      <c r="C49" t="s">
        <v>225</v>
      </c>
      <c r="D49" t="s">
        <v>225</v>
      </c>
      <c r="E49">
        <f t="shared" ca="1" si="0"/>
        <v>51053</v>
      </c>
    </row>
    <row r="50" spans="1:5">
      <c r="A50" t="s">
        <v>226</v>
      </c>
      <c r="B50" s="1" t="s">
        <v>227</v>
      </c>
      <c r="C50" t="s">
        <v>228</v>
      </c>
      <c r="D50" t="s">
        <v>228</v>
      </c>
      <c r="E50">
        <f t="shared" ca="1" si="0"/>
        <v>147273</v>
      </c>
    </row>
    <row r="51" spans="1:5">
      <c r="A51" t="s">
        <v>229</v>
      </c>
      <c r="B51" s="1" t="s">
        <v>230</v>
      </c>
      <c r="C51" t="s">
        <v>231</v>
      </c>
      <c r="D51" t="s">
        <v>231</v>
      </c>
      <c r="E51">
        <f t="shared" ca="1" si="0"/>
        <v>38816</v>
      </c>
    </row>
    <row r="52" spans="1:5">
      <c r="A52" t="s">
        <v>233</v>
      </c>
      <c r="B52" s="1" t="s">
        <v>234</v>
      </c>
      <c r="C52" t="s">
        <v>235</v>
      </c>
      <c r="D52" t="s">
        <v>235</v>
      </c>
      <c r="E52">
        <f t="shared" ca="1" si="0"/>
        <v>48621</v>
      </c>
    </row>
    <row r="53" spans="1:5">
      <c r="A53" t="s">
        <v>236</v>
      </c>
      <c r="B53" s="1" t="s">
        <v>237</v>
      </c>
      <c r="C53" t="s">
        <v>238</v>
      </c>
      <c r="D53" t="s">
        <v>238</v>
      </c>
      <c r="E53">
        <f t="shared" ca="1" si="0"/>
        <v>76800</v>
      </c>
    </row>
    <row r="54" spans="1:5">
      <c r="A54" t="s">
        <v>240</v>
      </c>
      <c r="B54" s="1" t="s">
        <v>241</v>
      </c>
      <c r="C54" t="s">
        <v>242</v>
      </c>
      <c r="D54" t="s">
        <v>242</v>
      </c>
      <c r="E54">
        <f t="shared" ca="1" si="0"/>
        <v>199570</v>
      </c>
    </row>
    <row r="55" spans="1:5">
      <c r="A55" t="s">
        <v>243</v>
      </c>
      <c r="B55" s="1" t="s">
        <v>244</v>
      </c>
      <c r="C55" t="s">
        <v>245</v>
      </c>
      <c r="D55" t="s">
        <v>245</v>
      </c>
      <c r="E55">
        <f t="shared" ca="1" si="0"/>
        <v>201278</v>
      </c>
    </row>
    <row r="56" spans="1:5">
      <c r="A56" t="s">
        <v>246</v>
      </c>
      <c r="B56" s="1" t="s">
        <v>247</v>
      </c>
      <c r="C56" t="s">
        <v>248</v>
      </c>
      <c r="D56" t="s">
        <v>248</v>
      </c>
      <c r="E56">
        <f t="shared" ca="1" si="0"/>
        <v>173340</v>
      </c>
    </row>
    <row r="57" spans="1:5">
      <c r="A57" t="s">
        <v>249</v>
      </c>
      <c r="B57" s="1" t="s">
        <v>250</v>
      </c>
      <c r="C57" t="s">
        <v>251</v>
      </c>
      <c r="D57" t="s">
        <v>251</v>
      </c>
      <c r="E57">
        <f t="shared" ca="1" si="0"/>
        <v>187937</v>
      </c>
    </row>
    <row r="58" spans="1:5">
      <c r="A58" t="s">
        <v>253</v>
      </c>
      <c r="B58" s="1" t="s">
        <v>254</v>
      </c>
      <c r="C58" t="s">
        <v>255</v>
      </c>
      <c r="D58" t="s">
        <v>255</v>
      </c>
      <c r="E58">
        <f t="shared" ca="1" si="0"/>
        <v>232580</v>
      </c>
    </row>
    <row r="59" spans="1:5">
      <c r="A59" t="s">
        <v>256</v>
      </c>
      <c r="B59" s="1" t="s">
        <v>257</v>
      </c>
      <c r="C59" t="s">
        <v>258</v>
      </c>
      <c r="D59" t="s">
        <v>258</v>
      </c>
      <c r="E59">
        <f t="shared" ca="1" si="0"/>
        <v>200718</v>
      </c>
    </row>
    <row r="60" spans="1:5">
      <c r="A60" t="s">
        <v>259</v>
      </c>
      <c r="B60" s="1" t="s">
        <v>260</v>
      </c>
      <c r="C60" t="s">
        <v>261</v>
      </c>
      <c r="D60" t="s">
        <v>261</v>
      </c>
      <c r="E60">
        <f t="shared" ca="1" si="0"/>
        <v>203716</v>
      </c>
    </row>
    <row r="61" spans="1:5">
      <c r="A61" t="s">
        <v>262</v>
      </c>
      <c r="B61" s="1" t="s">
        <v>263</v>
      </c>
      <c r="C61" t="s">
        <v>264</v>
      </c>
      <c r="D61" t="s">
        <v>264</v>
      </c>
      <c r="E61">
        <f t="shared" ca="1" si="0"/>
        <v>86234</v>
      </c>
    </row>
    <row r="62" spans="1:5">
      <c r="A62" t="s">
        <v>265</v>
      </c>
      <c r="B62" s="1" t="s">
        <v>266</v>
      </c>
      <c r="C62" t="s">
        <v>267</v>
      </c>
      <c r="D62" t="s">
        <v>267</v>
      </c>
      <c r="E62">
        <f t="shared" ca="1" si="0"/>
        <v>98645</v>
      </c>
    </row>
    <row r="63" spans="1:5">
      <c r="A63" t="s">
        <v>268</v>
      </c>
      <c r="B63" s="1" t="s">
        <v>269</v>
      </c>
      <c r="C63" t="s">
        <v>270</v>
      </c>
      <c r="D63" t="s">
        <v>270</v>
      </c>
      <c r="E63">
        <f t="shared" ca="1" si="0"/>
        <v>100670</v>
      </c>
    </row>
    <row r="64" spans="1:5">
      <c r="A64" t="s">
        <v>273</v>
      </c>
      <c r="B64" s="1" t="s">
        <v>274</v>
      </c>
      <c r="C64" t="s">
        <v>275</v>
      </c>
      <c r="D64" t="s">
        <v>275</v>
      </c>
      <c r="E64">
        <f t="shared" ca="1" si="0"/>
        <v>167100</v>
      </c>
    </row>
    <row r="65" spans="1:5">
      <c r="A65" t="s">
        <v>276</v>
      </c>
      <c r="B65" s="1" t="s">
        <v>277</v>
      </c>
      <c r="C65" t="s">
        <v>278</v>
      </c>
      <c r="D65" t="s">
        <v>278</v>
      </c>
      <c r="E65">
        <f t="shared" ca="1" si="0"/>
        <v>121501</v>
      </c>
    </row>
    <row r="66" spans="1:5">
      <c r="A66" t="s">
        <v>279</v>
      </c>
      <c r="B66" s="1" t="s">
        <v>280</v>
      </c>
      <c r="C66" t="s">
        <v>281</v>
      </c>
      <c r="D66" t="s">
        <v>281</v>
      </c>
      <c r="E66">
        <f t="shared" ref="E66:E68" ca="1" si="1">RANDBETWEEN(35000,250000)</f>
        <v>158874</v>
      </c>
    </row>
    <row r="67" spans="1:5">
      <c r="A67" t="s">
        <v>282</v>
      </c>
      <c r="B67" s="1" t="s">
        <v>283</v>
      </c>
      <c r="C67" t="s">
        <v>284</v>
      </c>
      <c r="D67" t="s">
        <v>284</v>
      </c>
      <c r="E67">
        <f t="shared" ca="1" si="1"/>
        <v>97447</v>
      </c>
    </row>
    <row r="68" spans="1:5">
      <c r="A68" t="s">
        <v>285</v>
      </c>
      <c r="B68" s="1" t="s">
        <v>286</v>
      </c>
      <c r="C68" t="s">
        <v>287</v>
      </c>
      <c r="D68" t="s">
        <v>287</v>
      </c>
      <c r="E68">
        <f t="shared" ca="1" si="1"/>
        <v>248690</v>
      </c>
    </row>
  </sheetData>
  <pageMargins left="0.7" right="0.7" top="0.75" bottom="0.75" header="0.3" footer="0.511811023622047"/>
  <pageSetup orientation="portrait" horizontalDpi="300" verticalDpi="300"/>
  <headerFooter>
    <oddHeader>&amp;C&amp;10Confidential&amp;1#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78" zoomScaleNormal="78" workbookViewId="0"/>
  </sheetViews>
  <sheetFormatPr baseColWidth="10" defaultColWidth="11.5" defaultRowHeight="15"/>
  <sheetData/>
  <pageMargins left="0.7" right="0.7" top="0.75" bottom="0.75" header="0.3" footer="0.511811023622047"/>
  <pageSetup orientation="portrait" horizontalDpi="300" verticalDpi="300"/>
  <headerFooter>
    <oddHeader>&amp;C&amp;10Confidential&amp;1#</oddHeader>
  </headerFooter>
</worksheet>
</file>

<file path=docProps/app.xml><?xml version="1.0" encoding="utf-8"?>
<Properties xmlns="http://schemas.openxmlformats.org/officeDocument/2006/extended-properties" xmlns:vt="http://schemas.openxmlformats.org/officeDocument/2006/docPropsVTypes">
  <Template/>
  <TotalTime>1761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 me </vt:lpstr>
      <vt:lpstr>ITR input data</vt:lpstr>
      <vt:lpstr>ITR input data (2)</vt:lpstr>
      <vt:lpstr>ITR target input data</vt:lpstr>
      <vt:lpstr>ITR target input data (2)</vt:lpstr>
      <vt:lpstr>Definitions</vt:lpstr>
      <vt:lpstr>Portfolio</vt:lpstr>
      <vt:lpstr>Portfolio (2)</vt:lpstr>
      <vt:lpstr>User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Michael Tiemann</cp:lastModifiedBy>
  <cp:revision>120</cp:revision>
  <cp:lastPrinted>2022-02-14T13:19:46Z</cp:lastPrinted>
  <dcterms:created xsi:type="dcterms:W3CDTF">2022-02-08T09:02:08Z</dcterms:created>
  <dcterms:modified xsi:type="dcterms:W3CDTF">2022-09-18T16:01:27Z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0x010100BB6CE2092F7CDA4FBA49881696A89DE0</vt:lpwstr>
  </property>
  <property fmtid="{D5CDD505-2E9C-101B-9397-08002B2CF9AE}" pid="3" name="MSIP_Label_1cf2588e-f000-43f9-af86-11fa810e993f_ActionId">
    <vt:lpwstr>ebb9052d-651d-447a-bc5a-21d287557131</vt:lpwstr>
  </property>
  <property fmtid="{D5CDD505-2E9C-101B-9397-08002B2CF9AE}" pid="4" name="MSIP_Label_1cf2588e-f000-43f9-af86-11fa810e993f_ContentBits">
    <vt:lpwstr>1</vt:lpwstr>
  </property>
  <property fmtid="{D5CDD505-2E9C-101B-9397-08002B2CF9AE}" pid="5" name="MSIP_Label_1cf2588e-f000-43f9-af86-11fa810e993f_Enabled">
    <vt:lpwstr>true</vt:lpwstr>
  </property>
  <property fmtid="{D5CDD505-2E9C-101B-9397-08002B2CF9AE}" pid="6" name="MSIP_Label_1cf2588e-f000-43f9-af86-11fa810e993f_Method">
    <vt:lpwstr>Privileged</vt:lpwstr>
  </property>
  <property fmtid="{D5CDD505-2E9C-101B-9397-08002B2CF9AE}" pid="7" name="MSIP_Label_1cf2588e-f000-43f9-af86-11fa810e993f_Name">
    <vt:lpwstr>1cf2588e-f000-43f9-af86-11fa810e993f</vt:lpwstr>
  </property>
  <property fmtid="{D5CDD505-2E9C-101B-9397-08002B2CF9AE}" pid="8" name="MSIP_Label_1cf2588e-f000-43f9-af86-11fa810e993f_SetDate">
    <vt:lpwstr>2022-05-16T10:30:11Z</vt:lpwstr>
  </property>
  <property fmtid="{D5CDD505-2E9C-101B-9397-08002B2CF9AE}" pid="9" name="MSIP_Label_1cf2588e-f000-43f9-af86-11fa810e993f_SiteId">
    <vt:lpwstr>6e06e42d-6925-47c6-b9e7-9581c7ca302a</vt:lpwstr>
  </property>
  <property fmtid="{D5CDD505-2E9C-101B-9397-08002B2CF9AE}" pid="10" name="_NewReviewCycle">
    <vt:lpwstr/>
  </property>
</Properties>
</file>