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5"/>
  <workbookPr defaultThemeVersion="166925"/>
  <mc:AlternateContent xmlns:mc="http://schemas.openxmlformats.org/markup-compatibility/2006">
    <mc:Choice Requires="x15">
      <x15ac:absPath xmlns:x15ac="http://schemas.microsoft.com/office/spreadsheetml/2010/11/ac" url="/Users/michael/Documents/GitHub/ITR/test/inputs/"/>
    </mc:Choice>
  </mc:AlternateContent>
  <xr:revisionPtr revIDLastSave="0" documentId="13_ncr:1_{27ABD72C-2027-7240-A66D-8EF27E967A61}" xr6:coauthVersionLast="47" xr6:coauthVersionMax="47" xr10:uidLastSave="{00000000-0000-0000-0000-000000000000}"/>
  <bookViews>
    <workbookView xWindow="59720" yWindow="2620" windowWidth="44300" windowHeight="39960" activeTab="2" xr2:uid="{00000000-000D-0000-FFFF-FFFF00000000}"/>
  </bookViews>
  <sheets>
    <sheet name="Read me " sheetId="5" r:id="rId1"/>
    <sheet name="ITR input data" sheetId="2" r:id="rId2"/>
    <sheet name="ITR target input data" sheetId="8" r:id="rId3"/>
    <sheet name="Definitions" sheetId="6" r:id="rId4"/>
    <sheet name="ITR input data (2)" sheetId="9" r:id="rId5"/>
    <sheet name="ITR target input data (2)" sheetId="10"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33" i="8" l="1"/>
  <c r="I32" i="8"/>
  <c r="I30" i="8"/>
  <c r="Z22" i="2"/>
  <c r="Y22" i="2"/>
  <c r="X22" i="2"/>
  <c r="AS22" i="2"/>
  <c r="AT22" i="2"/>
  <c r="AU22" i="2"/>
  <c r="AK22" i="2"/>
  <c r="AJ22" i="2"/>
  <c r="AI22" i="2"/>
  <c r="AH22" i="2"/>
  <c r="AG22" i="2"/>
  <c r="AF22" i="2"/>
  <c r="AE22" i="2"/>
  <c r="AV22" i="2"/>
  <c r="AW22" i="2"/>
  <c r="AK21" i="2"/>
  <c r="AJ21" i="2"/>
  <c r="AI21" i="2"/>
  <c r="AH21" i="2"/>
  <c r="AG21" i="2"/>
  <c r="AF21" i="2"/>
  <c r="AE21" i="2"/>
  <c r="AE20" i="2"/>
  <c r="AK20" i="2"/>
  <c r="AJ20" i="2"/>
  <c r="AI20" i="2"/>
  <c r="AH20" i="2"/>
  <c r="AG20" i="2"/>
  <c r="AF20" i="2"/>
  <c r="AV20" i="2"/>
  <c r="AU20" i="2"/>
  <c r="AT20" i="2"/>
  <c r="AF7" i="2"/>
  <c r="AE2" i="2"/>
  <c r="AE4" i="2"/>
  <c r="AE6" i="2"/>
  <c r="AE7" i="2"/>
  <c r="AE8" i="2"/>
  <c r="AK11" i="2"/>
  <c r="AJ11" i="2"/>
  <c r="AI11" i="2"/>
  <c r="AH11" i="2"/>
  <c r="AG11" i="2"/>
  <c r="AF11" i="2"/>
  <c r="AE11" i="2"/>
  <c r="AI2" i="2"/>
  <c r="AH2" i="2"/>
  <c r="AG2" i="2"/>
  <c r="AF2" i="2"/>
  <c r="AK8" i="2"/>
  <c r="AJ8" i="2"/>
  <c r="AK7" i="2"/>
  <c r="AJ7" i="2"/>
  <c r="AK6" i="2"/>
  <c r="AJ6" i="2"/>
  <c r="AK4" i="2"/>
  <c r="AJ4" i="2"/>
  <c r="AI4" i="2"/>
  <c r="AH4" i="2"/>
  <c r="AG4" i="2"/>
  <c r="AF4" i="2"/>
  <c r="AK2" i="2"/>
  <c r="AJ2" i="2"/>
  <c r="AI8" i="2"/>
  <c r="AH8" i="2"/>
  <c r="AG8" i="2"/>
  <c r="AF8" i="2"/>
  <c r="AI7" i="2"/>
  <c r="AH7" i="2"/>
  <c r="AG7" i="2"/>
  <c r="AI6" i="2"/>
  <c r="AH6" i="2"/>
  <c r="AG6" i="2"/>
  <c r="AF6" i="2"/>
  <c r="AO15" i="2"/>
  <c r="AX11" i="2"/>
  <c r="AW11" i="2"/>
  <c r="AV11" i="2"/>
  <c r="I13" i="8"/>
  <c r="AW4" i="2"/>
  <c r="AV4" i="2"/>
  <c r="AU4" i="2"/>
  <c r="I6" i="8"/>
  <c r="AP2" i="2"/>
  <c r="AO2" i="2"/>
  <c r="AN2" i="2"/>
  <c r="AM2" i="2"/>
  <c r="I7" i="10"/>
  <c r="L6" i="10"/>
  <c r="L5" i="10"/>
  <c r="I4" i="1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Tiemann</author>
  </authors>
  <commentList>
    <comment ref="R4" authorId="0" shapeId="0" xr:uid="{96C7E1CF-0386-CF41-8CC6-D6DC6ABF7CBB}">
      <text>
        <r>
          <rPr>
            <b/>
            <sz val="10"/>
            <color rgb="FF000000"/>
            <rFont val="Tahoma"/>
            <family val="2"/>
          </rPr>
          <t>Michael Tiemann:</t>
        </r>
        <r>
          <rPr>
            <sz val="10"/>
            <color rgb="FF000000"/>
            <rFont val="Tahoma"/>
            <family val="2"/>
          </rPr>
          <t xml:space="preserve">
</t>
        </r>
        <r>
          <rPr>
            <sz val="10"/>
            <color rgb="FF000000"/>
            <rFont val="Tahoma"/>
            <family val="2"/>
          </rPr>
          <t>test case for interpolating missing data</t>
        </r>
      </text>
    </comment>
    <comment ref="Y4" authorId="0" shapeId="0" xr:uid="{809C1E46-BD52-814B-864B-65206C310321}">
      <text>
        <r>
          <rPr>
            <b/>
            <sz val="10"/>
            <color rgb="FF000000"/>
            <rFont val="Tahoma"/>
            <family val="2"/>
          </rPr>
          <t>Michael Tiemann:</t>
        </r>
        <r>
          <rPr>
            <sz val="10"/>
            <color rgb="FF000000"/>
            <rFont val="Tahoma"/>
            <family val="2"/>
          </rPr>
          <t xml:space="preserve">
</t>
        </r>
        <r>
          <rPr>
            <sz val="10"/>
            <color rgb="FF000000"/>
            <rFont val="Tahoma"/>
            <family val="2"/>
          </rPr>
          <t>test case for interpolating missing data</t>
        </r>
      </text>
    </comment>
    <comment ref="AF4" authorId="0" shapeId="0" xr:uid="{9CEBEB8E-A75A-A849-8EB4-15FCB953D619}">
      <text>
        <r>
          <rPr>
            <b/>
            <sz val="10"/>
            <color rgb="FF000000"/>
            <rFont val="Tahoma"/>
            <family val="2"/>
          </rPr>
          <t>Michael Tiemann:</t>
        </r>
        <r>
          <rPr>
            <sz val="10"/>
            <color rgb="FF000000"/>
            <rFont val="Tahoma"/>
            <family val="2"/>
          </rPr>
          <t xml:space="preserve">
</t>
        </r>
        <r>
          <rPr>
            <sz val="10"/>
            <color rgb="FF000000"/>
            <rFont val="Tahoma"/>
            <family val="2"/>
          </rPr>
          <t>Test cast for interpolating missing data</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Michael Tiemann</author>
  </authors>
  <commentList>
    <comment ref="L13" authorId="0" shapeId="0" xr:uid="{448510DF-B4CA-A74B-8DA4-8A66766A6D07}">
      <text>
        <r>
          <rPr>
            <b/>
            <sz val="10"/>
            <color rgb="FF000000"/>
            <rFont val="Tahoma"/>
            <family val="2"/>
          </rPr>
          <t>Michael Tiemann:</t>
        </r>
        <r>
          <rPr>
            <sz val="10"/>
            <color rgb="FF000000"/>
            <rFont val="Tahoma"/>
            <family val="2"/>
          </rPr>
          <t xml:space="preserve">
</t>
        </r>
        <r>
          <rPr>
            <sz val="10"/>
            <color rgb="FF000000"/>
            <rFont val="Tahoma"/>
            <family val="2"/>
          </rPr>
          <t>90% sourced from nuclear so 10% ambition imagines 100% carbon-neutral power sourcing.</t>
        </r>
      </text>
    </comment>
    <comment ref="F14" authorId="0" shapeId="0" xr:uid="{CA21DE94-42A9-2242-B39E-4A74054C3A31}">
      <text>
        <r>
          <rPr>
            <b/>
            <sz val="10"/>
            <color rgb="FF000000"/>
            <rFont val="Tahoma"/>
            <family val="2"/>
          </rPr>
          <t>Michael Tiemann:</t>
        </r>
        <r>
          <rPr>
            <sz val="10"/>
            <color rgb="FF000000"/>
            <rFont val="Tahoma"/>
            <family val="2"/>
          </rPr>
          <t xml:space="preserve">
</t>
        </r>
        <r>
          <rPr>
            <sz val="10"/>
            <color rgb="FF000000"/>
            <rFont val="Tahoma"/>
            <family val="2"/>
          </rPr>
          <t>Yes: S1+S3</t>
        </r>
      </text>
    </comment>
  </commentList>
</comments>
</file>

<file path=xl/sharedStrings.xml><?xml version="1.0" encoding="utf-8"?>
<sst xmlns="http://schemas.openxmlformats.org/spreadsheetml/2006/main" count="1540" uniqueCount="323">
  <si>
    <t>Data field</t>
  </si>
  <si>
    <t>company_id</t>
  </si>
  <si>
    <t>Name of the company in your portfolio</t>
  </si>
  <si>
    <t>Description</t>
  </si>
  <si>
    <t xml:space="preserve">Text </t>
  </si>
  <si>
    <t>Expected value (type/unit)</t>
  </si>
  <si>
    <t>country</t>
  </si>
  <si>
    <t>region</t>
  </si>
  <si>
    <t>Country where the company has its headquarter. Used for analysis purposes only.</t>
  </si>
  <si>
    <t>Mandatory/Optional</t>
  </si>
  <si>
    <t>Mandatory</t>
  </si>
  <si>
    <t>Monetary value</t>
  </si>
  <si>
    <t>Data category</t>
  </si>
  <si>
    <t>Fundamental Data</t>
  </si>
  <si>
    <t>Target Data</t>
  </si>
  <si>
    <t>Emission Data</t>
  </si>
  <si>
    <t>2016_ghg_s1</t>
  </si>
  <si>
    <t>2017_ghg_s1</t>
  </si>
  <si>
    <t>2018_ghg_s1</t>
  </si>
  <si>
    <t>2019_ghg_s1</t>
  </si>
  <si>
    <t>2020_ghg_s1</t>
  </si>
  <si>
    <t>2016_ghg_s2</t>
  </si>
  <si>
    <t>2017_ghg_s2</t>
  </si>
  <si>
    <t>2018_ghg_s2</t>
  </si>
  <si>
    <t>2019_ghg_s2</t>
  </si>
  <si>
    <t>2020_ghg_s2</t>
  </si>
  <si>
    <t>Optional</t>
  </si>
  <si>
    <t>sector</t>
  </si>
  <si>
    <t>Options: utilities, steel</t>
  </si>
  <si>
    <t>evic</t>
  </si>
  <si>
    <t>2021_ghg_s2</t>
  </si>
  <si>
    <t>exposure</t>
  </si>
  <si>
    <t>2016_production</t>
  </si>
  <si>
    <t>2017_production</t>
  </si>
  <si>
    <t>2018_production</t>
  </si>
  <si>
    <t>2019_production</t>
  </si>
  <si>
    <t>2020_production</t>
  </si>
  <si>
    <t>2021_production</t>
  </si>
  <si>
    <t>revenue</t>
  </si>
  <si>
    <t>market_cap</t>
  </si>
  <si>
    <t>ev</t>
  </si>
  <si>
    <t>assets</t>
  </si>
  <si>
    <t>report_date</t>
  </si>
  <si>
    <t>percentage</t>
  </si>
  <si>
    <t>2021_ghg_s1</t>
  </si>
  <si>
    <t>2016_ghg_s1s2</t>
  </si>
  <si>
    <t>2017_ghg_s1s2</t>
  </si>
  <si>
    <t>2018_ghg_s1s2</t>
  </si>
  <si>
    <t>2019_ghg_s1s2</t>
  </si>
  <si>
    <t>2020_ghg_s1s2</t>
  </si>
  <si>
    <t>2021_ghg_s1s2</t>
  </si>
  <si>
    <t>2022_ghg_s1</t>
  </si>
  <si>
    <t>2022_ghg_s2</t>
  </si>
  <si>
    <t>2022_ghg_s1s2</t>
  </si>
  <si>
    <t>2022_production</t>
  </si>
  <si>
    <t>netzero_date</t>
  </si>
  <si>
    <t>company_name</t>
  </si>
  <si>
    <t>company_lei</t>
  </si>
  <si>
    <t>AES Corp.</t>
  </si>
  <si>
    <t>2NUNNB7D43COUIRE5295</t>
  </si>
  <si>
    <t>US00130H1059</t>
  </si>
  <si>
    <t>US</t>
  </si>
  <si>
    <t>North America</t>
  </si>
  <si>
    <t>currency</t>
  </si>
  <si>
    <t>equity</t>
  </si>
  <si>
    <t>USD</t>
  </si>
  <si>
    <t>intensity</t>
  </si>
  <si>
    <t>S1S2</t>
  </si>
  <si>
    <t>2016_ghg_s3</t>
  </si>
  <si>
    <t>2017_ghg_s3</t>
  </si>
  <si>
    <t>2018_ghg_s3</t>
  </si>
  <si>
    <t>2019_ghg_s3</t>
  </si>
  <si>
    <t>2020_ghg_s3</t>
  </si>
  <si>
    <t>2021_ghg_s3</t>
  </si>
  <si>
    <t>2022_ghg_s3</t>
  </si>
  <si>
    <t xml:space="preserve">Production data - Power or Steel </t>
  </si>
  <si>
    <t>Enterprise value in single dollars / euros</t>
  </si>
  <si>
    <t>Value of public stock in single dollars/euros</t>
  </si>
  <si>
    <t>Company revenues in single dollars/euros</t>
  </si>
  <si>
    <t>Value of assets owned by company in single dollars/euros</t>
  </si>
  <si>
    <t>Legal entity identifier</t>
  </si>
  <si>
    <t>ISIN (Identifier for the company in your portfolio, used to map target and fundamental data to the company)</t>
  </si>
  <si>
    <t>Region where the company has its headquarter. Used for analysis purposes only. The tool uses IPP AR6 regions: https://www.ipcc.ch/report/ar6/wg1/</t>
  </si>
  <si>
    <t>Investment exposure (equity or bond)</t>
  </si>
  <si>
    <t>Currency of the financial data. All entries should be converted into the SAME currency - EUR or USD</t>
  </si>
  <si>
    <t xml:space="preserve">Date of retrieving the financial data </t>
  </si>
  <si>
    <t xml:space="preserve">Investment values </t>
  </si>
  <si>
    <t>Intensity numerator: Scope 1+2 emissions timeseries for the past 5 years</t>
  </si>
  <si>
    <t>Number</t>
  </si>
  <si>
    <t>Intensity denominator: annual steel or power production of the company for the past 5 years</t>
  </si>
  <si>
    <t>Intensity numerator: Scope 1 emissions timeseries for the past 5 years</t>
  </si>
  <si>
    <t>Intensity numerator: Scope 2 emissions timeseries for the past 5 years</t>
  </si>
  <si>
    <t>Intensity numerator: Scope 3 emissions timeseries for the past 5 years</t>
  </si>
  <si>
    <t>Absolute, Intensity</t>
  </si>
  <si>
    <t>Equity, Bond</t>
  </si>
  <si>
    <t>Year (YYYY)</t>
  </si>
  <si>
    <t>Date (DD.MM.YYYY)</t>
  </si>
  <si>
    <t>Utilities, Steel</t>
  </si>
  <si>
    <t>S1, S2, S1S2,S1S2S3</t>
  </si>
  <si>
    <t>decimal</t>
  </si>
  <si>
    <r>
      <rPr>
        <b/>
        <sz val="11"/>
        <color rgb="FF000000"/>
        <rFont val="Calibri"/>
        <family val="2"/>
        <scheme val="minor"/>
      </rPr>
      <t>CO2</t>
    </r>
    <r>
      <rPr>
        <sz val="11"/>
        <color indexed="8"/>
        <rFont val="Calibri"/>
        <family val="2"/>
        <scheme val="minor"/>
      </rPr>
      <t xml:space="preserve">: kg CO2, t CO2, Mt CO2, Gt CO2, etc.; 
</t>
    </r>
    <r>
      <rPr>
        <b/>
        <sz val="11"/>
        <color rgb="FF000000"/>
        <rFont val="Calibri"/>
        <family val="2"/>
        <scheme val="minor"/>
      </rPr>
      <t>Electricity</t>
    </r>
    <r>
      <rPr>
        <sz val="11"/>
        <color indexed="8"/>
        <rFont val="Calibri"/>
        <family val="2"/>
        <scheme val="minor"/>
      </rPr>
      <t xml:space="preserve">: MWh, TWh, GJ, PJ; 
</t>
    </r>
    <r>
      <rPr>
        <b/>
        <sz val="11"/>
        <color rgb="FF000000"/>
        <rFont val="Calibri"/>
        <family val="2"/>
        <scheme val="minor"/>
      </rPr>
      <t>Steel:</t>
    </r>
    <r>
      <rPr>
        <sz val="11"/>
        <color indexed="8"/>
        <rFont val="Calibri"/>
        <family val="2"/>
        <scheme val="minor"/>
      </rPr>
      <t xml:space="preserve"> Fe_ton, M Fe_ton </t>
    </r>
  </si>
  <si>
    <t>Target year of net-zero commitment. 0 means the company has not set a target year or that their target for 2050 is not zero.</t>
  </si>
  <si>
    <t>year the target was announced</t>
  </si>
  <si>
    <t>Net Zero Ambition</t>
  </si>
  <si>
    <t xml:space="preserve">target intensity metric referring to emissions and production data. Units for the numerator (in CO2) and denominator (electricity or steel production) are indicated in the following field. </t>
  </si>
  <si>
    <t>Production or Intensity figures  (eg 12 if the target base year emission is 12 t CO2, or 0.98 if the base year intensity is 0.98 Mt CO2/MWh). Targets can be expressed in units as described below (see target_base_year_units field)</t>
  </si>
  <si>
    <t>Intensity numerator: Scope 1 emissions timeseries for 2021</t>
  </si>
  <si>
    <t>DO NOT FILL (data only available next year)</t>
  </si>
  <si>
    <t xml:space="preserve">Intensity numerator:  scope 1 emissions timeseries for 2022, only available in 2023. Do not input projected data. </t>
  </si>
  <si>
    <t>Intensity numerator: Scope 2 emissions timeseries for 2021</t>
  </si>
  <si>
    <t xml:space="preserve">Intensity numerator:  scope 2 emissions timeseries for 2022, only available in 2023. Do not input projected data. </t>
  </si>
  <si>
    <t>Intensity numerator: Scope 1+2 emissions timeseries for 2021</t>
  </si>
  <si>
    <t xml:space="preserve">Intensity numerator:  scope 1+ 2 emissions timeseries for 2022, only available in 2023. Do not input projected data. </t>
  </si>
  <si>
    <t>Intensity numerator: Scope 3 emissions timeseries for 2021</t>
  </si>
  <si>
    <t xml:space="preserve">Intensity numerator:  scope 3 emissions timeseries for 2022, only available in 2023. Do not input projected data. </t>
  </si>
  <si>
    <t>target_base_year</t>
  </si>
  <si>
    <t>target_base_year_qty</t>
  </si>
  <si>
    <t>target_base_year_unit</t>
  </si>
  <si>
    <t>target_year</t>
  </si>
  <si>
    <t>target_reduction_ambition</t>
  </si>
  <si>
    <t>The emission reduction that is set as ambition in the target.</t>
  </si>
  <si>
    <t xml:space="preserve">year the target should be reached </t>
  </si>
  <si>
    <t>Base year of the target</t>
  </si>
  <si>
    <t>target_type</t>
  </si>
  <si>
    <t>target_scope</t>
  </si>
  <si>
    <t>target_start_year</t>
  </si>
  <si>
    <t>Target scope (S3 will be taken into account later - however one can include it already to avoid having to refill the template in a few weeks )</t>
  </si>
  <si>
    <t xml:space="preserve">Type of target. Can be absolute or intensity based GHG emission reduction target. </t>
  </si>
  <si>
    <t>production_metric</t>
  </si>
  <si>
    <t>Mt CO2</t>
  </si>
  <si>
    <t>Mt CO2/TWh</t>
  </si>
  <si>
    <t>Emission Metrics</t>
  </si>
  <si>
    <t>Production Metrics</t>
  </si>
  <si>
    <t>emission_metric</t>
  </si>
  <si>
    <t>Emissions Metric (typically CO2)</t>
  </si>
  <si>
    <t>Intensity Metric (unit of output measured for sector)</t>
  </si>
  <si>
    <r>
      <rPr>
        <b/>
        <sz val="11"/>
        <color rgb="FF000000"/>
        <rFont val="Calibri"/>
        <family val="2"/>
        <scheme val="minor"/>
      </rPr>
      <t xml:space="preserve">CO2: </t>
    </r>
    <r>
      <rPr>
        <sz val="11"/>
        <color rgb="FF000000"/>
        <rFont val="Calibri"/>
        <family val="2"/>
        <scheme val="minor"/>
      </rPr>
      <t>kg CO2, t CO2, Mt CO2, Gt CO2, etc.</t>
    </r>
  </si>
  <si>
    <r>
      <rPr>
        <b/>
        <sz val="11"/>
        <color rgb="FF000000"/>
        <rFont val="Calibri"/>
        <family val="2"/>
        <scheme val="minor"/>
      </rPr>
      <t>Electricity</t>
    </r>
    <r>
      <rPr>
        <sz val="11"/>
        <color indexed="8"/>
        <rFont val="Calibri"/>
        <family val="2"/>
        <scheme val="minor"/>
      </rPr>
      <t xml:space="preserve">:  MWh, TWh, GJ, PJ; 
</t>
    </r>
    <r>
      <rPr>
        <b/>
        <sz val="11"/>
        <color rgb="FF000000"/>
        <rFont val="Calibri"/>
        <family val="2"/>
        <scheme val="minor"/>
      </rPr>
      <t xml:space="preserve">Steel: </t>
    </r>
    <r>
      <rPr>
        <sz val="11"/>
        <color indexed="8"/>
        <rFont val="Calibri"/>
        <family val="2"/>
        <scheme val="minor"/>
      </rPr>
      <t xml:space="preserve">Fe_ton, M Fe_ton </t>
    </r>
  </si>
  <si>
    <t>emissions_metric</t>
  </si>
  <si>
    <t>ITR input data</t>
  </si>
  <si>
    <t>Input tab</t>
  </si>
  <si>
    <t>ITR target input data</t>
  </si>
  <si>
    <t>Electricity Utilities</t>
  </si>
  <si>
    <t>t CO2</t>
  </si>
  <si>
    <t>MWh</t>
  </si>
  <si>
    <t>ALLETE, Inc.</t>
  </si>
  <si>
    <t>549300NNLSIMY6Z8OT86</t>
  </si>
  <si>
    <t>US0185223007</t>
  </si>
  <si>
    <t>Alcoa Corp.</t>
  </si>
  <si>
    <t>549300T12EZ1F6PWWU29</t>
  </si>
  <si>
    <t>US0138721065</t>
  </si>
  <si>
    <t>Algonquin Power &amp; Utilities Corp.</t>
  </si>
  <si>
    <t>549300K5VIUTJXQL7X75</t>
  </si>
  <si>
    <t>US0158577090</t>
  </si>
  <si>
    <t>CA</t>
  </si>
  <si>
    <t>Alliant Energy</t>
  </si>
  <si>
    <t>5493009ML300G373MZ12</t>
  </si>
  <si>
    <t>US0188021085</t>
  </si>
  <si>
    <t>Ameren Corp.</t>
  </si>
  <si>
    <t>XRZQ5S7HYJFPHJ78L959</t>
  </si>
  <si>
    <t>US0236081024</t>
  </si>
  <si>
    <t>American Electric Power Co., Inc.</t>
  </si>
  <si>
    <t>1B4S6S7G0TW5EE83BO58</t>
  </si>
  <si>
    <t>US0255371017</t>
  </si>
  <si>
    <t>American States Water Co.</t>
  </si>
  <si>
    <t>529900L26LIS2V8PWM23</t>
  </si>
  <si>
    <t>US0298991011</t>
  </si>
  <si>
    <t>Avangrid, Inc.</t>
  </si>
  <si>
    <t>549300OX0Q38NLSKPB49</t>
  </si>
  <si>
    <t>US05351W1036</t>
  </si>
  <si>
    <t>Avista Corp.</t>
  </si>
  <si>
    <t>Q0IK63NITJD6RJ47SW96</t>
  </si>
  <si>
    <t>US05379B1070</t>
  </si>
  <si>
    <t>Black Hills Corp.</t>
  </si>
  <si>
    <t>3MGELCRSTNSAMJ962671</t>
  </si>
  <si>
    <t>US0921131092</t>
  </si>
  <si>
    <t>Brookfield Asset Management</t>
  </si>
  <si>
    <t>C6J3FGIWG6MBDGTE8F80</t>
  </si>
  <si>
    <t>CA1125851040</t>
  </si>
  <si>
    <t>CARPENTER TECHNOLOGY CORP</t>
  </si>
  <si>
    <t>DX6I6ZD3X5WNNCDJKP85</t>
  </si>
  <si>
    <t>US1442851036</t>
  </si>
  <si>
    <t>Steel</t>
  </si>
  <si>
    <t>Fe_ton</t>
  </si>
  <si>
    <t>CMS Energy Corp.</t>
  </si>
  <si>
    <t>549300IA9XFBAGNIBW29</t>
  </si>
  <si>
    <t>US1258961002</t>
  </si>
  <si>
    <t>COMMERCIAL METALS CO</t>
  </si>
  <si>
    <t>549300OQS2LO07ZJ7N73</t>
  </si>
  <si>
    <t>US2017231034</t>
  </si>
  <si>
    <t>Cleco Partners LP</t>
  </si>
  <si>
    <t>5493002H80P81B3HXL31</t>
  </si>
  <si>
    <t>US18551QAA58</t>
  </si>
  <si>
    <t>Consolidated Edison, Inc.</t>
  </si>
  <si>
    <t>54930033SBW53OO8T749</t>
  </si>
  <si>
    <t>US2091151041</t>
  </si>
  <si>
    <t>DTE Energy</t>
  </si>
  <si>
    <t>549300IX8SD6XXD71I78</t>
  </si>
  <si>
    <t>US2333311072</t>
  </si>
  <si>
    <t>Dominion Energy</t>
  </si>
  <si>
    <t>ILUL7B6Z54MRYCF6H308</t>
  </si>
  <si>
    <t>US25746U1097</t>
  </si>
  <si>
    <t>Duke Energy Corp.</t>
  </si>
  <si>
    <t>I1BZKREC126H0VB1BL91</t>
  </si>
  <si>
    <t>US26441C2044</t>
  </si>
  <si>
    <t>Entergy Corp.</t>
  </si>
  <si>
    <t>4XM3TW50JULSLG8BNC79</t>
  </si>
  <si>
    <t>US29364G1031</t>
  </si>
  <si>
    <t>Evergy, Inc.</t>
  </si>
  <si>
    <t>549300PGTHDQY6PSUI61</t>
  </si>
  <si>
    <t>US30034W1062</t>
  </si>
  <si>
    <t>Eversource Energy</t>
  </si>
  <si>
    <t>SJ7XXD41SQU3ZNWUJ746</t>
  </si>
  <si>
    <t>US30040W1080</t>
  </si>
  <si>
    <t>Exelon Corp.</t>
  </si>
  <si>
    <t>3SOUA6IRML7435B56G12</t>
  </si>
  <si>
    <t>US30161N1019</t>
  </si>
  <si>
    <t>FirstEnergy Corp.</t>
  </si>
  <si>
    <t>549300SVYJS666PQJH88</t>
  </si>
  <si>
    <t>US3379321074</t>
  </si>
  <si>
    <t>Fortis, Inc.</t>
  </si>
  <si>
    <t>549300MQYQ9Y065XPR71</t>
  </si>
  <si>
    <t>CA3495531079</t>
  </si>
  <si>
    <t>GERDAU S.A.</t>
  </si>
  <si>
    <t>254900YDV6SEQQPZVG24</t>
  </si>
  <si>
    <t>US3737371050</t>
  </si>
  <si>
    <t>BR</t>
  </si>
  <si>
    <t>Global</t>
  </si>
  <si>
    <t>Hawaiian Electric Industries, Inc.</t>
  </si>
  <si>
    <t>JJ8FWOCWCV22X7GUPJ23</t>
  </si>
  <si>
    <t>US4198701009</t>
  </si>
  <si>
    <t>MDU Resources Group</t>
  </si>
  <si>
    <t>0T6SBMK3JTBI1JR36794</t>
  </si>
  <si>
    <t>US5526901096</t>
  </si>
  <si>
    <t>NUCOR CORP</t>
  </si>
  <si>
    <t>549300GGJCRSI2TIEJ46</t>
  </si>
  <si>
    <t>US6703461052</t>
  </si>
  <si>
    <t>National Grid PLC</t>
  </si>
  <si>
    <t>8R95QZMKZLJX5Q2XR704</t>
  </si>
  <si>
    <t>US6362744095</t>
  </si>
  <si>
    <t>GB</t>
  </si>
  <si>
    <t>Europe</t>
  </si>
  <si>
    <t>Northwestern Corp.</t>
  </si>
  <si>
    <t>3BPWMBHR1R9SHUN7J795</t>
  </si>
  <si>
    <t>US6680743050</t>
  </si>
  <si>
    <t>OG&amp;E Energy Corp.</t>
  </si>
  <si>
    <t>CE5OG6JPOZMDSA0LAQ19</t>
  </si>
  <si>
    <t>US6708371033</t>
  </si>
  <si>
    <t>Otter Tail Corp.</t>
  </si>
  <si>
    <t>549300HHVBQRQUVKKD91</t>
  </si>
  <si>
    <t>US6896481032</t>
  </si>
  <si>
    <t>PG&amp;E Corp.</t>
  </si>
  <si>
    <t>8YQ2GSDWYZXO2EDN3511</t>
  </si>
  <si>
    <t>US69331C1080</t>
  </si>
  <si>
    <t>PNM Resources, Inc.</t>
  </si>
  <si>
    <t>5493003JOBJGLZSDDQ28</t>
  </si>
  <si>
    <t>US69349H1077</t>
  </si>
  <si>
    <t>POSCO</t>
  </si>
  <si>
    <t>988400E5HRVX81AYLM04</t>
  </si>
  <si>
    <t>KR7005490008</t>
  </si>
  <si>
    <t>KR</t>
  </si>
  <si>
    <t>PPL Corp.</t>
  </si>
  <si>
    <t>9N3UAJSNOUXFKQLF3V18</t>
  </si>
  <si>
    <t>US69351T1060</t>
  </si>
  <si>
    <t>Pinnacle West Capital Corp.</t>
  </si>
  <si>
    <t>TWSEY0NEDUDCKS27AH81</t>
  </si>
  <si>
    <t>US7234841010</t>
  </si>
  <si>
    <t>Portland General Electric Co.</t>
  </si>
  <si>
    <t>GJOUP9M7C39GLSK9R870</t>
  </si>
  <si>
    <t>US7365088472</t>
  </si>
  <si>
    <t>Public Service Enterprise Group</t>
  </si>
  <si>
    <t>PUSS41EMO3E6XXNV3U28</t>
  </si>
  <si>
    <t>US7445731067</t>
  </si>
  <si>
    <t>STEEL DYNAMICS INC</t>
  </si>
  <si>
    <t>549300HGGKEL4FYTTQ83</t>
  </si>
  <si>
    <t>US8581191009</t>
  </si>
  <si>
    <t>Sempra</t>
  </si>
  <si>
    <t>PBBKGKLRK5S5C0Y4T545</t>
  </si>
  <si>
    <t>US8168511090</t>
  </si>
  <si>
    <t>Southern Co.</t>
  </si>
  <si>
    <t>549300FC3G3YU2FBZD92</t>
  </si>
  <si>
    <t>US8425871071</t>
  </si>
  <si>
    <t>TC Energy Corp.</t>
  </si>
  <si>
    <t>549300UGKOFV2IWJJG27</t>
  </si>
  <si>
    <t>CA87807B1076</t>
  </si>
  <si>
    <t>TENARIS SA</t>
  </si>
  <si>
    <t>549300Y7C05BKC4HZB40</t>
  </si>
  <si>
    <t>US88031M1099</t>
  </si>
  <si>
    <t>LU</t>
  </si>
  <si>
    <t>TIMKENSTEEL CORP</t>
  </si>
  <si>
    <t>549300QZTZWHDE9HJL14</t>
  </si>
  <si>
    <t>US8873991033</t>
  </si>
  <si>
    <t>UNITED STATES STEEL CORP</t>
  </si>
  <si>
    <t>JNLUVFYJT1OZSIQ24U47</t>
  </si>
  <si>
    <t>US9129091081</t>
  </si>
  <si>
    <t>Verso Corp.</t>
  </si>
  <si>
    <t>549300FODXCTQ8DGT594</t>
  </si>
  <si>
    <t>US92531L2079</t>
  </si>
  <si>
    <t>Vistra Corp.</t>
  </si>
  <si>
    <t>549300KP43CPCUJOOG15</t>
  </si>
  <si>
    <t>US92840M1027</t>
  </si>
  <si>
    <t>WEC Energy Group</t>
  </si>
  <si>
    <t>549300IGLYTZUK3PVP70</t>
  </si>
  <si>
    <t>US92939U1060</t>
  </si>
  <si>
    <t>WORTHINGTON INDUSTRIES INC</t>
  </si>
  <si>
    <t>1WRCIANKYOIK6KYE5E82</t>
  </si>
  <si>
    <t>US9818111026</t>
  </si>
  <si>
    <t>Xcel Energy, Inc.</t>
  </si>
  <si>
    <t>LGJNMI9GH8XIDG5RCM61</t>
  </si>
  <si>
    <t>US98389B1008</t>
  </si>
  <si>
    <t>S1</t>
  </si>
  <si>
    <t>absolute</t>
  </si>
  <si>
    <t>Mt CO2/MWh</t>
  </si>
  <si>
    <t>S1+S2</t>
  </si>
  <si>
    <t xml:space="preserve"> Gt CO2</t>
  </si>
  <si>
    <t>GWh</t>
  </si>
  <si>
    <t>S1+S2+S3</t>
  </si>
  <si>
    <t>t CO2/Fe_ton</t>
  </si>
  <si>
    <t>S1+S3</t>
  </si>
  <si>
    <t>t CO2/MWh</t>
  </si>
  <si>
    <t>TWh</t>
  </si>
  <si>
    <t>M Fe_ton</t>
  </si>
  <si>
    <t>kt CO2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</si>
</sst>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8">
    <font>
      <sz val="11"/>
      <color indexed="8"/>
      <name val="Calibri"/>
      <family val="2"/>
      <scheme val="minor"/>
    </font>
    <font>
      <sz val="8"/>
      <name val="Calibri"/>
      <family val="2"/>
      <scheme val="minor"/>
    </font>
    <font>
      <b/>
      <sz val="11"/>
      <color indexed="8"/>
      <name val="Calibri"/>
      <family val="2"/>
      <scheme val="minor"/>
    </font>
    <font>
      <sz val="11"/>
      <color rgb="FFFF0000"/>
      <name val="Calibri"/>
      <family val="2"/>
      <scheme val="minor"/>
    </font>
    <font>
      <sz val="11"/>
      <color theme="0" tint="-0.34998626667073579"/>
      <name val="Calibri (Body)"/>
    </font>
    <font>
      <b/>
      <sz val="11"/>
      <name val="Calibri"/>
      <family val="2"/>
      <scheme val="minor"/>
    </font>
    <font>
      <b/>
      <sz val="11"/>
      <color theme="0" tint="-0.34998626667073579"/>
      <name val="Calibri"/>
      <family val="2"/>
      <scheme val="minor"/>
    </font>
    <font>
      <sz val="11"/>
      <color theme="0" tint="-0.34998626667073579"/>
      <name val="Calibri"/>
      <family val="2"/>
      <scheme val="minor"/>
    </font>
    <font>
      <sz val="11"/>
      <name val="Calibri"/>
      <family val="2"/>
      <scheme val="minor"/>
    </font>
    <font>
      <b/>
      <sz val="11"/>
      <color rgb="FF000000"/>
      <name val="Calibri"/>
      <family val="2"/>
      <scheme val="minor"/>
    </font>
    <font>
      <sz val="11"/>
      <color rgb="FF000000"/>
      <name val="Calibri"/>
      <family val="2"/>
      <scheme val="minor"/>
    </font>
    <font>
      <i/>
      <sz val="11"/>
      <color rgb="FFFF0000"/>
      <name val="Calibri"/>
      <family val="2"/>
      <scheme val="minor"/>
    </font>
    <font>
      <b/>
      <i/>
      <sz val="11"/>
      <color theme="0" tint="-0.499984740745262"/>
      <name val="Calibri"/>
      <family val="2"/>
      <scheme val="minor"/>
    </font>
    <font>
      <i/>
      <sz val="11"/>
      <color theme="0" tint="-0.499984740745262"/>
      <name val="Calibri"/>
      <family val="2"/>
      <scheme val="minor"/>
    </font>
    <font>
      <i/>
      <sz val="11"/>
      <color rgb="FFFF0000"/>
      <name val="Calibri (Body)"/>
    </font>
    <font>
      <i/>
      <sz val="11"/>
      <color indexed="8"/>
      <name val="Calibri"/>
      <family val="2"/>
      <scheme val="minor"/>
    </font>
    <font>
      <b/>
      <sz val="11"/>
      <color theme="0" tint="-0.499984740745262"/>
      <name val="Calibri"/>
      <family val="2"/>
      <scheme val="minor"/>
    </font>
    <font>
      <sz val="10"/>
      <color indexed="8"/>
      <name val="Liberation Sans"/>
    </font>
    <font>
      <i/>
      <sz val="11"/>
      <color theme="1"/>
      <name val="Calibri"/>
      <family val="2"/>
      <scheme val="minor"/>
    </font>
    <font>
      <i/>
      <sz val="11"/>
      <color theme="1"/>
      <name val="Calibri (Body)"/>
    </font>
    <font>
      <sz val="10"/>
      <color theme="1"/>
      <name val="Liberation Sans"/>
    </font>
    <font>
      <sz val="10"/>
      <color rgb="FF000000"/>
      <name val="Tahoma"/>
      <family val="2"/>
    </font>
    <font>
      <b/>
      <sz val="10"/>
      <color rgb="FF000000"/>
      <name val="Tahoma"/>
      <family val="2"/>
    </font>
    <font>
      <sz val="9"/>
      <color indexed="8"/>
      <name val="Roboto"/>
    </font>
    <font>
      <sz val="11"/>
      <color theme="1"/>
      <name val="Calibri"/>
      <family val="2"/>
    </font>
    <font>
      <sz val="11"/>
      <color rgb="FF232323"/>
      <name val="Arial"/>
      <family val="2"/>
    </font>
    <font>
      <sz val="9"/>
      <color indexed="8"/>
      <name val="ArialMT"/>
    </font>
    <font>
      <sz val="11"/>
      <name val="Calibri"/>
      <family val="2"/>
    </font>
  </fonts>
  <fills count="14">
    <fill>
      <patternFill patternType="none"/>
    </fill>
    <fill>
      <patternFill patternType="gray125"/>
    </fill>
    <fill>
      <patternFill patternType="solid">
        <fgColor theme="7" tint="0.79998168889431442"/>
        <bgColor indexed="64"/>
      </patternFill>
    </fill>
    <fill>
      <patternFill patternType="solid">
        <fgColor theme="7"/>
        <bgColor indexed="64"/>
      </patternFill>
    </fill>
    <fill>
      <patternFill patternType="solid">
        <fgColor theme="9" tint="0.39997558519241921"/>
        <bgColor indexed="64"/>
      </patternFill>
    </fill>
    <fill>
      <patternFill patternType="solid">
        <fgColor theme="5"/>
        <bgColor indexed="64"/>
      </patternFill>
    </fill>
    <fill>
      <patternFill patternType="solid">
        <fgColor theme="6"/>
        <bgColor indexed="64"/>
      </patternFill>
    </fill>
    <fill>
      <patternFill patternType="solid">
        <fgColor theme="2"/>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4"/>
        <bgColor indexed="64"/>
      </patternFill>
    </fill>
    <fill>
      <patternFill patternType="solid">
        <fgColor theme="0" tint="-0.499984740745262"/>
        <bgColor indexed="64"/>
      </patternFill>
    </fill>
    <fill>
      <patternFill patternType="solid">
        <fgColor theme="9" tint="0.79998168889431442"/>
        <bgColor indexed="64"/>
      </patternFill>
    </fill>
    <fill>
      <patternFill patternType="solid">
        <fgColor theme="0" tint="-4.9989318521683403E-2"/>
        <bgColor indexed="64"/>
      </patternFill>
    </fill>
  </fills>
  <borders count="4">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86">
    <xf numFmtId="0" fontId="0" fillId="0" borderId="0" xfId="0"/>
    <xf numFmtId="0" fontId="0" fillId="0" borderId="0" xfId="0" applyAlignment="1">
      <alignment wrapText="1"/>
    </xf>
    <xf numFmtId="0" fontId="0" fillId="0" borderId="0" xfId="0" applyFill="1"/>
    <xf numFmtId="0" fontId="2" fillId="0" borderId="0" xfId="0" applyFont="1"/>
    <xf numFmtId="0" fontId="4" fillId="0" borderId="0" xfId="0" applyFont="1"/>
    <xf numFmtId="164" fontId="0" fillId="0" borderId="0" xfId="0" applyNumberFormat="1"/>
    <xf numFmtId="0" fontId="0" fillId="0" borderId="0" xfId="0" applyBorder="1" applyAlignment="1">
      <alignment vertical="center" wrapText="1"/>
    </xf>
    <xf numFmtId="0" fontId="0" fillId="0" borderId="0" xfId="0" applyBorder="1"/>
    <xf numFmtId="0" fontId="0" fillId="0" borderId="0" xfId="0" applyBorder="1" applyAlignment="1">
      <alignment wrapText="1"/>
    </xf>
    <xf numFmtId="0" fontId="0" fillId="0" borderId="0" xfId="0" applyFill="1" applyBorder="1"/>
    <xf numFmtId="0" fontId="2" fillId="3" borderId="0" xfId="0" applyFont="1" applyFill="1"/>
    <xf numFmtId="164" fontId="2" fillId="3" borderId="0" xfId="0" applyNumberFormat="1" applyFont="1" applyFill="1"/>
    <xf numFmtId="0" fontId="2" fillId="4" borderId="0" xfId="0" applyFont="1" applyFill="1"/>
    <xf numFmtId="0" fontId="2" fillId="5" borderId="0" xfId="0" applyFont="1" applyFill="1"/>
    <xf numFmtId="0" fontId="2" fillId="7" borderId="0" xfId="0" applyFont="1" applyFill="1"/>
    <xf numFmtId="0" fontId="2" fillId="6" borderId="0" xfId="0" applyFont="1" applyFill="1"/>
    <xf numFmtId="0" fontId="2" fillId="2" borderId="2" xfId="0" applyFont="1" applyFill="1" applyBorder="1"/>
    <xf numFmtId="0" fontId="2" fillId="2" borderId="2" xfId="0" applyFont="1" applyFill="1" applyBorder="1" applyAlignment="1">
      <alignment wrapText="1"/>
    </xf>
    <xf numFmtId="0" fontId="2" fillId="2" borderId="3" xfId="0" applyFont="1" applyFill="1" applyBorder="1"/>
    <xf numFmtId="0" fontId="5" fillId="4" borderId="0" xfId="0" applyFont="1" applyFill="1"/>
    <xf numFmtId="0" fontId="3" fillId="0" borderId="0" xfId="0" applyFont="1"/>
    <xf numFmtId="0" fontId="0" fillId="0" borderId="0" xfId="0" applyFill="1" applyBorder="1" applyAlignment="1">
      <alignment wrapText="1"/>
    </xf>
    <xf numFmtId="0" fontId="2" fillId="7" borderId="0" xfId="0" applyFont="1" applyFill="1" applyAlignment="1">
      <alignment wrapText="1"/>
    </xf>
    <xf numFmtId="0" fontId="2" fillId="8" borderId="0" xfId="0" applyFont="1" applyFill="1" applyAlignment="1">
      <alignment wrapText="1"/>
    </xf>
    <xf numFmtId="0" fontId="7" fillId="0" borderId="0" xfId="0" applyFont="1"/>
    <xf numFmtId="0" fontId="6" fillId="3" borderId="0" xfId="0" applyFont="1" applyFill="1"/>
    <xf numFmtId="0" fontId="8" fillId="0" borderId="0" xfId="0" applyFont="1"/>
    <xf numFmtId="0" fontId="5" fillId="9" borderId="0" xfId="0" applyFont="1" applyFill="1"/>
    <xf numFmtId="0" fontId="13" fillId="0" borderId="0" xfId="0" applyFont="1" applyBorder="1" applyAlignment="1">
      <alignment vertical="center" wrapText="1"/>
    </xf>
    <xf numFmtId="0" fontId="13" fillId="0" borderId="0" xfId="0" applyFont="1" applyBorder="1"/>
    <xf numFmtId="0" fontId="13" fillId="0" borderId="0" xfId="0" applyFont="1" applyFill="1" applyBorder="1"/>
    <xf numFmtId="0" fontId="0" fillId="6" borderId="0" xfId="0" applyFill="1" applyBorder="1" applyAlignment="1">
      <alignment vertical="center"/>
    </xf>
    <xf numFmtId="0" fontId="2" fillId="0" borderId="0" xfId="0" applyFont="1" applyFill="1" applyBorder="1" applyAlignment="1">
      <alignment horizontal="left" vertical="center" wrapText="1"/>
    </xf>
    <xf numFmtId="0" fontId="0" fillId="0" borderId="0" xfId="0" applyBorder="1" applyAlignment="1">
      <alignment vertical="center"/>
    </xf>
    <xf numFmtId="0" fontId="0" fillId="0" borderId="0" xfId="0" applyAlignment="1">
      <alignment vertical="center"/>
    </xf>
    <xf numFmtId="0" fontId="12" fillId="8" borderId="0" xfId="0" applyFont="1" applyFill="1" applyAlignment="1">
      <alignment wrapText="1"/>
    </xf>
    <xf numFmtId="0" fontId="13" fillId="0" borderId="0" xfId="0" applyFont="1" applyFill="1"/>
    <xf numFmtId="0" fontId="12" fillId="6" borderId="0" xfId="0" applyFont="1" applyFill="1"/>
    <xf numFmtId="0" fontId="2" fillId="2" borderId="1" xfId="0" applyFont="1" applyFill="1" applyBorder="1" applyAlignment="1">
      <alignment vertical="center"/>
    </xf>
    <xf numFmtId="0" fontId="2" fillId="2" borderId="2" xfId="0" applyFont="1" applyFill="1" applyBorder="1" applyAlignment="1">
      <alignment vertical="center" wrapText="1"/>
    </xf>
    <xf numFmtId="0" fontId="0" fillId="3" borderId="0" xfId="0" applyFill="1" applyAlignment="1">
      <alignment vertical="center"/>
    </xf>
    <xf numFmtId="0" fontId="2" fillId="0" borderId="0" xfId="0" applyFont="1" applyBorder="1" applyAlignment="1">
      <alignment horizontal="left" vertical="center" wrapText="1"/>
    </xf>
    <xf numFmtId="0" fontId="12" fillId="0" borderId="0" xfId="0" applyFont="1" applyBorder="1" applyAlignment="1">
      <alignment horizontal="left" vertical="center" wrapText="1"/>
    </xf>
    <xf numFmtId="164" fontId="2" fillId="0" borderId="0" xfId="0" applyNumberFormat="1" applyFont="1" applyBorder="1" applyAlignment="1">
      <alignment horizontal="left" vertical="center" wrapText="1"/>
    </xf>
    <xf numFmtId="0" fontId="0" fillId="4" borderId="0" xfId="0" applyFont="1" applyFill="1" applyAlignment="1">
      <alignment vertical="center"/>
    </xf>
    <xf numFmtId="0" fontId="8" fillId="9" borderId="0" xfId="0" applyFont="1" applyFill="1" applyAlignment="1">
      <alignment vertical="center"/>
    </xf>
    <xf numFmtId="0" fontId="0" fillId="10" borderId="0" xfId="0" applyFill="1" applyBorder="1" applyAlignment="1">
      <alignment vertical="center" wrapText="1"/>
    </xf>
    <xf numFmtId="0" fontId="2" fillId="7" borderId="0" xfId="0" applyFont="1" applyFill="1" applyAlignment="1">
      <alignment vertical="center" wrapText="1"/>
    </xf>
    <xf numFmtId="0" fontId="2" fillId="8" borderId="0" xfId="0" applyFont="1" applyFill="1" applyAlignment="1">
      <alignment vertical="center" wrapText="1"/>
    </xf>
    <xf numFmtId="0" fontId="2" fillId="11" borderId="0" xfId="0" applyFont="1" applyFill="1" applyAlignment="1">
      <alignment vertical="center" wrapText="1"/>
    </xf>
    <xf numFmtId="0" fontId="0" fillId="5" borderId="0" xfId="0" applyFill="1" applyBorder="1" applyAlignment="1">
      <alignment vertical="center" wrapText="1"/>
    </xf>
    <xf numFmtId="0" fontId="0" fillId="0" borderId="0" xfId="0" applyAlignment="1">
      <alignment vertical="center" wrapText="1"/>
    </xf>
    <xf numFmtId="0" fontId="12" fillId="7" borderId="0" xfId="0" applyFont="1" applyFill="1"/>
    <xf numFmtId="0" fontId="11" fillId="0" borderId="0" xfId="0" applyFont="1" applyFill="1"/>
    <xf numFmtId="0" fontId="11" fillId="0" borderId="0" xfId="0" applyFont="1"/>
    <xf numFmtId="0" fontId="14" fillId="0" borderId="0" xfId="0" applyFont="1"/>
    <xf numFmtId="0" fontId="11" fillId="0" borderId="0" xfId="0" applyFont="1" applyBorder="1" applyAlignment="1">
      <alignment wrapText="1"/>
    </xf>
    <xf numFmtId="0" fontId="15" fillId="0" borderId="0" xfId="0" applyFont="1" applyBorder="1"/>
    <xf numFmtId="0" fontId="11" fillId="0" borderId="0" xfId="0" applyFont="1" applyFill="1" applyBorder="1" applyAlignment="1">
      <alignment wrapText="1"/>
    </xf>
    <xf numFmtId="0" fontId="12" fillId="0" borderId="0" xfId="0" applyFont="1" applyFill="1" applyBorder="1" applyAlignment="1">
      <alignment horizontal="left" vertical="center" wrapText="1"/>
    </xf>
    <xf numFmtId="0" fontId="13" fillId="0" borderId="0" xfId="0" applyFont="1" applyBorder="1" applyAlignment="1">
      <alignment wrapText="1"/>
    </xf>
    <xf numFmtId="0" fontId="0" fillId="0" borderId="0" xfId="0"/>
    <xf numFmtId="0" fontId="16" fillId="4" borderId="0" xfId="0" applyFont="1" applyFill="1"/>
    <xf numFmtId="9" fontId="11" fillId="0" borderId="0" xfId="0" applyNumberFormat="1" applyFont="1"/>
    <xf numFmtId="0" fontId="10" fillId="0" borderId="0" xfId="0" applyFont="1" applyBorder="1" applyAlignment="1">
      <alignment vertical="center" wrapText="1"/>
    </xf>
    <xf numFmtId="0" fontId="2" fillId="10" borderId="0" xfId="0" applyFont="1" applyFill="1" applyBorder="1" applyAlignment="1">
      <alignment vertical="center" wrapText="1"/>
    </xf>
    <xf numFmtId="0" fontId="0" fillId="0" borderId="0" xfId="0" applyFont="1" applyBorder="1" applyAlignment="1">
      <alignment horizontal="left" vertical="center" wrapText="1"/>
    </xf>
    <xf numFmtId="0" fontId="0" fillId="0" borderId="0" xfId="0" applyFont="1" applyFill="1" applyBorder="1" applyAlignment="1">
      <alignment horizontal="left" vertical="center" wrapText="1"/>
    </xf>
    <xf numFmtId="0" fontId="10" fillId="0" borderId="0" xfId="0" applyFont="1"/>
    <xf numFmtId="0" fontId="0" fillId="12" borderId="0" xfId="0" applyFill="1"/>
    <xf numFmtId="0" fontId="17" fillId="0" borderId="0" xfId="0" applyFont="1"/>
    <xf numFmtId="0" fontId="18" fillId="0" borderId="0" xfId="0" applyFont="1"/>
    <xf numFmtId="0" fontId="19" fillId="0" borderId="0" xfId="0" applyFont="1"/>
    <xf numFmtId="0" fontId="20" fillId="0" borderId="0" xfId="0" applyFont="1"/>
    <xf numFmtId="9" fontId="18" fillId="0" borderId="0" xfId="0" applyNumberFormat="1" applyFont="1"/>
    <xf numFmtId="9" fontId="0" fillId="0" borderId="0" xfId="0" applyNumberFormat="1"/>
    <xf numFmtId="3" fontId="0" fillId="0" borderId="0" xfId="0" applyNumberFormat="1"/>
    <xf numFmtId="0" fontId="0" fillId="13" borderId="0" xfId="0" applyFill="1"/>
    <xf numFmtId="3" fontId="0" fillId="0" borderId="0" xfId="0" applyNumberFormat="1" applyFill="1"/>
    <xf numFmtId="3" fontId="0" fillId="0" borderId="0" xfId="0" applyNumberFormat="1" applyAlignment="1">
      <alignment horizontal="right"/>
    </xf>
    <xf numFmtId="3" fontId="23" fillId="0" borderId="0" xfId="0" applyNumberFormat="1" applyFont="1"/>
    <xf numFmtId="3" fontId="25" fillId="0" borderId="0" xfId="0" applyNumberFormat="1" applyFont="1"/>
    <xf numFmtId="3" fontId="26" fillId="0" borderId="0" xfId="0" applyNumberFormat="1" applyFont="1"/>
    <xf numFmtId="3" fontId="27" fillId="0" borderId="0" xfId="0" applyNumberFormat="1" applyFont="1" applyAlignment="1">
      <alignment horizontal="right" vertical="top"/>
    </xf>
    <xf numFmtId="3" fontId="24" fillId="0" borderId="0" xfId="0" applyNumberFormat="1" applyFont="1" applyAlignment="1">
      <alignment horizontal="right" vertical="top"/>
    </xf>
    <xf numFmtId="3" fontId="0" fillId="0" borderId="0" xfId="0" applyNumberFormat="1" applyAlignment="1">
      <alignmen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0</xdr:col>
      <xdr:colOff>425450</xdr:colOff>
      <xdr:row>1</xdr:row>
      <xdr:rowOff>57149</xdr:rowOff>
    </xdr:from>
    <xdr:to>
      <xdr:col>10</xdr:col>
      <xdr:colOff>63500</xdr:colOff>
      <xdr:row>52</xdr:row>
      <xdr:rowOff>118532</xdr:rowOff>
    </xdr:to>
    <xdr:sp macro="" textlink="">
      <xdr:nvSpPr>
        <xdr:cNvPr id="2" name="TextBox 1">
          <a:extLst>
            <a:ext uri="{FF2B5EF4-FFF2-40B4-BE49-F238E27FC236}">
              <a16:creationId xmlns:a16="http://schemas.microsoft.com/office/drawing/2014/main" id="{BB4DA1BD-925A-4AB4-9F0D-EC4CB4895AFB}"/>
            </a:ext>
          </a:extLst>
        </xdr:cNvPr>
        <xdr:cNvSpPr txBox="1"/>
      </xdr:nvSpPr>
      <xdr:spPr>
        <a:xfrm>
          <a:off x="425450" y="247649"/>
          <a:ext cx="6369050" cy="977688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ITR</a:t>
          </a:r>
          <a:r>
            <a:rPr lang="en-US" sz="1100" b="1" baseline="0"/>
            <a:t> Input data template </a:t>
          </a:r>
        </a:p>
        <a:p>
          <a:endParaRPr lang="en-US" sz="1100" b="1" baseline="0"/>
        </a:p>
        <a:p>
          <a:r>
            <a:rPr lang="en-US" sz="1100" b="0" baseline="0"/>
            <a:t>The ITR tool can compute the temperature alignment equivalent for companies in four highest emitting sectors: Utilities, Steel, Oil and Gas and Automobiles.</a:t>
          </a:r>
        </a:p>
        <a:p>
          <a:endParaRPr lang="en-US" sz="1100" b="0" baseline="0"/>
        </a:p>
        <a:p>
          <a:r>
            <a:rPr lang="en-US" sz="1100" b="0" i="0">
              <a:solidFill>
                <a:schemeClr val="dk1"/>
              </a:solidFill>
              <a:effectLst/>
              <a:latin typeface="+mn-lt"/>
              <a:ea typeface="+mn-ea"/>
              <a:cs typeface="+mn-cs"/>
            </a:rPr>
            <a:t>To calculate  temperature alignment</a:t>
          </a:r>
          <a:r>
            <a:rPr lang="en-US" sz="1100" b="0" i="0" baseline="0">
              <a:solidFill>
                <a:schemeClr val="dk1"/>
              </a:solidFill>
              <a:effectLst/>
              <a:latin typeface="+mn-lt"/>
              <a:ea typeface="+mn-ea"/>
              <a:cs typeface="+mn-cs"/>
            </a:rPr>
            <a:t> </a:t>
          </a:r>
          <a:r>
            <a:rPr lang="en-US" sz="1100" b="0" i="0">
              <a:solidFill>
                <a:schemeClr val="dk1"/>
              </a:solidFill>
              <a:effectLst/>
              <a:latin typeface="+mn-lt"/>
              <a:ea typeface="+mn-ea"/>
              <a:cs typeface="+mn-cs"/>
            </a:rPr>
            <a:t>scores, the tool requires several types of data, in 2 separate tabs:</a:t>
          </a:r>
          <a:endParaRPr lang="en-US">
            <a:effectLst/>
          </a:endParaRPr>
        </a:p>
        <a:p>
          <a:r>
            <a:rPr lang="en-US" sz="1100" b="0" i="1">
              <a:solidFill>
                <a:schemeClr val="dk1"/>
              </a:solidFill>
              <a:effectLst/>
              <a:latin typeface="+mn-lt"/>
              <a:ea typeface="+mn-ea"/>
              <a:cs typeface="+mn-cs"/>
            </a:rPr>
            <a:t>- </a:t>
          </a:r>
          <a:r>
            <a:rPr lang="en-US" sz="1100" b="0" i="1" u="sng">
              <a:solidFill>
                <a:schemeClr val="dk1"/>
              </a:solidFill>
              <a:effectLst/>
              <a:latin typeface="+mn-lt"/>
              <a:ea typeface="+mn-ea"/>
              <a:cs typeface="+mn-cs"/>
            </a:rPr>
            <a:t>ITR</a:t>
          </a:r>
          <a:r>
            <a:rPr lang="en-US" sz="1100" b="0" i="1" u="sng" baseline="0">
              <a:solidFill>
                <a:schemeClr val="dk1"/>
              </a:solidFill>
              <a:effectLst/>
              <a:latin typeface="+mn-lt"/>
              <a:ea typeface="+mn-ea"/>
              <a:cs typeface="+mn-cs"/>
            </a:rPr>
            <a:t> Input data</a:t>
          </a:r>
          <a:r>
            <a:rPr lang="en-US" sz="1100" b="0" i="0" baseline="0">
              <a:solidFill>
                <a:schemeClr val="dk1"/>
              </a:solidFill>
              <a:effectLst/>
              <a:latin typeface="+mn-lt"/>
              <a:ea typeface="+mn-ea"/>
              <a:cs typeface="+mn-cs"/>
            </a:rPr>
            <a:t>:</a:t>
          </a:r>
          <a:endParaRPr lang="en-US">
            <a:effectLst/>
          </a:endParaRPr>
        </a:p>
        <a:p>
          <a:r>
            <a:rPr lang="en-US" sz="1100" b="1" i="0">
              <a:solidFill>
                <a:schemeClr val="dk1"/>
              </a:solidFill>
              <a:effectLst/>
              <a:latin typeface="+mn-lt"/>
              <a:ea typeface="+mn-ea"/>
              <a:cs typeface="+mn-cs"/>
            </a:rPr>
            <a:t>Fundamental data:</a:t>
          </a:r>
          <a:r>
            <a:rPr lang="en-US" sz="1100" b="1" i="0" baseline="0">
              <a:solidFill>
                <a:schemeClr val="dk1"/>
              </a:solidFill>
              <a:effectLst/>
              <a:latin typeface="+mn-lt"/>
              <a:ea typeface="+mn-ea"/>
              <a:cs typeface="+mn-cs"/>
            </a:rPr>
            <a:t> </a:t>
          </a:r>
          <a:r>
            <a:rPr lang="en-US" sz="1100" b="0" i="0">
              <a:solidFill>
                <a:schemeClr val="dk1"/>
              </a:solidFill>
              <a:effectLst/>
              <a:latin typeface="+mn-lt"/>
              <a:ea typeface="+mn-ea"/>
              <a:cs typeface="+mn-cs"/>
            </a:rPr>
            <a:t>information on a security level about your investments such as name, identifiers, and investment values.</a:t>
          </a:r>
          <a:endParaRPr lang="en-US">
            <a:effectLst/>
          </a:endParaRPr>
        </a:p>
        <a:p>
          <a:r>
            <a:rPr lang="en-US" sz="1100" b="1" i="0">
              <a:solidFill>
                <a:schemeClr val="dk1"/>
              </a:solidFill>
              <a:effectLst/>
              <a:latin typeface="+mn-lt"/>
              <a:ea typeface="+mn-ea"/>
              <a:cs typeface="+mn-cs"/>
            </a:rPr>
            <a:t>Emissions</a:t>
          </a:r>
          <a:r>
            <a:rPr lang="en-US" sz="1100" b="1" i="0" baseline="0">
              <a:solidFill>
                <a:schemeClr val="dk1"/>
              </a:solidFill>
              <a:effectLst/>
              <a:latin typeface="+mn-lt"/>
              <a:ea typeface="+mn-ea"/>
              <a:cs typeface="+mn-cs"/>
            </a:rPr>
            <a:t> data: </a:t>
          </a:r>
          <a:r>
            <a:rPr lang="en-US" sz="1100" b="0" i="0">
              <a:solidFill>
                <a:schemeClr val="dk1"/>
              </a:solidFill>
              <a:effectLst/>
              <a:latin typeface="+mn-lt"/>
              <a:ea typeface="+mn-ea"/>
              <a:cs typeface="+mn-cs"/>
            </a:rPr>
            <a:t>Reported GHG emissions for the past 5 years (timeseries)</a:t>
          </a:r>
          <a:r>
            <a:rPr lang="en-US" sz="1100" b="0" i="0" baseline="0">
              <a:solidFill>
                <a:schemeClr val="dk1"/>
              </a:solidFill>
              <a:effectLst/>
              <a:latin typeface="+mn-lt"/>
              <a:ea typeface="+mn-ea"/>
              <a:cs typeface="+mn-cs"/>
            </a:rPr>
            <a:t> for scope 1 and scope 2 of investee companies </a:t>
          </a:r>
          <a:endParaRPr lang="en-US">
            <a:effectLst/>
          </a:endParaRPr>
        </a:p>
        <a:p>
          <a:r>
            <a:rPr lang="en-US" sz="1100" b="1" i="0" baseline="0">
              <a:solidFill>
                <a:schemeClr val="dk1"/>
              </a:solidFill>
              <a:effectLst/>
              <a:latin typeface="+mn-lt"/>
              <a:ea typeface="+mn-ea"/>
              <a:cs typeface="+mn-cs"/>
            </a:rPr>
            <a:t>Production data</a:t>
          </a:r>
          <a:r>
            <a:rPr lang="en-US" sz="1100" b="0" i="0" baseline="0">
              <a:solidFill>
                <a:schemeClr val="dk1"/>
              </a:solidFill>
              <a:effectLst/>
              <a:latin typeface="+mn-lt"/>
              <a:ea typeface="+mn-ea"/>
              <a:cs typeface="+mn-cs"/>
            </a:rPr>
            <a:t>: reported production data specific to each sector of investee companies, for the past 5 years</a:t>
          </a:r>
          <a:endParaRPr lang="en-US">
            <a:effectLst/>
          </a:endParaRPr>
        </a:p>
        <a:p>
          <a:r>
            <a:rPr lang="en-US" sz="1100" b="0" i="1" baseline="0">
              <a:solidFill>
                <a:schemeClr val="dk1"/>
              </a:solidFill>
              <a:effectLst/>
              <a:latin typeface="+mn-lt"/>
              <a:ea typeface="+mn-ea"/>
              <a:cs typeface="+mn-cs"/>
            </a:rPr>
            <a:t>- </a:t>
          </a:r>
          <a:r>
            <a:rPr lang="en-US" sz="1100" b="0" i="1" u="sng" baseline="0">
              <a:solidFill>
                <a:schemeClr val="dk1"/>
              </a:solidFill>
              <a:effectLst/>
              <a:latin typeface="+mn-lt"/>
              <a:ea typeface="+mn-ea"/>
              <a:cs typeface="+mn-cs"/>
            </a:rPr>
            <a:t>ITR Target input data:</a:t>
          </a:r>
          <a:endParaRPr lang="en-US">
            <a:effectLst/>
          </a:endParaRPr>
        </a:p>
        <a:p>
          <a:pPr eaLnBrk="1" fontAlgn="auto" latinLnBrk="0" hangingPunct="1"/>
          <a:r>
            <a:rPr lang="en-US" sz="1100" b="1" i="0">
              <a:solidFill>
                <a:schemeClr val="dk1"/>
              </a:solidFill>
              <a:effectLst/>
              <a:latin typeface="+mn-lt"/>
              <a:ea typeface="+mn-ea"/>
              <a:cs typeface="+mn-cs"/>
            </a:rPr>
            <a:t>Target data: </a:t>
          </a:r>
          <a:r>
            <a:rPr lang="en-US" sz="1100" b="0" i="0">
              <a:solidFill>
                <a:schemeClr val="dk1"/>
              </a:solidFill>
              <a:effectLst/>
              <a:latin typeface="+mn-lt"/>
              <a:ea typeface="+mn-ea"/>
              <a:cs typeface="+mn-cs"/>
            </a:rPr>
            <a:t>Data about the</a:t>
          </a:r>
          <a:r>
            <a:rPr lang="en-US" sz="1100" b="0" i="0" baseline="0">
              <a:solidFill>
                <a:schemeClr val="dk1"/>
              </a:solidFill>
              <a:effectLst/>
              <a:latin typeface="+mn-lt"/>
              <a:ea typeface="+mn-ea"/>
              <a:cs typeface="+mn-cs"/>
            </a:rPr>
            <a:t> scope &amp; characteristics of the target set by</a:t>
          </a:r>
          <a:r>
            <a:rPr lang="en-US" sz="1100" b="0" i="0">
              <a:solidFill>
                <a:schemeClr val="dk1"/>
              </a:solidFill>
              <a:effectLst/>
              <a:latin typeface="+mn-lt"/>
              <a:ea typeface="+mn-ea"/>
              <a:cs typeface="+mn-cs"/>
            </a:rPr>
            <a:t> investee companies</a:t>
          </a:r>
          <a:endParaRPr lang="en-US">
            <a:effectLst/>
          </a:endParaRPr>
        </a:p>
        <a:p>
          <a:endParaRPr lang="en-US" sz="1100" b="1" i="0" baseline="0">
            <a:solidFill>
              <a:schemeClr val="dk1"/>
            </a:solidFill>
            <a:effectLst/>
            <a:latin typeface="+mn-lt"/>
            <a:ea typeface="+mn-ea"/>
            <a:cs typeface="+mn-cs"/>
          </a:endParaRPr>
        </a:p>
        <a:p>
          <a:r>
            <a:rPr lang="en-US" sz="1100" b="0" i="0">
              <a:solidFill>
                <a:schemeClr val="dk1"/>
              </a:solidFill>
              <a:effectLst/>
              <a:latin typeface="+mn-lt"/>
              <a:ea typeface="+mn-ea"/>
              <a:cs typeface="+mn-cs"/>
            </a:rPr>
            <a:t>As a user,</a:t>
          </a:r>
          <a:r>
            <a:rPr lang="en-US" sz="1100" b="0" i="0" baseline="0">
              <a:solidFill>
                <a:schemeClr val="dk1"/>
              </a:solidFill>
              <a:effectLst/>
              <a:latin typeface="+mn-lt"/>
              <a:ea typeface="+mn-ea"/>
              <a:cs typeface="+mn-cs"/>
            </a:rPr>
            <a:t> you will need to supply information about the portfolio and all investee companies on a security level in the "</a:t>
          </a:r>
          <a:r>
            <a:rPr lang="en-US" sz="1100" b="1" i="0" baseline="0">
              <a:solidFill>
                <a:schemeClr val="dk1"/>
              </a:solidFill>
              <a:effectLst/>
              <a:latin typeface="+mn-lt"/>
              <a:ea typeface="+mn-ea"/>
              <a:cs typeface="+mn-cs"/>
            </a:rPr>
            <a:t>ITR input data</a:t>
          </a:r>
          <a:r>
            <a:rPr lang="en-US" sz="1100" b="0" i="0" baseline="0">
              <a:solidFill>
                <a:schemeClr val="dk1"/>
              </a:solidFill>
              <a:effectLst/>
              <a:latin typeface="+mn-lt"/>
              <a:ea typeface="+mn-ea"/>
              <a:cs typeface="+mn-cs"/>
            </a:rPr>
            <a:t>" tab and in the "</a:t>
          </a:r>
          <a:r>
            <a:rPr lang="en-US" sz="1100" b="1" i="0" baseline="0">
              <a:solidFill>
                <a:schemeClr val="dk1"/>
              </a:solidFill>
              <a:effectLst/>
              <a:latin typeface="+mn-lt"/>
              <a:ea typeface="+mn-ea"/>
              <a:cs typeface="+mn-cs"/>
            </a:rPr>
            <a:t>ITR target input data</a:t>
          </a:r>
          <a:r>
            <a:rPr lang="en-US" sz="1100" b="0" i="0" baseline="0">
              <a:solidFill>
                <a:schemeClr val="dk1"/>
              </a:solidFill>
              <a:effectLst/>
              <a:latin typeface="+mn-lt"/>
              <a:ea typeface="+mn-ea"/>
              <a:cs typeface="+mn-cs"/>
            </a:rPr>
            <a:t>" tab. The </a:t>
          </a:r>
          <a:r>
            <a:rPr lang="en-US" sz="1100" b="1" i="0" baseline="0">
              <a:solidFill>
                <a:schemeClr val="dk1"/>
              </a:solidFill>
              <a:effectLst/>
              <a:latin typeface="+mn-lt"/>
              <a:ea typeface="+mn-ea"/>
              <a:cs typeface="+mn-cs"/>
            </a:rPr>
            <a:t>input data </a:t>
          </a:r>
          <a:r>
            <a:rPr lang="en-US" sz="1100" b="0" i="0" baseline="0">
              <a:solidFill>
                <a:schemeClr val="dk1"/>
              </a:solidFill>
              <a:effectLst/>
              <a:latin typeface="+mn-lt"/>
              <a:ea typeface="+mn-ea"/>
              <a:cs typeface="+mn-cs"/>
            </a:rPr>
            <a:t>includes both fundamental data as well as historic information on emissions and production levels for the past 5 years that are required to compute ITR results.</a:t>
          </a:r>
          <a:r>
            <a:rPr lang="en-US" sz="1100" b="0" i="0">
              <a:solidFill>
                <a:schemeClr val="dk1"/>
              </a:solidFill>
              <a:effectLst/>
              <a:latin typeface="+mn-lt"/>
              <a:ea typeface="+mn-ea"/>
              <a:cs typeface="+mn-cs"/>
            </a:rPr>
            <a:t> The target data includes </a:t>
          </a:r>
          <a:r>
            <a:rPr lang="en-US" sz="1100" b="1" i="0">
              <a:solidFill>
                <a:schemeClr val="dk1"/>
              </a:solidFill>
              <a:effectLst/>
              <a:latin typeface="+mn-lt"/>
              <a:ea typeface="+mn-ea"/>
              <a:cs typeface="+mn-cs"/>
            </a:rPr>
            <a:t>reduction ambition, scope, begin and end year of the target </a:t>
          </a:r>
          <a:r>
            <a:rPr lang="en-US" sz="1100" b="0" i="0">
              <a:solidFill>
                <a:schemeClr val="dk1"/>
              </a:solidFill>
              <a:effectLst/>
              <a:latin typeface="+mn-lt"/>
              <a:ea typeface="+mn-ea"/>
              <a:cs typeface="+mn-cs"/>
            </a:rPr>
            <a:t>also required</a:t>
          </a:r>
          <a:r>
            <a:rPr lang="en-US" sz="1100" b="0" i="0" baseline="0">
              <a:solidFill>
                <a:schemeClr val="dk1"/>
              </a:solidFill>
              <a:effectLst/>
              <a:latin typeface="+mn-lt"/>
              <a:ea typeface="+mn-ea"/>
              <a:cs typeface="+mn-cs"/>
            </a:rPr>
            <a:t> to compute the ITR result. </a:t>
          </a:r>
        </a:p>
        <a:p>
          <a:endParaRPr lang="en-US" sz="1100" b="0" i="0" baseline="0">
            <a:solidFill>
              <a:schemeClr val="dk1"/>
            </a:solidFill>
            <a:effectLst/>
            <a:latin typeface="+mn-lt"/>
            <a:ea typeface="+mn-ea"/>
            <a:cs typeface="+mn-cs"/>
          </a:endParaRPr>
        </a:p>
        <a:p>
          <a:r>
            <a:rPr lang="en-US" sz="1100" b="0" i="0" baseline="0">
              <a:solidFill>
                <a:schemeClr val="dk1"/>
              </a:solidFill>
              <a:effectLst/>
              <a:latin typeface="+mn-lt"/>
              <a:ea typeface="+mn-ea"/>
              <a:cs typeface="+mn-cs"/>
            </a:rPr>
            <a:t>Once you have filled the input and target templates... </a:t>
          </a:r>
        </a:p>
        <a:p>
          <a:endParaRPr lang="en-US" sz="1100" b="0" i="0" baseline="0">
            <a:solidFill>
              <a:schemeClr val="dk1"/>
            </a:solidFill>
            <a:effectLst/>
            <a:latin typeface="+mn-lt"/>
            <a:ea typeface="+mn-ea"/>
            <a:cs typeface="+mn-cs"/>
          </a:endParaRPr>
        </a:p>
        <a:p>
          <a:r>
            <a:rPr lang="en-US" sz="1100" b="0" i="0" baseline="0">
              <a:solidFill>
                <a:schemeClr val="dk1"/>
              </a:solidFill>
              <a:effectLst/>
              <a:latin typeface="+mn-lt"/>
              <a:ea typeface="+mn-ea"/>
              <a:cs typeface="+mn-cs"/>
            </a:rPr>
            <a:t>The tool comes with several scenarios related to emission intensity and production projections from OECM and TPI.  It is possible to add other benchmark scenarios to the tool, but beyond the scope of this document.</a:t>
          </a:r>
        </a:p>
        <a:p>
          <a:r>
            <a:rPr lang="en-US" sz="1100" b="0" i="0" baseline="0">
              <a:solidFill>
                <a:schemeClr val="dk1"/>
              </a:solidFill>
              <a:effectLst/>
              <a:latin typeface="+mn-lt"/>
              <a:ea typeface="+mn-ea"/>
              <a:cs typeface="+mn-cs"/>
            </a:rPr>
            <a:t>Please contact the ITR tool team if you would like to add additional scenarios for testing or evaluation purposes.</a:t>
          </a:r>
        </a:p>
        <a:p>
          <a:endParaRPr lang="en-US" sz="1100" b="0" i="0" baseline="0">
            <a:solidFill>
              <a:schemeClr val="dk1"/>
            </a:solidFill>
            <a:effectLst/>
            <a:latin typeface="+mn-lt"/>
            <a:ea typeface="+mn-ea"/>
            <a:cs typeface="+mn-cs"/>
          </a:endParaRPr>
        </a:p>
        <a:p>
          <a:r>
            <a:rPr lang="en-US" sz="1100" b="0" i="0" baseline="0">
              <a:solidFill>
                <a:schemeClr val="dk1"/>
              </a:solidFill>
              <a:effectLst/>
              <a:latin typeface="+mn-lt"/>
              <a:ea typeface="+mn-ea"/>
              <a:cs typeface="+mn-cs"/>
            </a:rPr>
            <a:t>The tool will compute projections based on benchmark projections, as well as both stated targets (target projections) and an extrapolation of the past 5 years of performance (trajectory projections).  The target projections are computed against both near-term (typically 2030) and long-term goals (stated netzero attainment goals, typically 2040 or 2050). With those projections computed, the tool will calculate the Implied Temperature Rise of each portfolio company as pair of temperature scores that that the user can then evaluate in a number of ways.</a:t>
          </a:r>
          <a:endParaRPr lang="en-US" sz="1100" b="0" i="0" baseline="0">
            <a:solidFill>
              <a:srgbClr val="FF0000"/>
            </a:solidFill>
            <a:effectLst/>
            <a:latin typeface="+mn-lt"/>
            <a:ea typeface="+mn-ea"/>
            <a:cs typeface="+mn-cs"/>
          </a:endParaRPr>
        </a:p>
        <a:p>
          <a:endParaRPr lang="en-US" sz="1100" b="0" i="0" baseline="0">
            <a:solidFill>
              <a:schemeClr val="dk1"/>
            </a:solidFill>
            <a:effectLst/>
            <a:latin typeface="+mn-lt"/>
            <a:ea typeface="+mn-ea"/>
            <a:cs typeface="+mn-cs"/>
          </a:endParaRPr>
        </a:p>
        <a:p>
          <a:r>
            <a:rPr lang="en-US" sz="1100" b="0" i="0" baseline="0">
              <a:solidFill>
                <a:schemeClr val="dk1"/>
              </a:solidFill>
              <a:effectLst/>
              <a:latin typeface="+mn-lt"/>
              <a:ea typeface="+mn-ea"/>
              <a:cs typeface="+mn-cs"/>
            </a:rPr>
            <a:t>Output:</a:t>
          </a:r>
        </a:p>
        <a:p>
          <a:endParaRPr lang="en-US" sz="1100" b="0" i="0" baseline="0">
            <a:solidFill>
              <a:schemeClr val="dk1"/>
            </a:solidFill>
            <a:effectLst/>
            <a:latin typeface="+mn-lt"/>
            <a:ea typeface="+mn-ea"/>
            <a:cs typeface="+mn-cs"/>
          </a:endParaRPr>
        </a:p>
        <a:p>
          <a:r>
            <a:rPr lang="en-US" sz="1100" b="0" i="0" baseline="0">
              <a:solidFill>
                <a:schemeClr val="dk1"/>
              </a:solidFill>
              <a:effectLst/>
              <a:latin typeface="+mn-lt"/>
              <a:ea typeface="+mn-ea"/>
              <a:cs typeface="+mn-cs"/>
            </a:rPr>
            <a:t>The GUI of the tool allows the user to assign, on a position-by-position basis,  a probability that the subject company will succeed in hitting their (presumably more aggressive) stated targets vs. merely continuing on the path of the past 5 years of carbon reductions.  When probabilities are not set the tool assigns a probability of 50%.</a:t>
          </a:r>
        </a:p>
        <a:p>
          <a:endParaRPr lang="en-US" sz="1100" b="0" i="0" baseline="0">
            <a:solidFill>
              <a:schemeClr val="dk1"/>
            </a:solidFill>
            <a:effectLst/>
            <a:latin typeface="+mn-lt"/>
            <a:ea typeface="+mn-ea"/>
            <a:cs typeface="+mn-cs"/>
          </a:endParaRPr>
        </a:p>
        <a:p>
          <a:r>
            <a:rPr lang="en-US" sz="1100" b="0" i="0" baseline="0">
              <a:solidFill>
                <a:schemeClr val="dk1"/>
              </a:solidFill>
              <a:effectLst/>
              <a:latin typeface="+mn-lt"/>
              <a:ea typeface="+mn-ea"/>
              <a:cs typeface="+mn-cs"/>
            </a:rPr>
            <a:t>The user can also select how they want to weight each position's temperature score to compute an overall temperature score for their portfolio.  The effects of the weightings can be visualized in the tools GUI, and can also be downloaded as an additional column of data as an enrichment to the submitted portfolio.  The weighting methods are:</a:t>
          </a:r>
        </a:p>
        <a:p>
          <a:r>
            <a:rPr lang="en-US" sz="1100" b="0" i="0" baseline="0">
              <a:solidFill>
                <a:schemeClr val="dk1"/>
              </a:solidFill>
              <a:effectLst/>
              <a:latin typeface="+mn-lt"/>
              <a:ea typeface="+mn-ea"/>
              <a:cs typeface="+mn-cs"/>
            </a:rPr>
            <a:t>* WATS = weighted average size of position in portfolio</a:t>
          </a:r>
        </a:p>
        <a:p>
          <a:r>
            <a:rPr lang="en-US" sz="1100" b="0" i="0" baseline="0">
              <a:solidFill>
                <a:schemeClr val="dk1"/>
              </a:solidFill>
              <a:effectLst/>
              <a:latin typeface="+mn-lt"/>
              <a:ea typeface="+mn-ea"/>
              <a:cs typeface="+mn-cs"/>
            </a:rPr>
            <a:t>* TETS = weighted based on total emissions</a:t>
          </a:r>
        </a:p>
        <a:p>
          <a:r>
            <a:rPr lang="en-US" sz="1100" b="0" i="0" baseline="0">
              <a:solidFill>
                <a:schemeClr val="dk1"/>
              </a:solidFill>
              <a:effectLst/>
              <a:latin typeface="+mn-lt"/>
              <a:ea typeface="+mn-ea"/>
              <a:cs typeface="+mn-cs"/>
            </a:rPr>
            <a:t>* MOTS = market cap weights</a:t>
          </a:r>
        </a:p>
        <a:p>
          <a:r>
            <a:rPr lang="en-US" sz="1100" b="0" i="0" baseline="0">
              <a:solidFill>
                <a:schemeClr val="dk1"/>
              </a:solidFill>
              <a:effectLst/>
              <a:latin typeface="+mn-lt"/>
              <a:ea typeface="+mn-ea"/>
              <a:cs typeface="+mn-cs"/>
            </a:rPr>
            <a:t>* EOTS = enterprise value weights</a:t>
          </a:r>
        </a:p>
        <a:p>
          <a:r>
            <a:rPr lang="en-US" sz="1100" b="0" i="0" baseline="0">
              <a:solidFill>
                <a:schemeClr val="dk1"/>
              </a:solidFill>
              <a:effectLst/>
              <a:latin typeface="+mn-lt"/>
              <a:ea typeface="+mn-ea"/>
              <a:cs typeface="+mn-cs"/>
            </a:rPr>
            <a:t>* ECOTS = EVIC weights</a:t>
          </a:r>
        </a:p>
        <a:p>
          <a:r>
            <a:rPr lang="en-US" sz="1100" b="0" i="0" baseline="0">
              <a:solidFill>
                <a:schemeClr val="dk1"/>
              </a:solidFill>
              <a:effectLst/>
              <a:latin typeface="+mn-lt"/>
              <a:ea typeface="+mn-ea"/>
              <a:cs typeface="+mn-cs"/>
            </a:rPr>
            <a:t>* AOTS = asset weights</a:t>
          </a:r>
        </a:p>
        <a:p>
          <a:r>
            <a:rPr lang="en-US" sz="1100" b="0" i="0" baseline="0">
              <a:solidFill>
                <a:schemeClr val="dk1"/>
              </a:solidFill>
              <a:effectLst/>
              <a:latin typeface="+mn-lt"/>
              <a:ea typeface="+mn-ea"/>
              <a:cs typeface="+mn-cs"/>
            </a:rPr>
            <a:t>* ROTS = revenue weights</a:t>
          </a:r>
          <a:endParaRPr lang="en-US" sz="1100" b="0" i="0" baseline="0">
            <a:solidFill>
              <a:schemeClr val="accent2"/>
            </a:solidFill>
            <a:effectLst/>
            <a:latin typeface="+mn-lt"/>
            <a:ea typeface="+mn-ea"/>
            <a:cs typeface="+mn-cs"/>
          </a:endParaRPr>
        </a:p>
        <a:p>
          <a:endParaRPr lang="en-US" sz="1100" b="0" i="0" baseline="0">
            <a:solidFill>
              <a:schemeClr val="dk1"/>
            </a:solidFill>
            <a:effectLst/>
            <a:latin typeface="+mn-lt"/>
            <a:ea typeface="+mn-ea"/>
            <a:cs typeface="+mn-cs"/>
          </a:endParaRPr>
        </a:p>
        <a:p>
          <a:r>
            <a:rPr lang="en-US" sz="1100" b="0" i="1" baseline="0">
              <a:solidFill>
                <a:schemeClr val="dk1"/>
              </a:solidFill>
              <a:effectLst/>
              <a:latin typeface="+mn-lt"/>
              <a:ea typeface="+mn-ea"/>
              <a:cs typeface="+mn-cs"/>
            </a:rPr>
            <a:t>If you have any questions, please reach out to: </a:t>
          </a:r>
        </a:p>
        <a:p>
          <a:r>
            <a:rPr lang="en-US" sz="1100" b="0" i="0" baseline="0">
              <a:solidFill>
                <a:schemeClr val="dk1"/>
              </a:solidFill>
              <a:effectLst/>
              <a:latin typeface="+mn-lt"/>
              <a:ea typeface="+mn-ea"/>
              <a:cs typeface="+mn-cs"/>
            </a:rPr>
            <a:t>Franz.Croonenbrock@metafinanz.de</a:t>
          </a:r>
        </a:p>
        <a:p>
          <a:r>
            <a:rPr lang="en-US" sz="1100" b="0" i="0" baseline="0">
              <a:solidFill>
                <a:schemeClr val="dk1"/>
              </a:solidFill>
              <a:effectLst/>
              <a:latin typeface="+mn-lt"/>
              <a:ea typeface="+mn-ea"/>
              <a:cs typeface="+mn-cs"/>
            </a:rPr>
            <a:t>roland.oehen-kanzow@metafinanz.de</a:t>
          </a:r>
        </a:p>
        <a:p>
          <a:endParaRPr lang="en-US" sz="1100" b="0" i="0" baseline="0">
            <a:solidFill>
              <a:schemeClr val="dk1"/>
            </a:solidFill>
            <a:effectLst/>
            <a:latin typeface="+mn-lt"/>
            <a:ea typeface="+mn-ea"/>
            <a:cs typeface="+mn-cs"/>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5022A1-1FB4-4C34-9A96-60091C6220F6}">
  <dimension ref="L20:R20"/>
  <sheetViews>
    <sheetView zoomScale="200" zoomScaleNormal="200" workbookViewId="0"/>
  </sheetViews>
  <sheetFormatPr baseColWidth="10" defaultColWidth="8.83203125" defaultRowHeight="15"/>
  <sheetData>
    <row r="20" spans="12:18">
      <c r="L20" s="2"/>
      <c r="M20" s="2"/>
      <c r="N20" s="2"/>
      <c r="O20" s="2"/>
      <c r="P20" s="2"/>
      <c r="Q20" s="2"/>
      <c r="R20" s="2"/>
    </row>
  </sheetData>
  <pageMargins left="0.7" right="0.7" top="0.75" bottom="0.75" header="0.3" footer="0.3"/>
  <pageSetup paperSize="9" orientation="portrait" r:id="rId1"/>
  <headerFooter>
    <oddHeader>&amp;C&amp;"Calibri"&amp;10&amp;K000000Confidential&amp;1#</oddHeader>
  </headerFooter>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B77C2D-751E-4405-8B8F-EC57999324C2}">
  <sheetPr>
    <pageSetUpPr fitToPage="1"/>
  </sheetPr>
  <dimension ref="A1:AZ50"/>
  <sheetViews>
    <sheetView zoomScale="150" zoomScaleNormal="150" workbookViewId="0">
      <pane xSplit="1" ySplit="1" topLeftCell="B2" activePane="bottomRight" state="frozen"/>
      <selection pane="topRight" activeCell="B1" sqref="B1"/>
      <selection pane="bottomLeft" activeCell="A2" sqref="A2"/>
      <selection pane="bottomRight" activeCell="A27" sqref="A27:C27"/>
    </sheetView>
  </sheetViews>
  <sheetFormatPr baseColWidth="10" defaultColWidth="16.5" defaultRowHeight="15"/>
  <cols>
    <col min="2" max="2" width="25.5" style="4" customWidth="1"/>
    <col min="5" max="5" width="16.5" style="24"/>
    <col min="7" max="7" width="16.5" style="4"/>
    <col min="9" max="9" width="16.5" style="5"/>
    <col min="14" max="14" width="25.83203125" customWidth="1"/>
    <col min="15" max="15" width="25.83203125" style="61" customWidth="1"/>
    <col min="16" max="16" width="22.1640625" customWidth="1"/>
    <col min="17" max="21" width="16.5" customWidth="1"/>
    <col min="22" max="22" width="16.5" style="2" customWidth="1"/>
    <col min="23" max="23" width="16.5" style="36" customWidth="1"/>
    <col min="24" max="29" width="16.5" style="2" customWidth="1"/>
    <col min="30" max="30" width="16.5" style="36" customWidth="1"/>
    <col min="31" max="37" width="16.5" style="2" customWidth="1"/>
    <col min="38" max="44" width="16.5" style="2"/>
    <col min="45" max="49" width="16.83203125" style="2" customWidth="1"/>
    <col min="50" max="16384" width="16.5" style="2"/>
  </cols>
  <sheetData>
    <row r="1" spans="1:52" s="3" customFormat="1" ht="16">
      <c r="A1" s="10" t="s">
        <v>56</v>
      </c>
      <c r="B1" s="10" t="s">
        <v>57</v>
      </c>
      <c r="C1" s="10" t="s">
        <v>1</v>
      </c>
      <c r="D1" s="10" t="s">
        <v>6</v>
      </c>
      <c r="E1" s="25" t="s">
        <v>7</v>
      </c>
      <c r="F1" s="10" t="s">
        <v>27</v>
      </c>
      <c r="G1" s="25" t="s">
        <v>31</v>
      </c>
      <c r="H1" s="10" t="s">
        <v>63</v>
      </c>
      <c r="I1" s="11" t="s">
        <v>42</v>
      </c>
      <c r="J1" s="10" t="s">
        <v>39</v>
      </c>
      <c r="K1" s="10" t="s">
        <v>38</v>
      </c>
      <c r="L1" s="10" t="s">
        <v>40</v>
      </c>
      <c r="M1" s="10" t="s">
        <v>29</v>
      </c>
      <c r="N1" s="10" t="s">
        <v>41</v>
      </c>
      <c r="O1" s="65" t="s">
        <v>138</v>
      </c>
      <c r="P1" s="65" t="s">
        <v>128</v>
      </c>
      <c r="Q1" s="15" t="s">
        <v>16</v>
      </c>
      <c r="R1" s="15" t="s">
        <v>17</v>
      </c>
      <c r="S1" s="15" t="s">
        <v>18</v>
      </c>
      <c r="T1" s="15" t="s">
        <v>19</v>
      </c>
      <c r="U1" s="15" t="s">
        <v>20</v>
      </c>
      <c r="V1" s="15" t="s">
        <v>44</v>
      </c>
      <c r="W1" s="37" t="s">
        <v>51</v>
      </c>
      <c r="X1" s="23" t="s">
        <v>21</v>
      </c>
      <c r="Y1" s="23" t="s">
        <v>22</v>
      </c>
      <c r="Z1" s="23" t="s">
        <v>23</v>
      </c>
      <c r="AA1" s="23" t="s">
        <v>24</v>
      </c>
      <c r="AB1" s="23" t="s">
        <v>25</v>
      </c>
      <c r="AC1" s="23" t="s">
        <v>30</v>
      </c>
      <c r="AD1" s="35" t="s">
        <v>52</v>
      </c>
      <c r="AE1" s="22" t="s">
        <v>45</v>
      </c>
      <c r="AF1" s="14" t="s">
        <v>46</v>
      </c>
      <c r="AG1" s="14" t="s">
        <v>47</v>
      </c>
      <c r="AH1" s="14" t="s">
        <v>48</v>
      </c>
      <c r="AI1" s="14" t="s">
        <v>49</v>
      </c>
      <c r="AJ1" s="14" t="s">
        <v>50</v>
      </c>
      <c r="AK1" s="52" t="s">
        <v>53</v>
      </c>
      <c r="AL1" s="15" t="s">
        <v>68</v>
      </c>
      <c r="AM1" s="15" t="s">
        <v>69</v>
      </c>
      <c r="AN1" s="15" t="s">
        <v>70</v>
      </c>
      <c r="AO1" s="15" t="s">
        <v>71</v>
      </c>
      <c r="AP1" s="15" t="s">
        <v>72</v>
      </c>
      <c r="AQ1" s="15" t="s">
        <v>73</v>
      </c>
      <c r="AR1" s="37" t="s">
        <v>74</v>
      </c>
      <c r="AS1" s="13" t="s">
        <v>32</v>
      </c>
      <c r="AT1" s="13" t="s">
        <v>33</v>
      </c>
      <c r="AU1" s="13" t="s">
        <v>34</v>
      </c>
      <c r="AV1" s="13" t="s">
        <v>35</v>
      </c>
      <c r="AW1" s="13" t="s">
        <v>36</v>
      </c>
      <c r="AX1" s="13" t="s">
        <v>37</v>
      </c>
      <c r="AY1" s="13" t="s">
        <v>54</v>
      </c>
    </row>
    <row r="2" spans="1:52">
      <c r="A2" s="61" t="s">
        <v>58</v>
      </c>
      <c r="B2" s="4" t="s">
        <v>59</v>
      </c>
      <c r="C2" s="61" t="s">
        <v>60</v>
      </c>
      <c r="D2" s="61" t="s">
        <v>61</v>
      </c>
      <c r="E2" s="61" t="s">
        <v>62</v>
      </c>
      <c r="F2" s="61" t="s">
        <v>142</v>
      </c>
      <c r="G2" s="4" t="s">
        <v>64</v>
      </c>
      <c r="H2" s="61" t="s">
        <v>65</v>
      </c>
      <c r="I2" s="5">
        <v>44561</v>
      </c>
      <c r="J2" s="61">
        <v>9420000000</v>
      </c>
      <c r="K2" s="61">
        <v>10189000000</v>
      </c>
      <c r="L2" s="61">
        <v>8652000000</v>
      </c>
      <c r="M2" s="61">
        <v>9681000000</v>
      </c>
      <c r="N2" s="61">
        <v>33648000000</v>
      </c>
      <c r="O2" s="61" t="s">
        <v>143</v>
      </c>
      <c r="P2" s="61" t="s">
        <v>315</v>
      </c>
      <c r="Q2" s="53">
        <v>70457000</v>
      </c>
      <c r="R2" s="53">
        <v>59804000</v>
      </c>
      <c r="S2" s="53">
        <v>50291000</v>
      </c>
      <c r="T2" s="53">
        <v>45611000</v>
      </c>
      <c r="U2" s="53">
        <v>42961000</v>
      </c>
      <c r="V2" s="53"/>
      <c r="W2" s="53"/>
      <c r="X2" s="53">
        <v>306000</v>
      </c>
      <c r="Y2" s="53">
        <v>220000</v>
      </c>
      <c r="Z2" s="53">
        <v>314000</v>
      </c>
      <c r="AA2" s="53">
        <v>324000</v>
      </c>
      <c r="AB2" s="53">
        <v>254000</v>
      </c>
      <c r="AC2" s="53"/>
      <c r="AD2" s="53"/>
      <c r="AE2" s="69">
        <f>IF(OR(ISBLANK(Q2), ISBLANK(X2)),"",Q2+X2)</f>
        <v>70763000</v>
      </c>
      <c r="AF2" s="69">
        <f t="shared" ref="AF2:AI2" si="0">IF(OR(ISBLANK(R2), ISBLANK(Y2)),"",R2+Y2)</f>
        <v>60024000</v>
      </c>
      <c r="AG2" s="69">
        <f t="shared" si="0"/>
        <v>50605000</v>
      </c>
      <c r="AH2" s="69">
        <f t="shared" si="0"/>
        <v>45935000</v>
      </c>
      <c r="AI2" s="69">
        <f t="shared" si="0"/>
        <v>43215000</v>
      </c>
      <c r="AJ2" s="69" t="str">
        <f t="shared" ref="AJ2:AJ4" si="1">IF(ISBLANK(V2),IF(ISBLANK(AC2),"",AC2),V2+AC2)</f>
        <v/>
      </c>
      <c r="AK2" s="69" t="str">
        <f t="shared" ref="AK2:AK4" si="2">IF(ISBLANK(W2),IF(ISBLANK(AD2),"",AD2),W2+AD2)</f>
        <v/>
      </c>
      <c r="AL2" s="53">
        <v>5864000</v>
      </c>
      <c r="AM2" s="53">
        <f>13871000+800</f>
        <v>13871800</v>
      </c>
      <c r="AN2" s="53">
        <f>10070000+1100</f>
        <v>10071100</v>
      </c>
      <c r="AO2" s="53">
        <f>9972000+1200</f>
        <v>9973200</v>
      </c>
      <c r="AP2" s="53">
        <f>7269000+200</f>
        <v>7269200</v>
      </c>
      <c r="AQ2" s="53"/>
      <c r="AR2" s="53"/>
      <c r="AS2" s="61">
        <v>104312</v>
      </c>
      <c r="AT2" s="61">
        <v>31536</v>
      </c>
      <c r="AU2" s="61">
        <v>83985.94</v>
      </c>
      <c r="AV2" s="61">
        <v>759043.55</v>
      </c>
      <c r="AW2" s="61">
        <v>75271.521999999997</v>
      </c>
      <c r="AX2" s="53"/>
      <c r="AY2" s="53"/>
      <c r="AZ2" s="53"/>
    </row>
    <row r="3" spans="1:52">
      <c r="A3" s="61" t="s">
        <v>145</v>
      </c>
      <c r="B3" s="4" t="s">
        <v>146</v>
      </c>
      <c r="C3" s="61" t="s">
        <v>147</v>
      </c>
      <c r="D3" s="61" t="s">
        <v>61</v>
      </c>
      <c r="E3" s="61" t="s">
        <v>62</v>
      </c>
      <c r="F3" s="61" t="s">
        <v>142</v>
      </c>
      <c r="G3" s="4" t="s">
        <v>64</v>
      </c>
      <c r="H3" s="61" t="s">
        <v>65</v>
      </c>
      <c r="I3" s="5">
        <v>44561</v>
      </c>
      <c r="J3" s="61">
        <v>2825208722</v>
      </c>
      <c r="K3" s="61">
        <v>1240500000</v>
      </c>
      <c r="L3" s="61">
        <v>4369708722</v>
      </c>
      <c r="M3" s="61">
        <v>4439008722</v>
      </c>
      <c r="N3" s="61">
        <v>5482800000</v>
      </c>
      <c r="O3" s="61" t="s">
        <v>129</v>
      </c>
      <c r="P3" s="61" t="s">
        <v>320</v>
      </c>
      <c r="Q3" s="2"/>
      <c r="R3" s="2"/>
      <c r="S3" s="78"/>
      <c r="T3" s="2"/>
      <c r="U3" s="2"/>
      <c r="Z3" s="78"/>
      <c r="AE3" s="69">
        <v>8.0287915250000008</v>
      </c>
      <c r="AF3" s="69">
        <v>6.5660701670000003</v>
      </c>
      <c r="AG3" s="69">
        <v>6.511972042</v>
      </c>
      <c r="AH3" s="69">
        <v>4.3830481260000003</v>
      </c>
      <c r="AI3" s="69">
        <v>4.2416594769999998</v>
      </c>
      <c r="AS3" s="61">
        <v>12.04283116</v>
      </c>
      <c r="AT3" s="61">
        <v>10.83695122</v>
      </c>
      <c r="AU3" s="61">
        <v>10.50623193</v>
      </c>
      <c r="AV3" s="61">
        <v>8.4213020440000008</v>
      </c>
      <c r="AW3" s="61">
        <v>8.4483908050000007</v>
      </c>
    </row>
    <row r="4" spans="1:52">
      <c r="A4" s="61" t="s">
        <v>155</v>
      </c>
      <c r="B4" s="4" t="s">
        <v>156</v>
      </c>
      <c r="C4" s="61" t="s">
        <v>157</v>
      </c>
      <c r="D4" s="61" t="s">
        <v>61</v>
      </c>
      <c r="E4" s="61" t="s">
        <v>62</v>
      </c>
      <c r="F4" s="61" t="s">
        <v>142</v>
      </c>
      <c r="G4" s="4" t="s">
        <v>64</v>
      </c>
      <c r="H4" s="61" t="s">
        <v>65</v>
      </c>
      <c r="I4" s="5">
        <v>44561</v>
      </c>
      <c r="J4" s="61">
        <v>11900000000</v>
      </c>
      <c r="K4" s="61">
        <v>3648000000</v>
      </c>
      <c r="L4" s="61">
        <v>18804000000</v>
      </c>
      <c r="M4" s="61">
        <v>18820000000</v>
      </c>
      <c r="N4" s="61">
        <v>16701000000</v>
      </c>
      <c r="O4" s="61" t="s">
        <v>143</v>
      </c>
      <c r="P4" s="61" t="s">
        <v>144</v>
      </c>
      <c r="Q4" s="78">
        <v>14371878</v>
      </c>
      <c r="R4" s="2"/>
      <c r="S4" s="2">
        <v>17598424</v>
      </c>
      <c r="T4" s="2">
        <v>14280935</v>
      </c>
      <c r="U4" s="2">
        <v>12624301</v>
      </c>
      <c r="X4" s="78">
        <v>6190403</v>
      </c>
      <c r="Z4" s="2">
        <v>5234</v>
      </c>
      <c r="AA4" s="2">
        <v>5236</v>
      </c>
      <c r="AB4" s="2">
        <v>4187</v>
      </c>
      <c r="AE4" s="69">
        <f>IF(OR(ISBLANK(Q4), ISBLANK(X4)),"",Q4+X4)</f>
        <v>20562281</v>
      </c>
      <c r="AF4" s="69" t="str">
        <f t="shared" ref="AF4" si="3">IF(ISBLANK(R4),IF(ISBLANK(Y4),"",Y4),R4+Y4)</f>
        <v/>
      </c>
      <c r="AG4" s="69">
        <f t="shared" ref="AG4" si="4">IF(ISBLANK(S4),IF(ISBLANK(Z4),"",Z4),S4+Z4)</f>
        <v>17603658</v>
      </c>
      <c r="AH4" s="69">
        <f t="shared" ref="AH4" si="5">IF(ISBLANK(T4),IF(ISBLANK(AA4),"",AA4),T4+AA4)</f>
        <v>14286171</v>
      </c>
      <c r="AI4" s="69">
        <f t="shared" ref="AI4" si="6">IF(ISBLANK(U4),IF(ISBLANK(AB4),"",AB4),U4+AB4)</f>
        <v>12628488</v>
      </c>
      <c r="AJ4" s="69" t="str">
        <f t="shared" si="1"/>
        <v/>
      </c>
      <c r="AK4" s="69" t="str">
        <f t="shared" si="2"/>
        <v/>
      </c>
      <c r="AS4" s="76">
        <v>30569012</v>
      </c>
      <c r="AT4" s="61"/>
      <c r="AU4" s="61">
        <f>12112825+9730905+35784+200052+3905+1602768</f>
        <v>23686239</v>
      </c>
      <c r="AV4" s="61">
        <f>8643022+11070790+4958+227622+6349+2895846</f>
        <v>22848587</v>
      </c>
      <c r="AW4" s="61">
        <f>7020084+10451667+743+242130+10786+4871874</f>
        <v>22597284</v>
      </c>
    </row>
    <row r="5" spans="1:52">
      <c r="A5" s="61" t="s">
        <v>158</v>
      </c>
      <c r="B5" s="4" t="s">
        <v>159</v>
      </c>
      <c r="C5" s="61" t="s">
        <v>160</v>
      </c>
      <c r="D5" s="61" t="s">
        <v>61</v>
      </c>
      <c r="E5" s="61" t="s">
        <v>62</v>
      </c>
      <c r="F5" s="61" t="s">
        <v>142</v>
      </c>
      <c r="G5" s="4" t="s">
        <v>64</v>
      </c>
      <c r="H5" s="61" t="s">
        <v>65</v>
      </c>
      <c r="I5" s="5">
        <v>44561</v>
      </c>
      <c r="J5" s="61">
        <v>17299078950</v>
      </c>
      <c r="K5" s="61">
        <v>5910000000</v>
      </c>
      <c r="L5" s="61">
        <v>26198078950</v>
      </c>
      <c r="M5" s="61">
        <v>26214078950</v>
      </c>
      <c r="N5" s="61">
        <v>28933000000</v>
      </c>
      <c r="O5" s="61" t="s">
        <v>129</v>
      </c>
      <c r="P5" s="61" t="s">
        <v>320</v>
      </c>
      <c r="Q5" s="78"/>
      <c r="R5" s="78"/>
      <c r="S5" s="78"/>
      <c r="T5" s="78"/>
      <c r="U5" s="78"/>
      <c r="AE5" s="69">
        <v>29.875229310000002</v>
      </c>
      <c r="AF5" s="69">
        <v>31.187124499999999</v>
      </c>
      <c r="AG5" s="69">
        <v>30.672013759999999</v>
      </c>
      <c r="AH5" s="69">
        <v>23.40945202</v>
      </c>
      <c r="AI5" s="69">
        <v>23.242024560000001</v>
      </c>
      <c r="AS5" s="61">
        <v>39.509234999999997</v>
      </c>
      <c r="AT5" s="61">
        <v>41.953088000000001</v>
      </c>
      <c r="AU5" s="61">
        <v>43.757387999999999</v>
      </c>
      <c r="AV5" s="61">
        <v>36.419050990000002</v>
      </c>
      <c r="AW5" s="61">
        <v>36.692055809999999</v>
      </c>
    </row>
    <row r="6" spans="1:52">
      <c r="A6" s="61" t="s">
        <v>161</v>
      </c>
      <c r="B6" s="4" t="s">
        <v>162</v>
      </c>
      <c r="C6" s="61" t="s">
        <v>163</v>
      </c>
      <c r="D6" s="61" t="s">
        <v>61</v>
      </c>
      <c r="E6" s="61" t="s">
        <v>62</v>
      </c>
      <c r="F6" s="61" t="s">
        <v>142</v>
      </c>
      <c r="G6" s="4" t="s">
        <v>64</v>
      </c>
      <c r="H6" s="61" t="s">
        <v>65</v>
      </c>
      <c r="I6" s="5">
        <v>44561</v>
      </c>
      <c r="J6" s="61">
        <v>39549558010</v>
      </c>
      <c r="K6" s="61">
        <v>15561400000</v>
      </c>
      <c r="L6" s="61">
        <v>69474758010</v>
      </c>
      <c r="M6" s="61">
        <v>69721558010</v>
      </c>
      <c r="N6" s="61">
        <v>75892300000</v>
      </c>
      <c r="O6" s="61" t="s">
        <v>143</v>
      </c>
      <c r="P6" s="61" t="s">
        <v>144</v>
      </c>
      <c r="Q6" s="76">
        <v>90989994</v>
      </c>
      <c r="R6" s="78">
        <v>72813962</v>
      </c>
      <c r="S6" s="78">
        <v>69614180</v>
      </c>
      <c r="T6" s="78">
        <v>59439006</v>
      </c>
      <c r="U6" s="78">
        <v>44902836</v>
      </c>
      <c r="X6" s="76">
        <v>3006186</v>
      </c>
      <c r="Y6" s="78">
        <v>251231</v>
      </c>
      <c r="Z6" s="2">
        <v>0</v>
      </c>
      <c r="AA6" s="78">
        <v>8608544</v>
      </c>
      <c r="AB6" s="78">
        <v>6440084</v>
      </c>
      <c r="AE6" s="69">
        <f>IF(OR(ISBLANK(Q6), ISBLANK(X6)),"",Q6+X6)</f>
        <v>93996180</v>
      </c>
      <c r="AF6" s="69">
        <f t="shared" ref="AF6:AF8" si="7">IF(ISBLANK(R6),IF(ISBLANK(Y6),"",Y6),R6+Y6)</f>
        <v>73065193</v>
      </c>
      <c r="AG6" s="69">
        <f t="shared" ref="AG6:AG8" si="8">IF(ISBLANK(S6),IF(ISBLANK(Z6),"",Z6),S6+Z6)</f>
        <v>69614180</v>
      </c>
      <c r="AH6" s="69">
        <f t="shared" ref="AH6:AH8" si="9">IF(ISBLANK(T6),IF(ISBLANK(AA6),"",AA6),T6+AA6)</f>
        <v>68047550</v>
      </c>
      <c r="AI6" s="69">
        <f t="shared" ref="AI6:AI8" si="10">IF(ISBLANK(U6),IF(ISBLANK(AB6),"",AB6),U6+AB6)</f>
        <v>51342920</v>
      </c>
      <c r="AJ6" s="69" t="str">
        <f t="shared" ref="AJ6:AJ8" si="11">IF(ISBLANK(V6),IF(ISBLANK(AC6),"",AC6),V6+AC6)</f>
        <v/>
      </c>
      <c r="AK6" s="69" t="str">
        <f t="shared" ref="AK6:AK8" si="12">IF(ISBLANK(W6),IF(ISBLANK(AD6),"",AD6),W6+AD6)</f>
        <v/>
      </c>
      <c r="AS6" s="76">
        <v>137346204</v>
      </c>
      <c r="AT6" s="76">
        <v>108631253</v>
      </c>
      <c r="AU6" s="76">
        <v>104375491</v>
      </c>
      <c r="AV6" s="76">
        <v>106382813</v>
      </c>
      <c r="AW6" s="76">
        <v>94529102</v>
      </c>
    </row>
    <row r="7" spans="1:52">
      <c r="A7" s="61" t="s">
        <v>167</v>
      </c>
      <c r="B7" s="4" t="s">
        <v>168</v>
      </c>
      <c r="C7" s="61" t="s">
        <v>169</v>
      </c>
      <c r="D7" s="61" t="s">
        <v>61</v>
      </c>
      <c r="E7" s="61" t="s">
        <v>62</v>
      </c>
      <c r="F7" s="61" t="s">
        <v>142</v>
      </c>
      <c r="G7" s="4" t="s">
        <v>64</v>
      </c>
      <c r="H7" s="61" t="s">
        <v>65</v>
      </c>
      <c r="I7" s="5">
        <v>44561</v>
      </c>
      <c r="J7" s="61">
        <v>2374000000</v>
      </c>
      <c r="K7" s="61">
        <v>6336000000</v>
      </c>
      <c r="L7" s="61">
        <v>10364000000</v>
      </c>
      <c r="M7" s="61">
        <v>10542000000</v>
      </c>
      <c r="N7" s="61">
        <v>34394000000</v>
      </c>
      <c r="O7" s="61" t="s">
        <v>143</v>
      </c>
      <c r="P7" s="61" t="s">
        <v>315</v>
      </c>
      <c r="Q7" s="78">
        <v>1040335</v>
      </c>
      <c r="R7" s="78">
        <v>965570</v>
      </c>
      <c r="S7" s="2">
        <v>1363231</v>
      </c>
      <c r="T7" s="2">
        <v>1934393</v>
      </c>
      <c r="U7" s="2">
        <v>1416448</v>
      </c>
      <c r="X7" s="2">
        <v>0</v>
      </c>
      <c r="Y7" s="2">
        <v>0</v>
      </c>
      <c r="Z7" s="2">
        <v>381533</v>
      </c>
      <c r="AA7" s="2">
        <v>231192</v>
      </c>
      <c r="AB7" s="2">
        <v>297283</v>
      </c>
      <c r="AE7" s="69">
        <f>IF(OR(ISBLANK(Q7), ISBLANK(X7)),"",Q7+X7)</f>
        <v>1040335</v>
      </c>
      <c r="AF7" s="69">
        <f t="shared" si="7"/>
        <v>965570</v>
      </c>
      <c r="AG7" s="69">
        <f t="shared" si="8"/>
        <v>1744764</v>
      </c>
      <c r="AH7" s="69">
        <f t="shared" si="9"/>
        <v>2165585</v>
      </c>
      <c r="AI7" s="69">
        <f t="shared" si="10"/>
        <v>1713731</v>
      </c>
      <c r="AJ7" s="69" t="str">
        <f t="shared" si="11"/>
        <v/>
      </c>
      <c r="AK7" s="69" t="str">
        <f t="shared" si="12"/>
        <v/>
      </c>
      <c r="AN7" s="2">
        <v>21590220</v>
      </c>
      <c r="AO7" s="2">
        <v>19892852</v>
      </c>
      <c r="AP7" s="2">
        <v>24528246</v>
      </c>
      <c r="AS7" s="81">
        <v>17912</v>
      </c>
      <c r="AT7" s="81">
        <v>18104</v>
      </c>
      <c r="AU7" s="61">
        <v>20057</v>
      </c>
      <c r="AV7" s="61">
        <v>20960</v>
      </c>
      <c r="AW7" s="61">
        <v>22142</v>
      </c>
    </row>
    <row r="8" spans="1:52">
      <c r="A8" s="61" t="s">
        <v>173</v>
      </c>
      <c r="B8" s="4" t="s">
        <v>174</v>
      </c>
      <c r="C8" s="61" t="s">
        <v>175</v>
      </c>
      <c r="D8" s="61" t="s">
        <v>61</v>
      </c>
      <c r="E8" s="61" t="s">
        <v>62</v>
      </c>
      <c r="F8" s="61" t="s">
        <v>142</v>
      </c>
      <c r="G8" s="4" t="s">
        <v>64</v>
      </c>
      <c r="H8" s="61" t="s">
        <v>65</v>
      </c>
      <c r="I8" s="5">
        <v>44561</v>
      </c>
      <c r="J8" s="61">
        <v>3528768075</v>
      </c>
      <c r="K8" s="61">
        <v>1734900000</v>
      </c>
      <c r="L8" s="61">
        <v>6659087075</v>
      </c>
      <c r="M8" s="61">
        <v>6668864075</v>
      </c>
      <c r="N8" s="61">
        <v>7558457000</v>
      </c>
      <c r="O8" s="61" t="s">
        <v>143</v>
      </c>
      <c r="P8" s="61" t="s">
        <v>144</v>
      </c>
      <c r="Q8" s="2"/>
      <c r="R8" s="2"/>
      <c r="S8" s="78">
        <v>4063143</v>
      </c>
      <c r="T8" s="78">
        <v>3963128</v>
      </c>
      <c r="U8" s="78">
        <v>4036591</v>
      </c>
      <c r="Z8" s="78">
        <v>1300042</v>
      </c>
      <c r="AA8" s="78">
        <v>1219954</v>
      </c>
      <c r="AB8" s="78">
        <v>1001588</v>
      </c>
      <c r="AE8" s="69" t="str">
        <f>IF(OR(ISBLANK(Q8), ISBLANK(X8)),"",Q8+X8)</f>
        <v/>
      </c>
      <c r="AF8" s="69" t="str">
        <f t="shared" si="7"/>
        <v/>
      </c>
      <c r="AG8" s="69">
        <f t="shared" si="8"/>
        <v>5363185</v>
      </c>
      <c r="AH8" s="69">
        <f t="shared" si="9"/>
        <v>5183082</v>
      </c>
      <c r="AI8" s="69">
        <f t="shared" si="10"/>
        <v>5038179</v>
      </c>
      <c r="AJ8" s="69" t="str">
        <f t="shared" si="11"/>
        <v/>
      </c>
      <c r="AK8" s="69" t="str">
        <f t="shared" si="12"/>
        <v/>
      </c>
      <c r="AS8" s="61"/>
      <c r="AT8" s="61"/>
      <c r="AU8" s="61">
        <v>7067031.0930000003</v>
      </c>
      <c r="AV8" s="61">
        <v>7195251.4899999993</v>
      </c>
      <c r="AW8" s="76">
        <v>7324609</v>
      </c>
    </row>
    <row r="9" spans="1:52">
      <c r="A9" s="61" t="s">
        <v>179</v>
      </c>
      <c r="B9" s="4" t="s">
        <v>180</v>
      </c>
      <c r="C9" s="61" t="s">
        <v>181</v>
      </c>
      <c r="D9" s="61" t="s">
        <v>61</v>
      </c>
      <c r="E9" s="61" t="s">
        <v>62</v>
      </c>
      <c r="F9" s="61" t="s">
        <v>182</v>
      </c>
      <c r="G9" s="4" t="s">
        <v>64</v>
      </c>
      <c r="H9" s="61" t="s">
        <v>65</v>
      </c>
      <c r="I9" s="5">
        <v>44561</v>
      </c>
      <c r="J9" s="61">
        <v>1687208892</v>
      </c>
      <c r="K9" s="61">
        <v>2380200000</v>
      </c>
      <c r="L9" s="61">
        <v>2210808892</v>
      </c>
      <c r="M9" s="61">
        <v>2237808892</v>
      </c>
      <c r="N9" s="61">
        <v>3187800000</v>
      </c>
      <c r="O9" s="61" t="s">
        <v>129</v>
      </c>
      <c r="P9" s="61" t="s">
        <v>321</v>
      </c>
      <c r="Q9" s="2"/>
      <c r="R9" s="2"/>
      <c r="S9" s="2"/>
      <c r="T9" s="2"/>
      <c r="U9" s="2"/>
      <c r="AE9" s="69">
        <v>0.29805500000000001</v>
      </c>
      <c r="AF9" s="69">
        <v>0.29805500000000001</v>
      </c>
      <c r="AG9" s="69">
        <v>0.29805500000000001</v>
      </c>
      <c r="AH9" s="69">
        <v>0.29805500000000001</v>
      </c>
      <c r="AI9" s="69">
        <v>0.29283215098729842</v>
      </c>
      <c r="AS9" s="61">
        <v>0.13883100000000001</v>
      </c>
      <c r="AT9" s="61">
        <v>0.13883100000000001</v>
      </c>
      <c r="AU9" s="61">
        <v>0.13883100000000001</v>
      </c>
      <c r="AV9" s="61">
        <v>0.13883100000000001</v>
      </c>
      <c r="AW9" s="61">
        <v>0.14094485815987501</v>
      </c>
    </row>
    <row r="10" spans="1:52">
      <c r="A10" s="61" t="s">
        <v>184</v>
      </c>
      <c r="B10" s="4" t="s">
        <v>185</v>
      </c>
      <c r="C10" s="61" t="s">
        <v>186</v>
      </c>
      <c r="D10" s="61" t="s">
        <v>61</v>
      </c>
      <c r="E10" s="61" t="s">
        <v>62</v>
      </c>
      <c r="F10" s="61" t="s">
        <v>142</v>
      </c>
      <c r="G10" s="4" t="s">
        <v>64</v>
      </c>
      <c r="H10" s="61" t="s">
        <v>65</v>
      </c>
      <c r="I10" s="5">
        <v>44561</v>
      </c>
      <c r="J10" s="61">
        <v>16647000000</v>
      </c>
      <c r="K10" s="61">
        <v>6845000000</v>
      </c>
      <c r="L10" s="61">
        <v>28458000000</v>
      </c>
      <c r="M10" s="61">
        <v>28598000000</v>
      </c>
      <c r="N10" s="61">
        <v>26837000000</v>
      </c>
      <c r="O10" s="61" t="s">
        <v>129</v>
      </c>
      <c r="P10" s="61" t="s">
        <v>320</v>
      </c>
      <c r="Q10" s="2"/>
      <c r="R10" s="2"/>
      <c r="S10" s="2"/>
      <c r="T10" s="2"/>
      <c r="U10" s="2"/>
      <c r="AE10" s="69">
        <v>11.183374199999999</v>
      </c>
      <c r="AF10" s="69">
        <v>12.381008120000001</v>
      </c>
      <c r="AG10" s="69">
        <v>12.27761477</v>
      </c>
      <c r="AH10" s="69">
        <v>12.512963060000001</v>
      </c>
      <c r="AI10" s="69">
        <v>11.91710767</v>
      </c>
      <c r="AS10" s="61">
        <v>18.979711429999998</v>
      </c>
      <c r="AT10" s="61">
        <v>20.31118927</v>
      </c>
      <c r="AU10" s="61">
        <v>20.50728269</v>
      </c>
      <c r="AV10" s="61">
        <v>22.28763412</v>
      </c>
      <c r="AW10" s="61">
        <v>22.324507709999999</v>
      </c>
      <c r="AX10" s="79"/>
    </row>
    <row r="11" spans="1:52">
      <c r="A11" s="61" t="s">
        <v>187</v>
      </c>
      <c r="B11" s="4" t="s">
        <v>188</v>
      </c>
      <c r="C11" s="61" t="s">
        <v>189</v>
      </c>
      <c r="D11" s="61" t="s">
        <v>61</v>
      </c>
      <c r="E11" s="61" t="s">
        <v>62</v>
      </c>
      <c r="F11" s="61" t="s">
        <v>182</v>
      </c>
      <c r="G11" s="4" t="s">
        <v>64</v>
      </c>
      <c r="H11" s="61" t="s">
        <v>65</v>
      </c>
      <c r="I11" s="5">
        <v>44561</v>
      </c>
      <c r="J11" s="61">
        <v>2200000000</v>
      </c>
      <c r="K11" s="61">
        <v>5829002000</v>
      </c>
      <c r="L11" s="61"/>
      <c r="M11" s="61"/>
      <c r="N11" s="61">
        <v>3758771000</v>
      </c>
      <c r="O11" s="68" t="s">
        <v>143</v>
      </c>
      <c r="P11" s="68" t="s">
        <v>183</v>
      </c>
      <c r="Q11" s="2"/>
      <c r="R11" s="2"/>
      <c r="S11" s="2"/>
      <c r="T11" s="78">
        <v>1048006</v>
      </c>
      <c r="U11" s="78">
        <v>1106156</v>
      </c>
      <c r="V11" s="80">
        <v>1117753</v>
      </c>
      <c r="AA11" s="80">
        <v>1500431</v>
      </c>
      <c r="AB11" s="80">
        <v>1466830</v>
      </c>
      <c r="AC11" s="80">
        <v>1436765</v>
      </c>
      <c r="AE11" s="69" t="str">
        <f t="shared" ref="AE11:AK11" si="13">IF(OR(ISBLANK(Q11), ISBLANK(X11)),"",Q11+X11)</f>
        <v/>
      </c>
      <c r="AF11" s="69" t="str">
        <f t="shared" si="13"/>
        <v/>
      </c>
      <c r="AG11" s="69" t="str">
        <f t="shared" si="13"/>
        <v/>
      </c>
      <c r="AH11" s="69">
        <f t="shared" si="13"/>
        <v>2548437</v>
      </c>
      <c r="AI11" s="69">
        <f t="shared" si="13"/>
        <v>2572986</v>
      </c>
      <c r="AJ11" s="69">
        <f t="shared" si="13"/>
        <v>2554518</v>
      </c>
      <c r="AK11" s="69" t="str">
        <f t="shared" si="13"/>
        <v/>
      </c>
      <c r="AS11" s="61">
        <v>5301216</v>
      </c>
      <c r="AT11" s="61">
        <v>5301216</v>
      </c>
      <c r="AU11" s="61">
        <v>5301216</v>
      </c>
      <c r="AV11" s="61">
        <f>2548437/0.481</f>
        <v>5298205.8212058218</v>
      </c>
      <c r="AW11" s="61">
        <f>2572986/0.464</f>
        <v>5545228.4482758613</v>
      </c>
      <c r="AX11" s="79">
        <f>2554518/0.451</f>
        <v>5664119.7339246115</v>
      </c>
    </row>
    <row r="12" spans="1:52">
      <c r="A12" s="61" t="s">
        <v>190</v>
      </c>
      <c r="B12" s="4" t="s">
        <v>191</v>
      </c>
      <c r="C12" s="61" t="s">
        <v>192</v>
      </c>
      <c r="D12" s="61" t="s">
        <v>61</v>
      </c>
      <c r="E12" s="61" t="s">
        <v>62</v>
      </c>
      <c r="F12" s="61" t="s">
        <v>142</v>
      </c>
      <c r="G12" s="4" t="s">
        <v>64</v>
      </c>
      <c r="H12" s="61" t="s">
        <v>65</v>
      </c>
      <c r="I12" s="5">
        <v>44561</v>
      </c>
      <c r="J12" s="61"/>
      <c r="K12" s="61">
        <v>1639605000</v>
      </c>
      <c r="L12" s="61"/>
      <c r="M12" s="61"/>
      <c r="N12" s="61">
        <v>7476298000</v>
      </c>
      <c r="O12" s="61" t="s">
        <v>129</v>
      </c>
      <c r="P12" s="61" t="s">
        <v>320</v>
      </c>
      <c r="Q12" s="2"/>
      <c r="R12" s="2"/>
      <c r="S12" s="2"/>
      <c r="T12" s="2"/>
      <c r="U12" s="2"/>
      <c r="AE12" s="69">
        <v>9.9820912380000006</v>
      </c>
      <c r="AF12" s="69">
        <v>8.7791840319999999</v>
      </c>
      <c r="AG12" s="69">
        <v>9.3084717799999996</v>
      </c>
      <c r="AH12" s="69">
        <v>8.448013328</v>
      </c>
      <c r="AS12" s="61">
        <v>14.52558153</v>
      </c>
      <c r="AT12" s="61">
        <v>12.52148775</v>
      </c>
      <c r="AU12" s="61">
        <v>13.19964667</v>
      </c>
      <c r="AV12" s="61">
        <v>13.86123875</v>
      </c>
      <c r="AW12" s="61">
        <v>12.81041680835213</v>
      </c>
      <c r="AX12" s="79"/>
    </row>
    <row r="13" spans="1:52">
      <c r="A13" s="61" t="s">
        <v>193</v>
      </c>
      <c r="B13" s="4" t="s">
        <v>194</v>
      </c>
      <c r="C13" s="61" t="s">
        <v>195</v>
      </c>
      <c r="D13" s="61" t="s">
        <v>61</v>
      </c>
      <c r="E13" s="61" t="s">
        <v>62</v>
      </c>
      <c r="F13" s="61" t="s">
        <v>142</v>
      </c>
      <c r="G13" s="4" t="s">
        <v>64</v>
      </c>
      <c r="H13" s="61" t="s">
        <v>65</v>
      </c>
      <c r="I13" s="5">
        <v>44561</v>
      </c>
      <c r="J13" s="61">
        <v>24000000000</v>
      </c>
      <c r="K13" s="61">
        <v>12574000000</v>
      </c>
      <c r="L13" s="61">
        <v>42992000000</v>
      </c>
      <c r="M13" s="61">
        <v>43973000000</v>
      </c>
      <c r="N13" s="61">
        <v>58079000000</v>
      </c>
      <c r="O13" s="68" t="s">
        <v>129</v>
      </c>
      <c r="P13" s="68" t="s">
        <v>320</v>
      </c>
      <c r="Q13" s="2"/>
      <c r="R13" s="2"/>
      <c r="S13" s="2"/>
      <c r="T13" s="2"/>
      <c r="U13" s="2"/>
      <c r="AE13" s="69">
        <v>1.325786621</v>
      </c>
      <c r="AF13" s="69">
        <v>1.323738978</v>
      </c>
      <c r="AG13" s="69">
        <v>1.2685339369999999</v>
      </c>
      <c r="AH13" s="69">
        <v>1.202690405</v>
      </c>
      <c r="AI13" s="69">
        <v>1.145419433</v>
      </c>
      <c r="AS13" s="61">
        <v>5.3109194439999996</v>
      </c>
      <c r="AT13" s="61">
        <v>5.7325927349999999</v>
      </c>
      <c r="AU13" s="61">
        <v>6.0319896030000004</v>
      </c>
      <c r="AV13" s="61">
        <v>6.5057034040000001</v>
      </c>
      <c r="AW13" s="61">
        <v>6.0125053568358231</v>
      </c>
      <c r="AX13" s="79"/>
    </row>
    <row r="14" spans="1:52">
      <c r="A14" s="61" t="s">
        <v>196</v>
      </c>
      <c r="B14" s="4" t="s">
        <v>197</v>
      </c>
      <c r="C14" s="61" t="s">
        <v>198</v>
      </c>
      <c r="D14" s="61" t="s">
        <v>61</v>
      </c>
      <c r="E14" s="61" t="s">
        <v>62</v>
      </c>
      <c r="F14" s="61" t="s">
        <v>142</v>
      </c>
      <c r="G14" s="4" t="s">
        <v>64</v>
      </c>
      <c r="H14" s="61" t="s">
        <v>65</v>
      </c>
      <c r="I14" s="5">
        <v>44561</v>
      </c>
      <c r="J14" s="61">
        <v>20500000000</v>
      </c>
      <c r="K14" s="61">
        <v>12669000000</v>
      </c>
      <c r="L14" s="61">
        <v>36342000000</v>
      </c>
      <c r="M14" s="61">
        <v>36435000000</v>
      </c>
      <c r="N14" s="61">
        <v>42268000000</v>
      </c>
      <c r="O14" s="68" t="s">
        <v>129</v>
      </c>
      <c r="P14" s="68" t="s">
        <v>320</v>
      </c>
      <c r="Q14" s="2"/>
      <c r="R14" s="2"/>
      <c r="S14" s="2"/>
      <c r="T14" s="2"/>
      <c r="U14" s="2"/>
      <c r="AE14" s="69">
        <v>26.796145450000001</v>
      </c>
      <c r="AF14" s="69">
        <v>27.947696990000001</v>
      </c>
      <c r="AG14" s="69">
        <v>29.95633261</v>
      </c>
      <c r="AH14" s="69">
        <v>27.00027425</v>
      </c>
      <c r="AI14" s="69">
        <v>26.48364437</v>
      </c>
      <c r="AS14" s="61">
        <v>39.339109710000002</v>
      </c>
      <c r="AT14" s="61">
        <v>39.490179230000003</v>
      </c>
      <c r="AU14" s="61">
        <v>40.7944417</v>
      </c>
      <c r="AV14" s="61">
        <v>40.197309990000001</v>
      </c>
      <c r="AW14" s="61">
        <v>37.14994776685721</v>
      </c>
      <c r="AX14" s="79"/>
    </row>
    <row r="15" spans="1:52">
      <c r="A15" s="61" t="s">
        <v>199</v>
      </c>
      <c r="B15" s="4" t="s">
        <v>200</v>
      </c>
      <c r="C15" s="61" t="s">
        <v>201</v>
      </c>
      <c r="D15" s="61" t="s">
        <v>61</v>
      </c>
      <c r="E15" s="61" t="s">
        <v>62</v>
      </c>
      <c r="F15" s="61" t="s">
        <v>142</v>
      </c>
      <c r="G15" s="4" t="s">
        <v>64</v>
      </c>
      <c r="H15" s="61" t="s">
        <v>65</v>
      </c>
      <c r="I15" s="5">
        <v>44561</v>
      </c>
      <c r="J15" s="61">
        <v>68000000000</v>
      </c>
      <c r="K15" s="61">
        <v>14401000000</v>
      </c>
      <c r="L15" s="61">
        <v>96863000000</v>
      </c>
      <c r="M15" s="61">
        <v>96998000000</v>
      </c>
      <c r="N15" s="61">
        <v>103823000000</v>
      </c>
      <c r="O15" s="68" t="s">
        <v>129</v>
      </c>
      <c r="P15" s="68" t="s">
        <v>320</v>
      </c>
      <c r="Q15" s="2"/>
      <c r="R15" s="2"/>
      <c r="S15" s="2"/>
      <c r="T15" s="2">
        <v>31.75</v>
      </c>
      <c r="U15" s="2">
        <v>32.957000000000001</v>
      </c>
      <c r="AA15" s="2">
        <v>8.26</v>
      </c>
      <c r="AB15" s="2">
        <v>4.5759999999999996</v>
      </c>
      <c r="AE15" s="69">
        <v>43.346773548000002</v>
      </c>
      <c r="AF15" s="69">
        <v>36.869361507000001</v>
      </c>
      <c r="AG15" s="69">
        <v>35.455656216999998</v>
      </c>
      <c r="AH15" s="69">
        <v>31.432803556</v>
      </c>
      <c r="AI15" s="69">
        <v>30.418842145999999</v>
      </c>
      <c r="AO15" s="2">
        <f>(0.31+0.142+0.011)*26.6</f>
        <v>12.315799999999999</v>
      </c>
      <c r="AS15" s="61">
        <v>106.43053159</v>
      </c>
      <c r="AT15" s="61">
        <v>99.522718589999997</v>
      </c>
      <c r="AU15" s="61">
        <v>99.984302179999986</v>
      </c>
      <c r="AV15" s="61">
        <v>102.19514168000001</v>
      </c>
      <c r="AW15" s="61">
        <v>103.314188346027</v>
      </c>
      <c r="AX15" s="79"/>
    </row>
    <row r="16" spans="1:52">
      <c r="A16" s="61" t="s">
        <v>202</v>
      </c>
      <c r="B16" s="4" t="s">
        <v>203</v>
      </c>
      <c r="C16" s="61" t="s">
        <v>204</v>
      </c>
      <c r="D16" s="61" t="s">
        <v>61</v>
      </c>
      <c r="E16" s="61" t="s">
        <v>62</v>
      </c>
      <c r="F16" s="61" t="s">
        <v>142</v>
      </c>
      <c r="G16" s="4" t="s">
        <v>64</v>
      </c>
      <c r="H16" s="61" t="s">
        <v>65</v>
      </c>
      <c r="I16" s="5">
        <v>44561</v>
      </c>
      <c r="J16" s="61">
        <v>58688204289</v>
      </c>
      <c r="K16" s="61">
        <v>25079000000</v>
      </c>
      <c r="L16" s="61">
        <v>121439204289</v>
      </c>
      <c r="M16" s="61">
        <v>121750204289</v>
      </c>
      <c r="N16" s="61">
        <v>158838000000</v>
      </c>
      <c r="O16" s="68" t="s">
        <v>129</v>
      </c>
      <c r="P16" s="68" t="s">
        <v>320</v>
      </c>
      <c r="Q16" s="2"/>
      <c r="R16" s="2"/>
      <c r="S16" s="2"/>
      <c r="T16" s="2"/>
      <c r="U16" s="2"/>
      <c r="AE16" s="69">
        <v>94.923459879999996</v>
      </c>
      <c r="AF16" s="69">
        <v>93.530450478000006</v>
      </c>
      <c r="AG16" s="69">
        <v>95.012237693000003</v>
      </c>
      <c r="AH16" s="69">
        <v>83.595723118999999</v>
      </c>
      <c r="AI16" s="69">
        <v>82.018839239000002</v>
      </c>
      <c r="AS16" s="61">
        <v>221.77898501999999</v>
      </c>
      <c r="AT16" s="61">
        <v>222.41056646000001</v>
      </c>
      <c r="AU16" s="61">
        <v>225.51497273000001</v>
      </c>
      <c r="AV16" s="61">
        <v>216.60189564999999</v>
      </c>
      <c r="AW16" s="61">
        <v>217.79186281500009</v>
      </c>
      <c r="AX16" s="79"/>
    </row>
    <row r="17" spans="1:50">
      <c r="A17" s="61" t="s">
        <v>205</v>
      </c>
      <c r="B17" s="4" t="s">
        <v>206</v>
      </c>
      <c r="C17" s="61" t="s">
        <v>207</v>
      </c>
      <c r="D17" s="61" t="s">
        <v>61</v>
      </c>
      <c r="E17" s="61" t="s">
        <v>62</v>
      </c>
      <c r="F17" s="61" t="s">
        <v>142</v>
      </c>
      <c r="G17" s="4" t="s">
        <v>64</v>
      </c>
      <c r="H17" s="61" t="s">
        <v>65</v>
      </c>
      <c r="I17" s="5">
        <v>44561</v>
      </c>
      <c r="J17" s="61">
        <v>18800000000</v>
      </c>
      <c r="K17" s="61">
        <v>10878673000</v>
      </c>
      <c r="L17" s="61">
        <v>37434228000</v>
      </c>
      <c r="M17" s="61">
        <v>37859950000</v>
      </c>
      <c r="N17" s="61">
        <v>51723912000</v>
      </c>
      <c r="O17" s="68" t="s">
        <v>129</v>
      </c>
      <c r="P17" s="68" t="s">
        <v>320</v>
      </c>
      <c r="Q17" s="2"/>
      <c r="R17" s="2"/>
      <c r="S17" s="2"/>
      <c r="T17" s="2"/>
      <c r="U17" s="2"/>
      <c r="AE17" s="69">
        <v>32.516193991999998</v>
      </c>
      <c r="AF17" s="69">
        <v>31.450986952000001</v>
      </c>
      <c r="AG17" s="69">
        <v>34.631975513</v>
      </c>
      <c r="AH17" s="69">
        <v>33.246229124999999</v>
      </c>
      <c r="AS17" s="61">
        <v>102.999524264</v>
      </c>
      <c r="AT17" s="61">
        <v>98.242043473999999</v>
      </c>
      <c r="AU17" s="61">
        <v>105.741655513</v>
      </c>
      <c r="AV17" s="61">
        <v>109.743440224</v>
      </c>
      <c r="AW17" s="61">
        <v>107.355350022618</v>
      </c>
      <c r="AX17" s="79"/>
    </row>
    <row r="18" spans="1:50">
      <c r="A18" s="61" t="s">
        <v>208</v>
      </c>
      <c r="B18" s="4" t="s">
        <v>209</v>
      </c>
      <c r="C18" s="61" t="s">
        <v>210</v>
      </c>
      <c r="D18" s="61" t="s">
        <v>61</v>
      </c>
      <c r="E18" s="61" t="s">
        <v>62</v>
      </c>
      <c r="F18" s="61" t="s">
        <v>142</v>
      </c>
      <c r="G18" s="4" t="s">
        <v>64</v>
      </c>
      <c r="H18" s="61" t="s">
        <v>65</v>
      </c>
      <c r="I18" s="5">
        <v>44561</v>
      </c>
      <c r="J18" s="61">
        <v>13410149293</v>
      </c>
      <c r="K18" s="61">
        <v>5147800000</v>
      </c>
      <c r="L18" s="61">
        <v>22133649293</v>
      </c>
      <c r="M18" s="61">
        <v>22156849293</v>
      </c>
      <c r="N18" s="61">
        <v>25975900000</v>
      </c>
      <c r="O18" s="68" t="s">
        <v>129</v>
      </c>
      <c r="P18" s="68" t="s">
        <v>320</v>
      </c>
      <c r="Q18" s="2"/>
      <c r="R18" s="2"/>
      <c r="S18" s="2"/>
      <c r="T18" s="2"/>
      <c r="U18" s="2"/>
      <c r="AE18" s="69">
        <v>35.122915438000007</v>
      </c>
      <c r="AF18" s="69">
        <v>32.270565695999998</v>
      </c>
      <c r="AG18" s="69">
        <v>28.483757178000001</v>
      </c>
      <c r="AH18" s="69">
        <v>26.74941115</v>
      </c>
      <c r="AI18" s="69">
        <v>35.013482494000002</v>
      </c>
      <c r="AS18" s="61">
        <v>47.465894990000002</v>
      </c>
      <c r="AT18" s="61">
        <v>47.22838256</v>
      </c>
      <c r="AU18" s="61">
        <v>42.360400810000002</v>
      </c>
      <c r="AV18" s="61">
        <v>41.417892389999999</v>
      </c>
      <c r="AW18" s="61">
        <v>52.209390303404128</v>
      </c>
      <c r="AX18" s="79"/>
    </row>
    <row r="19" spans="1:50">
      <c r="A19" s="61" t="s">
        <v>211</v>
      </c>
      <c r="B19" s="4" t="s">
        <v>212</v>
      </c>
      <c r="C19" s="61" t="s">
        <v>213</v>
      </c>
      <c r="D19" s="61" t="s">
        <v>61</v>
      </c>
      <c r="E19" s="61" t="s">
        <v>62</v>
      </c>
      <c r="F19" s="61" t="s">
        <v>142</v>
      </c>
      <c r="G19" s="4" t="s">
        <v>64</v>
      </c>
      <c r="H19" s="61" t="s">
        <v>65</v>
      </c>
      <c r="I19" s="5">
        <v>44561</v>
      </c>
      <c r="J19" s="61">
        <v>28496151703</v>
      </c>
      <c r="K19" s="61">
        <v>8526470000</v>
      </c>
      <c r="L19" s="61">
        <v>42251547703</v>
      </c>
      <c r="M19" s="61">
        <v>42266979703</v>
      </c>
      <c r="N19" s="61">
        <v>41123915000</v>
      </c>
      <c r="O19" s="68" t="s">
        <v>129</v>
      </c>
      <c r="P19" s="68" t="s">
        <v>320</v>
      </c>
      <c r="Q19" s="82"/>
      <c r="R19" s="2"/>
      <c r="S19" s="2"/>
      <c r="T19" s="2"/>
      <c r="U19" s="2"/>
      <c r="AE19" s="69">
        <v>0.54127069000000005</v>
      </c>
      <c r="AF19" s="69">
        <v>0.38852905199999999</v>
      </c>
      <c r="AG19" s="69">
        <v>3.4941450000000002E-3</v>
      </c>
      <c r="AH19" s="69">
        <v>2.2128600000000001E-4</v>
      </c>
      <c r="AI19" s="69">
        <v>0</v>
      </c>
      <c r="AS19" s="61">
        <v>1.080058642</v>
      </c>
      <c r="AT19" s="61">
        <v>0.99355118800000009</v>
      </c>
      <c r="AU19" s="61">
        <v>1.017443611</v>
      </c>
      <c r="AV19" s="61">
        <v>1.0607533419999999</v>
      </c>
      <c r="AW19" s="61">
        <v>0.98033752155610898</v>
      </c>
    </row>
    <row r="20" spans="1:50">
      <c r="A20" s="61" t="s">
        <v>214</v>
      </c>
      <c r="B20" s="4" t="s">
        <v>215</v>
      </c>
      <c r="C20" s="61" t="s">
        <v>216</v>
      </c>
      <c r="D20" s="61" t="s">
        <v>61</v>
      </c>
      <c r="E20" s="61" t="s">
        <v>62</v>
      </c>
      <c r="F20" s="61" t="s">
        <v>142</v>
      </c>
      <c r="G20" s="4" t="s">
        <v>64</v>
      </c>
      <c r="H20" s="61" t="s">
        <v>65</v>
      </c>
      <c r="I20" s="5">
        <v>44561</v>
      </c>
      <c r="J20" s="61">
        <v>35402501369</v>
      </c>
      <c r="K20" s="61">
        <v>34438000000</v>
      </c>
      <c r="L20" s="61">
        <v>66144501369</v>
      </c>
      <c r="M20" s="61">
        <v>66731501369</v>
      </c>
      <c r="N20" s="61">
        <v>124977000000</v>
      </c>
      <c r="O20" s="68" t="s">
        <v>143</v>
      </c>
      <c r="P20" s="68" t="s">
        <v>144</v>
      </c>
      <c r="Q20" s="2">
        <v>9723000</v>
      </c>
      <c r="R20" s="84">
        <v>9532000</v>
      </c>
      <c r="S20" s="84">
        <v>8841000</v>
      </c>
      <c r="T20" s="84">
        <v>8566000</v>
      </c>
      <c r="U20" s="2"/>
      <c r="X20" s="2">
        <v>7061000</v>
      </c>
      <c r="Y20" s="84">
        <v>17693000</v>
      </c>
      <c r="Z20" s="84">
        <v>21022000</v>
      </c>
      <c r="AA20" s="84">
        <v>18864000</v>
      </c>
      <c r="AE20" s="69">
        <f>IF(OR(ISBLANK(Q20), ISBLANK(X20)),"",Q20+X20)</f>
        <v>16784000</v>
      </c>
      <c r="AF20" s="69">
        <f t="shared" ref="AF20" si="14">IF(ISBLANK(R20),IF(ISBLANK(Y20),"",Y20),R20+Y20)</f>
        <v>27225000</v>
      </c>
      <c r="AG20" s="69">
        <f t="shared" ref="AG20" si="15">IF(ISBLANK(S20),IF(ISBLANK(Z20),"",Z20),S20+Z20)</f>
        <v>29863000</v>
      </c>
      <c r="AH20" s="69">
        <f t="shared" ref="AH20" si="16">IF(ISBLANK(T20),IF(ISBLANK(AA20),"",AA20),T20+AA20)</f>
        <v>27430000</v>
      </c>
      <c r="AI20" s="69" t="str">
        <f t="shared" ref="AI20" si="17">IF(ISBLANK(U20),IF(ISBLANK(AB20),"",AB20),U20+AB20)</f>
        <v/>
      </c>
      <c r="AJ20" s="69" t="str">
        <f t="shared" ref="AJ20" si="18">IF(ISBLANK(V20),IF(ISBLANK(AC20),"",AC20),V20+AC20)</f>
        <v/>
      </c>
      <c r="AK20" s="69" t="str">
        <f t="shared" ref="AK20" si="19">IF(ISBLANK(W20),IF(ISBLANK(AD20),"",AD20),W20+AD20)</f>
        <v/>
      </c>
      <c r="AS20" s="76">
        <v>186212000</v>
      </c>
      <c r="AT20" s="83">
        <f>195307000+51595000</f>
        <v>246902000</v>
      </c>
      <c r="AU20" s="84">
        <f>194224000+59050000</f>
        <v>253274000</v>
      </c>
      <c r="AV20" s="85">
        <f>189463000+69708000</f>
        <v>259171000</v>
      </c>
      <c r="AW20" s="61"/>
    </row>
    <row r="21" spans="1:50">
      <c r="A21" s="61" t="s">
        <v>217</v>
      </c>
      <c r="B21" s="4" t="s">
        <v>218</v>
      </c>
      <c r="C21" s="61" t="s">
        <v>219</v>
      </c>
      <c r="D21" s="61" t="s">
        <v>61</v>
      </c>
      <c r="E21" s="61" t="s">
        <v>62</v>
      </c>
      <c r="F21" s="61" t="s">
        <v>142</v>
      </c>
      <c r="G21" s="4" t="s">
        <v>64</v>
      </c>
      <c r="H21" s="61" t="s">
        <v>65</v>
      </c>
      <c r="I21" s="5">
        <v>44561</v>
      </c>
      <c r="J21" s="61">
        <v>20967401361</v>
      </c>
      <c r="K21" s="61">
        <v>11035000000</v>
      </c>
      <c r="L21" s="61">
        <v>39958401361</v>
      </c>
      <c r="M21" s="61">
        <v>40585401361</v>
      </c>
      <c r="N21" s="61">
        <v>42301000000</v>
      </c>
      <c r="O21" s="68" t="s">
        <v>143</v>
      </c>
      <c r="P21" s="68" t="s">
        <v>144</v>
      </c>
      <c r="Q21" s="2"/>
      <c r="R21" s="78">
        <v>42354899</v>
      </c>
      <c r="S21" s="78">
        <v>32748805</v>
      </c>
      <c r="T21" s="78">
        <v>17935528</v>
      </c>
      <c r="U21" s="78">
        <v>14519279</v>
      </c>
      <c r="Y21" s="78">
        <v>18079772</v>
      </c>
      <c r="Z21" s="78">
        <v>20223892</v>
      </c>
      <c r="AA21" s="78">
        <v>31927583</v>
      </c>
      <c r="AB21" s="78">
        <v>28230946</v>
      </c>
      <c r="AE21" s="69" t="str">
        <f>IF(OR(ISBLANK(Q21), ISBLANK(X21)),"",Q21+X21)</f>
        <v/>
      </c>
      <c r="AF21" s="69">
        <f t="shared" ref="AF21" si="20">IF(ISBLANK(R21),IF(ISBLANK(Y21),"",Y21),R21+Y21)</f>
        <v>60434671</v>
      </c>
      <c r="AG21" s="69">
        <f t="shared" ref="AG21" si="21">IF(ISBLANK(S21),IF(ISBLANK(Z21),"",Z21),S21+Z21)</f>
        <v>52972697</v>
      </c>
      <c r="AH21" s="69">
        <f t="shared" ref="AH21" si="22">IF(ISBLANK(T21),IF(ISBLANK(AA21),"",AA21),T21+AA21)</f>
        <v>49863111</v>
      </c>
      <c r="AI21" s="69">
        <f t="shared" ref="AI21" si="23">IF(ISBLANK(U21),IF(ISBLANK(AB21),"",AB21),U21+AB21)</f>
        <v>42750225</v>
      </c>
      <c r="AJ21" s="69" t="str">
        <f t="shared" ref="AJ21" si="24">IF(ISBLANK(V21),IF(ISBLANK(AC21),"",AC21),V21+AC21)</f>
        <v/>
      </c>
      <c r="AK21" s="69" t="str">
        <f t="shared" ref="AK21" si="25">IF(ISBLANK(W21),IF(ISBLANK(AD21),"",AD21),W21+AD21)</f>
        <v/>
      </c>
      <c r="AS21" s="61"/>
      <c r="AT21" s="76">
        <v>116315158</v>
      </c>
      <c r="AU21" s="76">
        <v>109322672</v>
      </c>
      <c r="AV21" s="76">
        <v>65313409</v>
      </c>
      <c r="AW21" s="76">
        <v>61496572</v>
      </c>
    </row>
    <row r="22" spans="1:50">
      <c r="A22" s="61" t="s">
        <v>220</v>
      </c>
      <c r="B22" s="4" t="s">
        <v>221</v>
      </c>
      <c r="C22" s="61" t="s">
        <v>222</v>
      </c>
      <c r="D22" s="61" t="s">
        <v>154</v>
      </c>
      <c r="E22" s="61" t="s">
        <v>62</v>
      </c>
      <c r="F22" s="61" t="s">
        <v>142</v>
      </c>
      <c r="G22" s="4" t="s">
        <v>64</v>
      </c>
      <c r="H22" s="61" t="s">
        <v>65</v>
      </c>
      <c r="I22" s="5">
        <v>44561</v>
      </c>
      <c r="J22" s="61"/>
      <c r="K22" s="61">
        <v>6736467578.2073479</v>
      </c>
      <c r="L22" s="61"/>
      <c r="M22" s="61"/>
      <c r="N22" s="61">
        <v>40960299959.761497</v>
      </c>
      <c r="O22" s="68" t="s">
        <v>143</v>
      </c>
      <c r="P22" s="68" t="s">
        <v>144</v>
      </c>
      <c r="Q22" s="2">
        <v>10891000</v>
      </c>
      <c r="R22" s="78">
        <v>10010000</v>
      </c>
      <c r="S22" s="78">
        <v>10818000</v>
      </c>
      <c r="T22" s="78">
        <v>11925000</v>
      </c>
      <c r="U22" s="78">
        <v>10093000</v>
      </c>
      <c r="X22" s="78">
        <f>(191+3353)*1000</f>
        <v>3544000</v>
      </c>
      <c r="Y22" s="78">
        <f>(223+3625)*1000</f>
        <v>3848000</v>
      </c>
      <c r="Z22" s="78">
        <f>(222+2893)*1000</f>
        <v>3115000</v>
      </c>
      <c r="AA22" s="78">
        <v>2933000</v>
      </c>
      <c r="AB22" s="78">
        <v>2487000</v>
      </c>
      <c r="AE22" s="69">
        <f t="shared" ref="AE22:AK22" si="26">IF(OR(ISBLANK(Q22), ISBLANK(X22)),"",Q22+X22)</f>
        <v>14435000</v>
      </c>
      <c r="AF22" s="69">
        <f t="shared" si="26"/>
        <v>13858000</v>
      </c>
      <c r="AG22" s="69">
        <f t="shared" si="26"/>
        <v>13933000</v>
      </c>
      <c r="AH22" s="69">
        <f t="shared" si="26"/>
        <v>14858000</v>
      </c>
      <c r="AI22" s="69">
        <f t="shared" si="26"/>
        <v>12580000</v>
      </c>
      <c r="AJ22" s="69" t="str">
        <f t="shared" si="26"/>
        <v/>
      </c>
      <c r="AK22" s="69" t="str">
        <f t="shared" si="26"/>
        <v/>
      </c>
      <c r="AS22" s="61">
        <f>(15818+18480)*1000</f>
        <v>34298000</v>
      </c>
      <c r="AT22" s="61">
        <f>(15369+19785)*1000</f>
        <v>35154000</v>
      </c>
      <c r="AU22" s="61">
        <f>(18776+19163)*1000</f>
        <v>37939000</v>
      </c>
      <c r="AV22" s="61">
        <f>18976000+19244000</f>
        <v>38220000</v>
      </c>
      <c r="AW22" s="61">
        <f>17694000+18255000</f>
        <v>35949000</v>
      </c>
    </row>
    <row r="23" spans="1:50">
      <c r="A23" s="61" t="s">
        <v>223</v>
      </c>
      <c r="B23" s="4" t="s">
        <v>224</v>
      </c>
      <c r="C23" s="61" t="s">
        <v>225</v>
      </c>
      <c r="D23" s="61" t="s">
        <v>226</v>
      </c>
      <c r="E23" s="61" t="s">
        <v>227</v>
      </c>
      <c r="F23" s="61" t="s">
        <v>182</v>
      </c>
      <c r="G23" s="4" t="s">
        <v>64</v>
      </c>
      <c r="H23" s="61" t="s">
        <v>65</v>
      </c>
      <c r="I23" s="5">
        <v>44561</v>
      </c>
      <c r="J23" s="61"/>
      <c r="K23" s="61">
        <v>9835514922.9662342</v>
      </c>
      <c r="L23" s="61"/>
      <c r="M23" s="61"/>
      <c r="N23" s="61">
        <v>13397913513.781719</v>
      </c>
      <c r="O23" s="61" t="s">
        <v>143</v>
      </c>
      <c r="P23" s="61" t="s">
        <v>183</v>
      </c>
      <c r="Q23" s="2"/>
      <c r="R23" s="2"/>
      <c r="S23" s="2"/>
      <c r="T23" s="2"/>
      <c r="U23" s="2"/>
      <c r="AE23" s="69">
        <v>16.100000000000001</v>
      </c>
      <c r="AF23" s="69">
        <v>16.100000000000001</v>
      </c>
      <c r="AG23" s="69">
        <v>14.27265885416667</v>
      </c>
      <c r="AH23" s="69">
        <v>11.947505</v>
      </c>
      <c r="AI23" s="69">
        <v>11.738147617323991</v>
      </c>
      <c r="AS23" s="61">
        <v>16.100000000000001</v>
      </c>
      <c r="AT23" s="61">
        <v>16.100000000000001</v>
      </c>
      <c r="AU23" s="61">
        <v>14.27265885416667</v>
      </c>
      <c r="AV23" s="61">
        <v>12.445317708333331</v>
      </c>
      <c r="AW23" s="61">
        <v>12.63481167142513</v>
      </c>
    </row>
    <row r="24" spans="1:50">
      <c r="A24" s="61" t="s">
        <v>228</v>
      </c>
      <c r="B24" s="4" t="s">
        <v>229</v>
      </c>
      <c r="C24" s="61" t="s">
        <v>230</v>
      </c>
      <c r="D24" s="61" t="s">
        <v>61</v>
      </c>
      <c r="E24" s="61" t="s">
        <v>62</v>
      </c>
      <c r="F24" s="61" t="s">
        <v>142</v>
      </c>
      <c r="G24" s="4" t="s">
        <v>64</v>
      </c>
      <c r="H24" s="61" t="s">
        <v>65</v>
      </c>
      <c r="I24" s="5">
        <v>44561</v>
      </c>
      <c r="J24" s="61">
        <v>3937071331</v>
      </c>
      <c r="K24" s="61">
        <v>2873948000</v>
      </c>
      <c r="L24" s="61">
        <v>5704623331</v>
      </c>
      <c r="M24" s="61">
        <v>5901436331</v>
      </c>
      <c r="N24" s="61">
        <v>13745251000</v>
      </c>
      <c r="O24" s="68" t="s">
        <v>143</v>
      </c>
      <c r="P24" s="68" t="s">
        <v>144</v>
      </c>
      <c r="Q24" s="2">
        <v>3.8868941879999999</v>
      </c>
      <c r="R24" s="2">
        <v>3.8663196809999998</v>
      </c>
      <c r="S24" s="2">
        <v>3.937301664</v>
      </c>
      <c r="T24" s="2">
        <v>3.9790181429999998</v>
      </c>
      <c r="U24" s="2">
        <v>3.8259789839999998</v>
      </c>
      <c r="AS24" s="61">
        <v>7.9426489999999994</v>
      </c>
      <c r="AT24" s="61">
        <v>7.8881049999999986</v>
      </c>
      <c r="AU24" s="61">
        <v>7.9569290000000006</v>
      </c>
      <c r="AV24" s="61">
        <v>7.9702040000000007</v>
      </c>
      <c r="AW24" s="61">
        <v>8.0778513040000011</v>
      </c>
    </row>
    <row r="25" spans="1:50">
      <c r="A25" s="61" t="s">
        <v>231</v>
      </c>
      <c r="B25" s="4" t="s">
        <v>232</v>
      </c>
      <c r="C25" s="61" t="s">
        <v>233</v>
      </c>
      <c r="D25" s="61" t="s">
        <v>61</v>
      </c>
      <c r="E25" s="61" t="s">
        <v>62</v>
      </c>
      <c r="F25" s="61" t="s">
        <v>142</v>
      </c>
      <c r="G25" s="4" t="s">
        <v>64</v>
      </c>
      <c r="H25" s="61" t="s">
        <v>65</v>
      </c>
      <c r="I25" s="5">
        <v>44561</v>
      </c>
      <c r="J25" s="61">
        <v>4447584104</v>
      </c>
      <c r="K25" s="61">
        <v>5336776000</v>
      </c>
      <c r="L25" s="61">
        <v>6624232104</v>
      </c>
      <c r="M25" s="61">
        <v>6690691104</v>
      </c>
      <c r="N25" s="61">
        <v>7683059000</v>
      </c>
      <c r="O25" s="68" t="s">
        <v>143</v>
      </c>
      <c r="P25" s="68" t="s">
        <v>144</v>
      </c>
      <c r="Q25" s="2"/>
      <c r="R25" s="2"/>
      <c r="S25" s="2"/>
      <c r="T25" s="2"/>
      <c r="U25" s="2"/>
      <c r="AE25" s="69">
        <v>1.8746218750000001</v>
      </c>
      <c r="AF25" s="69">
        <v>1.844359927</v>
      </c>
      <c r="AG25" s="69">
        <v>2.051568649</v>
      </c>
      <c r="AH25" s="69">
        <v>1.710493431</v>
      </c>
      <c r="AI25" s="69">
        <v>0</v>
      </c>
      <c r="AS25" s="61">
        <v>3.1870937499999998</v>
      </c>
      <c r="AT25" s="61">
        <v>3.1660149999999998</v>
      </c>
      <c r="AU25" s="61">
        <v>3.3211175000000002</v>
      </c>
      <c r="AV25" s="61">
        <v>3.1475861959999998</v>
      </c>
      <c r="AW25" s="61">
        <v>3.1903747390000001</v>
      </c>
    </row>
    <row r="26" spans="1:50">
      <c r="A26" s="61" t="s">
        <v>234</v>
      </c>
      <c r="B26" s="4" t="s">
        <v>235</v>
      </c>
      <c r="C26" s="61" t="s">
        <v>236</v>
      </c>
      <c r="D26" s="61" t="s">
        <v>61</v>
      </c>
      <c r="E26" s="61" t="s">
        <v>62</v>
      </c>
      <c r="F26" s="61" t="s">
        <v>182</v>
      </c>
      <c r="G26" s="4" t="s">
        <v>64</v>
      </c>
      <c r="H26" s="61" t="s">
        <v>65</v>
      </c>
      <c r="I26" s="5">
        <v>44561</v>
      </c>
      <c r="J26" s="61">
        <v>12430000000</v>
      </c>
      <c r="K26" s="61">
        <v>22588858000</v>
      </c>
      <c r="L26" s="61">
        <v>15186696000</v>
      </c>
      <c r="M26" s="61">
        <v>16721301000</v>
      </c>
      <c r="N26" s="61">
        <v>18344666000</v>
      </c>
      <c r="O26" s="61" t="s">
        <v>143</v>
      </c>
      <c r="P26" s="61" t="s">
        <v>183</v>
      </c>
      <c r="Q26" s="2"/>
      <c r="R26" s="2"/>
      <c r="S26" s="2"/>
      <c r="T26" s="2"/>
      <c r="U26" s="2"/>
      <c r="AE26" s="69">
        <v>12.356382978723399</v>
      </c>
      <c r="AF26" s="69">
        <v>11.819148936170221</v>
      </c>
      <c r="AG26" s="69">
        <v>11.281914893617021</v>
      </c>
      <c r="AH26" s="69">
        <v>10.1</v>
      </c>
      <c r="AI26" s="69">
        <v>10.1</v>
      </c>
      <c r="AS26" s="61">
        <v>21.48936170212766</v>
      </c>
      <c r="AT26" s="61">
        <v>21.48936170212766</v>
      </c>
      <c r="AU26" s="61">
        <v>21.48936170212766</v>
      </c>
      <c r="AV26" s="61">
        <v>21.48936170212766</v>
      </c>
      <c r="AW26" s="61">
        <v>21.48936170212766</v>
      </c>
    </row>
    <row r="27" spans="1:50">
      <c r="A27" s="61" t="s">
        <v>237</v>
      </c>
      <c r="B27" s="4" t="s">
        <v>238</v>
      </c>
      <c r="C27" s="61" t="s">
        <v>239</v>
      </c>
      <c r="D27" s="61" t="s">
        <v>240</v>
      </c>
      <c r="E27" s="61" t="s">
        <v>241</v>
      </c>
      <c r="F27" s="61" t="s">
        <v>142</v>
      </c>
      <c r="G27" s="4" t="s">
        <v>64</v>
      </c>
      <c r="H27" s="61" t="s">
        <v>65</v>
      </c>
      <c r="I27" s="5">
        <v>44561</v>
      </c>
      <c r="J27" s="61">
        <v>44164533765.359467</v>
      </c>
      <c r="K27" s="61">
        <v>19393506493.506489</v>
      </c>
      <c r="L27" s="61"/>
      <c r="M27" s="61"/>
      <c r="N27" s="61">
        <v>81770129870.129868</v>
      </c>
      <c r="O27" s="68" t="s">
        <v>143</v>
      </c>
      <c r="P27" s="68" t="s">
        <v>144</v>
      </c>
      <c r="Q27" s="2"/>
      <c r="R27" s="2"/>
      <c r="S27" s="2"/>
      <c r="T27" s="2"/>
      <c r="U27" s="2"/>
      <c r="AE27" s="69">
        <v>3.004725724</v>
      </c>
      <c r="AF27" s="69">
        <v>2.1325357700000001</v>
      </c>
      <c r="AG27" s="69">
        <v>3.0720788620000001</v>
      </c>
      <c r="AH27" s="69">
        <v>2.4277569909999999</v>
      </c>
      <c r="AI27" s="69">
        <v>1.335266345</v>
      </c>
      <c r="AS27" s="61">
        <v>4.836665</v>
      </c>
      <c r="AT27" s="61">
        <v>3.3607879999999999</v>
      </c>
      <c r="AU27" s="61">
        <v>4.6763309999999993</v>
      </c>
      <c r="AV27" s="61">
        <v>3.8903590000000001</v>
      </c>
      <c r="AW27" s="61">
        <v>3.5954304822953862</v>
      </c>
    </row>
    <row r="28" spans="1:50">
      <c r="A28" s="61"/>
      <c r="C28" s="61"/>
      <c r="D28" s="61"/>
      <c r="E28" s="61"/>
      <c r="F28" s="61"/>
      <c r="H28" s="61"/>
      <c r="J28" s="61"/>
      <c r="K28" s="61"/>
      <c r="L28" s="61"/>
      <c r="M28" s="61"/>
      <c r="N28" s="61"/>
      <c r="O28" s="68"/>
      <c r="P28" s="68"/>
      <c r="Q28" s="2"/>
      <c r="R28" s="2"/>
      <c r="S28" s="2"/>
      <c r="T28" s="2"/>
      <c r="U28" s="2"/>
      <c r="AS28" s="61"/>
      <c r="AT28" s="61"/>
      <c r="AU28" s="61"/>
      <c r="AV28" s="61"/>
      <c r="AW28" s="61"/>
    </row>
    <row r="29" spans="1:50">
      <c r="A29" s="61"/>
      <c r="C29" s="61"/>
      <c r="D29" s="61"/>
      <c r="E29" s="61"/>
      <c r="F29" s="61"/>
      <c r="H29" s="61"/>
      <c r="J29" s="61"/>
      <c r="K29" s="61"/>
      <c r="L29" s="61"/>
      <c r="M29" s="61"/>
      <c r="N29" s="61"/>
      <c r="O29" s="68"/>
      <c r="P29" s="68"/>
      <c r="Q29" s="2"/>
      <c r="R29" s="2"/>
      <c r="S29" s="2"/>
      <c r="T29" s="2"/>
      <c r="U29" s="2"/>
      <c r="AS29" s="61"/>
      <c r="AT29" s="61"/>
      <c r="AU29" s="61"/>
      <c r="AV29" s="61"/>
      <c r="AW29" s="61"/>
    </row>
    <row r="30" spans="1:50">
      <c r="A30" s="61"/>
      <c r="C30" s="61"/>
      <c r="D30" s="61"/>
      <c r="E30" s="61"/>
      <c r="F30" s="61"/>
      <c r="H30" s="61"/>
      <c r="J30" s="61"/>
      <c r="K30" s="61"/>
      <c r="L30" s="61"/>
      <c r="M30" s="61"/>
      <c r="N30" s="61"/>
      <c r="O30" s="68"/>
      <c r="P30" s="68"/>
      <c r="Q30" s="2"/>
      <c r="R30" s="2"/>
      <c r="S30" s="2"/>
      <c r="T30" s="2"/>
      <c r="U30" s="2"/>
      <c r="AS30" s="61"/>
      <c r="AT30" s="61"/>
      <c r="AU30" s="61"/>
      <c r="AV30" s="61"/>
      <c r="AW30" s="61"/>
    </row>
    <row r="31" spans="1:50">
      <c r="A31" s="61"/>
      <c r="C31" s="61"/>
      <c r="D31" s="61"/>
      <c r="E31" s="61"/>
      <c r="F31" s="61"/>
      <c r="H31" s="61"/>
      <c r="J31" s="61"/>
      <c r="K31" s="61"/>
      <c r="L31" s="61"/>
      <c r="M31" s="61"/>
      <c r="N31" s="61"/>
      <c r="O31" s="68"/>
      <c r="P31" s="68"/>
      <c r="Q31" s="2"/>
      <c r="R31" s="2"/>
      <c r="S31" s="2"/>
      <c r="T31" s="2"/>
      <c r="U31" s="2"/>
      <c r="AS31" s="61"/>
      <c r="AT31" s="61"/>
      <c r="AU31" s="61"/>
      <c r="AV31" s="61"/>
      <c r="AW31" s="61"/>
    </row>
    <row r="32" spans="1:50">
      <c r="A32" s="61"/>
      <c r="C32" s="61"/>
      <c r="D32" s="61"/>
      <c r="E32" s="61"/>
      <c r="F32" s="61"/>
      <c r="H32" s="61"/>
      <c r="J32" s="61"/>
      <c r="K32" s="61"/>
      <c r="L32" s="61"/>
      <c r="M32" s="61"/>
      <c r="N32" s="61"/>
      <c r="O32" s="68"/>
      <c r="P32" s="68"/>
      <c r="Q32" s="2"/>
      <c r="R32" s="2"/>
      <c r="S32" s="2"/>
      <c r="T32" s="2"/>
      <c r="U32" s="2"/>
      <c r="AS32" s="61"/>
      <c r="AT32" s="61"/>
      <c r="AU32" s="61"/>
      <c r="AV32" s="61"/>
      <c r="AW32" s="61"/>
    </row>
    <row r="33" spans="1:49">
      <c r="A33" s="61"/>
      <c r="C33" s="61"/>
      <c r="D33" s="61"/>
      <c r="E33" s="61"/>
      <c r="F33" s="61"/>
      <c r="H33" s="61"/>
      <c r="J33" s="61"/>
      <c r="K33" s="61"/>
      <c r="L33" s="61"/>
      <c r="M33" s="61"/>
      <c r="N33" s="61"/>
      <c r="O33" s="68"/>
      <c r="P33" s="68"/>
      <c r="Q33" s="2"/>
      <c r="R33" s="2"/>
      <c r="S33" s="2"/>
      <c r="T33" s="2"/>
      <c r="U33" s="2"/>
      <c r="AS33" s="61"/>
      <c r="AT33" s="61"/>
      <c r="AU33" s="61"/>
      <c r="AV33" s="61"/>
      <c r="AW33" s="61"/>
    </row>
    <row r="34" spans="1:49">
      <c r="A34" s="61"/>
      <c r="C34" s="61"/>
      <c r="D34" s="61"/>
      <c r="E34" s="61"/>
      <c r="F34" s="61"/>
      <c r="H34" s="61"/>
      <c r="J34" s="61"/>
      <c r="K34" s="61"/>
      <c r="L34" s="61"/>
      <c r="M34" s="61"/>
      <c r="N34" s="61"/>
      <c r="P34" s="61"/>
      <c r="Q34" s="2"/>
      <c r="R34" s="2"/>
      <c r="S34" s="2"/>
      <c r="T34" s="2"/>
      <c r="U34" s="2"/>
      <c r="AS34" s="61"/>
      <c r="AT34" s="61"/>
      <c r="AU34" s="61"/>
      <c r="AV34" s="61"/>
      <c r="AW34" s="61"/>
    </row>
    <row r="35" spans="1:49">
      <c r="A35" s="61"/>
      <c r="C35" s="61"/>
      <c r="D35" s="61"/>
      <c r="E35" s="61"/>
      <c r="F35" s="61"/>
      <c r="H35" s="61"/>
      <c r="J35" s="61"/>
      <c r="K35" s="61"/>
      <c r="L35" s="61"/>
      <c r="M35" s="61"/>
      <c r="N35" s="61"/>
      <c r="O35" s="68"/>
      <c r="P35" s="68"/>
      <c r="Q35" s="2"/>
      <c r="R35" s="2"/>
      <c r="S35" s="2"/>
      <c r="T35" s="2"/>
      <c r="U35" s="2"/>
      <c r="AS35" s="61"/>
      <c r="AT35" s="61"/>
      <c r="AU35" s="61"/>
      <c r="AV35" s="61"/>
      <c r="AW35" s="61"/>
    </row>
    <row r="36" spans="1:49">
      <c r="A36" s="61"/>
      <c r="C36" s="61"/>
      <c r="D36" s="61"/>
      <c r="E36" s="61"/>
      <c r="F36" s="61"/>
      <c r="H36" s="61"/>
      <c r="J36" s="61"/>
      <c r="K36" s="61"/>
      <c r="L36" s="61"/>
      <c r="M36" s="61"/>
      <c r="N36" s="61"/>
      <c r="O36" s="68"/>
      <c r="P36" s="68"/>
      <c r="Q36" s="2"/>
      <c r="R36" s="2"/>
      <c r="S36" s="2"/>
      <c r="T36" s="2"/>
      <c r="U36" s="2"/>
      <c r="AS36" s="61"/>
      <c r="AT36" s="61"/>
      <c r="AU36" s="61"/>
      <c r="AV36" s="61"/>
      <c r="AW36" s="61"/>
    </row>
    <row r="37" spans="1:49">
      <c r="A37" s="61"/>
      <c r="C37" s="61"/>
      <c r="D37" s="61"/>
      <c r="E37" s="61"/>
      <c r="F37" s="61"/>
      <c r="H37" s="61"/>
      <c r="J37" s="61"/>
      <c r="K37" s="61"/>
      <c r="L37" s="61"/>
      <c r="M37" s="61"/>
      <c r="N37" s="61"/>
      <c r="O37" s="68"/>
      <c r="P37" s="68"/>
      <c r="Q37" s="2"/>
      <c r="R37" s="2"/>
      <c r="S37" s="2"/>
      <c r="T37" s="2"/>
      <c r="U37" s="2"/>
      <c r="AS37" s="61"/>
      <c r="AT37" s="61"/>
      <c r="AU37" s="61"/>
      <c r="AV37" s="61"/>
      <c r="AW37" s="61"/>
    </row>
    <row r="38" spans="1:49">
      <c r="A38" s="61"/>
      <c r="C38" s="61"/>
      <c r="D38" s="61"/>
      <c r="E38" s="61"/>
      <c r="F38" s="61"/>
      <c r="H38" s="61"/>
      <c r="J38" s="61"/>
      <c r="K38" s="61"/>
      <c r="L38" s="61"/>
      <c r="M38" s="61"/>
      <c r="N38" s="61"/>
      <c r="O38" s="68"/>
      <c r="P38" s="68"/>
      <c r="Q38" s="2"/>
      <c r="R38" s="2"/>
      <c r="S38" s="2"/>
      <c r="T38" s="2"/>
      <c r="U38" s="2"/>
      <c r="AS38" s="61"/>
      <c r="AT38" s="61"/>
      <c r="AU38" s="61"/>
      <c r="AV38" s="61"/>
      <c r="AW38" s="61"/>
    </row>
    <row r="39" spans="1:49">
      <c r="A39" s="61"/>
      <c r="C39" s="61"/>
      <c r="D39" s="61"/>
      <c r="E39" s="61"/>
      <c r="F39" s="61"/>
      <c r="H39" s="61"/>
      <c r="J39" s="61"/>
      <c r="K39" s="61"/>
      <c r="L39" s="61"/>
      <c r="M39" s="61"/>
      <c r="N39" s="61"/>
      <c r="P39" s="61"/>
      <c r="Q39" s="2"/>
      <c r="R39" s="2"/>
      <c r="S39" s="2"/>
      <c r="T39" s="2"/>
      <c r="U39" s="2"/>
      <c r="AS39" s="61"/>
      <c r="AT39" s="61"/>
      <c r="AU39" s="61"/>
      <c r="AV39" s="61"/>
      <c r="AW39" s="61"/>
    </row>
    <row r="40" spans="1:49">
      <c r="A40" s="61"/>
      <c r="C40" s="61"/>
      <c r="D40" s="61"/>
      <c r="E40" s="61"/>
      <c r="F40" s="61"/>
      <c r="H40" s="61"/>
      <c r="J40" s="61"/>
      <c r="K40" s="61"/>
      <c r="L40" s="61"/>
      <c r="M40" s="61"/>
      <c r="N40" s="61"/>
      <c r="O40" s="68"/>
      <c r="P40" s="68"/>
      <c r="Q40" s="2"/>
      <c r="R40" s="2"/>
      <c r="S40" s="2"/>
      <c r="T40" s="2"/>
      <c r="U40" s="2"/>
      <c r="AS40" s="61"/>
      <c r="AT40" s="61"/>
      <c r="AU40" s="61"/>
      <c r="AV40" s="61"/>
      <c r="AW40" s="61"/>
    </row>
    <row r="41" spans="1:49">
      <c r="A41" s="61"/>
      <c r="C41" s="61"/>
      <c r="D41" s="61"/>
      <c r="E41" s="61"/>
      <c r="F41" s="61"/>
      <c r="H41" s="61"/>
      <c r="J41" s="61"/>
      <c r="K41" s="61"/>
      <c r="L41" s="61"/>
      <c r="M41" s="61"/>
      <c r="N41" s="61"/>
      <c r="O41" s="68"/>
      <c r="P41" s="68"/>
      <c r="Q41" s="2"/>
      <c r="R41" s="2"/>
      <c r="S41" s="2"/>
      <c r="T41" s="2"/>
      <c r="U41" s="2"/>
      <c r="AS41" s="61"/>
      <c r="AT41" s="61"/>
      <c r="AU41" s="61"/>
      <c r="AV41" s="61"/>
      <c r="AW41" s="61"/>
    </row>
    <row r="42" spans="1:49">
      <c r="A42" s="61"/>
      <c r="C42" s="61"/>
      <c r="D42" s="61"/>
      <c r="E42" s="61"/>
      <c r="F42" s="61"/>
      <c r="H42" s="61"/>
      <c r="J42" s="61"/>
      <c r="K42" s="61"/>
      <c r="L42" s="61"/>
      <c r="M42" s="61"/>
      <c r="N42" s="61"/>
      <c r="O42" s="68"/>
      <c r="P42" s="68"/>
      <c r="Q42" s="2"/>
      <c r="R42" s="2"/>
      <c r="S42" s="2"/>
      <c r="T42" s="2"/>
      <c r="U42" s="2"/>
      <c r="AS42" s="61"/>
      <c r="AT42" s="61"/>
      <c r="AU42" s="61"/>
      <c r="AV42" s="61"/>
      <c r="AW42" s="61"/>
    </row>
    <row r="43" spans="1:49">
      <c r="A43" s="61"/>
      <c r="C43" s="61"/>
      <c r="D43" s="61"/>
      <c r="E43" s="61"/>
      <c r="F43" s="61"/>
      <c r="H43" s="61"/>
      <c r="J43" s="61"/>
      <c r="K43" s="61"/>
      <c r="L43" s="61"/>
      <c r="M43" s="61"/>
      <c r="N43" s="61"/>
      <c r="P43" s="61"/>
      <c r="Q43" s="2"/>
      <c r="R43" s="2"/>
      <c r="S43" s="2"/>
      <c r="T43" s="2"/>
      <c r="U43" s="2"/>
      <c r="AS43" s="61"/>
      <c r="AT43" s="61"/>
      <c r="AU43" s="61"/>
      <c r="AV43" s="61"/>
      <c r="AW43" s="61"/>
    </row>
    <row r="44" spans="1:49">
      <c r="A44" s="61"/>
      <c r="C44" s="61"/>
      <c r="D44" s="61"/>
      <c r="E44" s="61"/>
      <c r="F44" s="61"/>
      <c r="H44" s="61"/>
      <c r="J44" s="61"/>
      <c r="K44" s="61"/>
      <c r="L44" s="61"/>
      <c r="M44" s="61"/>
      <c r="N44" s="61"/>
      <c r="P44" s="61"/>
      <c r="Q44" s="2"/>
      <c r="R44" s="2"/>
      <c r="S44" s="2"/>
      <c r="T44" s="2"/>
      <c r="U44" s="2"/>
      <c r="AS44" s="61"/>
      <c r="AT44" s="61"/>
      <c r="AU44" s="61"/>
      <c r="AV44" s="61"/>
      <c r="AW44" s="61"/>
    </row>
    <row r="45" spans="1:49">
      <c r="A45" s="61"/>
      <c r="C45" s="61"/>
      <c r="D45" s="61"/>
      <c r="E45" s="61"/>
      <c r="F45" s="61"/>
      <c r="H45" s="61"/>
      <c r="J45" s="61"/>
      <c r="K45" s="61"/>
      <c r="L45" s="61"/>
      <c r="M45" s="61"/>
      <c r="N45" s="61"/>
      <c r="P45" s="61"/>
      <c r="Q45" s="2"/>
      <c r="R45" s="2"/>
      <c r="S45" s="2"/>
      <c r="T45" s="2"/>
      <c r="U45" s="2"/>
      <c r="AS45" s="61"/>
      <c r="AT45" s="61"/>
      <c r="AU45" s="61"/>
      <c r="AV45" s="61"/>
      <c r="AW45" s="61"/>
    </row>
    <row r="46" spans="1:49">
      <c r="A46" s="61"/>
      <c r="C46" s="61"/>
      <c r="D46" s="61"/>
      <c r="E46" s="61"/>
      <c r="F46" s="61"/>
      <c r="H46" s="61"/>
      <c r="J46" s="61"/>
      <c r="K46" s="61"/>
      <c r="L46" s="61"/>
      <c r="M46" s="61"/>
      <c r="N46" s="61"/>
      <c r="O46" s="68"/>
      <c r="P46" s="68"/>
      <c r="Q46" s="2"/>
      <c r="R46" s="2"/>
      <c r="S46" s="2"/>
      <c r="T46" s="2"/>
      <c r="U46" s="2"/>
      <c r="AS46" s="61"/>
      <c r="AT46" s="61"/>
      <c r="AU46" s="61"/>
      <c r="AV46" s="61"/>
      <c r="AW46" s="61"/>
    </row>
    <row r="47" spans="1:49">
      <c r="A47" s="61"/>
      <c r="C47" s="61"/>
      <c r="D47" s="61"/>
      <c r="E47" s="61"/>
      <c r="F47" s="61"/>
      <c r="H47" s="61"/>
      <c r="J47" s="61"/>
      <c r="K47" s="61"/>
      <c r="L47" s="61"/>
      <c r="M47" s="61"/>
      <c r="N47" s="61"/>
      <c r="O47" s="68"/>
      <c r="P47" s="68"/>
      <c r="Q47" s="2"/>
      <c r="R47" s="2"/>
      <c r="S47" s="2"/>
      <c r="T47" s="2"/>
      <c r="U47" s="2"/>
      <c r="AS47" s="61"/>
      <c r="AT47" s="61"/>
      <c r="AU47" s="61"/>
      <c r="AV47" s="61"/>
      <c r="AW47" s="61"/>
    </row>
    <row r="48" spans="1:49">
      <c r="A48" s="61"/>
      <c r="C48" s="61"/>
      <c r="D48" s="61"/>
      <c r="E48" s="61"/>
      <c r="F48" s="61"/>
      <c r="H48" s="61"/>
      <c r="J48" s="61"/>
      <c r="K48" s="61"/>
      <c r="L48" s="61"/>
      <c r="M48" s="61"/>
      <c r="N48" s="61"/>
      <c r="O48" s="68"/>
      <c r="P48" s="68"/>
      <c r="Q48" s="2"/>
      <c r="R48" s="2"/>
      <c r="S48" s="2"/>
      <c r="T48" s="2"/>
      <c r="U48" s="2"/>
      <c r="AS48" s="61"/>
      <c r="AT48" s="61"/>
      <c r="AU48" s="61"/>
      <c r="AV48" s="61"/>
      <c r="AW48" s="61"/>
    </row>
    <row r="49" spans="1:49">
      <c r="A49" s="61"/>
      <c r="C49" s="61"/>
      <c r="D49" s="61"/>
      <c r="E49" s="61"/>
      <c r="F49" s="61"/>
      <c r="H49" s="61"/>
      <c r="J49" s="61"/>
      <c r="K49" s="61"/>
      <c r="L49" s="61"/>
      <c r="M49" s="61"/>
      <c r="N49" s="61"/>
      <c r="P49" s="61"/>
      <c r="Q49" s="2"/>
      <c r="R49" s="2"/>
      <c r="S49" s="2"/>
      <c r="T49" s="2"/>
      <c r="U49" s="2"/>
      <c r="AS49" s="61"/>
      <c r="AT49" s="61"/>
      <c r="AU49" s="61"/>
      <c r="AV49" s="61"/>
      <c r="AW49" s="61"/>
    </row>
    <row r="50" spans="1:49">
      <c r="A50" s="61"/>
      <c r="C50" s="61"/>
      <c r="D50" s="61"/>
      <c r="E50" s="61"/>
      <c r="F50" s="61"/>
      <c r="H50" s="61"/>
      <c r="J50" s="61"/>
      <c r="K50" s="61"/>
      <c r="L50" s="61"/>
      <c r="M50" s="61"/>
      <c r="N50" s="61"/>
      <c r="O50" s="68"/>
      <c r="P50" s="68"/>
      <c r="Q50" s="2"/>
      <c r="R50" s="2"/>
      <c r="S50" s="2"/>
      <c r="T50" s="2"/>
      <c r="U50" s="2"/>
      <c r="AS50" s="61"/>
      <c r="AT50" s="61"/>
      <c r="AU50" s="61"/>
      <c r="AV50" s="61"/>
      <c r="AW50" s="61"/>
    </row>
  </sheetData>
  <phoneticPr fontId="1" type="noConversion"/>
  <pageMargins left="0.7" right="0.7" top="0.75" bottom="0.75" header="0.3" footer="0.3"/>
  <pageSetup paperSize="9" scale="46" fitToWidth="4" orientation="landscape" r:id="rId1"/>
  <headerFooter>
    <oddHeader>&amp;C&amp;"Calibri"&amp;10&amp;K000000Confidential&amp;1#</oddHead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AEF12C-8FCA-4C98-A7E3-A92507F3829D}">
  <dimension ref="A1:L33"/>
  <sheetViews>
    <sheetView tabSelected="1" zoomScale="150" zoomScaleNormal="150" workbookViewId="0">
      <pane xSplit="1" ySplit="1" topLeftCell="B2" activePane="bottomRight" state="frozen"/>
      <selection pane="topRight" activeCell="B1" sqref="B1"/>
      <selection pane="bottomLeft" activeCell="A2" sqref="A2"/>
      <selection pane="bottomRight" activeCell="F29" sqref="F29"/>
    </sheetView>
  </sheetViews>
  <sheetFormatPr baseColWidth="10" defaultColWidth="8.83203125" defaultRowHeight="15"/>
  <cols>
    <col min="1" max="1" width="29.33203125" style="61" customWidth="1"/>
    <col min="2" max="2" width="25.5" style="4" customWidth="1"/>
    <col min="3" max="3" width="16.5" style="61"/>
    <col min="4" max="4" width="16.5" style="26"/>
    <col min="5" max="5" width="17.5" style="26" customWidth="1"/>
    <col min="6" max="7" width="24" style="61" customWidth="1"/>
    <col min="8" max="8" width="22.5" style="20" customWidth="1"/>
    <col min="9" max="9" width="23.33203125" style="61" customWidth="1"/>
    <col min="10" max="10" width="24" style="61" customWidth="1"/>
    <col min="11" max="11" width="19.33203125" style="61" customWidth="1"/>
    <col min="12" max="12" width="21.5" style="61" customWidth="1"/>
  </cols>
  <sheetData>
    <row r="1" spans="1:12">
      <c r="A1" s="10" t="s">
        <v>56</v>
      </c>
      <c r="B1" s="10" t="s">
        <v>57</v>
      </c>
      <c r="C1" s="10" t="s">
        <v>1</v>
      </c>
      <c r="D1" s="27" t="s">
        <v>55</v>
      </c>
      <c r="E1" s="19" t="s">
        <v>123</v>
      </c>
      <c r="F1" s="19" t="s">
        <v>124</v>
      </c>
      <c r="G1" s="62" t="s">
        <v>125</v>
      </c>
      <c r="H1" s="19" t="s">
        <v>115</v>
      </c>
      <c r="I1" s="19" t="s">
        <v>116</v>
      </c>
      <c r="J1" s="19" t="s">
        <v>117</v>
      </c>
      <c r="K1" s="12" t="s">
        <v>118</v>
      </c>
      <c r="L1" s="12" t="s">
        <v>119</v>
      </c>
    </row>
    <row r="2" spans="1:12">
      <c r="A2" s="61" t="s">
        <v>58</v>
      </c>
      <c r="B2" s="72" t="s">
        <v>59</v>
      </c>
      <c r="C2" s="71" t="s">
        <v>60</v>
      </c>
      <c r="D2" s="71">
        <v>2040</v>
      </c>
      <c r="E2" s="71" t="s">
        <v>66</v>
      </c>
      <c r="F2" s="71" t="s">
        <v>313</v>
      </c>
      <c r="G2" s="71">
        <v>2019</v>
      </c>
      <c r="H2" s="61">
        <v>2016</v>
      </c>
      <c r="I2" s="73">
        <v>0.67400000000000004</v>
      </c>
      <c r="J2" s="71" t="s">
        <v>130</v>
      </c>
      <c r="K2" s="71">
        <v>2040</v>
      </c>
      <c r="L2" s="74">
        <v>1</v>
      </c>
    </row>
    <row r="3" spans="1:12" s="61" customFormat="1">
      <c r="A3" s="61" t="s">
        <v>58</v>
      </c>
      <c r="B3" s="4" t="s">
        <v>59</v>
      </c>
      <c r="C3" s="61" t="s">
        <v>60</v>
      </c>
      <c r="D3" s="71">
        <v>2040</v>
      </c>
      <c r="E3" s="61" t="s">
        <v>66</v>
      </c>
      <c r="F3" s="61" t="s">
        <v>316</v>
      </c>
      <c r="G3" s="71">
        <v>2019</v>
      </c>
      <c r="H3" s="61">
        <v>2016</v>
      </c>
      <c r="I3" s="76">
        <v>70457</v>
      </c>
      <c r="J3" s="61" t="s">
        <v>314</v>
      </c>
      <c r="K3" s="61">
        <v>2050</v>
      </c>
      <c r="L3" s="75">
        <v>1</v>
      </c>
    </row>
    <row r="4" spans="1:12" s="61" customFormat="1">
      <c r="A4" s="61" t="s">
        <v>58</v>
      </c>
      <c r="B4" s="4" t="s">
        <v>59</v>
      </c>
      <c r="C4" s="61" t="s">
        <v>60</v>
      </c>
      <c r="D4" s="71">
        <v>2040</v>
      </c>
      <c r="E4" s="77" t="s">
        <v>66</v>
      </c>
      <c r="F4" s="61" t="s">
        <v>313</v>
      </c>
      <c r="G4" s="71">
        <v>2019</v>
      </c>
      <c r="H4" s="61">
        <v>2016</v>
      </c>
      <c r="I4" s="61">
        <v>0.67</v>
      </c>
      <c r="J4" s="61" t="s">
        <v>319</v>
      </c>
      <c r="K4" s="61">
        <v>2030</v>
      </c>
      <c r="L4" s="75">
        <v>0.7</v>
      </c>
    </row>
    <row r="5" spans="1:12">
      <c r="A5" s="61" t="s">
        <v>145</v>
      </c>
      <c r="B5" s="4" t="s">
        <v>146</v>
      </c>
      <c r="C5" s="61" t="s">
        <v>147</v>
      </c>
      <c r="D5" s="54">
        <v>2050</v>
      </c>
      <c r="E5" s="71" t="s">
        <v>311</v>
      </c>
      <c r="F5" s="71" t="s">
        <v>313</v>
      </c>
      <c r="G5" s="54"/>
      <c r="H5" s="54">
        <v>2005</v>
      </c>
      <c r="I5" s="70">
        <v>10178945</v>
      </c>
      <c r="J5" s="71" t="s">
        <v>143</v>
      </c>
      <c r="K5" s="54">
        <v>2050</v>
      </c>
      <c r="L5" s="63">
        <v>1</v>
      </c>
    </row>
    <row r="6" spans="1:12">
      <c r="A6" s="61" t="s">
        <v>155</v>
      </c>
      <c r="B6" s="4" t="s">
        <v>149</v>
      </c>
      <c r="C6" s="61" t="s">
        <v>157</v>
      </c>
      <c r="D6" s="26">
        <v>2050</v>
      </c>
      <c r="E6" s="71" t="s">
        <v>66</v>
      </c>
      <c r="F6" s="61" t="s">
        <v>313</v>
      </c>
      <c r="H6" s="20">
        <v>2005</v>
      </c>
      <c r="I6" s="61">
        <f>(16*0.4+9*0.5)/(16+9)</f>
        <v>0.436</v>
      </c>
      <c r="J6" s="71" t="s">
        <v>130</v>
      </c>
      <c r="K6" s="61">
        <v>2030</v>
      </c>
      <c r="L6" s="75">
        <v>0.5</v>
      </c>
    </row>
    <row r="7" spans="1:12">
      <c r="A7" s="61" t="s">
        <v>158</v>
      </c>
      <c r="B7" s="4" t="s">
        <v>159</v>
      </c>
      <c r="C7" s="61" t="s">
        <v>160</v>
      </c>
      <c r="D7" s="26">
        <v>2050</v>
      </c>
      <c r="E7" s="71" t="s">
        <v>311</v>
      </c>
      <c r="F7" s="61" t="s">
        <v>313</v>
      </c>
      <c r="H7" s="20">
        <v>2005</v>
      </c>
      <c r="I7" s="76">
        <v>38113792</v>
      </c>
      <c r="J7" s="71" t="s">
        <v>143</v>
      </c>
      <c r="K7" s="61">
        <v>2030</v>
      </c>
      <c r="L7" s="75">
        <v>0.5</v>
      </c>
    </row>
    <row r="8" spans="1:12">
      <c r="A8" s="61" t="s">
        <v>158</v>
      </c>
      <c r="B8" s="4" t="s">
        <v>159</v>
      </c>
      <c r="C8" s="61" t="s">
        <v>160</v>
      </c>
      <c r="D8" s="26">
        <v>2050</v>
      </c>
      <c r="E8" s="71" t="s">
        <v>311</v>
      </c>
      <c r="F8" s="61" t="s">
        <v>313</v>
      </c>
      <c r="H8" s="20">
        <v>2005</v>
      </c>
      <c r="I8" s="76">
        <v>38113792</v>
      </c>
      <c r="J8" s="71" t="s">
        <v>143</v>
      </c>
      <c r="K8" s="61">
        <v>2040</v>
      </c>
      <c r="L8" s="75">
        <v>0.85</v>
      </c>
    </row>
    <row r="9" spans="1:12">
      <c r="A9" s="61" t="s">
        <v>161</v>
      </c>
      <c r="B9" s="4" t="s">
        <v>162</v>
      </c>
      <c r="C9" s="61" t="s">
        <v>163</v>
      </c>
      <c r="D9" s="26">
        <v>2050</v>
      </c>
      <c r="E9" s="26" t="s">
        <v>66</v>
      </c>
      <c r="F9" s="61" t="s">
        <v>310</v>
      </c>
      <c r="H9" s="20">
        <v>2000</v>
      </c>
      <c r="I9" s="61">
        <v>167000000</v>
      </c>
      <c r="J9" s="71" t="s">
        <v>143</v>
      </c>
      <c r="K9" s="61">
        <v>2030</v>
      </c>
      <c r="L9" s="75">
        <v>0.8</v>
      </c>
    </row>
    <row r="10" spans="1:12">
      <c r="A10" s="61" t="s">
        <v>167</v>
      </c>
      <c r="B10" s="4" t="s">
        <v>168</v>
      </c>
      <c r="C10" s="61" t="s">
        <v>169</v>
      </c>
      <c r="D10" s="26">
        <v>2035</v>
      </c>
      <c r="E10" s="26" t="s">
        <v>311</v>
      </c>
      <c r="F10" s="61" t="s">
        <v>310</v>
      </c>
      <c r="H10" s="20">
        <v>2015</v>
      </c>
      <c r="I10" s="70">
        <v>1.3146552000000001E-2</v>
      </c>
      <c r="J10" s="71" t="s">
        <v>129</v>
      </c>
      <c r="K10" s="61">
        <v>2025</v>
      </c>
      <c r="L10" s="75">
        <v>0.35</v>
      </c>
    </row>
    <row r="11" spans="1:12">
      <c r="A11" s="61" t="s">
        <v>173</v>
      </c>
      <c r="B11" s="4" t="s">
        <v>174</v>
      </c>
      <c r="C11" s="61" t="s">
        <v>175</v>
      </c>
      <c r="E11" s="26" t="s">
        <v>66</v>
      </c>
      <c r="F11" s="61" t="s">
        <v>310</v>
      </c>
      <c r="H11" s="20">
        <v>2005</v>
      </c>
      <c r="I11" s="61">
        <v>1</v>
      </c>
      <c r="J11" s="71" t="s">
        <v>319</v>
      </c>
      <c r="K11" s="61">
        <v>2030</v>
      </c>
      <c r="L11" s="75">
        <v>0.4</v>
      </c>
    </row>
    <row r="12" spans="1:12" s="61" customFormat="1">
      <c r="A12" s="61" t="s">
        <v>173</v>
      </c>
      <c r="B12" s="4" t="s">
        <v>174</v>
      </c>
      <c r="C12" s="61" t="s">
        <v>175</v>
      </c>
      <c r="D12" s="26"/>
      <c r="E12" s="26" t="s">
        <v>66</v>
      </c>
      <c r="F12" s="61" t="s">
        <v>310</v>
      </c>
      <c r="H12" s="20">
        <v>2005</v>
      </c>
      <c r="I12" s="61">
        <v>1</v>
      </c>
      <c r="J12" s="71" t="s">
        <v>319</v>
      </c>
      <c r="K12" s="61">
        <v>2040</v>
      </c>
      <c r="L12" s="75">
        <v>0.7</v>
      </c>
    </row>
    <row r="13" spans="1:12">
      <c r="A13" s="61" t="s">
        <v>179</v>
      </c>
      <c r="B13" s="4" t="s">
        <v>180</v>
      </c>
      <c r="C13" s="61" t="s">
        <v>181</v>
      </c>
      <c r="E13" s="26" t="s">
        <v>66</v>
      </c>
      <c r="F13" s="61" t="s">
        <v>313</v>
      </c>
      <c r="H13" s="20">
        <v>2020</v>
      </c>
      <c r="I13" s="61">
        <f>0.292832151/0.141</f>
        <v>2.0768237659574469</v>
      </c>
      <c r="J13" s="71" t="s">
        <v>317</v>
      </c>
      <c r="K13" s="61">
        <v>2050</v>
      </c>
      <c r="L13" s="75">
        <v>0.1</v>
      </c>
    </row>
    <row r="14" spans="1:12">
      <c r="A14" s="61" t="s">
        <v>184</v>
      </c>
      <c r="B14" s="4" t="s">
        <v>185</v>
      </c>
      <c r="C14" s="61" t="s">
        <v>186</v>
      </c>
      <c r="E14" s="61" t="s">
        <v>311</v>
      </c>
      <c r="F14" s="61" t="s">
        <v>318</v>
      </c>
      <c r="G14" s="61">
        <v>2020</v>
      </c>
      <c r="H14" s="20">
        <v>2005</v>
      </c>
      <c r="I14" s="61">
        <v>25218000</v>
      </c>
      <c r="J14" s="61" t="s">
        <v>143</v>
      </c>
      <c r="K14" s="61">
        <v>2040</v>
      </c>
      <c r="L14" s="75">
        <v>1</v>
      </c>
    </row>
    <row r="15" spans="1:12">
      <c r="A15" s="61" t="s">
        <v>187</v>
      </c>
      <c r="B15" s="4" t="s">
        <v>188</v>
      </c>
      <c r="C15" s="61" t="s">
        <v>189</v>
      </c>
      <c r="E15" s="26" t="s">
        <v>66</v>
      </c>
      <c r="F15" s="61" t="s">
        <v>313</v>
      </c>
      <c r="G15" s="61">
        <v>2021</v>
      </c>
      <c r="H15" s="20">
        <v>2019</v>
      </c>
      <c r="I15" s="61">
        <v>0.48099999999999998</v>
      </c>
      <c r="J15" s="71" t="s">
        <v>317</v>
      </c>
      <c r="K15" s="61">
        <v>2030</v>
      </c>
      <c r="L15" s="75">
        <v>0.2</v>
      </c>
    </row>
    <row r="16" spans="1:12">
      <c r="A16" s="61" t="s">
        <v>190</v>
      </c>
      <c r="B16" s="4" t="s">
        <v>191</v>
      </c>
      <c r="C16" s="61" t="s">
        <v>192</v>
      </c>
      <c r="D16" s="26">
        <v>2050</v>
      </c>
      <c r="E16" s="26" t="s">
        <v>311</v>
      </c>
      <c r="F16" s="61" t="s">
        <v>313</v>
      </c>
      <c r="H16" s="20">
        <v>2011</v>
      </c>
      <c r="I16" s="61">
        <v>24000000</v>
      </c>
      <c r="J16" s="71" t="s">
        <v>143</v>
      </c>
      <c r="K16" s="61">
        <v>2030</v>
      </c>
      <c r="L16" s="75">
        <v>0.6</v>
      </c>
    </row>
    <row r="17" spans="1:12">
      <c r="A17" s="61" t="s">
        <v>196</v>
      </c>
      <c r="B17" s="4" t="s">
        <v>197</v>
      </c>
      <c r="C17" s="61" t="s">
        <v>198</v>
      </c>
      <c r="D17" s="26">
        <v>2050</v>
      </c>
      <c r="E17" s="26" t="s">
        <v>311</v>
      </c>
      <c r="F17" s="61" t="s">
        <v>310</v>
      </c>
      <c r="G17" s="61">
        <v>2017</v>
      </c>
      <c r="H17" s="20">
        <v>2005</v>
      </c>
      <c r="I17" s="61">
        <v>37700000</v>
      </c>
      <c r="J17" s="71" t="s">
        <v>143</v>
      </c>
      <c r="K17" s="61">
        <v>2030</v>
      </c>
      <c r="L17" s="75">
        <v>0.5</v>
      </c>
    </row>
    <row r="18" spans="1:12">
      <c r="A18" s="61" t="s">
        <v>196</v>
      </c>
      <c r="B18" s="4" t="s">
        <v>197</v>
      </c>
      <c r="C18" s="61" t="s">
        <v>198</v>
      </c>
      <c r="D18" s="26">
        <v>2050</v>
      </c>
      <c r="E18" s="26" t="s">
        <v>311</v>
      </c>
      <c r="F18" s="61" t="s">
        <v>310</v>
      </c>
      <c r="G18" s="61">
        <v>2017</v>
      </c>
      <c r="H18" s="20">
        <v>2005</v>
      </c>
      <c r="I18" s="61">
        <v>37700000</v>
      </c>
      <c r="J18" s="71" t="s">
        <v>143</v>
      </c>
      <c r="K18" s="61">
        <v>2040</v>
      </c>
      <c r="L18" s="75">
        <v>0.8</v>
      </c>
    </row>
    <row r="19" spans="1:12">
      <c r="A19" s="61" t="s">
        <v>199</v>
      </c>
      <c r="B19" s="4" t="s">
        <v>200</v>
      </c>
      <c r="C19" s="61" t="s">
        <v>201</v>
      </c>
      <c r="D19" s="26">
        <v>2050</v>
      </c>
      <c r="E19" s="26" t="s">
        <v>311</v>
      </c>
      <c r="F19" s="61" t="s">
        <v>310</v>
      </c>
      <c r="H19" s="20">
        <v>2005</v>
      </c>
      <c r="I19" s="61">
        <v>59.347999999999999</v>
      </c>
      <c r="J19" s="71" t="s">
        <v>129</v>
      </c>
      <c r="K19" s="61">
        <v>2030</v>
      </c>
      <c r="L19" s="75">
        <v>0.55000000000000004</v>
      </c>
    </row>
    <row r="20" spans="1:12">
      <c r="A20" s="61" t="s">
        <v>202</v>
      </c>
      <c r="B20" s="4" t="s">
        <v>203</v>
      </c>
      <c r="C20" s="61" t="s">
        <v>204</v>
      </c>
      <c r="D20" s="26">
        <v>2050</v>
      </c>
      <c r="E20" s="26" t="s">
        <v>311</v>
      </c>
      <c r="F20" s="61" t="s">
        <v>310</v>
      </c>
      <c r="H20" s="20">
        <v>2005</v>
      </c>
      <c r="I20" s="61">
        <v>153000000</v>
      </c>
      <c r="J20" s="71" t="s">
        <v>143</v>
      </c>
      <c r="K20" s="61">
        <v>2030</v>
      </c>
      <c r="L20" s="75">
        <v>0.5</v>
      </c>
    </row>
    <row r="21" spans="1:12">
      <c r="A21" s="61" t="s">
        <v>205</v>
      </c>
      <c r="B21" s="4" t="s">
        <v>206</v>
      </c>
      <c r="C21" s="61" t="s">
        <v>207</v>
      </c>
      <c r="D21" s="26">
        <v>2050</v>
      </c>
      <c r="E21" s="26" t="s">
        <v>311</v>
      </c>
      <c r="F21" s="61" t="s">
        <v>316</v>
      </c>
      <c r="G21" s="61">
        <v>2020</v>
      </c>
      <c r="H21" s="20">
        <v>2000</v>
      </c>
      <c r="I21" s="61">
        <v>49960899</v>
      </c>
      <c r="J21" s="71" t="s">
        <v>143</v>
      </c>
      <c r="K21" s="61">
        <v>2050</v>
      </c>
      <c r="L21" s="75">
        <v>1</v>
      </c>
    </row>
    <row r="22" spans="1:12">
      <c r="A22" s="61" t="s">
        <v>205</v>
      </c>
      <c r="B22" s="4" t="s">
        <v>206</v>
      </c>
      <c r="C22" s="61" t="s">
        <v>207</v>
      </c>
      <c r="D22" s="26">
        <v>2050</v>
      </c>
      <c r="E22" s="26" t="s">
        <v>66</v>
      </c>
      <c r="F22" s="61" t="s">
        <v>310</v>
      </c>
      <c r="G22" s="61">
        <v>2030</v>
      </c>
      <c r="H22" s="20">
        <v>2000</v>
      </c>
      <c r="I22" s="61">
        <v>0.4826223</v>
      </c>
      <c r="J22" s="71" t="s">
        <v>319</v>
      </c>
      <c r="K22" s="61">
        <v>2030</v>
      </c>
      <c r="L22" s="75">
        <v>0.5</v>
      </c>
    </row>
    <row r="23" spans="1:12">
      <c r="A23" s="61" t="s">
        <v>208</v>
      </c>
      <c r="B23" s="4" t="s">
        <v>209</v>
      </c>
      <c r="C23" s="61" t="s">
        <v>210</v>
      </c>
      <c r="D23" s="26">
        <v>2045</v>
      </c>
      <c r="E23" s="26" t="s">
        <v>311</v>
      </c>
      <c r="F23" s="61" t="s">
        <v>310</v>
      </c>
      <c r="H23" s="20">
        <v>2005</v>
      </c>
      <c r="I23" s="76">
        <v>48455198</v>
      </c>
      <c r="J23" s="71" t="s">
        <v>143</v>
      </c>
      <c r="K23" s="61">
        <v>2030</v>
      </c>
      <c r="L23" s="75">
        <v>0.7</v>
      </c>
    </row>
    <row r="24" spans="1:12">
      <c r="A24" s="61" t="s">
        <v>211</v>
      </c>
      <c r="B24" s="4" t="s">
        <v>212</v>
      </c>
      <c r="C24" s="61" t="s">
        <v>213</v>
      </c>
      <c r="D24" s="26">
        <v>2030</v>
      </c>
      <c r="E24" s="26" t="s">
        <v>311</v>
      </c>
      <c r="F24" s="61" t="s">
        <v>313</v>
      </c>
      <c r="G24" s="61">
        <v>2019</v>
      </c>
      <c r="H24" s="20">
        <v>2018</v>
      </c>
      <c r="I24" s="61">
        <v>828107</v>
      </c>
      <c r="J24" s="71" t="s">
        <v>143</v>
      </c>
      <c r="K24" s="61">
        <v>2030</v>
      </c>
      <c r="L24" s="75">
        <v>1</v>
      </c>
    </row>
    <row r="25" spans="1:12">
      <c r="A25" s="61" t="s">
        <v>214</v>
      </c>
      <c r="B25" s="4" t="s">
        <v>215</v>
      </c>
      <c r="C25" s="61" t="s">
        <v>216</v>
      </c>
      <c r="E25" s="26" t="s">
        <v>311</v>
      </c>
      <c r="F25" s="61" t="s">
        <v>313</v>
      </c>
      <c r="H25" s="20">
        <v>2015</v>
      </c>
      <c r="I25" s="61">
        <v>1050</v>
      </c>
      <c r="J25" s="71" t="s">
        <v>322</v>
      </c>
      <c r="K25" s="61">
        <v>2022</v>
      </c>
      <c r="L25" s="75">
        <v>0.15</v>
      </c>
    </row>
    <row r="26" spans="1:12">
      <c r="A26" s="61" t="s">
        <v>217</v>
      </c>
      <c r="B26" s="4" t="s">
        <v>218</v>
      </c>
      <c r="C26" s="61" t="s">
        <v>219</v>
      </c>
      <c r="E26" s="26" t="s">
        <v>311</v>
      </c>
      <c r="F26" s="61" t="s">
        <v>310</v>
      </c>
      <c r="G26" s="61">
        <v>2015</v>
      </c>
      <c r="H26" s="20">
        <v>2005</v>
      </c>
      <c r="I26" s="61">
        <v>86403130</v>
      </c>
      <c r="J26" s="71" t="s">
        <v>143</v>
      </c>
      <c r="K26" s="61">
        <v>2045</v>
      </c>
      <c r="L26" s="75">
        <v>0.62</v>
      </c>
    </row>
    <row r="27" spans="1:12">
      <c r="A27" s="61" t="s">
        <v>220</v>
      </c>
      <c r="B27" s="4" t="s">
        <v>221</v>
      </c>
      <c r="C27" s="61" t="s">
        <v>222</v>
      </c>
      <c r="E27" s="26" t="s">
        <v>311</v>
      </c>
      <c r="F27" s="61" t="s">
        <v>310</v>
      </c>
      <c r="G27" s="61">
        <v>2020</v>
      </c>
      <c r="H27" s="20">
        <v>2019</v>
      </c>
      <c r="I27" s="78">
        <v>11925000</v>
      </c>
      <c r="J27" s="71" t="s">
        <v>143</v>
      </c>
      <c r="K27" s="61">
        <v>2035</v>
      </c>
      <c r="L27" s="75">
        <v>0.75</v>
      </c>
    </row>
    <row r="28" spans="1:12">
      <c r="A28" s="61" t="s">
        <v>223</v>
      </c>
      <c r="B28" s="4" t="s">
        <v>224</v>
      </c>
      <c r="C28" s="61" t="s">
        <v>225</v>
      </c>
      <c r="D28" s="26">
        <v>2050</v>
      </c>
      <c r="E28" s="26" t="s">
        <v>66</v>
      </c>
      <c r="F28" s="61" t="s">
        <v>313</v>
      </c>
      <c r="G28" s="61">
        <v>2022</v>
      </c>
      <c r="H28" s="20">
        <v>2020</v>
      </c>
      <c r="I28" s="61">
        <v>0.93</v>
      </c>
      <c r="J28" s="71" t="s">
        <v>317</v>
      </c>
      <c r="K28" s="61">
        <v>2031</v>
      </c>
      <c r="L28" s="75">
        <v>0.10800000000000001</v>
      </c>
    </row>
    <row r="29" spans="1:12">
      <c r="A29" s="61" t="s">
        <v>228</v>
      </c>
      <c r="B29" s="4" t="s">
        <v>229</v>
      </c>
      <c r="C29" s="61" t="s">
        <v>230</v>
      </c>
      <c r="E29" s="26" t="s">
        <v>66</v>
      </c>
      <c r="F29" s="61" t="s">
        <v>310</v>
      </c>
      <c r="G29" s="61">
        <v>2020</v>
      </c>
      <c r="H29" s="20">
        <v>2010</v>
      </c>
      <c r="I29" s="61">
        <v>0.76300000000000001</v>
      </c>
      <c r="J29" s="71" t="s">
        <v>319</v>
      </c>
      <c r="K29" s="61">
        <v>2030</v>
      </c>
      <c r="L29" s="75">
        <v>0.1</v>
      </c>
    </row>
    <row r="30" spans="1:12">
      <c r="A30" s="61" t="s">
        <v>231</v>
      </c>
      <c r="B30" s="4" t="s">
        <v>232</v>
      </c>
      <c r="C30" s="61" t="s">
        <v>233</v>
      </c>
      <c r="E30" s="26" t="s">
        <v>66</v>
      </c>
      <c r="F30" s="61" t="s">
        <v>313</v>
      </c>
      <c r="H30" s="20">
        <v>2000</v>
      </c>
      <c r="I30" s="61">
        <f>2650/2000</f>
        <v>1.325</v>
      </c>
      <c r="J30" s="71" t="s">
        <v>319</v>
      </c>
      <c r="K30" s="61">
        <v>2030</v>
      </c>
      <c r="L30" s="75">
        <v>0.5</v>
      </c>
    </row>
    <row r="31" spans="1:12">
      <c r="A31" s="61" t="s">
        <v>234</v>
      </c>
      <c r="B31" s="4" t="s">
        <v>235</v>
      </c>
      <c r="C31" s="61" t="s">
        <v>236</v>
      </c>
      <c r="E31" s="61" t="s">
        <v>66</v>
      </c>
      <c r="F31" s="61" t="s">
        <v>316</v>
      </c>
      <c r="G31" s="61">
        <v>2020</v>
      </c>
      <c r="H31" s="61">
        <v>2015</v>
      </c>
      <c r="I31" s="61">
        <v>0.82</v>
      </c>
      <c r="J31" s="61" t="s">
        <v>317</v>
      </c>
      <c r="K31" s="61">
        <v>2030</v>
      </c>
      <c r="L31" s="75">
        <v>0.35</v>
      </c>
    </row>
    <row r="32" spans="1:12">
      <c r="A32" s="61" t="s">
        <v>237</v>
      </c>
      <c r="B32" s="4" t="s">
        <v>238</v>
      </c>
      <c r="C32" s="61" t="s">
        <v>239</v>
      </c>
      <c r="D32" s="26">
        <v>2050</v>
      </c>
      <c r="E32" s="61" t="s">
        <v>66</v>
      </c>
      <c r="F32" s="61" t="s">
        <v>313</v>
      </c>
      <c r="G32" s="61">
        <v>2020</v>
      </c>
      <c r="H32" s="61">
        <v>1990</v>
      </c>
      <c r="I32" s="61">
        <f>7000000/(1-0.68)</f>
        <v>21875000.000000004</v>
      </c>
      <c r="J32" s="61" t="s">
        <v>319</v>
      </c>
      <c r="K32" s="61">
        <v>2030</v>
      </c>
      <c r="L32" s="75">
        <v>0.8</v>
      </c>
    </row>
    <row r="33" spans="1:12" s="61" customFormat="1">
      <c r="A33" s="61" t="s">
        <v>237</v>
      </c>
      <c r="B33" s="4" t="s">
        <v>238</v>
      </c>
      <c r="C33" s="61" t="s">
        <v>239</v>
      </c>
      <c r="D33" s="26">
        <v>2050</v>
      </c>
      <c r="E33" s="61" t="s">
        <v>66</v>
      </c>
      <c r="F33" s="61" t="s">
        <v>313</v>
      </c>
      <c r="G33" s="61">
        <v>2020</v>
      </c>
      <c r="H33" s="61">
        <v>1990</v>
      </c>
      <c r="I33" s="61">
        <f>7000000/(1-0.68)</f>
        <v>21875000.000000004</v>
      </c>
      <c r="J33" s="61" t="s">
        <v>319</v>
      </c>
      <c r="K33" s="61">
        <v>2040</v>
      </c>
      <c r="L33" s="75">
        <v>0.9</v>
      </c>
    </row>
  </sheetData>
  <pageMargins left="0.7" right="0.7" top="0.75" bottom="0.75" header="0.3" footer="0.3"/>
  <pageSetup orientation="portrait" horizontalDpi="90" verticalDpi="90" r:id="rId1"/>
  <headerFooter>
    <oddHeader>&amp;C&amp;"Calibri"&amp;10&amp;K000000Confidential&amp;1#</oddHeader>
  </headerFooter>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F5420B-4269-4C0B-A558-3652DBE2EE0B}">
  <dimension ref="A1:F59"/>
  <sheetViews>
    <sheetView zoomScale="150" zoomScaleNormal="150" workbookViewId="0"/>
  </sheetViews>
  <sheetFormatPr baseColWidth="10" defaultColWidth="8.83203125" defaultRowHeight="15"/>
  <cols>
    <col min="1" max="1" width="17.5" style="34" bestFit="1" customWidth="1"/>
    <col min="2" max="3" width="21.6640625" style="51" customWidth="1"/>
    <col min="4" max="4" width="44" customWidth="1"/>
    <col min="5" max="5" width="25.1640625" bestFit="1" customWidth="1"/>
    <col min="6" max="6" width="26.6640625" customWidth="1"/>
    <col min="8" max="8" width="87.6640625" customWidth="1"/>
  </cols>
  <sheetData>
    <row r="1" spans="1:6" ht="17" thickBot="1">
      <c r="A1" s="38" t="s">
        <v>12</v>
      </c>
      <c r="B1" s="39" t="s">
        <v>0</v>
      </c>
      <c r="C1" s="39" t="s">
        <v>140</v>
      </c>
      <c r="D1" s="17" t="s">
        <v>3</v>
      </c>
      <c r="E1" s="16" t="s">
        <v>5</v>
      </c>
      <c r="F1" s="18" t="s">
        <v>9</v>
      </c>
    </row>
    <row r="2" spans="1:6" ht="16">
      <c r="A2" s="40" t="s">
        <v>13</v>
      </c>
      <c r="B2" s="41" t="s">
        <v>56</v>
      </c>
      <c r="C2" s="66" t="s">
        <v>139</v>
      </c>
      <c r="D2" s="6" t="s">
        <v>2</v>
      </c>
      <c r="E2" s="7" t="s">
        <v>4</v>
      </c>
      <c r="F2" s="7" t="s">
        <v>10</v>
      </c>
    </row>
    <row r="3" spans="1:6" ht="16">
      <c r="A3" s="40" t="s">
        <v>13</v>
      </c>
      <c r="B3" s="42" t="s">
        <v>57</v>
      </c>
      <c r="C3" s="66" t="s">
        <v>139</v>
      </c>
      <c r="D3" s="28" t="s">
        <v>80</v>
      </c>
      <c r="E3" s="29" t="s">
        <v>4</v>
      </c>
      <c r="F3" s="30" t="s">
        <v>26</v>
      </c>
    </row>
    <row r="4" spans="1:6" ht="32">
      <c r="A4" s="40" t="s">
        <v>13</v>
      </c>
      <c r="B4" s="41" t="s">
        <v>1</v>
      </c>
      <c r="C4" s="66" t="s">
        <v>139</v>
      </c>
      <c r="D4" s="6" t="s">
        <v>81</v>
      </c>
      <c r="E4" s="7" t="s">
        <v>4</v>
      </c>
      <c r="F4" s="7" t="s">
        <v>10</v>
      </c>
    </row>
    <row r="5" spans="1:6" ht="32">
      <c r="A5" s="40" t="s">
        <v>13</v>
      </c>
      <c r="B5" s="41" t="s">
        <v>6</v>
      </c>
      <c r="C5" s="66" t="s">
        <v>139</v>
      </c>
      <c r="D5" s="6" t="s">
        <v>8</v>
      </c>
      <c r="E5" s="7" t="s">
        <v>4</v>
      </c>
      <c r="F5" s="7" t="s">
        <v>10</v>
      </c>
    </row>
    <row r="6" spans="1:6" ht="48">
      <c r="A6" s="40" t="s">
        <v>13</v>
      </c>
      <c r="B6" s="42" t="s">
        <v>7</v>
      </c>
      <c r="C6" s="66" t="s">
        <v>139</v>
      </c>
      <c r="D6" s="28" t="s">
        <v>82</v>
      </c>
      <c r="E6" s="29" t="s">
        <v>4</v>
      </c>
      <c r="F6" s="30" t="s">
        <v>26</v>
      </c>
    </row>
    <row r="7" spans="1:6" ht="16">
      <c r="A7" s="40" t="s">
        <v>13</v>
      </c>
      <c r="B7" s="41" t="s">
        <v>27</v>
      </c>
      <c r="C7" s="66" t="s">
        <v>139</v>
      </c>
      <c r="D7" s="8" t="s">
        <v>28</v>
      </c>
      <c r="E7" s="7" t="s">
        <v>97</v>
      </c>
      <c r="F7" s="7" t="s">
        <v>10</v>
      </c>
    </row>
    <row r="8" spans="1:6" ht="16">
      <c r="A8" s="40" t="s">
        <v>13</v>
      </c>
      <c r="B8" s="41" t="s">
        <v>31</v>
      </c>
      <c r="C8" s="66" t="s">
        <v>139</v>
      </c>
      <c r="D8" s="8" t="s">
        <v>83</v>
      </c>
      <c r="E8" s="7" t="s">
        <v>94</v>
      </c>
      <c r="F8" s="7" t="s">
        <v>10</v>
      </c>
    </row>
    <row r="9" spans="1:6" ht="32">
      <c r="A9" s="40" t="s">
        <v>13</v>
      </c>
      <c r="B9" s="32" t="s">
        <v>63</v>
      </c>
      <c r="C9" s="66" t="s">
        <v>139</v>
      </c>
      <c r="D9" s="6" t="s">
        <v>84</v>
      </c>
      <c r="E9" s="7" t="s">
        <v>4</v>
      </c>
      <c r="F9" s="7" t="s">
        <v>10</v>
      </c>
    </row>
    <row r="10" spans="1:6" ht="16">
      <c r="A10" s="40" t="s">
        <v>13</v>
      </c>
      <c r="B10" s="43" t="s">
        <v>42</v>
      </c>
      <c r="C10" s="66" t="s">
        <v>139</v>
      </c>
      <c r="D10" s="6" t="s">
        <v>85</v>
      </c>
      <c r="E10" s="7" t="s">
        <v>96</v>
      </c>
      <c r="F10" s="7" t="s">
        <v>10</v>
      </c>
    </row>
    <row r="11" spans="1:6" ht="16">
      <c r="A11" s="40" t="s">
        <v>13</v>
      </c>
      <c r="B11" s="32" t="s">
        <v>39</v>
      </c>
      <c r="C11" s="66" t="s">
        <v>139</v>
      </c>
      <c r="D11" s="1" t="s">
        <v>77</v>
      </c>
      <c r="E11" s="7" t="s">
        <v>11</v>
      </c>
      <c r="F11" s="7" t="s">
        <v>10</v>
      </c>
    </row>
    <row r="12" spans="1:6" ht="16">
      <c r="A12" s="40" t="s">
        <v>13</v>
      </c>
      <c r="B12" s="32" t="s">
        <v>38</v>
      </c>
      <c r="C12" s="66" t="s">
        <v>139</v>
      </c>
      <c r="D12" s="1" t="s">
        <v>78</v>
      </c>
      <c r="E12" s="7" t="s">
        <v>11</v>
      </c>
      <c r="F12" s="7" t="s">
        <v>10</v>
      </c>
    </row>
    <row r="13" spans="1:6" ht="16">
      <c r="A13" s="40" t="s">
        <v>13</v>
      </c>
      <c r="B13" s="32" t="s">
        <v>40</v>
      </c>
      <c r="C13" s="66" t="s">
        <v>139</v>
      </c>
      <c r="D13" s="1" t="s">
        <v>76</v>
      </c>
      <c r="E13" s="7" t="s">
        <v>11</v>
      </c>
      <c r="F13" s="7" t="s">
        <v>10</v>
      </c>
    </row>
    <row r="14" spans="1:6" ht="32">
      <c r="A14" s="40" t="s">
        <v>13</v>
      </c>
      <c r="B14" s="32" t="s">
        <v>29</v>
      </c>
      <c r="C14" s="66" t="s">
        <v>139</v>
      </c>
      <c r="D14" s="1" t="s">
        <v>79</v>
      </c>
      <c r="E14" s="7" t="s">
        <v>11</v>
      </c>
      <c r="F14" s="7" t="s">
        <v>10</v>
      </c>
    </row>
    <row r="15" spans="1:6" ht="16">
      <c r="A15" s="40" t="s">
        <v>13</v>
      </c>
      <c r="B15" s="32" t="s">
        <v>41</v>
      </c>
      <c r="C15" s="66" t="s">
        <v>139</v>
      </c>
      <c r="D15" s="9" t="s">
        <v>86</v>
      </c>
      <c r="E15" s="7" t="s">
        <v>11</v>
      </c>
      <c r="F15" s="7" t="s">
        <v>10</v>
      </c>
    </row>
    <row r="16" spans="1:6" s="34" customFormat="1" ht="72.75" customHeight="1">
      <c r="A16" s="46" t="s">
        <v>131</v>
      </c>
      <c r="B16" s="32" t="s">
        <v>133</v>
      </c>
      <c r="C16" s="66" t="s">
        <v>139</v>
      </c>
      <c r="D16" s="6" t="s">
        <v>134</v>
      </c>
      <c r="E16" s="64" t="s">
        <v>136</v>
      </c>
      <c r="F16" s="33" t="s">
        <v>10</v>
      </c>
    </row>
    <row r="17" spans="1:6" s="34" customFormat="1" ht="72.75" customHeight="1">
      <c r="A17" s="46" t="s">
        <v>132</v>
      </c>
      <c r="B17" s="32" t="s">
        <v>128</v>
      </c>
      <c r="C17" s="66" t="s">
        <v>139</v>
      </c>
      <c r="D17" s="6" t="s">
        <v>135</v>
      </c>
      <c r="E17" s="6" t="s">
        <v>137</v>
      </c>
      <c r="F17" s="33" t="s">
        <v>10</v>
      </c>
    </row>
    <row r="18" spans="1:6" ht="32">
      <c r="A18" s="31" t="s">
        <v>15</v>
      </c>
      <c r="B18" s="47" t="s">
        <v>16</v>
      </c>
      <c r="C18" s="66" t="s">
        <v>139</v>
      </c>
      <c r="D18" s="8" t="s">
        <v>90</v>
      </c>
      <c r="E18" s="7" t="s">
        <v>88</v>
      </c>
      <c r="F18" s="7" t="s">
        <v>10</v>
      </c>
    </row>
    <row r="19" spans="1:6" ht="32">
      <c r="A19" s="31" t="s">
        <v>15</v>
      </c>
      <c r="B19" s="47" t="s">
        <v>17</v>
      </c>
      <c r="C19" s="66" t="s">
        <v>139</v>
      </c>
      <c r="D19" s="8" t="s">
        <v>90</v>
      </c>
      <c r="E19" s="7" t="s">
        <v>88</v>
      </c>
      <c r="F19" s="7" t="s">
        <v>10</v>
      </c>
    </row>
    <row r="20" spans="1:6" ht="32">
      <c r="A20" s="31" t="s">
        <v>15</v>
      </c>
      <c r="B20" s="47" t="s">
        <v>18</v>
      </c>
      <c r="C20" s="66" t="s">
        <v>139</v>
      </c>
      <c r="D20" s="8" t="s">
        <v>90</v>
      </c>
      <c r="E20" s="7" t="s">
        <v>88</v>
      </c>
      <c r="F20" s="7" t="s">
        <v>10</v>
      </c>
    </row>
    <row r="21" spans="1:6" ht="32">
      <c r="A21" s="31" t="s">
        <v>15</v>
      </c>
      <c r="B21" s="47" t="s">
        <v>19</v>
      </c>
      <c r="C21" s="66" t="s">
        <v>139</v>
      </c>
      <c r="D21" s="8" t="s">
        <v>90</v>
      </c>
      <c r="E21" s="7" t="s">
        <v>88</v>
      </c>
      <c r="F21" s="7" t="s">
        <v>10</v>
      </c>
    </row>
    <row r="22" spans="1:6" ht="32">
      <c r="A22" s="31" t="s">
        <v>15</v>
      </c>
      <c r="B22" s="47" t="s">
        <v>20</v>
      </c>
      <c r="C22" s="66" t="s">
        <v>139</v>
      </c>
      <c r="D22" s="8" t="s">
        <v>90</v>
      </c>
      <c r="E22" s="7" t="s">
        <v>88</v>
      </c>
      <c r="F22" s="7" t="s">
        <v>10</v>
      </c>
    </row>
    <row r="23" spans="1:6" ht="32">
      <c r="A23" s="31" t="s">
        <v>15</v>
      </c>
      <c r="B23" s="47" t="s">
        <v>44</v>
      </c>
      <c r="C23" s="66" t="s">
        <v>139</v>
      </c>
      <c r="D23" s="8" t="s">
        <v>106</v>
      </c>
      <c r="E23" s="7" t="s">
        <v>88</v>
      </c>
      <c r="F23" s="9" t="s">
        <v>26</v>
      </c>
    </row>
    <row r="24" spans="1:6" ht="48">
      <c r="A24" s="31" t="s">
        <v>15</v>
      </c>
      <c r="B24" s="47" t="s">
        <v>51</v>
      </c>
      <c r="C24" s="66" t="s">
        <v>139</v>
      </c>
      <c r="D24" s="56" t="s">
        <v>108</v>
      </c>
      <c r="E24" s="57" t="s">
        <v>88</v>
      </c>
      <c r="F24" s="58" t="s">
        <v>107</v>
      </c>
    </row>
    <row r="25" spans="1:6" ht="32">
      <c r="A25" s="31" t="s">
        <v>15</v>
      </c>
      <c r="B25" s="48" t="s">
        <v>21</v>
      </c>
      <c r="C25" s="66" t="s">
        <v>139</v>
      </c>
      <c r="D25" s="8" t="s">
        <v>91</v>
      </c>
      <c r="E25" s="7" t="s">
        <v>88</v>
      </c>
      <c r="F25" s="7" t="s">
        <v>10</v>
      </c>
    </row>
    <row r="26" spans="1:6" ht="32">
      <c r="A26" s="31" t="s">
        <v>15</v>
      </c>
      <c r="B26" s="48" t="s">
        <v>22</v>
      </c>
      <c r="C26" s="66" t="s">
        <v>139</v>
      </c>
      <c r="D26" s="8" t="s">
        <v>91</v>
      </c>
      <c r="E26" s="7" t="s">
        <v>88</v>
      </c>
      <c r="F26" s="7" t="s">
        <v>10</v>
      </c>
    </row>
    <row r="27" spans="1:6" ht="32">
      <c r="A27" s="31" t="s">
        <v>15</v>
      </c>
      <c r="B27" s="48" t="s">
        <v>23</v>
      </c>
      <c r="C27" s="66" t="s">
        <v>139</v>
      </c>
      <c r="D27" s="8" t="s">
        <v>91</v>
      </c>
      <c r="E27" s="7" t="s">
        <v>88</v>
      </c>
      <c r="F27" s="7" t="s">
        <v>10</v>
      </c>
    </row>
    <row r="28" spans="1:6" ht="32">
      <c r="A28" s="31" t="s">
        <v>15</v>
      </c>
      <c r="B28" s="48" t="s">
        <v>24</v>
      </c>
      <c r="C28" s="66" t="s">
        <v>139</v>
      </c>
      <c r="D28" s="8" t="s">
        <v>91</v>
      </c>
      <c r="E28" s="7" t="s">
        <v>88</v>
      </c>
      <c r="F28" s="7" t="s">
        <v>10</v>
      </c>
    </row>
    <row r="29" spans="1:6" ht="32">
      <c r="A29" s="31" t="s">
        <v>15</v>
      </c>
      <c r="B29" s="48" t="s">
        <v>25</v>
      </c>
      <c r="C29" s="66" t="s">
        <v>139</v>
      </c>
      <c r="D29" s="8" t="s">
        <v>91</v>
      </c>
      <c r="E29" s="7" t="s">
        <v>88</v>
      </c>
      <c r="F29" s="7" t="s">
        <v>10</v>
      </c>
    </row>
    <row r="30" spans="1:6" ht="32">
      <c r="A30" s="31" t="s">
        <v>15</v>
      </c>
      <c r="B30" s="48" t="s">
        <v>30</v>
      </c>
      <c r="C30" s="66" t="s">
        <v>139</v>
      </c>
      <c r="D30" s="8" t="s">
        <v>109</v>
      </c>
      <c r="E30" s="7" t="s">
        <v>88</v>
      </c>
      <c r="F30" s="9" t="s">
        <v>26</v>
      </c>
    </row>
    <row r="31" spans="1:6" ht="48">
      <c r="A31" s="31" t="s">
        <v>15</v>
      </c>
      <c r="B31" s="48" t="s">
        <v>52</v>
      </c>
      <c r="C31" s="66" t="s">
        <v>139</v>
      </c>
      <c r="D31" s="56" t="s">
        <v>110</v>
      </c>
      <c r="E31" s="57" t="s">
        <v>88</v>
      </c>
      <c r="F31" s="58" t="s">
        <v>107</v>
      </c>
    </row>
    <row r="32" spans="1:6" ht="32">
      <c r="A32" s="31" t="s">
        <v>15</v>
      </c>
      <c r="B32" s="47" t="s">
        <v>45</v>
      </c>
      <c r="C32" s="66" t="s">
        <v>139</v>
      </c>
      <c r="D32" s="8" t="s">
        <v>87</v>
      </c>
      <c r="E32" s="7" t="s">
        <v>88</v>
      </c>
      <c r="F32" s="7" t="s">
        <v>10</v>
      </c>
    </row>
    <row r="33" spans="1:6" ht="32">
      <c r="A33" s="31" t="s">
        <v>15</v>
      </c>
      <c r="B33" s="47" t="s">
        <v>46</v>
      </c>
      <c r="C33" s="66" t="s">
        <v>139</v>
      </c>
      <c r="D33" s="8" t="s">
        <v>87</v>
      </c>
      <c r="E33" s="7" t="s">
        <v>88</v>
      </c>
      <c r="F33" s="7" t="s">
        <v>10</v>
      </c>
    </row>
    <row r="34" spans="1:6" ht="32">
      <c r="A34" s="31" t="s">
        <v>15</v>
      </c>
      <c r="B34" s="47" t="s">
        <v>47</v>
      </c>
      <c r="C34" s="66" t="s">
        <v>139</v>
      </c>
      <c r="D34" s="8" t="s">
        <v>87</v>
      </c>
      <c r="E34" s="7" t="s">
        <v>88</v>
      </c>
      <c r="F34" s="7" t="s">
        <v>10</v>
      </c>
    </row>
    <row r="35" spans="1:6" ht="32">
      <c r="A35" s="31" t="s">
        <v>15</v>
      </c>
      <c r="B35" s="47" t="s">
        <v>48</v>
      </c>
      <c r="C35" s="66" t="s">
        <v>139</v>
      </c>
      <c r="D35" s="8" t="s">
        <v>87</v>
      </c>
      <c r="E35" s="7" t="s">
        <v>88</v>
      </c>
      <c r="F35" s="7" t="s">
        <v>10</v>
      </c>
    </row>
    <row r="36" spans="1:6" ht="32">
      <c r="A36" s="31" t="s">
        <v>15</v>
      </c>
      <c r="B36" s="47" t="s">
        <v>49</v>
      </c>
      <c r="C36" s="66" t="s">
        <v>139</v>
      </c>
      <c r="D36" s="8" t="s">
        <v>87</v>
      </c>
      <c r="E36" s="7" t="s">
        <v>88</v>
      </c>
      <c r="F36" s="7" t="s">
        <v>10</v>
      </c>
    </row>
    <row r="37" spans="1:6" ht="32">
      <c r="A37" s="31" t="s">
        <v>15</v>
      </c>
      <c r="B37" s="47" t="s">
        <v>50</v>
      </c>
      <c r="C37" s="66" t="s">
        <v>139</v>
      </c>
      <c r="D37" s="8" t="s">
        <v>111</v>
      </c>
      <c r="E37" s="7" t="s">
        <v>88</v>
      </c>
      <c r="F37" s="9" t="s">
        <v>26</v>
      </c>
    </row>
    <row r="38" spans="1:6" ht="48">
      <c r="A38" s="31" t="s">
        <v>15</v>
      </c>
      <c r="B38" s="47" t="s">
        <v>53</v>
      </c>
      <c r="C38" s="66" t="s">
        <v>139</v>
      </c>
      <c r="D38" s="56" t="s">
        <v>112</v>
      </c>
      <c r="E38" s="57" t="s">
        <v>88</v>
      </c>
      <c r="F38" s="58" t="s">
        <v>107</v>
      </c>
    </row>
    <row r="39" spans="1:6" ht="32">
      <c r="A39" s="31" t="s">
        <v>15</v>
      </c>
      <c r="B39" s="49" t="s">
        <v>68</v>
      </c>
      <c r="C39" s="66" t="s">
        <v>139</v>
      </c>
      <c r="D39" s="8" t="s">
        <v>92</v>
      </c>
      <c r="E39" s="7" t="s">
        <v>88</v>
      </c>
      <c r="F39" s="7" t="s">
        <v>10</v>
      </c>
    </row>
    <row r="40" spans="1:6" ht="32">
      <c r="A40" s="31" t="s">
        <v>15</v>
      </c>
      <c r="B40" s="49" t="s">
        <v>69</v>
      </c>
      <c r="C40" s="66" t="s">
        <v>139</v>
      </c>
      <c r="D40" s="8" t="s">
        <v>92</v>
      </c>
      <c r="E40" s="7" t="s">
        <v>88</v>
      </c>
      <c r="F40" s="7" t="s">
        <v>10</v>
      </c>
    </row>
    <row r="41" spans="1:6" ht="32">
      <c r="A41" s="31" t="s">
        <v>15</v>
      </c>
      <c r="B41" s="49" t="s">
        <v>70</v>
      </c>
      <c r="C41" s="66" t="s">
        <v>139</v>
      </c>
      <c r="D41" s="8" t="s">
        <v>92</v>
      </c>
      <c r="E41" s="7" t="s">
        <v>88</v>
      </c>
      <c r="F41" s="7" t="s">
        <v>10</v>
      </c>
    </row>
    <row r="42" spans="1:6" ht="32">
      <c r="A42" s="31" t="s">
        <v>15</v>
      </c>
      <c r="B42" s="49" t="s">
        <v>71</v>
      </c>
      <c r="C42" s="66" t="s">
        <v>139</v>
      </c>
      <c r="D42" s="8" t="s">
        <v>92</v>
      </c>
      <c r="E42" s="7" t="s">
        <v>88</v>
      </c>
      <c r="F42" s="7" t="s">
        <v>10</v>
      </c>
    </row>
    <row r="43" spans="1:6" ht="32">
      <c r="A43" s="31" t="s">
        <v>15</v>
      </c>
      <c r="B43" s="49" t="s">
        <v>72</v>
      </c>
      <c r="C43" s="66" t="s">
        <v>139</v>
      </c>
      <c r="D43" s="8" t="s">
        <v>92</v>
      </c>
      <c r="E43" s="7" t="s">
        <v>88</v>
      </c>
      <c r="F43" s="7" t="s">
        <v>10</v>
      </c>
    </row>
    <row r="44" spans="1:6" ht="32">
      <c r="A44" s="31" t="s">
        <v>15</v>
      </c>
      <c r="B44" s="49" t="s">
        <v>73</v>
      </c>
      <c r="C44" s="66" t="s">
        <v>139</v>
      </c>
      <c r="D44" s="8" t="s">
        <v>113</v>
      </c>
      <c r="E44" s="7" t="s">
        <v>88</v>
      </c>
      <c r="F44" s="9" t="s">
        <v>26</v>
      </c>
    </row>
    <row r="45" spans="1:6" ht="48">
      <c r="A45" s="31" t="s">
        <v>15</v>
      </c>
      <c r="B45" s="49" t="s">
        <v>74</v>
      </c>
      <c r="C45" s="66" t="s">
        <v>139</v>
      </c>
      <c r="D45" s="56" t="s">
        <v>114</v>
      </c>
      <c r="E45" s="57" t="s">
        <v>88</v>
      </c>
      <c r="F45" s="58" t="s">
        <v>107</v>
      </c>
    </row>
    <row r="46" spans="1:6" ht="32">
      <c r="A46" s="50" t="s">
        <v>75</v>
      </c>
      <c r="B46" s="41" t="s">
        <v>32</v>
      </c>
      <c r="C46" s="66" t="s">
        <v>139</v>
      </c>
      <c r="D46" s="8" t="s">
        <v>89</v>
      </c>
      <c r="E46" s="7" t="s">
        <v>88</v>
      </c>
      <c r="F46" s="7" t="s">
        <v>10</v>
      </c>
    </row>
    <row r="47" spans="1:6" ht="32">
      <c r="A47" s="50" t="s">
        <v>75</v>
      </c>
      <c r="B47" s="41" t="s">
        <v>33</v>
      </c>
      <c r="C47" s="66" t="s">
        <v>139</v>
      </c>
      <c r="D47" s="8" t="s">
        <v>89</v>
      </c>
      <c r="E47" s="7" t="s">
        <v>88</v>
      </c>
      <c r="F47" s="7" t="s">
        <v>10</v>
      </c>
    </row>
    <row r="48" spans="1:6" ht="32">
      <c r="A48" s="50" t="s">
        <v>75</v>
      </c>
      <c r="B48" s="41" t="s">
        <v>34</v>
      </c>
      <c r="C48" s="66" t="s">
        <v>139</v>
      </c>
      <c r="D48" s="8" t="s">
        <v>89</v>
      </c>
      <c r="E48" s="7" t="s">
        <v>88</v>
      </c>
      <c r="F48" s="7" t="s">
        <v>10</v>
      </c>
    </row>
    <row r="49" spans="1:6" ht="32">
      <c r="A49" s="50" t="s">
        <v>75</v>
      </c>
      <c r="B49" s="41" t="s">
        <v>35</v>
      </c>
      <c r="C49" s="66" t="s">
        <v>139</v>
      </c>
      <c r="D49" s="8" t="s">
        <v>89</v>
      </c>
      <c r="E49" s="7" t="s">
        <v>88</v>
      </c>
      <c r="F49" s="7" t="s">
        <v>10</v>
      </c>
    </row>
    <row r="50" spans="1:6" ht="32">
      <c r="A50" s="50" t="s">
        <v>75</v>
      </c>
      <c r="B50" s="41" t="s">
        <v>36</v>
      </c>
      <c r="C50" s="66" t="s">
        <v>139</v>
      </c>
      <c r="D50" s="8" t="s">
        <v>89</v>
      </c>
      <c r="E50" s="7" t="s">
        <v>88</v>
      </c>
      <c r="F50" s="7" t="s">
        <v>10</v>
      </c>
    </row>
    <row r="51" spans="1:6" ht="32">
      <c r="A51" s="44" t="s">
        <v>14</v>
      </c>
      <c r="B51" s="32" t="s">
        <v>123</v>
      </c>
      <c r="C51" s="67" t="s">
        <v>141</v>
      </c>
      <c r="D51" s="8" t="s">
        <v>127</v>
      </c>
      <c r="E51" s="7" t="s">
        <v>93</v>
      </c>
      <c r="F51" s="7" t="s">
        <v>10</v>
      </c>
    </row>
    <row r="52" spans="1:6" ht="48">
      <c r="A52" s="44" t="s">
        <v>14</v>
      </c>
      <c r="B52" s="32" t="s">
        <v>124</v>
      </c>
      <c r="C52" s="67" t="s">
        <v>141</v>
      </c>
      <c r="D52" s="8" t="s">
        <v>126</v>
      </c>
      <c r="E52" s="9" t="s">
        <v>98</v>
      </c>
      <c r="F52" s="7" t="s">
        <v>10</v>
      </c>
    </row>
    <row r="53" spans="1:6" ht="16">
      <c r="A53" s="44" t="s">
        <v>14</v>
      </c>
      <c r="B53" s="59" t="s">
        <v>125</v>
      </c>
      <c r="C53" s="67" t="s">
        <v>141</v>
      </c>
      <c r="D53" s="60" t="s">
        <v>102</v>
      </c>
      <c r="E53" s="29" t="s">
        <v>95</v>
      </c>
      <c r="F53" s="29" t="s">
        <v>26</v>
      </c>
    </row>
    <row r="54" spans="1:6" ht="16">
      <c r="A54" s="44" t="s">
        <v>14</v>
      </c>
      <c r="B54" s="32" t="s">
        <v>115</v>
      </c>
      <c r="C54" s="67" t="s">
        <v>141</v>
      </c>
      <c r="D54" s="8" t="s">
        <v>122</v>
      </c>
      <c r="E54" s="7" t="s">
        <v>95</v>
      </c>
      <c r="F54" s="7" t="s">
        <v>10</v>
      </c>
    </row>
    <row r="55" spans="1:6" ht="80">
      <c r="A55" s="44" t="s">
        <v>14</v>
      </c>
      <c r="B55" s="32" t="s">
        <v>116</v>
      </c>
      <c r="C55" s="67" t="s">
        <v>141</v>
      </c>
      <c r="D55" s="8" t="s">
        <v>105</v>
      </c>
      <c r="E55" s="7" t="s">
        <v>99</v>
      </c>
      <c r="F55" s="7" t="s">
        <v>10</v>
      </c>
    </row>
    <row r="56" spans="1:6" ht="64">
      <c r="A56" s="44" t="s">
        <v>14</v>
      </c>
      <c r="B56" s="32" t="s">
        <v>117</v>
      </c>
      <c r="C56" s="67" t="s">
        <v>141</v>
      </c>
      <c r="D56" s="6" t="s">
        <v>104</v>
      </c>
      <c r="E56" s="21" t="s">
        <v>100</v>
      </c>
      <c r="F56" s="7" t="s">
        <v>10</v>
      </c>
    </row>
    <row r="57" spans="1:6" ht="16">
      <c r="A57" s="44" t="s">
        <v>14</v>
      </c>
      <c r="B57" s="32" t="s">
        <v>118</v>
      </c>
      <c r="C57" s="67" t="s">
        <v>141</v>
      </c>
      <c r="D57" s="8" t="s">
        <v>121</v>
      </c>
      <c r="E57" s="7" t="s">
        <v>95</v>
      </c>
      <c r="F57" s="7" t="s">
        <v>10</v>
      </c>
    </row>
    <row r="58" spans="1:6" ht="32">
      <c r="A58" s="44" t="s">
        <v>14</v>
      </c>
      <c r="B58" s="32" t="s">
        <v>119</v>
      </c>
      <c r="C58" s="67" t="s">
        <v>141</v>
      </c>
      <c r="D58" s="8" t="s">
        <v>120</v>
      </c>
      <c r="E58" s="9" t="s">
        <v>43</v>
      </c>
      <c r="F58" s="9" t="s">
        <v>10</v>
      </c>
    </row>
    <row r="59" spans="1:6" ht="48">
      <c r="A59" s="45" t="s">
        <v>103</v>
      </c>
      <c r="B59" s="32" t="s">
        <v>55</v>
      </c>
      <c r="C59" s="67" t="s">
        <v>141</v>
      </c>
      <c r="D59" s="8" t="s">
        <v>101</v>
      </c>
      <c r="E59" s="7" t="s">
        <v>95</v>
      </c>
      <c r="F59" s="7" t="s">
        <v>10</v>
      </c>
    </row>
  </sheetData>
  <phoneticPr fontId="1" type="noConversion"/>
  <pageMargins left="0.7" right="0.7" top="0.75" bottom="0.75" header="0.3" footer="0.3"/>
  <pageSetup orientation="portrait" horizontalDpi="90" verticalDpi="90" r:id="rId1"/>
  <headerFooter>
    <oddHeader>&amp;C&amp;"Calibri"&amp;10&amp;K000000Confidential&amp;1#</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4511B7-3F85-F540-BA5C-9DA3347FB2A8}">
  <sheetPr>
    <pageSetUpPr fitToPage="1"/>
  </sheetPr>
  <dimension ref="A1:AZ54"/>
  <sheetViews>
    <sheetView zoomScale="150" zoomScaleNormal="150" workbookViewId="0">
      <pane xSplit="1" ySplit="1" topLeftCell="C2" activePane="bottomRight" state="frozen"/>
      <selection pane="topRight" activeCell="B1" sqref="B1"/>
      <selection pane="bottomLeft" activeCell="A2" sqref="A2"/>
      <selection pane="bottomRight" activeCell="A32" sqref="A32:XFD32"/>
    </sheetView>
  </sheetViews>
  <sheetFormatPr baseColWidth="10" defaultColWidth="16.5" defaultRowHeight="15"/>
  <cols>
    <col min="1" max="1" width="16.5" style="61"/>
    <col min="2" max="2" width="25.5" style="4" customWidth="1"/>
    <col min="3" max="4" width="16.5" style="61"/>
    <col min="5" max="5" width="16.5" style="24"/>
    <col min="6" max="6" width="16.5" style="61"/>
    <col min="7" max="7" width="16.5" style="4"/>
    <col min="8" max="8" width="16.5" style="61"/>
    <col min="9" max="9" width="16.5" style="5"/>
    <col min="10" max="13" width="16.5" style="61"/>
    <col min="14" max="15" width="25.83203125" style="61" customWidth="1"/>
    <col min="16" max="16" width="22.1640625" style="61" customWidth="1"/>
    <col min="17" max="21" width="16.5" style="61"/>
    <col min="22" max="22" width="16.5" style="2"/>
    <col min="23" max="23" width="16.5" style="36"/>
    <col min="24" max="29" width="16.5" style="2"/>
    <col min="30" max="30" width="16.5" style="36"/>
    <col min="31" max="44" width="16.5" style="2"/>
    <col min="45" max="49" width="16.83203125" style="2" customWidth="1"/>
    <col min="50" max="16384" width="16.5" style="2"/>
  </cols>
  <sheetData>
    <row r="1" spans="1:52" s="3" customFormat="1" ht="16">
      <c r="A1" s="10" t="s">
        <v>56</v>
      </c>
      <c r="B1" s="10" t="s">
        <v>57</v>
      </c>
      <c r="C1" s="10" t="s">
        <v>1</v>
      </c>
      <c r="D1" s="10" t="s">
        <v>6</v>
      </c>
      <c r="E1" s="25" t="s">
        <v>7</v>
      </c>
      <c r="F1" s="10" t="s">
        <v>27</v>
      </c>
      <c r="G1" s="25" t="s">
        <v>31</v>
      </c>
      <c r="H1" s="10" t="s">
        <v>63</v>
      </c>
      <c r="I1" s="11" t="s">
        <v>42</v>
      </c>
      <c r="J1" s="10" t="s">
        <v>39</v>
      </c>
      <c r="K1" s="10" t="s">
        <v>38</v>
      </c>
      <c r="L1" s="10" t="s">
        <v>40</v>
      </c>
      <c r="M1" s="10" t="s">
        <v>29</v>
      </c>
      <c r="N1" s="10" t="s">
        <v>41</v>
      </c>
      <c r="O1" s="65" t="s">
        <v>138</v>
      </c>
      <c r="P1" s="65" t="s">
        <v>128</v>
      </c>
      <c r="Q1" s="15" t="s">
        <v>16</v>
      </c>
      <c r="R1" s="15" t="s">
        <v>17</v>
      </c>
      <c r="S1" s="15" t="s">
        <v>18</v>
      </c>
      <c r="T1" s="15" t="s">
        <v>19</v>
      </c>
      <c r="U1" s="15" t="s">
        <v>20</v>
      </c>
      <c r="V1" s="15" t="s">
        <v>44</v>
      </c>
      <c r="W1" s="37" t="s">
        <v>51</v>
      </c>
      <c r="X1" s="23" t="s">
        <v>21</v>
      </c>
      <c r="Y1" s="23" t="s">
        <v>22</v>
      </c>
      <c r="Z1" s="23" t="s">
        <v>23</v>
      </c>
      <c r="AA1" s="23" t="s">
        <v>24</v>
      </c>
      <c r="AB1" s="23" t="s">
        <v>25</v>
      </c>
      <c r="AC1" s="23" t="s">
        <v>30</v>
      </c>
      <c r="AD1" s="35" t="s">
        <v>52</v>
      </c>
      <c r="AE1" s="22" t="s">
        <v>45</v>
      </c>
      <c r="AF1" s="14" t="s">
        <v>46</v>
      </c>
      <c r="AG1" s="14" t="s">
        <v>47</v>
      </c>
      <c r="AH1" s="14" t="s">
        <v>48</v>
      </c>
      <c r="AI1" s="14" t="s">
        <v>49</v>
      </c>
      <c r="AJ1" s="14" t="s">
        <v>50</v>
      </c>
      <c r="AK1" s="52" t="s">
        <v>53</v>
      </c>
      <c r="AL1" s="15" t="s">
        <v>68</v>
      </c>
      <c r="AM1" s="15" t="s">
        <v>69</v>
      </c>
      <c r="AN1" s="15" t="s">
        <v>70</v>
      </c>
      <c r="AO1" s="15" t="s">
        <v>71</v>
      </c>
      <c r="AP1" s="15" t="s">
        <v>72</v>
      </c>
      <c r="AQ1" s="15" t="s">
        <v>73</v>
      </c>
      <c r="AR1" s="37" t="s">
        <v>74</v>
      </c>
      <c r="AS1" s="13" t="s">
        <v>32</v>
      </c>
      <c r="AT1" s="13" t="s">
        <v>33</v>
      </c>
      <c r="AU1" s="13" t="s">
        <v>34</v>
      </c>
      <c r="AV1" s="13" t="s">
        <v>35</v>
      </c>
      <c r="AW1" s="13" t="s">
        <v>36</v>
      </c>
      <c r="AX1" s="13" t="s">
        <v>37</v>
      </c>
      <c r="AY1" s="13" t="s">
        <v>54</v>
      </c>
    </row>
    <row r="2" spans="1:52">
      <c r="A2" s="61" t="s">
        <v>58</v>
      </c>
      <c r="B2" s="4" t="s">
        <v>59</v>
      </c>
      <c r="C2" s="61" t="s">
        <v>60</v>
      </c>
      <c r="D2" s="61" t="s">
        <v>61</v>
      </c>
      <c r="E2" s="61" t="s">
        <v>62</v>
      </c>
      <c r="F2" s="61" t="s">
        <v>142</v>
      </c>
      <c r="G2" s="4" t="s">
        <v>64</v>
      </c>
      <c r="H2" s="61" t="s">
        <v>65</v>
      </c>
      <c r="I2" s="5">
        <v>44561</v>
      </c>
      <c r="J2" s="61">
        <v>9420000000</v>
      </c>
      <c r="K2" s="61">
        <v>10189000000</v>
      </c>
      <c r="L2" s="61">
        <v>8652000000</v>
      </c>
      <c r="M2" s="61">
        <v>9681000000</v>
      </c>
      <c r="N2" s="61">
        <v>33648000000</v>
      </c>
      <c r="O2" s="61" t="s">
        <v>143</v>
      </c>
      <c r="P2" s="61" t="s">
        <v>144</v>
      </c>
      <c r="Q2" s="53">
        <v>20.8302862</v>
      </c>
      <c r="R2" s="53">
        <v>10.483392151</v>
      </c>
      <c r="S2" s="53">
        <v>11.235889897</v>
      </c>
      <c r="T2" s="53">
        <v>11.994886356</v>
      </c>
      <c r="U2" s="53">
        <v>11.423701292000001</v>
      </c>
      <c r="V2" s="53"/>
      <c r="W2" s="53"/>
      <c r="X2" s="53">
        <v>20.8302862</v>
      </c>
      <c r="Y2" s="53">
        <v>10.483392151</v>
      </c>
      <c r="Z2" s="53">
        <v>11.235889897</v>
      </c>
      <c r="AA2" s="53">
        <v>11.994886356</v>
      </c>
      <c r="AB2" s="53">
        <v>11.423701292000001</v>
      </c>
      <c r="AC2" s="53"/>
      <c r="AD2" s="53"/>
      <c r="AE2" s="69">
        <v>20.8302862</v>
      </c>
      <c r="AF2" s="69">
        <v>10.483392151</v>
      </c>
      <c r="AG2" s="69">
        <v>11.235889897</v>
      </c>
      <c r="AH2" s="69">
        <v>11.994886356</v>
      </c>
      <c r="AI2" s="69">
        <v>11.423701292000001</v>
      </c>
      <c r="AJ2" s="53"/>
      <c r="AK2" s="53"/>
      <c r="AL2" s="53"/>
      <c r="AM2" s="53"/>
      <c r="AN2" s="53"/>
      <c r="AO2" s="53"/>
      <c r="AP2" s="53"/>
      <c r="AQ2" s="53"/>
      <c r="AR2" s="53"/>
      <c r="AS2" s="61">
        <v>23.95571305</v>
      </c>
      <c r="AT2" s="61">
        <v>12.966211038000001</v>
      </c>
      <c r="AU2" s="61">
        <v>15.107020127</v>
      </c>
      <c r="AV2" s="61">
        <v>16.936182994999999</v>
      </c>
      <c r="AW2" s="61">
        <v>17.024825235582298</v>
      </c>
      <c r="AX2" s="53"/>
      <c r="AY2" s="53"/>
      <c r="AZ2" s="53"/>
    </row>
    <row r="3" spans="1:52">
      <c r="A3" s="61" t="s">
        <v>145</v>
      </c>
      <c r="B3" s="4" t="s">
        <v>146</v>
      </c>
      <c r="C3" s="61" t="s">
        <v>147</v>
      </c>
      <c r="D3" s="61" t="s">
        <v>61</v>
      </c>
      <c r="E3" s="61" t="s">
        <v>62</v>
      </c>
      <c r="F3" s="61" t="s">
        <v>142</v>
      </c>
      <c r="G3" s="4" t="s">
        <v>64</v>
      </c>
      <c r="H3" s="61" t="s">
        <v>65</v>
      </c>
      <c r="I3" s="5">
        <v>44561</v>
      </c>
      <c r="J3" s="61">
        <v>2825208722</v>
      </c>
      <c r="K3" s="61">
        <v>1240500000</v>
      </c>
      <c r="L3" s="61">
        <v>4369708722</v>
      </c>
      <c r="M3" s="61">
        <v>4439008722</v>
      </c>
      <c r="N3" s="61">
        <v>5482800000</v>
      </c>
      <c r="O3" s="61" t="s">
        <v>143</v>
      </c>
      <c r="P3" s="61" t="s">
        <v>144</v>
      </c>
      <c r="Q3" s="2"/>
      <c r="R3" s="2"/>
      <c r="S3" s="2"/>
      <c r="T3" s="2"/>
      <c r="U3" s="2"/>
      <c r="AE3" s="69">
        <v>8.0287915250000008</v>
      </c>
      <c r="AF3" s="69">
        <v>6.5660701670000003</v>
      </c>
      <c r="AG3" s="69">
        <v>6.511972042</v>
      </c>
      <c r="AH3" s="69">
        <v>4.3830481260000003</v>
      </c>
      <c r="AI3" s="69">
        <v>4.2416594769999998</v>
      </c>
      <c r="AS3" s="61">
        <v>12.04283116</v>
      </c>
      <c r="AT3" s="61">
        <v>10.83695122</v>
      </c>
      <c r="AU3" s="61">
        <v>10.50623193</v>
      </c>
      <c r="AV3" s="61">
        <v>8.4213020440000008</v>
      </c>
      <c r="AW3" s="61">
        <v>8.4483908050000007</v>
      </c>
    </row>
    <row r="4" spans="1:52">
      <c r="A4" s="61" t="s">
        <v>148</v>
      </c>
      <c r="B4" s="4" t="s">
        <v>149</v>
      </c>
      <c r="C4" s="61" t="s">
        <v>150</v>
      </c>
      <c r="D4" s="61" t="s">
        <v>61</v>
      </c>
      <c r="E4" s="61" t="s">
        <v>62</v>
      </c>
      <c r="F4" s="61" t="s">
        <v>142</v>
      </c>
      <c r="G4" s="4" t="s">
        <v>64</v>
      </c>
      <c r="H4" s="61" t="s">
        <v>65</v>
      </c>
      <c r="I4" s="5">
        <v>44561</v>
      </c>
      <c r="J4" s="61">
        <v>2100000000</v>
      </c>
      <c r="K4" s="61">
        <v>10433000000</v>
      </c>
      <c r="L4" s="61">
        <v>3021000000</v>
      </c>
      <c r="M4" s="61">
        <v>3900000000</v>
      </c>
      <c r="N4" s="61">
        <v>14631000000</v>
      </c>
      <c r="O4" s="61" t="s">
        <v>143</v>
      </c>
      <c r="P4" s="61" t="s">
        <v>144</v>
      </c>
      <c r="Q4" s="2"/>
      <c r="R4" s="2"/>
      <c r="S4" s="2"/>
      <c r="T4" s="2"/>
      <c r="U4" s="2"/>
      <c r="AE4" s="69">
        <v>0</v>
      </c>
      <c r="AF4" s="69">
        <v>0</v>
      </c>
      <c r="AG4" s="69">
        <v>0</v>
      </c>
      <c r="AH4" s="69">
        <v>0</v>
      </c>
      <c r="AI4" s="69">
        <v>0</v>
      </c>
      <c r="AS4" s="61">
        <v>0.74256299999999997</v>
      </c>
      <c r="AT4" s="61">
        <v>0.621888</v>
      </c>
      <c r="AU4" s="61">
        <v>1.0692539999999999</v>
      </c>
      <c r="AV4" s="61">
        <v>1.0264219999999999</v>
      </c>
      <c r="AW4" s="61">
        <v>0.94860884213991425</v>
      </c>
    </row>
    <row r="5" spans="1:52">
      <c r="A5" s="61" t="s">
        <v>151</v>
      </c>
      <c r="B5" s="4" t="s">
        <v>152</v>
      </c>
      <c r="C5" s="61" t="s">
        <v>153</v>
      </c>
      <c r="D5" s="61" t="s">
        <v>154</v>
      </c>
      <c r="E5" s="61" t="s">
        <v>62</v>
      </c>
      <c r="F5" s="61" t="s">
        <v>142</v>
      </c>
      <c r="G5" s="4" t="s">
        <v>64</v>
      </c>
      <c r="H5" s="61" t="s">
        <v>65</v>
      </c>
      <c r="I5" s="5">
        <v>44561</v>
      </c>
      <c r="K5" s="61">
        <v>1626392000</v>
      </c>
      <c r="N5" s="61">
        <v>10920786000</v>
      </c>
      <c r="O5" s="61" t="s">
        <v>143</v>
      </c>
      <c r="P5" s="61" t="s">
        <v>144</v>
      </c>
      <c r="Q5" s="2"/>
      <c r="R5" s="2"/>
      <c r="S5" s="2"/>
      <c r="T5" s="2"/>
      <c r="U5" s="2"/>
      <c r="AE5" s="69">
        <v>3.4276488409999999</v>
      </c>
      <c r="AF5" s="69">
        <v>3.9724905989999999</v>
      </c>
      <c r="AG5" s="69">
        <v>3.7689931470000002</v>
      </c>
      <c r="AH5" s="69">
        <v>3.3272864850000001</v>
      </c>
      <c r="AI5" s="69">
        <v>0</v>
      </c>
      <c r="AS5" s="61">
        <v>5.9412594350000001</v>
      </c>
      <c r="AT5" s="61">
        <v>7.3285856320000002</v>
      </c>
      <c r="AU5" s="61">
        <v>7.3620369910000001</v>
      </c>
      <c r="AV5" s="61">
        <v>6.3673753509999997</v>
      </c>
      <c r="AW5" s="61">
        <v>5.8846639678244816</v>
      </c>
    </row>
    <row r="6" spans="1:52">
      <c r="A6" s="61" t="s">
        <v>155</v>
      </c>
      <c r="B6" s="4" t="s">
        <v>156</v>
      </c>
      <c r="C6" s="61" t="s">
        <v>157</v>
      </c>
      <c r="D6" s="61" t="s">
        <v>61</v>
      </c>
      <c r="E6" s="61" t="s">
        <v>62</v>
      </c>
      <c r="F6" s="61" t="s">
        <v>142</v>
      </c>
      <c r="G6" s="4" t="s">
        <v>64</v>
      </c>
      <c r="H6" s="61" t="s">
        <v>65</v>
      </c>
      <c r="I6" s="5">
        <v>44561</v>
      </c>
      <c r="J6" s="61">
        <v>11900000000</v>
      </c>
      <c r="K6" s="61">
        <v>3648000000</v>
      </c>
      <c r="L6" s="61">
        <v>18804000000</v>
      </c>
      <c r="M6" s="61">
        <v>18820000000</v>
      </c>
      <c r="N6" s="61">
        <v>16701000000</v>
      </c>
      <c r="O6" s="61" t="s">
        <v>143</v>
      </c>
      <c r="P6" s="61" t="s">
        <v>144</v>
      </c>
      <c r="Q6" s="2"/>
      <c r="R6" s="2"/>
      <c r="S6" s="2"/>
      <c r="T6" s="2"/>
      <c r="U6" s="2"/>
      <c r="AE6" s="69">
        <v>12.265532917</v>
      </c>
      <c r="AF6" s="69">
        <v>13.800613625</v>
      </c>
      <c r="AG6" s="69">
        <v>14.989750726</v>
      </c>
      <c r="AH6" s="69">
        <v>11.081667744000001</v>
      </c>
      <c r="AI6" s="69">
        <v>10.577955574000001</v>
      </c>
      <c r="AS6" s="61">
        <v>20.588826059999999</v>
      </c>
      <c r="AT6" s="61">
        <v>22.836069439999999</v>
      </c>
      <c r="AU6" s="61">
        <v>26.539897759999999</v>
      </c>
      <c r="AV6" s="61">
        <v>25.164691730000001</v>
      </c>
      <c r="AW6" s="61">
        <v>23.25695385017389</v>
      </c>
    </row>
    <row r="7" spans="1:52">
      <c r="A7" s="61" t="s">
        <v>158</v>
      </c>
      <c r="B7" s="4" t="s">
        <v>159</v>
      </c>
      <c r="C7" s="61" t="s">
        <v>160</v>
      </c>
      <c r="D7" s="61" t="s">
        <v>61</v>
      </c>
      <c r="E7" s="61" t="s">
        <v>62</v>
      </c>
      <c r="F7" s="61" t="s">
        <v>142</v>
      </c>
      <c r="G7" s="4" t="s">
        <v>64</v>
      </c>
      <c r="H7" s="61" t="s">
        <v>65</v>
      </c>
      <c r="I7" s="5">
        <v>44561</v>
      </c>
      <c r="J7" s="61">
        <v>17299078950</v>
      </c>
      <c r="K7" s="61">
        <v>5910000000</v>
      </c>
      <c r="L7" s="61">
        <v>26198078950</v>
      </c>
      <c r="M7" s="61">
        <v>26214078950</v>
      </c>
      <c r="N7" s="61">
        <v>28933000000</v>
      </c>
      <c r="O7" s="61" t="s">
        <v>143</v>
      </c>
      <c r="P7" s="61" t="s">
        <v>144</v>
      </c>
      <c r="Q7" s="2"/>
      <c r="R7" s="2"/>
      <c r="S7" s="2"/>
      <c r="T7" s="2"/>
      <c r="U7" s="2"/>
      <c r="AE7" s="69">
        <v>29.875229310000002</v>
      </c>
      <c r="AF7" s="69">
        <v>31.187124499999999</v>
      </c>
      <c r="AG7" s="69">
        <v>30.672013759999999</v>
      </c>
      <c r="AH7" s="69">
        <v>23.40945202</v>
      </c>
      <c r="AI7" s="69">
        <v>23.242024560000001</v>
      </c>
      <c r="AS7" s="61">
        <v>39.509234999999997</v>
      </c>
      <c r="AT7" s="61">
        <v>41.953088000000001</v>
      </c>
      <c r="AU7" s="61">
        <v>43.757387999999999</v>
      </c>
      <c r="AV7" s="61">
        <v>36.419050990000002</v>
      </c>
      <c r="AW7" s="61">
        <v>36.692055809999999</v>
      </c>
    </row>
    <row r="8" spans="1:52">
      <c r="A8" s="61" t="s">
        <v>161</v>
      </c>
      <c r="B8" s="4" t="s">
        <v>162</v>
      </c>
      <c r="C8" s="61" t="s">
        <v>163</v>
      </c>
      <c r="D8" s="61" t="s">
        <v>61</v>
      </c>
      <c r="E8" s="61" t="s">
        <v>62</v>
      </c>
      <c r="F8" s="61" t="s">
        <v>142</v>
      </c>
      <c r="G8" s="4" t="s">
        <v>64</v>
      </c>
      <c r="H8" s="61" t="s">
        <v>65</v>
      </c>
      <c r="I8" s="5">
        <v>44561</v>
      </c>
      <c r="J8" s="61">
        <v>39549558010</v>
      </c>
      <c r="K8" s="61">
        <v>15561400000</v>
      </c>
      <c r="L8" s="61">
        <v>69474758010</v>
      </c>
      <c r="M8" s="61">
        <v>69721558010</v>
      </c>
      <c r="N8" s="61">
        <v>75892300000</v>
      </c>
      <c r="O8" s="61" t="s">
        <v>143</v>
      </c>
      <c r="P8" s="61" t="s">
        <v>144</v>
      </c>
      <c r="Q8" s="2"/>
      <c r="R8" s="2"/>
      <c r="S8" s="2"/>
      <c r="T8" s="2"/>
      <c r="U8" s="2"/>
      <c r="AE8" s="69">
        <v>87.723312172000007</v>
      </c>
      <c r="AF8" s="69">
        <v>66.96612196400001</v>
      </c>
      <c r="AG8" s="69">
        <v>66.137236960999999</v>
      </c>
      <c r="AH8" s="69">
        <v>60.045813868000003</v>
      </c>
      <c r="AI8" s="69">
        <v>56.905072285999999</v>
      </c>
      <c r="AS8" s="61">
        <v>133.581626382</v>
      </c>
      <c r="AT8" s="61">
        <v>104.24559965500001</v>
      </c>
      <c r="AU8" s="61">
        <v>103.529138004</v>
      </c>
      <c r="AV8" s="61">
        <v>94.462945003999991</v>
      </c>
      <c r="AW8" s="61">
        <v>90.005723929977037</v>
      </c>
    </row>
    <row r="9" spans="1:52">
      <c r="A9" s="61" t="s">
        <v>164</v>
      </c>
      <c r="B9" s="4" t="s">
        <v>165</v>
      </c>
      <c r="C9" s="61" t="s">
        <v>166</v>
      </c>
      <c r="D9" s="61" t="s">
        <v>61</v>
      </c>
      <c r="E9" s="61" t="s">
        <v>62</v>
      </c>
      <c r="F9" s="61" t="s">
        <v>142</v>
      </c>
      <c r="G9" s="4" t="s">
        <v>64</v>
      </c>
      <c r="H9" s="61" t="s">
        <v>65</v>
      </c>
      <c r="I9" s="5">
        <v>44561</v>
      </c>
      <c r="J9" s="61">
        <v>2900179000</v>
      </c>
      <c r="K9" s="61">
        <v>473869000</v>
      </c>
      <c r="L9" s="61">
        <v>3183544000</v>
      </c>
      <c r="M9" s="61">
        <v>3184878000</v>
      </c>
      <c r="N9" s="61">
        <v>1641331000</v>
      </c>
      <c r="O9" s="61" t="s">
        <v>143</v>
      </c>
      <c r="P9" s="61" t="s">
        <v>144</v>
      </c>
      <c r="Q9" s="2"/>
      <c r="R9" s="2"/>
      <c r="S9" s="2"/>
      <c r="T9" s="2"/>
      <c r="U9" s="2"/>
      <c r="AE9" s="69">
        <v>3.3668499999999998E-4</v>
      </c>
      <c r="AF9" s="69">
        <v>4.0554799999999999E-4</v>
      </c>
      <c r="AG9" s="69">
        <v>4.1407599999999998E-4</v>
      </c>
      <c r="AH9" s="69">
        <v>4.0152200000000002E-4</v>
      </c>
      <c r="AI9" s="69"/>
      <c r="AS9" s="61">
        <v>-3.6000000000000001E-5</v>
      </c>
      <c r="AT9" s="61">
        <v>1.74E-4</v>
      </c>
      <c r="AU9" s="61">
        <v>5.5999999999999999E-5</v>
      </c>
      <c r="AV9" s="61">
        <v>3.8499999999999998E-4</v>
      </c>
      <c r="AW9" s="61"/>
    </row>
    <row r="10" spans="1:52">
      <c r="A10" s="61" t="s">
        <v>167</v>
      </c>
      <c r="B10" s="4" t="s">
        <v>168</v>
      </c>
      <c r="C10" s="61" t="s">
        <v>169</v>
      </c>
      <c r="D10" s="61" t="s">
        <v>61</v>
      </c>
      <c r="E10" s="61" t="s">
        <v>62</v>
      </c>
      <c r="F10" s="61" t="s">
        <v>142</v>
      </c>
      <c r="G10" s="4" t="s">
        <v>64</v>
      </c>
      <c r="H10" s="61" t="s">
        <v>65</v>
      </c>
      <c r="I10" s="5">
        <v>44561</v>
      </c>
      <c r="J10" s="61">
        <v>2374000000</v>
      </c>
      <c r="K10" s="61">
        <v>6336000000</v>
      </c>
      <c r="L10" s="61">
        <v>10364000000</v>
      </c>
      <c r="M10" s="61">
        <v>10542000000</v>
      </c>
      <c r="N10" s="61">
        <v>34394000000</v>
      </c>
      <c r="O10" s="61" t="s">
        <v>143</v>
      </c>
      <c r="P10" s="61" t="s">
        <v>144</v>
      </c>
      <c r="Q10" s="2"/>
      <c r="R10" s="2"/>
      <c r="S10" s="2"/>
      <c r="T10" s="2"/>
      <c r="U10" s="2"/>
      <c r="AE10" s="69">
        <v>2.0475329E-2</v>
      </c>
      <c r="AF10" s="69">
        <v>4.6049666000000003E-2</v>
      </c>
      <c r="AG10" s="69">
        <v>2.6386597000000001E-2</v>
      </c>
      <c r="AH10" s="69">
        <v>2.5963092E-2</v>
      </c>
      <c r="AI10" s="69">
        <v>2.306012E-2</v>
      </c>
      <c r="AS10" s="61">
        <v>1.210734</v>
      </c>
      <c r="AT10" s="61">
        <v>1.314970829</v>
      </c>
      <c r="AU10" s="61">
        <v>1.190620357</v>
      </c>
      <c r="AV10" s="61">
        <v>1.212120114</v>
      </c>
      <c r="AW10" s="61">
        <v>1.120229162933025</v>
      </c>
    </row>
    <row r="11" spans="1:52">
      <c r="A11" s="61" t="s">
        <v>170</v>
      </c>
      <c r="B11" s="4" t="s">
        <v>171</v>
      </c>
      <c r="C11" s="61" t="s">
        <v>172</v>
      </c>
      <c r="D11" s="61" t="s">
        <v>61</v>
      </c>
      <c r="E11" s="61" t="s">
        <v>62</v>
      </c>
      <c r="F11" s="61" t="s">
        <v>142</v>
      </c>
      <c r="G11" s="4" t="s">
        <v>64</v>
      </c>
      <c r="H11" s="61" t="s">
        <v>65</v>
      </c>
      <c r="I11" s="5">
        <v>44561</v>
      </c>
      <c r="J11" s="61">
        <v>2471363713</v>
      </c>
      <c r="K11" s="61">
        <v>1345622000</v>
      </c>
      <c r="L11" s="61">
        <v>4440667713</v>
      </c>
      <c r="M11" s="61">
        <v>4450563713</v>
      </c>
      <c r="N11" s="61">
        <v>6082456000</v>
      </c>
      <c r="O11" s="61" t="s">
        <v>143</v>
      </c>
      <c r="P11" s="61" t="s">
        <v>144</v>
      </c>
      <c r="Q11" s="2"/>
      <c r="R11" s="2"/>
      <c r="S11" s="2"/>
      <c r="T11" s="2"/>
      <c r="U11" s="2"/>
      <c r="AE11" s="69">
        <v>2.2343139949999999</v>
      </c>
      <c r="AF11" s="69">
        <v>2.2127978650000002</v>
      </c>
      <c r="AG11" s="69">
        <v>2.1665809880000002</v>
      </c>
      <c r="AH11" s="69">
        <v>2.4461105729999999</v>
      </c>
      <c r="AI11" s="69">
        <v>0</v>
      </c>
      <c r="AS11" s="61">
        <v>9.6135179500000003</v>
      </c>
      <c r="AT11" s="61">
        <v>9.6187778999999995</v>
      </c>
      <c r="AU11" s="61">
        <v>9.6022091609999993</v>
      </c>
      <c r="AV11" s="61">
        <v>9.6148229000000001</v>
      </c>
      <c r="AW11" s="61">
        <v>9.6271918067846283</v>
      </c>
    </row>
    <row r="12" spans="1:52">
      <c r="A12" s="61" t="s">
        <v>173</v>
      </c>
      <c r="B12" s="4" t="s">
        <v>174</v>
      </c>
      <c r="C12" s="61" t="s">
        <v>175</v>
      </c>
      <c r="D12" s="61" t="s">
        <v>61</v>
      </c>
      <c r="E12" s="61" t="s">
        <v>62</v>
      </c>
      <c r="F12" s="61" t="s">
        <v>142</v>
      </c>
      <c r="G12" s="4" t="s">
        <v>64</v>
      </c>
      <c r="H12" s="61" t="s">
        <v>65</v>
      </c>
      <c r="I12" s="5">
        <v>44561</v>
      </c>
      <c r="J12" s="61">
        <v>3528768075</v>
      </c>
      <c r="K12" s="61">
        <v>1734900000</v>
      </c>
      <c r="L12" s="61">
        <v>6659087075</v>
      </c>
      <c r="M12" s="61">
        <v>6668864075</v>
      </c>
      <c r="N12" s="61">
        <v>7558457000</v>
      </c>
      <c r="O12" s="61" t="s">
        <v>143</v>
      </c>
      <c r="P12" s="61" t="s">
        <v>144</v>
      </c>
      <c r="Q12" s="2"/>
      <c r="R12" s="2"/>
      <c r="S12" s="2"/>
      <c r="T12" s="2"/>
      <c r="U12" s="2"/>
      <c r="AE12" s="69">
        <v>2.7086220929999998</v>
      </c>
      <c r="AF12" s="69">
        <v>3.5576825919999999</v>
      </c>
      <c r="AG12" s="69">
        <v>3.6777294390000002</v>
      </c>
      <c r="AH12" s="69">
        <v>2.8609599440000002</v>
      </c>
      <c r="AI12" s="69">
        <v>2.7420756740000001</v>
      </c>
      <c r="AS12" s="61">
        <v>5.5958280800000004</v>
      </c>
      <c r="AT12" s="61">
        <v>6.4723439799999998</v>
      </c>
      <c r="AU12" s="61">
        <v>6.6480604999999997</v>
      </c>
      <c r="AV12" s="61">
        <v>6.0098643799999998</v>
      </c>
      <c r="AW12" s="61">
        <v>6.0371996609999998</v>
      </c>
    </row>
    <row r="13" spans="1:52">
      <c r="A13" s="61" t="s">
        <v>176</v>
      </c>
      <c r="B13" s="4" t="s">
        <v>177</v>
      </c>
      <c r="C13" s="61" t="s">
        <v>178</v>
      </c>
      <c r="D13" s="61" t="s">
        <v>154</v>
      </c>
      <c r="E13" s="61" t="s">
        <v>62</v>
      </c>
      <c r="F13" s="61" t="s">
        <v>142</v>
      </c>
      <c r="G13" s="4" t="s">
        <v>64</v>
      </c>
      <c r="H13" s="61" t="s">
        <v>65</v>
      </c>
      <c r="I13" s="5">
        <v>44561</v>
      </c>
      <c r="K13" s="61">
        <v>67826000000</v>
      </c>
      <c r="N13" s="61">
        <v>323969000000</v>
      </c>
      <c r="O13" s="61" t="s">
        <v>143</v>
      </c>
      <c r="P13" s="61" t="s">
        <v>144</v>
      </c>
      <c r="Q13" s="2"/>
      <c r="R13" s="2"/>
      <c r="S13" s="2"/>
      <c r="T13" s="2"/>
      <c r="U13" s="2"/>
      <c r="AE13" s="69">
        <v>0</v>
      </c>
      <c r="AF13" s="69">
        <v>0</v>
      </c>
      <c r="AG13" s="69">
        <v>0</v>
      </c>
      <c r="AH13" s="69">
        <v>0</v>
      </c>
      <c r="AI13" s="69">
        <v>0</v>
      </c>
      <c r="AS13" s="61">
        <v>1.8900840000000001</v>
      </c>
      <c r="AT13" s="61">
        <v>2.0444520000000002</v>
      </c>
      <c r="AU13" s="61">
        <v>3.0310779999999999</v>
      </c>
      <c r="AV13" s="61">
        <v>2.7864770000000001</v>
      </c>
      <c r="AW13" s="61">
        <v>2.5752338907578971</v>
      </c>
    </row>
    <row r="14" spans="1:52">
      <c r="A14" s="61" t="s">
        <v>179</v>
      </c>
      <c r="B14" s="4" t="s">
        <v>180</v>
      </c>
      <c r="C14" s="61" t="s">
        <v>181</v>
      </c>
      <c r="D14" s="61" t="s">
        <v>61</v>
      </c>
      <c r="E14" s="61" t="s">
        <v>62</v>
      </c>
      <c r="F14" s="61" t="s">
        <v>182</v>
      </c>
      <c r="G14" s="4" t="s">
        <v>64</v>
      </c>
      <c r="H14" s="61" t="s">
        <v>65</v>
      </c>
      <c r="I14" s="5">
        <v>44561</v>
      </c>
      <c r="J14" s="61">
        <v>1687208892</v>
      </c>
      <c r="K14" s="61">
        <v>2380200000</v>
      </c>
      <c r="L14" s="61">
        <v>2210808892</v>
      </c>
      <c r="M14" s="61">
        <v>2237808892</v>
      </c>
      <c r="N14" s="61">
        <v>3187800000</v>
      </c>
      <c r="O14" s="61" t="s">
        <v>143</v>
      </c>
      <c r="P14" s="61" t="s">
        <v>183</v>
      </c>
      <c r="Q14" s="2"/>
      <c r="R14" s="2"/>
      <c r="S14" s="2"/>
      <c r="T14" s="2"/>
      <c r="U14" s="2"/>
      <c r="AE14" s="69">
        <v>0.29805500000000001</v>
      </c>
      <c r="AF14" s="69">
        <v>0.29805500000000001</v>
      </c>
      <c r="AG14" s="69">
        <v>0.29805500000000001</v>
      </c>
      <c r="AH14" s="69">
        <v>0.29805500000000001</v>
      </c>
      <c r="AI14" s="69">
        <v>0.29283215098729842</v>
      </c>
      <c r="AS14" s="61">
        <v>0.13883100000000001</v>
      </c>
      <c r="AT14" s="61">
        <v>0.13883100000000001</v>
      </c>
      <c r="AU14" s="61">
        <v>0.13883100000000001</v>
      </c>
      <c r="AV14" s="61">
        <v>0.13883100000000001</v>
      </c>
      <c r="AW14" s="61">
        <v>0.14094485815987501</v>
      </c>
    </row>
    <row r="15" spans="1:52">
      <c r="A15" s="61" t="s">
        <v>184</v>
      </c>
      <c r="B15" s="4" t="s">
        <v>185</v>
      </c>
      <c r="C15" s="61" t="s">
        <v>186</v>
      </c>
      <c r="D15" s="61" t="s">
        <v>61</v>
      </c>
      <c r="E15" s="61" t="s">
        <v>62</v>
      </c>
      <c r="F15" s="61" t="s">
        <v>142</v>
      </c>
      <c r="G15" s="4" t="s">
        <v>64</v>
      </c>
      <c r="H15" s="61" t="s">
        <v>65</v>
      </c>
      <c r="I15" s="5">
        <v>44561</v>
      </c>
      <c r="J15" s="61">
        <v>16647000000</v>
      </c>
      <c r="K15" s="61">
        <v>6845000000</v>
      </c>
      <c r="L15" s="61">
        <v>28458000000</v>
      </c>
      <c r="M15" s="61">
        <v>28598000000</v>
      </c>
      <c r="N15" s="61">
        <v>26837000000</v>
      </c>
      <c r="O15" s="68" t="s">
        <v>143</v>
      </c>
      <c r="P15" s="68" t="s">
        <v>144</v>
      </c>
      <c r="Q15" s="2"/>
      <c r="R15" s="2"/>
      <c r="S15" s="2"/>
      <c r="T15" s="2"/>
      <c r="U15" s="2"/>
      <c r="AE15" s="69">
        <v>11.183374199999999</v>
      </c>
      <c r="AF15" s="69">
        <v>12.381008120000001</v>
      </c>
      <c r="AG15" s="69">
        <v>12.27761477</v>
      </c>
      <c r="AH15" s="69">
        <v>12.512963060000001</v>
      </c>
      <c r="AI15" s="69">
        <v>11.91710767</v>
      </c>
      <c r="AS15" s="61">
        <v>18.979711429999998</v>
      </c>
      <c r="AT15" s="61">
        <v>20.31118927</v>
      </c>
      <c r="AU15" s="61">
        <v>20.50728269</v>
      </c>
      <c r="AV15" s="61">
        <v>22.28763412</v>
      </c>
      <c r="AW15" s="61">
        <v>22.324507709999999</v>
      </c>
    </row>
    <row r="16" spans="1:52">
      <c r="A16" s="61" t="s">
        <v>187</v>
      </c>
      <c r="B16" s="4" t="s">
        <v>188</v>
      </c>
      <c r="C16" s="61" t="s">
        <v>189</v>
      </c>
      <c r="D16" s="61" t="s">
        <v>61</v>
      </c>
      <c r="E16" s="61" t="s">
        <v>62</v>
      </c>
      <c r="F16" s="61" t="s">
        <v>182</v>
      </c>
      <c r="G16" s="4" t="s">
        <v>64</v>
      </c>
      <c r="H16" s="61" t="s">
        <v>65</v>
      </c>
      <c r="I16" s="5">
        <v>44561</v>
      </c>
      <c r="J16" s="61">
        <v>2200000000</v>
      </c>
      <c r="K16" s="61">
        <v>5829002000</v>
      </c>
      <c r="N16" s="61">
        <v>3758771000</v>
      </c>
      <c r="O16" s="61" t="s">
        <v>143</v>
      </c>
      <c r="P16" s="61" t="s">
        <v>183</v>
      </c>
      <c r="Q16" s="2"/>
      <c r="R16" s="2"/>
      <c r="S16" s="2"/>
      <c r="T16" s="2"/>
      <c r="U16" s="2"/>
      <c r="AE16" s="69">
        <v>2.5484369999999998</v>
      </c>
      <c r="AF16" s="69">
        <v>2.5484369999999998</v>
      </c>
      <c r="AG16" s="69">
        <v>2.5484369999999998</v>
      </c>
      <c r="AH16" s="69">
        <v>2.5484369999999998</v>
      </c>
      <c r="AI16" s="69">
        <v>2.5729860000000002</v>
      </c>
      <c r="AS16" s="61">
        <v>5.3012160000000002</v>
      </c>
      <c r="AT16" s="61">
        <v>5.3012160000000002</v>
      </c>
      <c r="AU16" s="61">
        <v>5.3012160000000002</v>
      </c>
      <c r="AV16" s="61">
        <v>5.3012160000000002</v>
      </c>
      <c r="AW16" s="61">
        <v>5.5436769999999997</v>
      </c>
    </row>
    <row r="17" spans="1:49">
      <c r="A17" s="61" t="s">
        <v>190</v>
      </c>
      <c r="B17" s="4" t="s">
        <v>191</v>
      </c>
      <c r="C17" s="61" t="s">
        <v>192</v>
      </c>
      <c r="D17" s="61" t="s">
        <v>61</v>
      </c>
      <c r="E17" s="61" t="s">
        <v>62</v>
      </c>
      <c r="F17" s="61" t="s">
        <v>142</v>
      </c>
      <c r="G17" s="4" t="s">
        <v>64</v>
      </c>
      <c r="H17" s="61" t="s">
        <v>65</v>
      </c>
      <c r="I17" s="5">
        <v>44561</v>
      </c>
      <c r="K17" s="61">
        <v>1639605000</v>
      </c>
      <c r="N17" s="61">
        <v>7476298000</v>
      </c>
      <c r="O17" s="68" t="s">
        <v>143</v>
      </c>
      <c r="P17" s="68" t="s">
        <v>144</v>
      </c>
      <c r="Q17" s="2"/>
      <c r="R17" s="2"/>
      <c r="S17" s="2"/>
      <c r="T17" s="2"/>
      <c r="U17" s="2"/>
      <c r="AE17" s="69">
        <v>9.9820912380000006</v>
      </c>
      <c r="AF17" s="69">
        <v>8.7791840319999999</v>
      </c>
      <c r="AG17" s="69">
        <v>9.3084717799999996</v>
      </c>
      <c r="AH17" s="69">
        <v>8.448013328</v>
      </c>
      <c r="AI17" s="69">
        <v>0</v>
      </c>
      <c r="AS17" s="61">
        <v>14.52558153</v>
      </c>
      <c r="AT17" s="61">
        <v>12.52148775</v>
      </c>
      <c r="AU17" s="61">
        <v>13.19964667</v>
      </c>
      <c r="AV17" s="61">
        <v>13.86123875</v>
      </c>
      <c r="AW17" s="61">
        <v>12.81041680835213</v>
      </c>
    </row>
    <row r="18" spans="1:49">
      <c r="A18" s="61" t="s">
        <v>193</v>
      </c>
      <c r="B18" s="4" t="s">
        <v>194</v>
      </c>
      <c r="C18" s="61" t="s">
        <v>195</v>
      </c>
      <c r="D18" s="61" t="s">
        <v>61</v>
      </c>
      <c r="E18" s="61" t="s">
        <v>62</v>
      </c>
      <c r="F18" s="61" t="s">
        <v>142</v>
      </c>
      <c r="G18" s="4" t="s">
        <v>64</v>
      </c>
      <c r="H18" s="61" t="s">
        <v>65</v>
      </c>
      <c r="I18" s="5">
        <v>44561</v>
      </c>
      <c r="J18" s="61">
        <v>24000000000</v>
      </c>
      <c r="K18" s="61">
        <v>12574000000</v>
      </c>
      <c r="L18" s="61">
        <v>42992000000</v>
      </c>
      <c r="M18" s="61">
        <v>43973000000</v>
      </c>
      <c r="N18" s="61">
        <v>58079000000</v>
      </c>
      <c r="O18" s="68" t="s">
        <v>143</v>
      </c>
      <c r="P18" s="68" t="s">
        <v>144</v>
      </c>
      <c r="Q18" s="2"/>
      <c r="R18" s="2"/>
      <c r="S18" s="2"/>
      <c r="T18" s="2"/>
      <c r="U18" s="2"/>
      <c r="AE18" s="69">
        <v>1.325786621</v>
      </c>
      <c r="AF18" s="69">
        <v>1.323738978</v>
      </c>
      <c r="AG18" s="69">
        <v>1.2685339369999999</v>
      </c>
      <c r="AH18" s="69">
        <v>1.202690405</v>
      </c>
      <c r="AI18" s="69">
        <v>1.145419433</v>
      </c>
      <c r="AS18" s="61">
        <v>5.3109194439999996</v>
      </c>
      <c r="AT18" s="61">
        <v>5.7325927349999999</v>
      </c>
      <c r="AU18" s="61">
        <v>6.0319896030000004</v>
      </c>
      <c r="AV18" s="61">
        <v>6.5057034040000001</v>
      </c>
      <c r="AW18" s="61">
        <v>6.0125053568358231</v>
      </c>
    </row>
    <row r="19" spans="1:49">
      <c r="A19" s="61" t="s">
        <v>196</v>
      </c>
      <c r="B19" s="4" t="s">
        <v>197</v>
      </c>
      <c r="C19" s="61" t="s">
        <v>198</v>
      </c>
      <c r="D19" s="61" t="s">
        <v>61</v>
      </c>
      <c r="E19" s="61" t="s">
        <v>62</v>
      </c>
      <c r="F19" s="61" t="s">
        <v>142</v>
      </c>
      <c r="G19" s="4" t="s">
        <v>64</v>
      </c>
      <c r="H19" s="61" t="s">
        <v>65</v>
      </c>
      <c r="I19" s="5">
        <v>44561</v>
      </c>
      <c r="J19" s="61">
        <v>20500000000</v>
      </c>
      <c r="K19" s="61">
        <v>12669000000</v>
      </c>
      <c r="L19" s="61">
        <v>36342000000</v>
      </c>
      <c r="M19" s="61">
        <v>36435000000</v>
      </c>
      <c r="N19" s="61">
        <v>42268000000</v>
      </c>
      <c r="O19" s="68" t="s">
        <v>143</v>
      </c>
      <c r="P19" s="68" t="s">
        <v>144</v>
      </c>
      <c r="Q19" s="2"/>
      <c r="R19" s="2"/>
      <c r="S19" s="2"/>
      <c r="T19" s="2"/>
      <c r="U19" s="2"/>
      <c r="AE19" s="69">
        <v>26.796145450000001</v>
      </c>
      <c r="AF19" s="69">
        <v>27.947696990000001</v>
      </c>
      <c r="AG19" s="69">
        <v>29.95633261</v>
      </c>
      <c r="AH19" s="69">
        <v>27.00027425</v>
      </c>
      <c r="AI19" s="69">
        <v>26.48364437</v>
      </c>
      <c r="AS19" s="61">
        <v>39.339109710000002</v>
      </c>
      <c r="AT19" s="61">
        <v>39.490179230000003</v>
      </c>
      <c r="AU19" s="61">
        <v>40.7944417</v>
      </c>
      <c r="AV19" s="61">
        <v>40.197309990000001</v>
      </c>
      <c r="AW19" s="61">
        <v>37.14994776685721</v>
      </c>
    </row>
    <row r="20" spans="1:49">
      <c r="A20" s="61" t="s">
        <v>199</v>
      </c>
      <c r="B20" s="4" t="s">
        <v>200</v>
      </c>
      <c r="C20" s="61" t="s">
        <v>201</v>
      </c>
      <c r="D20" s="61" t="s">
        <v>61</v>
      </c>
      <c r="E20" s="61" t="s">
        <v>62</v>
      </c>
      <c r="F20" s="61" t="s">
        <v>142</v>
      </c>
      <c r="G20" s="4" t="s">
        <v>64</v>
      </c>
      <c r="H20" s="61" t="s">
        <v>65</v>
      </c>
      <c r="I20" s="5">
        <v>44561</v>
      </c>
      <c r="J20" s="61">
        <v>68000000000</v>
      </c>
      <c r="K20" s="61">
        <v>14401000000</v>
      </c>
      <c r="L20" s="61">
        <v>96863000000</v>
      </c>
      <c r="M20" s="61">
        <v>96998000000</v>
      </c>
      <c r="N20" s="61">
        <v>103823000000</v>
      </c>
      <c r="O20" s="68" t="s">
        <v>143</v>
      </c>
      <c r="P20" s="68" t="s">
        <v>144</v>
      </c>
      <c r="Q20" s="2"/>
      <c r="R20" s="2"/>
      <c r="S20" s="2"/>
      <c r="T20" s="2"/>
      <c r="U20" s="2"/>
      <c r="AE20" s="69">
        <v>43.346773548000002</v>
      </c>
      <c r="AF20" s="69">
        <v>36.869361507000001</v>
      </c>
      <c r="AG20" s="69">
        <v>35.455656216999998</v>
      </c>
      <c r="AH20" s="69">
        <v>31.432803556</v>
      </c>
      <c r="AI20" s="69">
        <v>30.418842145999999</v>
      </c>
      <c r="AS20" s="61">
        <v>106.43053159</v>
      </c>
      <c r="AT20" s="61">
        <v>99.522718589999997</v>
      </c>
      <c r="AU20" s="61">
        <v>99.984302179999986</v>
      </c>
      <c r="AV20" s="61">
        <v>102.19514168000001</v>
      </c>
      <c r="AW20" s="61">
        <v>103.314188346027</v>
      </c>
    </row>
    <row r="21" spans="1:49">
      <c r="A21" s="61" t="s">
        <v>202</v>
      </c>
      <c r="B21" s="4" t="s">
        <v>203</v>
      </c>
      <c r="C21" s="61" t="s">
        <v>204</v>
      </c>
      <c r="D21" s="61" t="s">
        <v>61</v>
      </c>
      <c r="E21" s="61" t="s">
        <v>62</v>
      </c>
      <c r="F21" s="61" t="s">
        <v>142</v>
      </c>
      <c r="G21" s="4" t="s">
        <v>64</v>
      </c>
      <c r="H21" s="61" t="s">
        <v>65</v>
      </c>
      <c r="I21" s="5">
        <v>44561</v>
      </c>
      <c r="J21" s="61">
        <v>58688204289</v>
      </c>
      <c r="K21" s="61">
        <v>25079000000</v>
      </c>
      <c r="L21" s="61">
        <v>121439204289</v>
      </c>
      <c r="M21" s="61">
        <v>121750204289</v>
      </c>
      <c r="N21" s="61">
        <v>158838000000</v>
      </c>
      <c r="O21" s="68" t="s">
        <v>143</v>
      </c>
      <c r="P21" s="68" t="s">
        <v>144</v>
      </c>
      <c r="Q21" s="2"/>
      <c r="R21" s="2"/>
      <c r="S21" s="2"/>
      <c r="T21" s="2"/>
      <c r="U21" s="2"/>
      <c r="AE21" s="69">
        <v>94.923459879999996</v>
      </c>
      <c r="AF21" s="69">
        <v>93.530450478000006</v>
      </c>
      <c r="AG21" s="69">
        <v>95.012237693000003</v>
      </c>
      <c r="AH21" s="69">
        <v>83.595723118999999</v>
      </c>
      <c r="AI21" s="69">
        <v>82.018839239000002</v>
      </c>
      <c r="AS21" s="61">
        <v>221.77898501999999</v>
      </c>
      <c r="AT21" s="61">
        <v>222.41056646000001</v>
      </c>
      <c r="AU21" s="61">
        <v>225.51497273000001</v>
      </c>
      <c r="AV21" s="61">
        <v>216.60189564999999</v>
      </c>
      <c r="AW21" s="61">
        <v>217.79186281500009</v>
      </c>
    </row>
    <row r="22" spans="1:49">
      <c r="A22" s="61" t="s">
        <v>205</v>
      </c>
      <c r="B22" s="4" t="s">
        <v>206</v>
      </c>
      <c r="C22" s="61" t="s">
        <v>207</v>
      </c>
      <c r="D22" s="61" t="s">
        <v>61</v>
      </c>
      <c r="E22" s="61" t="s">
        <v>62</v>
      </c>
      <c r="F22" s="61" t="s">
        <v>142</v>
      </c>
      <c r="G22" s="4" t="s">
        <v>64</v>
      </c>
      <c r="H22" s="61" t="s">
        <v>65</v>
      </c>
      <c r="I22" s="5">
        <v>44561</v>
      </c>
      <c r="J22" s="61">
        <v>18800000000</v>
      </c>
      <c r="K22" s="61">
        <v>10878673000</v>
      </c>
      <c r="L22" s="61">
        <v>37434228000</v>
      </c>
      <c r="M22" s="61">
        <v>37859950000</v>
      </c>
      <c r="N22" s="61">
        <v>51723912000</v>
      </c>
      <c r="O22" s="68" t="s">
        <v>143</v>
      </c>
      <c r="P22" s="68" t="s">
        <v>144</v>
      </c>
      <c r="Q22" s="2"/>
      <c r="R22" s="2"/>
      <c r="S22" s="2"/>
      <c r="T22" s="2"/>
      <c r="U22" s="2"/>
      <c r="AE22" s="69">
        <v>32.516193991999998</v>
      </c>
      <c r="AF22" s="69">
        <v>31.450986952000001</v>
      </c>
      <c r="AG22" s="69">
        <v>34.631975513</v>
      </c>
      <c r="AH22" s="69">
        <v>33.246229124999999</v>
      </c>
      <c r="AI22" s="69">
        <v>0</v>
      </c>
      <c r="AS22" s="61">
        <v>102.999524264</v>
      </c>
      <c r="AT22" s="61">
        <v>98.242043473999999</v>
      </c>
      <c r="AU22" s="61">
        <v>105.741655513</v>
      </c>
      <c r="AV22" s="61">
        <v>109.743440224</v>
      </c>
      <c r="AW22" s="61">
        <v>107.355350022618</v>
      </c>
    </row>
    <row r="23" spans="1:49">
      <c r="A23" s="61" t="s">
        <v>208</v>
      </c>
      <c r="B23" s="4" t="s">
        <v>209</v>
      </c>
      <c r="C23" s="61" t="s">
        <v>210</v>
      </c>
      <c r="D23" s="61" t="s">
        <v>61</v>
      </c>
      <c r="E23" s="61" t="s">
        <v>62</v>
      </c>
      <c r="F23" s="61" t="s">
        <v>142</v>
      </c>
      <c r="G23" s="4" t="s">
        <v>64</v>
      </c>
      <c r="H23" s="61" t="s">
        <v>65</v>
      </c>
      <c r="I23" s="5">
        <v>44561</v>
      </c>
      <c r="J23" s="61">
        <v>13410149293</v>
      </c>
      <c r="K23" s="61">
        <v>5147800000</v>
      </c>
      <c r="L23" s="61">
        <v>22133649293</v>
      </c>
      <c r="M23" s="61">
        <v>22156849293</v>
      </c>
      <c r="N23" s="61">
        <v>25975900000</v>
      </c>
      <c r="O23" s="68" t="s">
        <v>143</v>
      </c>
      <c r="P23" s="68" t="s">
        <v>144</v>
      </c>
      <c r="Q23" s="2"/>
      <c r="R23" s="2"/>
      <c r="S23" s="2"/>
      <c r="T23" s="2"/>
      <c r="U23" s="2"/>
      <c r="AE23" s="69">
        <v>35.122915438000007</v>
      </c>
      <c r="AF23" s="69">
        <v>32.270565695999998</v>
      </c>
      <c r="AG23" s="69">
        <v>28.483757178000001</v>
      </c>
      <c r="AH23" s="69">
        <v>26.74941115</v>
      </c>
      <c r="AI23" s="69">
        <v>35.013482494000002</v>
      </c>
      <c r="AS23" s="61">
        <v>47.465894990000002</v>
      </c>
      <c r="AT23" s="61">
        <v>47.22838256</v>
      </c>
      <c r="AU23" s="61">
        <v>42.360400810000002</v>
      </c>
      <c r="AV23" s="61">
        <v>41.417892389999999</v>
      </c>
      <c r="AW23" s="61">
        <v>52.209390303404128</v>
      </c>
    </row>
    <row r="24" spans="1:49">
      <c r="A24" s="61" t="s">
        <v>211</v>
      </c>
      <c r="B24" s="4" t="s">
        <v>212</v>
      </c>
      <c r="C24" s="61" t="s">
        <v>213</v>
      </c>
      <c r="D24" s="61" t="s">
        <v>61</v>
      </c>
      <c r="E24" s="61" t="s">
        <v>62</v>
      </c>
      <c r="F24" s="61" t="s">
        <v>142</v>
      </c>
      <c r="G24" s="4" t="s">
        <v>64</v>
      </c>
      <c r="H24" s="61" t="s">
        <v>65</v>
      </c>
      <c r="I24" s="5">
        <v>44561</v>
      </c>
      <c r="J24" s="61">
        <v>28496151703</v>
      </c>
      <c r="K24" s="61">
        <v>8526470000</v>
      </c>
      <c r="L24" s="61">
        <v>42251547703</v>
      </c>
      <c r="M24" s="61">
        <v>42266979703</v>
      </c>
      <c r="N24" s="61">
        <v>41123915000</v>
      </c>
      <c r="O24" s="68" t="s">
        <v>143</v>
      </c>
      <c r="P24" s="68" t="s">
        <v>144</v>
      </c>
      <c r="Q24" s="2"/>
      <c r="R24" s="2"/>
      <c r="S24" s="2"/>
      <c r="T24" s="2"/>
      <c r="U24" s="2"/>
      <c r="AE24" s="69">
        <v>0.54127069000000005</v>
      </c>
      <c r="AF24" s="69">
        <v>0.38852905199999999</v>
      </c>
      <c r="AG24" s="69">
        <v>3.4941450000000002E-3</v>
      </c>
      <c r="AH24" s="69">
        <v>2.2128600000000001E-4</v>
      </c>
      <c r="AI24" s="69">
        <v>0</v>
      </c>
      <c r="AS24" s="61">
        <v>1.080058642</v>
      </c>
      <c r="AT24" s="61">
        <v>0.99355118800000009</v>
      </c>
      <c r="AU24" s="61">
        <v>1.017443611</v>
      </c>
      <c r="AV24" s="61">
        <v>1.0607533419999999</v>
      </c>
      <c r="AW24" s="61">
        <v>0.98033752155610898</v>
      </c>
    </row>
    <row r="25" spans="1:49">
      <c r="A25" s="61" t="s">
        <v>214</v>
      </c>
      <c r="B25" s="4" t="s">
        <v>215</v>
      </c>
      <c r="C25" s="61" t="s">
        <v>216</v>
      </c>
      <c r="D25" s="61" t="s">
        <v>61</v>
      </c>
      <c r="E25" s="61" t="s">
        <v>62</v>
      </c>
      <c r="F25" s="61" t="s">
        <v>142</v>
      </c>
      <c r="G25" s="4" t="s">
        <v>64</v>
      </c>
      <c r="H25" s="61" t="s">
        <v>65</v>
      </c>
      <c r="I25" s="5">
        <v>44561</v>
      </c>
      <c r="J25" s="61">
        <v>35402501369</v>
      </c>
      <c r="K25" s="61">
        <v>34438000000</v>
      </c>
      <c r="L25" s="61">
        <v>66144501369</v>
      </c>
      <c r="M25" s="61">
        <v>66731501369</v>
      </c>
      <c r="N25" s="61">
        <v>124977000000</v>
      </c>
      <c r="O25" s="68" t="s">
        <v>143</v>
      </c>
      <c r="P25" s="68" t="s">
        <v>144</v>
      </c>
      <c r="Q25" s="2"/>
      <c r="R25" s="2"/>
      <c r="S25" s="2"/>
      <c r="T25" s="2"/>
      <c r="U25" s="2"/>
      <c r="AE25" s="69"/>
      <c r="AF25" s="69"/>
      <c r="AG25" s="69"/>
      <c r="AH25" s="69">
        <v>0</v>
      </c>
      <c r="AI25" s="69"/>
      <c r="AS25" s="61"/>
      <c r="AT25" s="61"/>
      <c r="AU25" s="61"/>
      <c r="AV25" s="61">
        <v>0.243451789</v>
      </c>
      <c r="AW25" s="61"/>
    </row>
    <row r="26" spans="1:49">
      <c r="A26" s="61" t="s">
        <v>217</v>
      </c>
      <c r="B26" s="4" t="s">
        <v>218</v>
      </c>
      <c r="C26" s="61" t="s">
        <v>219</v>
      </c>
      <c r="D26" s="61" t="s">
        <v>61</v>
      </c>
      <c r="E26" s="61" t="s">
        <v>62</v>
      </c>
      <c r="F26" s="61" t="s">
        <v>142</v>
      </c>
      <c r="G26" s="4" t="s">
        <v>64</v>
      </c>
      <c r="H26" s="61" t="s">
        <v>65</v>
      </c>
      <c r="I26" s="5">
        <v>44561</v>
      </c>
      <c r="J26" s="61">
        <v>20967401361</v>
      </c>
      <c r="K26" s="61">
        <v>11035000000</v>
      </c>
      <c r="L26" s="61">
        <v>39958401361</v>
      </c>
      <c r="M26" s="61">
        <v>40585401361</v>
      </c>
      <c r="N26" s="61">
        <v>42301000000</v>
      </c>
      <c r="O26" s="68" t="s">
        <v>143</v>
      </c>
      <c r="P26" s="68" t="s">
        <v>144</v>
      </c>
      <c r="Q26" s="2"/>
      <c r="R26" s="2"/>
      <c r="S26" s="2"/>
      <c r="T26" s="2"/>
      <c r="U26" s="2"/>
      <c r="AE26" s="69">
        <v>18.65477606</v>
      </c>
      <c r="AF26" s="69">
        <v>18.122230559999998</v>
      </c>
      <c r="AG26" s="69">
        <v>18.15492149</v>
      </c>
      <c r="AH26" s="69">
        <v>18.606114420000001</v>
      </c>
      <c r="AI26" s="69">
        <v>17.42208896</v>
      </c>
      <c r="AS26" s="61">
        <v>20.696300999999998</v>
      </c>
      <c r="AT26" s="61">
        <v>20.309313</v>
      </c>
      <c r="AU26" s="61">
        <v>20.265066999999998</v>
      </c>
      <c r="AV26" s="61">
        <v>20.595230999999998</v>
      </c>
      <c r="AW26" s="61">
        <v>19.033904410188079</v>
      </c>
    </row>
    <row r="27" spans="1:49">
      <c r="A27" s="61" t="s">
        <v>220</v>
      </c>
      <c r="B27" s="4" t="s">
        <v>221</v>
      </c>
      <c r="C27" s="61" t="s">
        <v>222</v>
      </c>
      <c r="D27" s="61" t="s">
        <v>154</v>
      </c>
      <c r="E27" s="61" t="s">
        <v>62</v>
      </c>
      <c r="F27" s="61" t="s">
        <v>142</v>
      </c>
      <c r="G27" s="4" t="s">
        <v>64</v>
      </c>
      <c r="H27" s="61" t="s">
        <v>65</v>
      </c>
      <c r="I27" s="5">
        <v>44561</v>
      </c>
      <c r="K27" s="61">
        <v>6736467578.2073479</v>
      </c>
      <c r="N27" s="61">
        <v>40960299959.761497</v>
      </c>
      <c r="O27" s="68" t="s">
        <v>143</v>
      </c>
      <c r="P27" s="68" t="s">
        <v>144</v>
      </c>
      <c r="Q27" s="2"/>
      <c r="R27" s="2"/>
      <c r="S27" s="2"/>
      <c r="T27" s="2"/>
      <c r="U27" s="2"/>
      <c r="AE27" s="69">
        <v>10.03500921</v>
      </c>
      <c r="AF27" s="69">
        <v>9.3266940839999997</v>
      </c>
      <c r="AG27" s="69">
        <v>9.712123415999999</v>
      </c>
      <c r="AH27" s="69">
        <v>9.1429934480000004</v>
      </c>
      <c r="AI27" s="69">
        <v>8.3825279300000002</v>
      </c>
      <c r="AS27" s="61">
        <v>16.692600836</v>
      </c>
      <c r="AT27" s="61">
        <v>16.090324548000002</v>
      </c>
      <c r="AU27" s="61">
        <v>17.135308543000001</v>
      </c>
      <c r="AV27" s="61">
        <v>16.847299415999998</v>
      </c>
      <c r="AW27" s="61">
        <v>17.07856860399492</v>
      </c>
    </row>
    <row r="28" spans="1:49">
      <c r="A28" s="61" t="s">
        <v>223</v>
      </c>
      <c r="B28" s="4" t="s">
        <v>224</v>
      </c>
      <c r="C28" s="61" t="s">
        <v>225</v>
      </c>
      <c r="D28" s="61" t="s">
        <v>226</v>
      </c>
      <c r="E28" s="61" t="s">
        <v>227</v>
      </c>
      <c r="F28" s="61" t="s">
        <v>182</v>
      </c>
      <c r="G28" s="4" t="s">
        <v>64</v>
      </c>
      <c r="H28" s="61" t="s">
        <v>65</v>
      </c>
      <c r="I28" s="5">
        <v>44561</v>
      </c>
      <c r="K28" s="61">
        <v>9835514922.9662342</v>
      </c>
      <c r="N28" s="61">
        <v>13397913513.781719</v>
      </c>
      <c r="O28" s="61" t="s">
        <v>143</v>
      </c>
      <c r="P28" s="61" t="s">
        <v>183</v>
      </c>
      <c r="Q28" s="2"/>
      <c r="R28" s="2"/>
      <c r="S28" s="2"/>
      <c r="T28" s="2"/>
      <c r="U28" s="2"/>
      <c r="AE28" s="69">
        <v>16.100000000000001</v>
      </c>
      <c r="AF28" s="69">
        <v>16.100000000000001</v>
      </c>
      <c r="AG28" s="69">
        <v>14.27265885416667</v>
      </c>
      <c r="AH28" s="69">
        <v>11.947505</v>
      </c>
      <c r="AI28" s="69">
        <v>11.738147617323991</v>
      </c>
      <c r="AS28" s="61">
        <v>16.100000000000001</v>
      </c>
      <c r="AT28" s="61">
        <v>16.100000000000001</v>
      </c>
      <c r="AU28" s="61">
        <v>14.27265885416667</v>
      </c>
      <c r="AV28" s="61">
        <v>12.445317708333331</v>
      </c>
      <c r="AW28" s="61">
        <v>12.63481167142513</v>
      </c>
    </row>
    <row r="29" spans="1:49">
      <c r="A29" s="61" t="s">
        <v>228</v>
      </c>
      <c r="B29" s="4" t="s">
        <v>229</v>
      </c>
      <c r="C29" s="61" t="s">
        <v>230</v>
      </c>
      <c r="D29" s="61" t="s">
        <v>61</v>
      </c>
      <c r="E29" s="61" t="s">
        <v>62</v>
      </c>
      <c r="F29" s="61" t="s">
        <v>142</v>
      </c>
      <c r="G29" s="4" t="s">
        <v>64</v>
      </c>
      <c r="H29" s="61" t="s">
        <v>65</v>
      </c>
      <c r="I29" s="5">
        <v>44561</v>
      </c>
      <c r="J29" s="61">
        <v>3937071331</v>
      </c>
      <c r="K29" s="61">
        <v>2873948000</v>
      </c>
      <c r="L29" s="61">
        <v>5704623331</v>
      </c>
      <c r="M29" s="61">
        <v>5901436331</v>
      </c>
      <c r="N29" s="61">
        <v>13745251000</v>
      </c>
      <c r="O29" s="68" t="s">
        <v>143</v>
      </c>
      <c r="P29" s="68" t="s">
        <v>144</v>
      </c>
      <c r="Q29" s="2"/>
      <c r="R29" s="2"/>
      <c r="S29" s="2"/>
      <c r="T29" s="2"/>
      <c r="U29" s="2"/>
      <c r="AE29" s="69">
        <v>3.8868941879999999</v>
      </c>
      <c r="AF29" s="69">
        <v>3.8663196809999998</v>
      </c>
      <c r="AG29" s="69">
        <v>3.937301664</v>
      </c>
      <c r="AH29" s="69">
        <v>3.9790181429999998</v>
      </c>
      <c r="AI29" s="69">
        <v>3.8259789839999998</v>
      </c>
      <c r="AS29" s="61">
        <v>7.9426489999999994</v>
      </c>
      <c r="AT29" s="61">
        <v>7.8881049999999986</v>
      </c>
      <c r="AU29" s="61">
        <v>7.9569290000000006</v>
      </c>
      <c r="AV29" s="61">
        <v>7.9702040000000007</v>
      </c>
      <c r="AW29" s="61">
        <v>8.0778513040000011</v>
      </c>
    </row>
    <row r="30" spans="1:49">
      <c r="A30" s="61" t="s">
        <v>231</v>
      </c>
      <c r="B30" s="4" t="s">
        <v>232</v>
      </c>
      <c r="C30" s="61" t="s">
        <v>233</v>
      </c>
      <c r="D30" s="61" t="s">
        <v>61</v>
      </c>
      <c r="E30" s="61" t="s">
        <v>62</v>
      </c>
      <c r="F30" s="61" t="s">
        <v>142</v>
      </c>
      <c r="G30" s="4" t="s">
        <v>64</v>
      </c>
      <c r="H30" s="61" t="s">
        <v>65</v>
      </c>
      <c r="I30" s="5">
        <v>44561</v>
      </c>
      <c r="J30" s="61">
        <v>4447584104</v>
      </c>
      <c r="K30" s="61">
        <v>5336776000</v>
      </c>
      <c r="L30" s="61">
        <v>6624232104</v>
      </c>
      <c r="M30" s="61">
        <v>6690691104</v>
      </c>
      <c r="N30" s="61">
        <v>7683059000</v>
      </c>
      <c r="O30" s="68" t="s">
        <v>143</v>
      </c>
      <c r="P30" s="68" t="s">
        <v>144</v>
      </c>
      <c r="Q30" s="2"/>
      <c r="R30" s="2"/>
      <c r="S30" s="2"/>
      <c r="T30" s="2"/>
      <c r="U30" s="2"/>
      <c r="AE30" s="69">
        <v>1.8746218750000001</v>
      </c>
      <c r="AF30" s="69">
        <v>1.844359927</v>
      </c>
      <c r="AG30" s="69">
        <v>2.051568649</v>
      </c>
      <c r="AH30" s="69">
        <v>1.710493431</v>
      </c>
      <c r="AI30" s="69">
        <v>0</v>
      </c>
      <c r="AS30" s="61">
        <v>3.1870937499999998</v>
      </c>
      <c r="AT30" s="61">
        <v>3.1660149999999998</v>
      </c>
      <c r="AU30" s="61">
        <v>3.3211175000000002</v>
      </c>
      <c r="AV30" s="61">
        <v>3.1475861959999998</v>
      </c>
      <c r="AW30" s="61">
        <v>3.1903747390000001</v>
      </c>
    </row>
    <row r="31" spans="1:49">
      <c r="A31" s="61" t="s">
        <v>234</v>
      </c>
      <c r="B31" s="4" t="s">
        <v>235</v>
      </c>
      <c r="C31" s="61" t="s">
        <v>236</v>
      </c>
      <c r="D31" s="61" t="s">
        <v>61</v>
      </c>
      <c r="E31" s="61" t="s">
        <v>62</v>
      </c>
      <c r="F31" s="61" t="s">
        <v>182</v>
      </c>
      <c r="G31" s="4" t="s">
        <v>64</v>
      </c>
      <c r="H31" s="61" t="s">
        <v>65</v>
      </c>
      <c r="I31" s="5">
        <v>44561</v>
      </c>
      <c r="J31" s="61">
        <v>12430000000</v>
      </c>
      <c r="K31" s="61">
        <v>22588858000</v>
      </c>
      <c r="L31" s="61">
        <v>15186696000</v>
      </c>
      <c r="M31" s="61">
        <v>16721301000</v>
      </c>
      <c r="N31" s="61">
        <v>18344666000</v>
      </c>
      <c r="O31" s="61" t="s">
        <v>143</v>
      </c>
      <c r="P31" s="61" t="s">
        <v>183</v>
      </c>
      <c r="Q31" s="2"/>
      <c r="R31" s="2"/>
      <c r="S31" s="2"/>
      <c r="T31" s="2"/>
      <c r="U31" s="2"/>
      <c r="AE31" s="69">
        <v>12.356382978723399</v>
      </c>
      <c r="AF31" s="69">
        <v>11.819148936170221</v>
      </c>
      <c r="AG31" s="69">
        <v>11.281914893617021</v>
      </c>
      <c r="AH31" s="69">
        <v>10.1</v>
      </c>
      <c r="AI31" s="69">
        <v>10.1</v>
      </c>
      <c r="AS31" s="61">
        <v>21.48936170212766</v>
      </c>
      <c r="AT31" s="61">
        <v>21.48936170212766</v>
      </c>
      <c r="AU31" s="61">
        <v>21.48936170212766</v>
      </c>
      <c r="AV31" s="61">
        <v>21.48936170212766</v>
      </c>
      <c r="AW31" s="61">
        <v>21.48936170212766</v>
      </c>
    </row>
    <row r="32" spans="1:49">
      <c r="A32" s="61" t="s">
        <v>237</v>
      </c>
      <c r="B32" s="4" t="s">
        <v>238</v>
      </c>
      <c r="C32" s="61" t="s">
        <v>239</v>
      </c>
      <c r="D32" s="61" t="s">
        <v>240</v>
      </c>
      <c r="E32" s="61" t="s">
        <v>241</v>
      </c>
      <c r="F32" s="61" t="s">
        <v>142</v>
      </c>
      <c r="G32" s="4" t="s">
        <v>64</v>
      </c>
      <c r="H32" s="61" t="s">
        <v>65</v>
      </c>
      <c r="I32" s="5">
        <v>44561</v>
      </c>
      <c r="J32" s="61">
        <v>44164533765.359467</v>
      </c>
      <c r="K32" s="61">
        <v>19393506493.506489</v>
      </c>
      <c r="N32" s="61">
        <v>81770129870.129868</v>
      </c>
      <c r="O32" s="68" t="s">
        <v>143</v>
      </c>
      <c r="P32" s="68" t="s">
        <v>144</v>
      </c>
      <c r="Q32" s="2"/>
      <c r="R32" s="2"/>
      <c r="S32" s="2"/>
      <c r="T32" s="2"/>
      <c r="U32" s="2"/>
      <c r="AE32" s="69">
        <v>3.004725724</v>
      </c>
      <c r="AF32" s="69">
        <v>2.1325357700000001</v>
      </c>
      <c r="AG32" s="69">
        <v>3.0720788620000001</v>
      </c>
      <c r="AH32" s="69">
        <v>2.4277569909999999</v>
      </c>
      <c r="AI32" s="69">
        <v>1.335266345</v>
      </c>
      <c r="AS32" s="61">
        <v>4.836665</v>
      </c>
      <c r="AT32" s="61">
        <v>3.3607879999999999</v>
      </c>
      <c r="AU32" s="61">
        <v>4.6763309999999993</v>
      </c>
      <c r="AV32" s="61">
        <v>3.8903590000000001</v>
      </c>
      <c r="AW32" s="61">
        <v>3.5954304822953862</v>
      </c>
    </row>
    <row r="33" spans="1:49">
      <c r="A33" s="61" t="s">
        <v>242</v>
      </c>
      <c r="B33" s="4" t="s">
        <v>243</v>
      </c>
      <c r="C33" s="61" t="s">
        <v>244</v>
      </c>
      <c r="D33" s="61" t="s">
        <v>61</v>
      </c>
      <c r="E33" s="61" t="s">
        <v>62</v>
      </c>
      <c r="F33" s="61" t="s">
        <v>142</v>
      </c>
      <c r="G33" s="4" t="s">
        <v>64</v>
      </c>
      <c r="H33" s="61" t="s">
        <v>65</v>
      </c>
      <c r="I33" s="5">
        <v>44561</v>
      </c>
      <c r="J33" s="61">
        <v>2757293172</v>
      </c>
      <c r="K33" s="61">
        <v>1257910000</v>
      </c>
      <c r="L33" s="61">
        <v>5168962172</v>
      </c>
      <c r="M33" s="61">
        <v>5174107172</v>
      </c>
      <c r="N33" s="61">
        <v>6083486000</v>
      </c>
      <c r="O33" s="68" t="s">
        <v>143</v>
      </c>
      <c r="P33" s="68" t="s">
        <v>144</v>
      </c>
      <c r="Q33" s="2"/>
      <c r="R33" s="2"/>
      <c r="S33" s="2"/>
      <c r="T33" s="2"/>
      <c r="U33" s="2"/>
      <c r="AE33" s="69">
        <v>0.99625009600000003</v>
      </c>
      <c r="AF33" s="69">
        <v>0.98354598199999999</v>
      </c>
      <c r="AG33" s="69">
        <v>2.6019487300000002</v>
      </c>
      <c r="AH33" s="69">
        <v>2.5352979329999998</v>
      </c>
      <c r="AI33" s="69">
        <v>1.926808946</v>
      </c>
      <c r="AS33" s="61">
        <v>4.7997215119999996</v>
      </c>
      <c r="AT33" s="61">
        <v>4.9700274919999998</v>
      </c>
      <c r="AU33" s="61">
        <v>6.6756619089999996</v>
      </c>
      <c r="AV33" s="61">
        <v>6.6434140810000004</v>
      </c>
      <c r="AW33" s="61">
        <v>6.6580600460000001</v>
      </c>
    </row>
    <row r="34" spans="1:49">
      <c r="A34" s="61" t="s">
        <v>245</v>
      </c>
      <c r="B34" s="4" t="s">
        <v>246</v>
      </c>
      <c r="C34" s="61" t="s">
        <v>247</v>
      </c>
      <c r="D34" s="61" t="s">
        <v>61</v>
      </c>
      <c r="E34" s="61" t="s">
        <v>62</v>
      </c>
      <c r="F34" s="61" t="s">
        <v>142</v>
      </c>
      <c r="G34" s="4" t="s">
        <v>64</v>
      </c>
      <c r="H34" s="61" t="s">
        <v>65</v>
      </c>
      <c r="I34" s="5">
        <v>44561</v>
      </c>
      <c r="J34" s="61">
        <v>6077156282</v>
      </c>
      <c r="K34" s="61">
        <v>2231600000</v>
      </c>
      <c r="N34" s="61">
        <v>11024300000</v>
      </c>
      <c r="O34" s="68" t="s">
        <v>143</v>
      </c>
      <c r="P34" s="68" t="s">
        <v>144</v>
      </c>
      <c r="Q34" s="2"/>
      <c r="R34" s="2"/>
      <c r="S34" s="2"/>
      <c r="T34" s="2"/>
      <c r="U34" s="2"/>
      <c r="AE34" s="69">
        <v>15.406989100000001</v>
      </c>
      <c r="AF34" s="69">
        <v>13.62298135</v>
      </c>
      <c r="AG34" s="69">
        <v>16.604790349999998</v>
      </c>
      <c r="AH34" s="69">
        <v>10.091115759999999</v>
      </c>
      <c r="AI34" s="69">
        <v>10.104656240000001</v>
      </c>
      <c r="AS34" s="61">
        <v>22.947100979999998</v>
      </c>
      <c r="AT34" s="61">
        <v>19.964211720000002</v>
      </c>
      <c r="AU34" s="61">
        <v>19.04075044</v>
      </c>
      <c r="AV34" s="61">
        <v>17.843476280000001</v>
      </c>
      <c r="AW34" s="61">
        <v>18.026473840000001</v>
      </c>
    </row>
    <row r="35" spans="1:49">
      <c r="A35" s="61" t="s">
        <v>248</v>
      </c>
      <c r="B35" s="4" t="s">
        <v>249</v>
      </c>
      <c r="C35" s="61" t="s">
        <v>250</v>
      </c>
      <c r="D35" s="61" t="s">
        <v>61</v>
      </c>
      <c r="E35" s="61" t="s">
        <v>62</v>
      </c>
      <c r="F35" s="61" t="s">
        <v>142</v>
      </c>
      <c r="G35" s="4" t="s">
        <v>64</v>
      </c>
      <c r="H35" s="61" t="s">
        <v>65</v>
      </c>
      <c r="I35" s="5">
        <v>44561</v>
      </c>
      <c r="J35" s="61">
        <v>1546518975</v>
      </c>
      <c r="K35" s="61">
        <v>919503000</v>
      </c>
      <c r="L35" s="61">
        <v>2221083975</v>
      </c>
      <c r="M35" s="61">
        <v>2242282975</v>
      </c>
      <c r="N35" s="61">
        <v>2273595000</v>
      </c>
      <c r="O35" s="68" t="s">
        <v>143</v>
      </c>
      <c r="P35" s="68" t="s">
        <v>144</v>
      </c>
      <c r="Q35" s="2"/>
      <c r="R35" s="2"/>
      <c r="S35" s="2"/>
      <c r="T35" s="2"/>
      <c r="U35" s="2"/>
      <c r="AE35" s="69">
        <v>2.3422202680000002</v>
      </c>
      <c r="AF35" s="69">
        <v>2.4421219500000002</v>
      </c>
      <c r="AG35" s="69">
        <v>3.072125142</v>
      </c>
      <c r="AH35" s="69">
        <v>2.6049207829999999</v>
      </c>
      <c r="AI35" s="69">
        <v>2.6139695380000001</v>
      </c>
      <c r="AS35" s="61">
        <v>4.0181492639999998</v>
      </c>
      <c r="AT35" s="61">
        <v>4.1417485999999997</v>
      </c>
      <c r="AU35" s="61">
        <v>4.408878455</v>
      </c>
      <c r="AV35" s="61">
        <v>4.3106537180000002</v>
      </c>
      <c r="AW35" s="61">
        <v>4.3476992440000002</v>
      </c>
    </row>
    <row r="36" spans="1:49">
      <c r="A36" s="61" t="s">
        <v>251</v>
      </c>
      <c r="B36" s="4" t="s">
        <v>252</v>
      </c>
      <c r="C36" s="61" t="s">
        <v>253</v>
      </c>
      <c r="D36" s="61" t="s">
        <v>61</v>
      </c>
      <c r="E36" s="61" t="s">
        <v>62</v>
      </c>
      <c r="F36" s="61" t="s">
        <v>142</v>
      </c>
      <c r="G36" s="4" t="s">
        <v>64</v>
      </c>
      <c r="H36" s="61" t="s">
        <v>65</v>
      </c>
      <c r="I36" s="5">
        <v>44561</v>
      </c>
      <c r="J36" s="61">
        <v>12130000000</v>
      </c>
      <c r="K36" s="61">
        <v>17129000000</v>
      </c>
      <c r="L36" s="61">
        <v>12290000000</v>
      </c>
      <c r="M36" s="61">
        <v>13860000000</v>
      </c>
      <c r="N36" s="61">
        <v>85196000000</v>
      </c>
      <c r="O36" s="68" t="s">
        <v>143</v>
      </c>
      <c r="P36" s="68" t="s">
        <v>144</v>
      </c>
      <c r="Q36" s="2"/>
      <c r="R36" s="2"/>
      <c r="S36" s="2"/>
      <c r="T36" s="2"/>
      <c r="U36" s="2"/>
      <c r="AE36" s="69">
        <v>2.2165439930000002</v>
      </c>
      <c r="AF36" s="69">
        <v>2.2511915660000001</v>
      </c>
      <c r="AG36" s="69">
        <v>2.4511497719999999</v>
      </c>
      <c r="AH36" s="69">
        <v>2.4417731950000001</v>
      </c>
      <c r="AI36" s="69">
        <v>2.3478588409999999</v>
      </c>
      <c r="AS36" s="61">
        <v>54.725702269999999</v>
      </c>
      <c r="AT36" s="61">
        <v>59.565347350000003</v>
      </c>
      <c r="AU36" s="61">
        <v>58.737818599999997</v>
      </c>
      <c r="AV36" s="61">
        <v>61.272956659999998</v>
      </c>
      <c r="AW36" s="61">
        <v>56.627847485470653</v>
      </c>
    </row>
    <row r="37" spans="1:49">
      <c r="A37" s="61" t="s">
        <v>254</v>
      </c>
      <c r="B37" s="4" t="s">
        <v>255</v>
      </c>
      <c r="C37" s="61" t="s">
        <v>256</v>
      </c>
      <c r="D37" s="61" t="s">
        <v>61</v>
      </c>
      <c r="E37" s="61" t="s">
        <v>62</v>
      </c>
      <c r="F37" s="61" t="s">
        <v>142</v>
      </c>
      <c r="G37" s="4" t="s">
        <v>64</v>
      </c>
      <c r="H37" s="61" t="s">
        <v>65</v>
      </c>
      <c r="I37" s="5">
        <v>44561</v>
      </c>
      <c r="J37" s="61">
        <v>3061885307</v>
      </c>
      <c r="K37" s="61">
        <v>1457603000</v>
      </c>
      <c r="L37" s="61">
        <v>5575501307</v>
      </c>
      <c r="M37" s="61">
        <v>5579334307</v>
      </c>
      <c r="N37" s="61">
        <v>7298774000</v>
      </c>
      <c r="O37" s="68" t="s">
        <v>143</v>
      </c>
      <c r="P37" s="68" t="s">
        <v>144</v>
      </c>
      <c r="Q37" s="2"/>
      <c r="R37" s="2"/>
      <c r="S37" s="2"/>
      <c r="T37" s="2"/>
      <c r="U37" s="2"/>
      <c r="AE37" s="69">
        <v>6.3372507860000002</v>
      </c>
      <c r="AF37" s="69">
        <v>6.1180013459999998</v>
      </c>
      <c r="AG37" s="69">
        <v>5.2178957580000001</v>
      </c>
      <c r="AH37" s="69">
        <v>5.3678279890000002</v>
      </c>
      <c r="AI37" s="69">
        <v>5.0787910969999999</v>
      </c>
      <c r="AS37" s="61">
        <v>11.83516337</v>
      </c>
      <c r="AT37" s="61">
        <v>11.48871044</v>
      </c>
      <c r="AU37" s="61">
        <v>11.056603620000001</v>
      </c>
      <c r="AV37" s="61">
        <v>11.740323849999999</v>
      </c>
      <c r="AW37" s="61">
        <v>11.772702450000001</v>
      </c>
    </row>
    <row r="38" spans="1:49">
      <c r="A38" s="61" t="s">
        <v>257</v>
      </c>
      <c r="B38" s="4" t="s">
        <v>258</v>
      </c>
      <c r="C38" s="61" t="s">
        <v>259</v>
      </c>
      <c r="D38" s="61" t="s">
        <v>260</v>
      </c>
      <c r="E38" s="61" t="s">
        <v>227</v>
      </c>
      <c r="F38" s="61" t="s">
        <v>182</v>
      </c>
      <c r="G38" s="4" t="s">
        <v>64</v>
      </c>
      <c r="H38" s="61" t="s">
        <v>65</v>
      </c>
      <c r="I38" s="5">
        <v>44561</v>
      </c>
      <c r="K38" s="61">
        <v>55955872344.100883</v>
      </c>
      <c r="N38" s="61">
        <v>68553124892.036621</v>
      </c>
      <c r="O38" s="61" t="s">
        <v>143</v>
      </c>
      <c r="P38" s="61" t="s">
        <v>183</v>
      </c>
      <c r="Q38" s="2"/>
      <c r="R38" s="2"/>
      <c r="S38" s="2"/>
      <c r="T38" s="2"/>
      <c r="U38" s="2"/>
      <c r="AE38" s="69"/>
      <c r="AF38" s="69">
        <v>78.8</v>
      </c>
      <c r="AG38" s="69">
        <v>78.8</v>
      </c>
      <c r="AH38" s="69">
        <v>78.8</v>
      </c>
      <c r="AI38" s="69">
        <v>68.873999999999995</v>
      </c>
      <c r="AS38" s="61"/>
      <c r="AT38" s="61">
        <v>35.991</v>
      </c>
      <c r="AU38" s="61">
        <v>35.991</v>
      </c>
      <c r="AV38" s="61">
        <v>35.898000000000003</v>
      </c>
      <c r="AW38" s="61">
        <v>34.436999999999998</v>
      </c>
    </row>
    <row r="39" spans="1:49">
      <c r="A39" s="61" t="s">
        <v>261</v>
      </c>
      <c r="B39" s="4" t="s">
        <v>262</v>
      </c>
      <c r="C39" s="61" t="s">
        <v>263</v>
      </c>
      <c r="D39" s="61" t="s">
        <v>61</v>
      </c>
      <c r="E39" s="61" t="s">
        <v>62</v>
      </c>
      <c r="F39" s="61" t="s">
        <v>142</v>
      </c>
      <c r="G39" s="4" t="s">
        <v>64</v>
      </c>
      <c r="H39" s="61" t="s">
        <v>65</v>
      </c>
      <c r="I39" s="5">
        <v>44561</v>
      </c>
      <c r="J39" s="61">
        <v>19865342074</v>
      </c>
      <c r="K39" s="61">
        <v>7769000000</v>
      </c>
      <c r="L39" s="61">
        <v>40943342074</v>
      </c>
      <c r="M39" s="61">
        <v>41758342074</v>
      </c>
      <c r="N39" s="61">
        <v>45680000000</v>
      </c>
      <c r="O39" s="68" t="s">
        <v>143</v>
      </c>
      <c r="P39" s="68" t="s">
        <v>144</v>
      </c>
      <c r="Q39" s="2"/>
      <c r="R39" s="2"/>
      <c r="S39" s="2"/>
      <c r="T39" s="2"/>
      <c r="U39" s="2"/>
      <c r="AE39" s="69">
        <v>30.088487220000001</v>
      </c>
      <c r="AF39" s="69">
        <v>30.24837145</v>
      </c>
      <c r="AG39" s="69">
        <v>31.611469039999999</v>
      </c>
      <c r="AH39" s="69">
        <v>28.778915319999999</v>
      </c>
      <c r="AI39" s="69">
        <v>28.07780713</v>
      </c>
      <c r="AS39" s="61">
        <v>38.355258640000002</v>
      </c>
      <c r="AT39" s="61">
        <v>37.442832350000003</v>
      </c>
      <c r="AU39" s="61">
        <v>39.590075179999999</v>
      </c>
      <c r="AV39" s="61">
        <v>35.152931719999998</v>
      </c>
      <c r="AW39" s="61">
        <v>32.487984334642732</v>
      </c>
    </row>
    <row r="40" spans="1:49">
      <c r="A40" s="61" t="s">
        <v>264</v>
      </c>
      <c r="B40" s="4" t="s">
        <v>265</v>
      </c>
      <c r="C40" s="61" t="s">
        <v>266</v>
      </c>
      <c r="D40" s="61" t="s">
        <v>61</v>
      </c>
      <c r="E40" s="61" t="s">
        <v>62</v>
      </c>
      <c r="F40" s="61" t="s">
        <v>142</v>
      </c>
      <c r="G40" s="4" t="s">
        <v>64</v>
      </c>
      <c r="H40" s="61" t="s">
        <v>65</v>
      </c>
      <c r="I40" s="5">
        <v>44561</v>
      </c>
      <c r="J40" s="61">
        <v>8231813171</v>
      </c>
      <c r="K40" s="61">
        <v>3471209000</v>
      </c>
      <c r="L40" s="61">
        <v>14415922171</v>
      </c>
      <c r="M40" s="61">
        <v>14426205171</v>
      </c>
      <c r="N40" s="61">
        <v>18479247000</v>
      </c>
      <c r="O40" s="68" t="s">
        <v>143</v>
      </c>
      <c r="P40" s="68" t="s">
        <v>144</v>
      </c>
      <c r="Q40" s="2"/>
      <c r="R40" s="2"/>
      <c r="S40" s="2"/>
      <c r="T40" s="2"/>
      <c r="U40" s="2"/>
      <c r="AE40" s="69">
        <v>10.12642009</v>
      </c>
      <c r="AF40" s="69">
        <v>11.12039266</v>
      </c>
      <c r="AG40" s="69">
        <v>11.187042509999999</v>
      </c>
      <c r="AH40" s="69">
        <v>10.54957153</v>
      </c>
      <c r="AI40" s="69">
        <v>10.20926277</v>
      </c>
      <c r="AS40" s="61">
        <v>30.337969149999999</v>
      </c>
      <c r="AT40" s="61">
        <v>31.51282149</v>
      </c>
      <c r="AU40" s="61">
        <v>31.46022512</v>
      </c>
      <c r="AV40" s="61">
        <v>32.008271950000001</v>
      </c>
      <c r="AW40" s="61">
        <v>32.937665989999999</v>
      </c>
    </row>
    <row r="41" spans="1:49">
      <c r="A41" s="61" t="s">
        <v>267</v>
      </c>
      <c r="B41" s="4" t="s">
        <v>268</v>
      </c>
      <c r="C41" s="61" t="s">
        <v>269</v>
      </c>
      <c r="D41" s="61" t="s">
        <v>61</v>
      </c>
      <c r="E41" s="61" t="s">
        <v>62</v>
      </c>
      <c r="F41" s="61" t="s">
        <v>142</v>
      </c>
      <c r="G41" s="4" t="s">
        <v>64</v>
      </c>
      <c r="H41" s="61" t="s">
        <v>65</v>
      </c>
      <c r="I41" s="5">
        <v>44561</v>
      </c>
      <c r="J41" s="61">
        <v>3725882304</v>
      </c>
      <c r="K41" s="61">
        <v>2123000000</v>
      </c>
      <c r="N41" s="61">
        <v>8394000000</v>
      </c>
      <c r="O41" s="68" t="s">
        <v>143</v>
      </c>
      <c r="P41" s="68" t="s">
        <v>144</v>
      </c>
      <c r="Q41" s="2"/>
      <c r="R41" s="2"/>
      <c r="S41" s="2"/>
      <c r="T41" s="2"/>
      <c r="U41" s="2"/>
      <c r="AE41" s="69">
        <v>5.9896601059999997</v>
      </c>
      <c r="AF41" s="69">
        <v>5.9839268729999997</v>
      </c>
      <c r="AG41" s="69">
        <v>6.0355401320000004</v>
      </c>
      <c r="AH41" s="69">
        <v>7.6219275870000001</v>
      </c>
      <c r="AI41" s="69">
        <v>7.0609671650000001</v>
      </c>
      <c r="AS41" s="61">
        <v>14.03887716</v>
      </c>
      <c r="AT41" s="61">
        <v>14.15813406</v>
      </c>
      <c r="AU41" s="61">
        <v>14.925387110000001</v>
      </c>
      <c r="AV41" s="61">
        <v>16.800690790000001</v>
      </c>
      <c r="AW41" s="61">
        <v>16.963449130000001</v>
      </c>
    </row>
    <row r="42" spans="1:49">
      <c r="A42" s="61" t="s">
        <v>270</v>
      </c>
      <c r="B42" s="4" t="s">
        <v>271</v>
      </c>
      <c r="C42" s="61" t="s">
        <v>272</v>
      </c>
      <c r="D42" s="61" t="s">
        <v>61</v>
      </c>
      <c r="E42" s="61" t="s">
        <v>62</v>
      </c>
      <c r="F42" s="61" t="s">
        <v>142</v>
      </c>
      <c r="G42" s="4" t="s">
        <v>64</v>
      </c>
      <c r="H42" s="61" t="s">
        <v>65</v>
      </c>
      <c r="I42" s="5">
        <v>44561</v>
      </c>
      <c r="J42" s="61">
        <v>24648067675</v>
      </c>
      <c r="K42" s="61">
        <v>10076000000</v>
      </c>
      <c r="L42" s="61">
        <v>41224067675</v>
      </c>
      <c r="M42" s="61">
        <v>41371067675</v>
      </c>
      <c r="N42" s="61">
        <v>47730000000</v>
      </c>
      <c r="O42" s="68" t="s">
        <v>143</v>
      </c>
      <c r="P42" s="68" t="s">
        <v>144</v>
      </c>
      <c r="Q42" s="2"/>
      <c r="R42" s="2"/>
      <c r="S42" s="2"/>
      <c r="T42" s="2"/>
      <c r="U42" s="2"/>
      <c r="AE42" s="69">
        <v>11.512385626</v>
      </c>
      <c r="AF42" s="69">
        <v>10.497904363</v>
      </c>
      <c r="AG42" s="69">
        <v>11.887135768</v>
      </c>
      <c r="AH42" s="69">
        <v>11.572505309</v>
      </c>
      <c r="AI42" s="69">
        <v>0</v>
      </c>
      <c r="AS42" s="61">
        <v>53.073391780000001</v>
      </c>
      <c r="AT42" s="61">
        <v>52.677105660000002</v>
      </c>
      <c r="AU42" s="61">
        <v>55.323284050000012</v>
      </c>
      <c r="AV42" s="61">
        <v>54.987423449999987</v>
      </c>
      <c r="AW42" s="61">
        <v>50.81882119748181</v>
      </c>
    </row>
    <row r="43" spans="1:49">
      <c r="A43" s="61" t="s">
        <v>273</v>
      </c>
      <c r="B43" s="4" t="s">
        <v>274</v>
      </c>
      <c r="C43" s="61" t="s">
        <v>275</v>
      </c>
      <c r="D43" s="61" t="s">
        <v>61</v>
      </c>
      <c r="E43" s="61" t="s">
        <v>62</v>
      </c>
      <c r="F43" s="61" t="s">
        <v>182</v>
      </c>
      <c r="G43" s="4" t="s">
        <v>64</v>
      </c>
      <c r="H43" s="61" t="s">
        <v>65</v>
      </c>
      <c r="I43" s="5">
        <v>44561</v>
      </c>
      <c r="J43" s="61">
        <v>4100000000</v>
      </c>
      <c r="K43" s="61">
        <v>10464991000</v>
      </c>
      <c r="L43" s="61">
        <v>5452884000</v>
      </c>
      <c r="M43" s="61">
        <v>6834344000</v>
      </c>
      <c r="N43" s="61">
        <v>8275765000</v>
      </c>
      <c r="O43" s="61" t="s">
        <v>143</v>
      </c>
      <c r="P43" s="61" t="s">
        <v>183</v>
      </c>
      <c r="Q43" s="2"/>
      <c r="R43" s="2"/>
      <c r="S43" s="2"/>
      <c r="T43" s="2"/>
      <c r="U43" s="2"/>
      <c r="AE43" s="69">
        <v>4.9161869999999999</v>
      </c>
      <c r="AF43" s="69">
        <v>4.9161869999999999</v>
      </c>
      <c r="AG43" s="69">
        <v>5.162928</v>
      </c>
      <c r="AH43" s="69">
        <v>4.8897659999999998</v>
      </c>
      <c r="AI43" s="69">
        <v>4.8618244799999983</v>
      </c>
      <c r="AS43" s="61">
        <v>9.4542057692307679</v>
      </c>
      <c r="AT43" s="61">
        <v>9.4542057692307679</v>
      </c>
      <c r="AU43" s="61">
        <v>9.7413735849056593</v>
      </c>
      <c r="AV43" s="61">
        <v>9.9791142857142852</v>
      </c>
      <c r="AW43" s="61">
        <v>10.128800999999999</v>
      </c>
    </row>
    <row r="44" spans="1:49">
      <c r="A44" s="61" t="s">
        <v>276</v>
      </c>
      <c r="B44" s="4" t="s">
        <v>277</v>
      </c>
      <c r="C44" s="61" t="s">
        <v>278</v>
      </c>
      <c r="D44" s="61" t="s">
        <v>61</v>
      </c>
      <c r="E44" s="61" t="s">
        <v>62</v>
      </c>
      <c r="F44" s="61" t="s">
        <v>142</v>
      </c>
      <c r="G44" s="4" t="s">
        <v>64</v>
      </c>
      <c r="H44" s="61" t="s">
        <v>65</v>
      </c>
      <c r="I44" s="5">
        <v>44561</v>
      </c>
      <c r="J44" s="61">
        <v>34300000000</v>
      </c>
      <c r="K44" s="61">
        <v>10829000000</v>
      </c>
      <c r="L44" s="61">
        <v>54977000000</v>
      </c>
      <c r="M44" s="61">
        <v>55085000000</v>
      </c>
      <c r="N44" s="61">
        <v>65665000000</v>
      </c>
      <c r="O44" s="68" t="s">
        <v>143</v>
      </c>
      <c r="P44" s="68" t="s">
        <v>144</v>
      </c>
      <c r="Q44" s="2"/>
      <c r="R44" s="2"/>
      <c r="S44" s="2"/>
      <c r="T44" s="2"/>
      <c r="U44" s="2"/>
      <c r="AE44" s="69">
        <v>0.93325630999999998</v>
      </c>
      <c r="AF44" s="69">
        <v>1.0145733539999999</v>
      </c>
      <c r="AG44" s="69">
        <v>0.78712423499999995</v>
      </c>
      <c r="AH44" s="69">
        <v>0.49535753599999999</v>
      </c>
      <c r="AI44" s="69">
        <v>0.476305323</v>
      </c>
      <c r="AS44" s="61">
        <v>7.0559976339999997</v>
      </c>
      <c r="AT44" s="61">
        <v>7.7571735559999997</v>
      </c>
      <c r="AU44" s="61">
        <v>7.5840753850000002</v>
      </c>
      <c r="AV44" s="61">
        <v>7.0361163089999996</v>
      </c>
      <c r="AW44" s="61">
        <v>6.5027076047105936</v>
      </c>
    </row>
    <row r="45" spans="1:49">
      <c r="A45" s="61" t="s">
        <v>279</v>
      </c>
      <c r="B45" s="4" t="s">
        <v>280</v>
      </c>
      <c r="C45" s="61" t="s">
        <v>281</v>
      </c>
      <c r="D45" s="61" t="s">
        <v>61</v>
      </c>
      <c r="E45" s="61" t="s">
        <v>62</v>
      </c>
      <c r="F45" s="61" t="s">
        <v>142</v>
      </c>
      <c r="G45" s="4" t="s">
        <v>64</v>
      </c>
      <c r="H45" s="61" t="s">
        <v>65</v>
      </c>
      <c r="I45" s="5">
        <v>44561</v>
      </c>
      <c r="J45" s="61">
        <v>54800000000</v>
      </c>
      <c r="K45" s="61">
        <v>22596000000</v>
      </c>
      <c r="L45" s="61">
        <v>94623000000</v>
      </c>
      <c r="M45" s="61">
        <v>96598000000</v>
      </c>
      <c r="N45" s="61">
        <v>118700000000</v>
      </c>
      <c r="O45" s="68" t="s">
        <v>143</v>
      </c>
      <c r="P45" s="68" t="s">
        <v>144</v>
      </c>
      <c r="Q45" s="2"/>
      <c r="R45" s="2"/>
      <c r="S45" s="2"/>
      <c r="T45" s="2"/>
      <c r="U45" s="2"/>
      <c r="AE45" s="69">
        <v>76.819825894000004</v>
      </c>
      <c r="AF45" s="69">
        <v>68.689750579000005</v>
      </c>
      <c r="AG45" s="69">
        <v>70.065115272</v>
      </c>
      <c r="AH45" s="69">
        <v>63.436548403000003</v>
      </c>
      <c r="AI45" s="69">
        <v>63.538943889999999</v>
      </c>
      <c r="AS45" s="61">
        <v>147.55628282000001</v>
      </c>
      <c r="AT45" s="61">
        <v>144.79387678000001</v>
      </c>
      <c r="AU45" s="61">
        <v>149.25604005</v>
      </c>
      <c r="AV45" s="61">
        <v>145.52973376</v>
      </c>
      <c r="AW45" s="61">
        <v>134.49710960891679</v>
      </c>
    </row>
    <row r="46" spans="1:49">
      <c r="A46" s="61" t="s">
        <v>282</v>
      </c>
      <c r="B46" s="4" t="s">
        <v>283</v>
      </c>
      <c r="C46" s="61" t="s">
        <v>284</v>
      </c>
      <c r="D46" s="61" t="s">
        <v>154</v>
      </c>
      <c r="E46" s="61" t="s">
        <v>62</v>
      </c>
      <c r="F46" s="61" t="s">
        <v>142</v>
      </c>
      <c r="G46" s="4" t="s">
        <v>64</v>
      </c>
      <c r="H46" s="61" t="s">
        <v>65</v>
      </c>
      <c r="I46" s="5">
        <v>44561</v>
      </c>
      <c r="K46" s="61">
        <v>10166444011.05982</v>
      </c>
      <c r="N46" s="61">
        <v>76145937002.942871</v>
      </c>
      <c r="O46" s="68" t="s">
        <v>143</v>
      </c>
      <c r="P46" s="68" t="s">
        <v>144</v>
      </c>
      <c r="Q46" s="2"/>
      <c r="R46" s="2"/>
      <c r="S46" s="2"/>
      <c r="T46" s="2"/>
      <c r="U46" s="2"/>
      <c r="AE46" s="69">
        <v>0.37608664600000002</v>
      </c>
      <c r="AF46" s="69">
        <v>0.47113547300000003</v>
      </c>
      <c r="AG46" s="69">
        <v>0.71664363799999997</v>
      </c>
      <c r="AH46" s="69">
        <v>0.58371024299999996</v>
      </c>
      <c r="AI46" s="69">
        <v>0</v>
      </c>
      <c r="AS46" s="61">
        <v>0.77214899999999997</v>
      </c>
      <c r="AT46" s="61">
        <v>1.0567139999999999</v>
      </c>
      <c r="AU46" s="61">
        <v>1.51502</v>
      </c>
      <c r="AV46" s="61">
        <v>1.2483029999999999</v>
      </c>
      <c r="AW46" s="61">
        <v>1.153669020607295</v>
      </c>
    </row>
    <row r="47" spans="1:49">
      <c r="A47" s="61" t="s">
        <v>285</v>
      </c>
      <c r="B47" s="4" t="s">
        <v>286</v>
      </c>
      <c r="C47" s="61" t="s">
        <v>287</v>
      </c>
      <c r="D47" s="61" t="s">
        <v>288</v>
      </c>
      <c r="E47" s="61" t="s">
        <v>241</v>
      </c>
      <c r="F47" s="61" t="s">
        <v>182</v>
      </c>
      <c r="G47" s="4" t="s">
        <v>64</v>
      </c>
      <c r="H47" s="61" t="s">
        <v>65</v>
      </c>
      <c r="I47" s="5">
        <v>44561</v>
      </c>
      <c r="K47" s="61">
        <v>7294055000</v>
      </c>
      <c r="N47" s="61">
        <v>14842991000</v>
      </c>
      <c r="O47" s="61" t="s">
        <v>143</v>
      </c>
      <c r="P47" s="61" t="s">
        <v>183</v>
      </c>
      <c r="Q47" s="2"/>
      <c r="R47" s="2"/>
      <c r="S47" s="2"/>
      <c r="T47" s="2"/>
      <c r="U47" s="2"/>
      <c r="AE47" s="69">
        <v>2.9</v>
      </c>
      <c r="AF47" s="69">
        <v>2.9</v>
      </c>
      <c r="AG47" s="69">
        <v>2.9</v>
      </c>
      <c r="AH47" s="69">
        <v>2.7</v>
      </c>
      <c r="AI47" s="69">
        <v>1.5</v>
      </c>
      <c r="AS47" s="61">
        <v>3.933333333333334</v>
      </c>
      <c r="AT47" s="61">
        <v>3.933333333333334</v>
      </c>
      <c r="AU47" s="61">
        <v>3.933333333333334</v>
      </c>
      <c r="AV47" s="61">
        <v>3.5</v>
      </c>
      <c r="AW47" s="61">
        <v>2.1538461538461542</v>
      </c>
    </row>
    <row r="48" spans="1:49">
      <c r="A48" s="61" t="s">
        <v>289</v>
      </c>
      <c r="B48" s="4" t="s">
        <v>290</v>
      </c>
      <c r="C48" s="61" t="s">
        <v>291</v>
      </c>
      <c r="D48" s="61" t="s">
        <v>61</v>
      </c>
      <c r="E48" s="61" t="s">
        <v>62</v>
      </c>
      <c r="F48" s="61" t="s">
        <v>182</v>
      </c>
      <c r="G48" s="4" t="s">
        <v>64</v>
      </c>
      <c r="H48" s="61" t="s">
        <v>65</v>
      </c>
      <c r="I48" s="5">
        <v>44561</v>
      </c>
      <c r="J48" s="61">
        <v>160935221</v>
      </c>
      <c r="K48" s="61">
        <v>1208800000</v>
      </c>
      <c r="L48" s="61">
        <v>302435221</v>
      </c>
      <c r="M48" s="61">
        <v>329535221</v>
      </c>
      <c r="N48" s="61">
        <v>1085200000</v>
      </c>
      <c r="O48" s="61" t="s">
        <v>143</v>
      </c>
      <c r="P48" s="61" t="s">
        <v>183</v>
      </c>
      <c r="Q48" s="2"/>
      <c r="R48" s="2"/>
      <c r="S48" s="2"/>
      <c r="T48" s="2"/>
      <c r="U48" s="2"/>
      <c r="AE48" s="69">
        <v>0.42172199999999999</v>
      </c>
      <c r="AF48" s="69">
        <v>0.42172199999999999</v>
      </c>
      <c r="AG48" s="69">
        <v>0.42172199999999999</v>
      </c>
      <c r="AH48" s="69">
        <v>0.29852600000000001</v>
      </c>
      <c r="AI48" s="69">
        <v>0.197605</v>
      </c>
      <c r="AS48" s="61">
        <v>1.415411</v>
      </c>
      <c r="AT48" s="61">
        <v>1.415411</v>
      </c>
      <c r="AU48" s="61">
        <v>1.415411</v>
      </c>
      <c r="AV48" s="61">
        <v>0.96435300000000002</v>
      </c>
      <c r="AW48" s="61">
        <v>0.65796399999999999</v>
      </c>
    </row>
    <row r="49" spans="1:49">
      <c r="A49" s="61" t="s">
        <v>292</v>
      </c>
      <c r="B49" s="4" t="s">
        <v>293</v>
      </c>
      <c r="C49" s="61" t="s">
        <v>294</v>
      </c>
      <c r="D49" s="61" t="s">
        <v>61</v>
      </c>
      <c r="E49" s="61" t="s">
        <v>62</v>
      </c>
      <c r="F49" s="61" t="s">
        <v>182</v>
      </c>
      <c r="G49" s="4" t="s">
        <v>64</v>
      </c>
      <c r="H49" s="61" t="s">
        <v>65</v>
      </c>
      <c r="I49" s="5">
        <v>44561</v>
      </c>
      <c r="J49" s="61">
        <v>1600000000</v>
      </c>
      <c r="K49" s="61">
        <v>12937000000</v>
      </c>
      <c r="L49" s="61">
        <v>4630000000</v>
      </c>
      <c r="M49" s="61">
        <v>5379000000</v>
      </c>
      <c r="N49" s="61">
        <v>11608000000</v>
      </c>
      <c r="O49" s="61" t="s">
        <v>143</v>
      </c>
      <c r="P49" s="61" t="s">
        <v>183</v>
      </c>
      <c r="Q49" s="2"/>
      <c r="R49" s="2"/>
      <c r="S49" s="2"/>
      <c r="T49" s="2"/>
      <c r="U49" s="2"/>
      <c r="AE49" s="69">
        <v>32.421599999999998</v>
      </c>
      <c r="AF49" s="69">
        <v>33.067599999999999</v>
      </c>
      <c r="AG49" s="69">
        <v>35.458500000000001</v>
      </c>
      <c r="AH49" s="69">
        <v>33.058199999999999</v>
      </c>
      <c r="AI49" s="69">
        <v>27.003599999999999</v>
      </c>
      <c r="AS49" s="61">
        <v>14.22</v>
      </c>
      <c r="AT49" s="61">
        <v>14.44</v>
      </c>
      <c r="AU49" s="61">
        <v>15.35</v>
      </c>
      <c r="AV49" s="61">
        <v>13.89</v>
      </c>
      <c r="AW49" s="61">
        <v>11.54</v>
      </c>
    </row>
    <row r="50" spans="1:49">
      <c r="A50" s="61" t="s">
        <v>295</v>
      </c>
      <c r="B50" s="4" t="s">
        <v>296</v>
      </c>
      <c r="C50" s="61" t="s">
        <v>297</v>
      </c>
      <c r="D50" s="61" t="s">
        <v>61</v>
      </c>
      <c r="E50" s="61" t="s">
        <v>62</v>
      </c>
      <c r="F50" s="61" t="s">
        <v>142</v>
      </c>
      <c r="G50" s="4" t="s">
        <v>64</v>
      </c>
      <c r="H50" s="61" t="s">
        <v>65</v>
      </c>
      <c r="I50" s="5">
        <v>44561</v>
      </c>
      <c r="J50" s="61">
        <v>400452075</v>
      </c>
      <c r="K50" s="61">
        <v>2444000000</v>
      </c>
      <c r="L50" s="61">
        <v>364452075</v>
      </c>
      <c r="M50" s="61">
        <v>406452075</v>
      </c>
      <c r="N50" s="61">
        <v>1695000000</v>
      </c>
      <c r="O50" s="68" t="s">
        <v>143</v>
      </c>
      <c r="P50" s="68" t="s">
        <v>144</v>
      </c>
      <c r="Q50" s="2"/>
      <c r="R50" s="2"/>
      <c r="S50" s="2"/>
      <c r="T50" s="2"/>
      <c r="U50" s="2"/>
      <c r="AE50" s="69">
        <v>0</v>
      </c>
      <c r="AF50" s="69">
        <v>0</v>
      </c>
      <c r="AG50" s="69">
        <v>0</v>
      </c>
      <c r="AH50" s="69">
        <v>0</v>
      </c>
      <c r="AI50" s="69">
        <v>0</v>
      </c>
      <c r="AS50" s="61">
        <v>1.2128760000000001</v>
      </c>
      <c r="AT50" s="61">
        <v>1.1994290000000001</v>
      </c>
      <c r="AU50" s="61">
        <v>1.18699</v>
      </c>
      <c r="AV50" s="61">
        <v>1.2035720000000001</v>
      </c>
      <c r="AW50" s="61">
        <v>1.1123290823384739</v>
      </c>
    </row>
    <row r="51" spans="1:49">
      <c r="A51" s="61" t="s">
        <v>298</v>
      </c>
      <c r="B51" s="4" t="s">
        <v>299</v>
      </c>
      <c r="C51" s="61" t="s">
        <v>300</v>
      </c>
      <c r="D51" s="61" t="s">
        <v>61</v>
      </c>
      <c r="E51" s="61" t="s">
        <v>62</v>
      </c>
      <c r="F51" s="61" t="s">
        <v>142</v>
      </c>
      <c r="G51" s="4" t="s">
        <v>64</v>
      </c>
      <c r="H51" s="61" t="s">
        <v>65</v>
      </c>
      <c r="I51" s="5">
        <v>44561</v>
      </c>
      <c r="J51" s="61">
        <v>9084469142</v>
      </c>
      <c r="K51" s="61">
        <v>11809000000</v>
      </c>
      <c r="L51" s="61">
        <v>18886469142</v>
      </c>
      <c r="M51" s="61">
        <v>19186469142</v>
      </c>
      <c r="N51" s="61">
        <v>26616000000</v>
      </c>
      <c r="O51" s="68" t="s">
        <v>143</v>
      </c>
      <c r="P51" s="68" t="s">
        <v>144</v>
      </c>
      <c r="Q51" s="2"/>
      <c r="R51" s="2"/>
      <c r="S51" s="2"/>
      <c r="T51" s="2"/>
      <c r="U51" s="2"/>
      <c r="AE51" s="69">
        <v>10.7124931</v>
      </c>
      <c r="AF51" s="69">
        <v>12.32093074</v>
      </c>
      <c r="AG51" s="69">
        <v>12.77791981</v>
      </c>
      <c r="AH51" s="69">
        <v>6.8411353909999999</v>
      </c>
      <c r="AI51" s="69">
        <v>0</v>
      </c>
      <c r="AS51" s="61">
        <v>10.467761579999999</v>
      </c>
      <c r="AT51" s="61">
        <v>11.98372127</v>
      </c>
      <c r="AU51" s="61">
        <v>12.39241646</v>
      </c>
      <c r="AV51" s="61">
        <v>6.7384240269999998</v>
      </c>
      <c r="AW51" s="61">
        <v>6.2275834053637276</v>
      </c>
    </row>
    <row r="52" spans="1:49">
      <c r="A52" s="61" t="s">
        <v>301</v>
      </c>
      <c r="B52" s="4" t="s">
        <v>302</v>
      </c>
      <c r="C52" s="61" t="s">
        <v>303</v>
      </c>
      <c r="D52" s="61" t="s">
        <v>61</v>
      </c>
      <c r="E52" s="61" t="s">
        <v>62</v>
      </c>
      <c r="F52" s="61" t="s">
        <v>142</v>
      </c>
      <c r="G52" s="4" t="s">
        <v>64</v>
      </c>
      <c r="H52" s="61" t="s">
        <v>65</v>
      </c>
      <c r="I52" s="5">
        <v>44561</v>
      </c>
      <c r="J52" s="61">
        <v>27600000000</v>
      </c>
      <c r="K52" s="61">
        <v>7523100000</v>
      </c>
      <c r="L52" s="61">
        <v>39420800000</v>
      </c>
      <c r="M52" s="61">
        <v>39458300000</v>
      </c>
      <c r="N52" s="61">
        <v>34951800000</v>
      </c>
      <c r="O52" s="68" t="s">
        <v>143</v>
      </c>
      <c r="P52" s="68" t="s">
        <v>144</v>
      </c>
      <c r="Q52" s="2"/>
      <c r="R52" s="2"/>
      <c r="S52" s="2"/>
      <c r="T52" s="2"/>
      <c r="U52" s="2"/>
      <c r="AE52" s="69">
        <v>19.007717327999998</v>
      </c>
      <c r="AF52" s="69">
        <v>19.627231815999998</v>
      </c>
      <c r="AG52" s="69">
        <v>13.51744214</v>
      </c>
      <c r="AH52" s="69">
        <v>9.8745765849999998</v>
      </c>
      <c r="AI52" s="69">
        <v>9.9492947160000007</v>
      </c>
      <c r="AS52" s="61">
        <v>25.357981110000001</v>
      </c>
      <c r="AT52" s="61">
        <v>25.86463543</v>
      </c>
      <c r="AU52" s="61">
        <v>20.455600969999999</v>
      </c>
      <c r="AV52" s="61">
        <v>17.87423399</v>
      </c>
      <c r="AW52" s="61">
        <v>16.51918646462352</v>
      </c>
    </row>
    <row r="53" spans="1:49">
      <c r="A53" s="61" t="s">
        <v>304</v>
      </c>
      <c r="B53" s="4" t="s">
        <v>305</v>
      </c>
      <c r="C53" s="61" t="s">
        <v>306</v>
      </c>
      <c r="D53" s="61" t="s">
        <v>61</v>
      </c>
      <c r="E53" s="61" t="s">
        <v>62</v>
      </c>
      <c r="F53" s="61" t="s">
        <v>182</v>
      </c>
      <c r="G53" s="4" t="s">
        <v>64</v>
      </c>
      <c r="H53" s="61" t="s">
        <v>65</v>
      </c>
      <c r="I53" s="5">
        <v>44561</v>
      </c>
      <c r="J53" s="61">
        <v>1633376617</v>
      </c>
      <c r="K53" s="61">
        <v>3759556000</v>
      </c>
      <c r="L53" s="61">
        <v>2294113617</v>
      </c>
      <c r="M53" s="61">
        <v>2386476617</v>
      </c>
      <c r="N53" s="61">
        <v>2510796000</v>
      </c>
      <c r="O53" s="61" t="s">
        <v>143</v>
      </c>
      <c r="P53" s="61" t="s">
        <v>183</v>
      </c>
      <c r="Q53" s="2"/>
      <c r="R53" s="2"/>
      <c r="S53" s="2"/>
      <c r="T53" s="2"/>
      <c r="U53" s="2"/>
      <c r="AE53" s="69">
        <v>0.31823899999999999</v>
      </c>
      <c r="AF53" s="69">
        <v>0.30956099999999998</v>
      </c>
      <c r="AG53" s="69">
        <v>0.315911</v>
      </c>
      <c r="AH53" s="69">
        <v>0.29505599999999998</v>
      </c>
      <c r="AI53" s="69">
        <v>0.26970699999999997</v>
      </c>
      <c r="AS53" s="61">
        <v>3.5230000000000001</v>
      </c>
      <c r="AT53" s="61">
        <v>4.07</v>
      </c>
      <c r="AU53" s="61">
        <v>3.82</v>
      </c>
      <c r="AV53" s="61">
        <v>3.7149999999999999</v>
      </c>
      <c r="AW53" s="61">
        <v>3.83</v>
      </c>
    </row>
    <row r="54" spans="1:49">
      <c r="A54" s="61" t="s">
        <v>307</v>
      </c>
      <c r="B54" s="4" t="s">
        <v>308</v>
      </c>
      <c r="C54" s="61" t="s">
        <v>309</v>
      </c>
      <c r="D54" s="61" t="s">
        <v>61</v>
      </c>
      <c r="E54" s="61" t="s">
        <v>62</v>
      </c>
      <c r="F54" s="61" t="s">
        <v>142</v>
      </c>
      <c r="G54" s="4" t="s">
        <v>64</v>
      </c>
      <c r="H54" s="61" t="s">
        <v>65</v>
      </c>
      <c r="I54" s="5">
        <v>44561</v>
      </c>
      <c r="J54" s="61">
        <v>32825311125</v>
      </c>
      <c r="K54" s="61">
        <v>11529000000</v>
      </c>
      <c r="N54" s="61">
        <v>50448000000</v>
      </c>
      <c r="O54" s="68" t="s">
        <v>143</v>
      </c>
      <c r="P54" s="68" t="s">
        <v>144</v>
      </c>
      <c r="Q54" s="2"/>
      <c r="R54" s="2"/>
      <c r="S54" s="2"/>
      <c r="T54" s="2"/>
      <c r="U54" s="2"/>
      <c r="AE54" s="69">
        <v>46.128179090000003</v>
      </c>
      <c r="AF54" s="69">
        <v>44.807197789999996</v>
      </c>
      <c r="AG54" s="69">
        <v>47.025298190000001</v>
      </c>
      <c r="AH54" s="69">
        <v>43.15126858</v>
      </c>
      <c r="AI54" s="69">
        <v>40.042084060000001</v>
      </c>
      <c r="AS54" s="61">
        <v>88.456566530000003</v>
      </c>
      <c r="AT54" s="61">
        <v>86.887076559999997</v>
      </c>
      <c r="AU54" s="61">
        <v>91.462663679999991</v>
      </c>
      <c r="AV54" s="61">
        <v>92.205090630000001</v>
      </c>
      <c r="AW54" s="61">
        <v>92.771096270000001</v>
      </c>
    </row>
  </sheetData>
  <pageMargins left="0.7" right="0.7" top="0.75" bottom="0.75" header="0.3" footer="0.3"/>
  <pageSetup paperSize="9" scale="46" fitToWidth="4" orientation="landscape" r:id="rId1"/>
  <headerFooter>
    <oddHeader>&amp;C&amp;"Calibri"&amp;10&amp;K000000Confidential&amp;1#</oddHead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B625E0-7A95-AB40-9EC5-2C6C2025FC51}">
  <dimension ref="A1:L54"/>
  <sheetViews>
    <sheetView zoomScale="150" zoomScaleNormal="150" workbookViewId="0">
      <selection activeCell="F4" sqref="F4"/>
    </sheetView>
  </sheetViews>
  <sheetFormatPr baseColWidth="10" defaultColWidth="8.83203125" defaultRowHeight="15"/>
  <cols>
    <col min="1" max="1" width="29.33203125" style="61" customWidth="1"/>
    <col min="2" max="2" width="25.5" style="4" customWidth="1"/>
    <col min="3" max="3" width="8.83203125" style="61"/>
    <col min="4" max="4" width="8.83203125" style="26"/>
    <col min="5" max="5" width="17.5" style="26" customWidth="1"/>
    <col min="6" max="7" width="24" style="61" customWidth="1"/>
    <col min="8" max="8" width="22.5" style="20" customWidth="1"/>
    <col min="9" max="9" width="23.33203125" style="61" customWidth="1"/>
    <col min="10" max="10" width="24" style="61" customWidth="1"/>
    <col min="11" max="11" width="19.33203125" style="61" customWidth="1"/>
    <col min="12" max="12" width="21.5" style="61" customWidth="1"/>
    <col min="13" max="16384" width="8.83203125" style="61"/>
  </cols>
  <sheetData>
    <row r="1" spans="1:12">
      <c r="A1" s="10" t="s">
        <v>56</v>
      </c>
      <c r="B1" s="10" t="s">
        <v>57</v>
      </c>
      <c r="C1" s="10" t="s">
        <v>1</v>
      </c>
      <c r="D1" s="27" t="s">
        <v>55</v>
      </c>
      <c r="E1" s="19" t="s">
        <v>123</v>
      </c>
      <c r="F1" s="19" t="s">
        <v>124</v>
      </c>
      <c r="G1" s="62" t="s">
        <v>125</v>
      </c>
      <c r="H1" s="19" t="s">
        <v>115</v>
      </c>
      <c r="I1" s="19" t="s">
        <v>116</v>
      </c>
      <c r="J1" s="19" t="s">
        <v>117</v>
      </c>
      <c r="K1" s="12" t="s">
        <v>118</v>
      </c>
      <c r="L1" s="12" t="s">
        <v>119</v>
      </c>
    </row>
    <row r="2" spans="1:12">
      <c r="A2" s="61" t="s">
        <v>58</v>
      </c>
      <c r="B2" s="72" t="s">
        <v>59</v>
      </c>
      <c r="C2" s="71" t="s">
        <v>60</v>
      </c>
      <c r="D2" s="71">
        <v>2040</v>
      </c>
      <c r="E2" s="71" t="s">
        <v>66</v>
      </c>
      <c r="F2" s="71" t="s">
        <v>67</v>
      </c>
      <c r="G2" s="71">
        <v>2019</v>
      </c>
      <c r="H2" s="71">
        <v>2019</v>
      </c>
      <c r="I2" s="73">
        <v>0.67875875500000005</v>
      </c>
      <c r="J2" s="71" t="s">
        <v>130</v>
      </c>
      <c r="K2" s="71">
        <v>2040</v>
      </c>
      <c r="L2" s="74">
        <v>1</v>
      </c>
    </row>
    <row r="3" spans="1:12">
      <c r="A3" s="61" t="s">
        <v>145</v>
      </c>
      <c r="B3" s="55"/>
      <c r="C3" s="54"/>
      <c r="D3" s="54">
        <v>2050</v>
      </c>
      <c r="E3" s="71" t="s">
        <v>66</v>
      </c>
      <c r="F3" s="54" t="s">
        <v>67</v>
      </c>
      <c r="G3" s="54"/>
      <c r="H3" s="54">
        <v>2019</v>
      </c>
      <c r="I3" s="70">
        <v>0.52047155000000001</v>
      </c>
      <c r="J3" s="71" t="s">
        <v>130</v>
      </c>
      <c r="K3" s="54">
        <v>2050</v>
      </c>
      <c r="L3" s="63">
        <v>1</v>
      </c>
    </row>
    <row r="4" spans="1:12">
      <c r="A4" s="61" t="s">
        <v>155</v>
      </c>
      <c r="D4" s="26">
        <v>2050</v>
      </c>
      <c r="E4" s="71" t="s">
        <v>66</v>
      </c>
      <c r="H4" s="20">
        <v>2019</v>
      </c>
      <c r="I4" s="61">
        <f>(16*0.4+9*0.5)/(16+9)</f>
        <v>0.436</v>
      </c>
      <c r="J4" s="71" t="s">
        <v>130</v>
      </c>
      <c r="K4" s="61">
        <v>2030</v>
      </c>
      <c r="L4" s="75">
        <v>0.5</v>
      </c>
    </row>
    <row r="5" spans="1:12">
      <c r="A5" s="61" t="s">
        <v>158</v>
      </c>
      <c r="D5" s="26">
        <v>2050</v>
      </c>
      <c r="E5" s="71" t="s">
        <v>66</v>
      </c>
      <c r="H5" s="20">
        <v>2005</v>
      </c>
      <c r="I5" s="70">
        <v>0.80188104599999999</v>
      </c>
      <c r="J5" s="71" t="s">
        <v>130</v>
      </c>
      <c r="K5" s="61">
        <v>2030</v>
      </c>
      <c r="L5" s="61">
        <f>1-0.545504813/0.801881046</f>
        <v>0.3197185346615613</v>
      </c>
    </row>
    <row r="6" spans="1:12">
      <c r="A6" s="61" t="s">
        <v>158</v>
      </c>
      <c r="D6" s="26">
        <v>2050</v>
      </c>
      <c r="E6" s="71" t="s">
        <v>66</v>
      </c>
      <c r="H6" s="20">
        <v>2005</v>
      </c>
      <c r="I6" s="70">
        <v>0.80188104599999999</v>
      </c>
      <c r="J6" s="71" t="s">
        <v>130</v>
      </c>
      <c r="K6" s="61">
        <v>2040</v>
      </c>
      <c r="L6" s="61">
        <f>1-0.151874771/0.801881046</f>
        <v>0.810601869494743</v>
      </c>
    </row>
    <row r="7" spans="1:12">
      <c r="A7" s="61" t="s">
        <v>161</v>
      </c>
      <c r="D7" s="26">
        <v>2050</v>
      </c>
      <c r="F7" s="61" t="s">
        <v>310</v>
      </c>
      <c r="H7" s="20">
        <v>2020</v>
      </c>
      <c r="I7" s="61">
        <f>49271373/76459982</f>
        <v>0.64440733192953148</v>
      </c>
      <c r="J7" s="71" t="s">
        <v>130</v>
      </c>
      <c r="K7" s="61">
        <v>2050</v>
      </c>
      <c r="L7" s="75">
        <v>1</v>
      </c>
    </row>
    <row r="8" spans="1:12">
      <c r="A8" s="61" t="s">
        <v>164</v>
      </c>
      <c r="J8" s="71"/>
      <c r="L8" s="75"/>
    </row>
    <row r="9" spans="1:12">
      <c r="A9" s="61" t="s">
        <v>167</v>
      </c>
      <c r="D9" s="26">
        <v>2035</v>
      </c>
      <c r="E9" s="26" t="s">
        <v>311</v>
      </c>
      <c r="F9" s="61" t="s">
        <v>310</v>
      </c>
      <c r="H9" s="20">
        <v>2015</v>
      </c>
      <c r="I9" s="70">
        <v>1.3146552000000001E-2</v>
      </c>
      <c r="J9" s="71" t="s">
        <v>129</v>
      </c>
      <c r="K9" s="61">
        <v>2025</v>
      </c>
      <c r="L9" s="75">
        <v>0.35</v>
      </c>
    </row>
    <row r="10" spans="1:12">
      <c r="A10" s="61" t="s">
        <v>170</v>
      </c>
    </row>
    <row r="11" spans="1:12">
      <c r="A11" s="61" t="s">
        <v>173</v>
      </c>
      <c r="E11" s="26" t="s">
        <v>66</v>
      </c>
      <c r="F11" s="61" t="s">
        <v>310</v>
      </c>
      <c r="H11" s="20">
        <v>2005</v>
      </c>
      <c r="I11" s="61">
        <v>1</v>
      </c>
      <c r="J11" s="71" t="s">
        <v>312</v>
      </c>
      <c r="K11" s="61">
        <v>2030</v>
      </c>
      <c r="L11" s="75">
        <v>0.4</v>
      </c>
    </row>
    <row r="12" spans="1:12">
      <c r="A12" s="61" t="s">
        <v>173</v>
      </c>
      <c r="E12" s="26" t="s">
        <v>66</v>
      </c>
      <c r="F12" s="61" t="s">
        <v>310</v>
      </c>
      <c r="H12" s="20">
        <v>2005</v>
      </c>
      <c r="I12" s="61">
        <v>1</v>
      </c>
      <c r="J12" s="71" t="s">
        <v>312</v>
      </c>
      <c r="K12" s="61">
        <v>2040</v>
      </c>
      <c r="L12" s="75">
        <v>0.7</v>
      </c>
    </row>
    <row r="13" spans="1:12">
      <c r="A13" s="61" t="s">
        <v>176</v>
      </c>
    </row>
    <row r="14" spans="1:12">
      <c r="A14" s="61" t="s">
        <v>179</v>
      </c>
    </row>
    <row r="15" spans="1:12">
      <c r="A15" s="61" t="s">
        <v>184</v>
      </c>
    </row>
    <row r="16" spans="1:12">
      <c r="A16" s="61" t="s">
        <v>187</v>
      </c>
    </row>
    <row r="17" spans="1:1">
      <c r="A17" s="61" t="s">
        <v>190</v>
      </c>
    </row>
    <row r="18" spans="1:1">
      <c r="A18" s="61" t="s">
        <v>193</v>
      </c>
    </row>
    <row r="19" spans="1:1">
      <c r="A19" s="61" t="s">
        <v>196</v>
      </c>
    </row>
    <row r="20" spans="1:1">
      <c r="A20" s="61" t="s">
        <v>199</v>
      </c>
    </row>
    <row r="21" spans="1:1">
      <c r="A21" s="61" t="s">
        <v>202</v>
      </c>
    </row>
    <row r="22" spans="1:1">
      <c r="A22" s="61" t="s">
        <v>205</v>
      </c>
    </row>
    <row r="23" spans="1:1">
      <c r="A23" s="61" t="s">
        <v>208</v>
      </c>
    </row>
    <row r="24" spans="1:1">
      <c r="A24" s="61" t="s">
        <v>211</v>
      </c>
    </row>
    <row r="25" spans="1:1">
      <c r="A25" s="61" t="s">
        <v>214</v>
      </c>
    </row>
    <row r="26" spans="1:1">
      <c r="A26" s="61" t="s">
        <v>217</v>
      </c>
    </row>
    <row r="27" spans="1:1">
      <c r="A27" s="61" t="s">
        <v>220</v>
      </c>
    </row>
    <row r="28" spans="1:1">
      <c r="A28" s="61" t="s">
        <v>223</v>
      </c>
    </row>
    <row r="29" spans="1:1">
      <c r="A29" s="61" t="s">
        <v>228</v>
      </c>
    </row>
    <row r="30" spans="1:1">
      <c r="A30" s="61" t="s">
        <v>231</v>
      </c>
    </row>
    <row r="31" spans="1:1">
      <c r="A31" s="61" t="s">
        <v>234</v>
      </c>
    </row>
    <row r="32" spans="1:1">
      <c r="A32" s="61" t="s">
        <v>237</v>
      </c>
    </row>
    <row r="33" spans="1:1">
      <c r="A33" s="61" t="s">
        <v>242</v>
      </c>
    </row>
    <row r="34" spans="1:1">
      <c r="A34" s="61" t="s">
        <v>245</v>
      </c>
    </row>
    <row r="35" spans="1:1">
      <c r="A35" s="61" t="s">
        <v>248</v>
      </c>
    </row>
    <row r="36" spans="1:1">
      <c r="A36" s="61" t="s">
        <v>251</v>
      </c>
    </row>
    <row r="37" spans="1:1">
      <c r="A37" s="61" t="s">
        <v>254</v>
      </c>
    </row>
    <row r="38" spans="1:1">
      <c r="A38" s="61" t="s">
        <v>257</v>
      </c>
    </row>
    <row r="39" spans="1:1">
      <c r="A39" s="61" t="s">
        <v>261</v>
      </c>
    </row>
    <row r="40" spans="1:1">
      <c r="A40" s="61" t="s">
        <v>264</v>
      </c>
    </row>
    <row r="41" spans="1:1">
      <c r="A41" s="61" t="s">
        <v>267</v>
      </c>
    </row>
    <row r="42" spans="1:1">
      <c r="A42" s="61" t="s">
        <v>270</v>
      </c>
    </row>
    <row r="43" spans="1:1">
      <c r="A43" s="61" t="s">
        <v>273</v>
      </c>
    </row>
    <row r="44" spans="1:1">
      <c r="A44" s="61" t="s">
        <v>276</v>
      </c>
    </row>
    <row r="45" spans="1:1">
      <c r="A45" s="61" t="s">
        <v>279</v>
      </c>
    </row>
    <row r="46" spans="1:1">
      <c r="A46" s="61" t="s">
        <v>282</v>
      </c>
    </row>
    <row r="47" spans="1:1">
      <c r="A47" s="61" t="s">
        <v>285</v>
      </c>
    </row>
    <row r="48" spans="1:1">
      <c r="A48" s="61" t="s">
        <v>289</v>
      </c>
    </row>
    <row r="49" spans="1:1">
      <c r="A49" s="61" t="s">
        <v>292</v>
      </c>
    </row>
    <row r="50" spans="1:1">
      <c r="A50" s="61" t="s">
        <v>295</v>
      </c>
    </row>
    <row r="51" spans="1:1">
      <c r="A51" s="61" t="s">
        <v>298</v>
      </c>
    </row>
    <row r="52" spans="1:1">
      <c r="A52" s="61" t="s">
        <v>301</v>
      </c>
    </row>
    <row r="53" spans="1:1">
      <c r="A53" s="61" t="s">
        <v>304</v>
      </c>
    </row>
    <row r="54" spans="1:1">
      <c r="A54" s="61" t="s">
        <v>307</v>
      </c>
    </row>
  </sheetData>
  <pageMargins left="0.7" right="0.7" top="0.75" bottom="0.75" header="0.3" footer="0.3"/>
  <pageSetup orientation="portrait" horizontalDpi="90" verticalDpi="90" r:id="rId1"/>
  <headerFooter>
    <oddHeader>&amp;C&amp;"Calibri"&amp;10&amp;K000000Confidential&amp;1#</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BB6CE2092F7CDA4FBA49881696A89DE0" ma:contentTypeVersion="12" ma:contentTypeDescription="Create a new document." ma:contentTypeScope="" ma:versionID="8b5918a5add965903052caa4f280154e">
  <xsd:schema xmlns:xsd="http://www.w3.org/2001/XMLSchema" xmlns:xs="http://www.w3.org/2001/XMLSchema" xmlns:p="http://schemas.microsoft.com/office/2006/metadata/properties" xmlns:ns3="020ef37c-4094-40f4-bf82-41b1d62e0e53" xmlns:ns4="40408af7-2a3f-48ae-b560-b937464d5fc3" targetNamespace="http://schemas.microsoft.com/office/2006/metadata/properties" ma:root="true" ma:fieldsID="55d586a85da155bcad137d4f3c4349ba" ns3:_="" ns4:_="">
    <xsd:import namespace="020ef37c-4094-40f4-bf82-41b1d62e0e53"/>
    <xsd:import namespace="40408af7-2a3f-48ae-b560-b937464d5fc3"/>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Tags" minOccurs="0"/>
                <xsd:element ref="ns4:MediaServiceGenerationTime" minOccurs="0"/>
                <xsd:element ref="ns4:MediaServiceEventHashCode" minOccurs="0"/>
                <xsd:element ref="ns4:MediaServiceDateTaken" minOccurs="0"/>
                <xsd:element ref="ns4:MediaServiceOCR" minOccurs="0"/>
                <xsd:element ref="ns4:MediaServiceAutoKeyPoints" minOccurs="0"/>
                <xsd:element ref="ns4: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20ef37c-4094-40f4-bf82-41b1d62e0e53"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SharingHintHash" ma:index="10" nillable="true" ma:displayName="Sharing Hint Hash"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0408af7-2a3f-48ae-b560-b937464d5fc3"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A6EA39C3-A15D-48B6-A2C6-B0C6753DDE50}">
  <ds:schemaRefs>
    <ds:schemaRef ds:uri="http://schemas.microsoft.com/sharepoint/v3/contenttype/forms"/>
  </ds:schemaRefs>
</ds:datastoreItem>
</file>

<file path=customXml/itemProps2.xml><?xml version="1.0" encoding="utf-8"?>
<ds:datastoreItem xmlns:ds="http://schemas.openxmlformats.org/officeDocument/2006/customXml" ds:itemID="{99C61229-62A1-4F5F-B8F8-172CE6F3C2F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20ef37c-4094-40f4-bf82-41b1d62e0e53"/>
    <ds:schemaRef ds:uri="40408af7-2a3f-48ae-b560-b937464d5fc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247F93A-D89B-4D3E-A390-CCD57A0A6ACD}">
  <ds:schemaRefs>
    <ds:schemaRef ds:uri="http://schemas.microsoft.com/office/infopath/2007/PartnerControls"/>
    <ds:schemaRef ds:uri="http://purl.org/dc/elements/1.1/"/>
    <ds:schemaRef ds:uri="http://schemas.microsoft.com/office/2006/metadata/properties"/>
    <ds:schemaRef ds:uri="http://purl.org/dc/terms/"/>
    <ds:schemaRef ds:uri="http://schemas.openxmlformats.org/package/2006/metadata/core-properties"/>
    <ds:schemaRef ds:uri="40408af7-2a3f-48ae-b560-b937464d5fc3"/>
    <ds:schemaRef ds:uri="http://schemas.microsoft.com/office/2006/documentManagement/types"/>
    <ds:schemaRef ds:uri="020ef37c-4094-40f4-bf82-41b1d62e0e53"/>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Read me </vt:lpstr>
      <vt:lpstr>ITR input data</vt:lpstr>
      <vt:lpstr>ITR target input data</vt:lpstr>
      <vt:lpstr>Definitions</vt:lpstr>
      <vt:lpstr>ITR input data (2)</vt:lpstr>
      <vt:lpstr>ITR target input data (2)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Michael Tiemann</cp:lastModifiedBy>
  <cp:lastPrinted>2022-02-14T13:19:46Z</cp:lastPrinted>
  <dcterms:created xsi:type="dcterms:W3CDTF">2022-02-08T09:02:08Z</dcterms:created>
  <dcterms:modified xsi:type="dcterms:W3CDTF">2022-02-21T16:25:04Z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0x010100BB6CE2092F7CDA4FBA49881696A89DE0</vt:lpwstr>
  </property>
  <property fmtid="{D5CDD505-2E9C-101B-9397-08002B2CF9AE}" pid="3" name="_NewReviewCycle">
    <vt:lpwstr/>
  </property>
  <property fmtid="{D5CDD505-2E9C-101B-9397-08002B2CF9AE}" pid="4" name="MSIP_Label_1cf2588e-f000-43f9-af86-11fa810e993f_Enabled">
    <vt:lpwstr>true</vt:lpwstr>
  </property>
  <property fmtid="{D5CDD505-2E9C-101B-9397-08002B2CF9AE}" pid="5" name="MSIP_Label_1cf2588e-f000-43f9-af86-11fa810e993f_SetDate">
    <vt:lpwstr>2022-02-15T16:15:19Z</vt:lpwstr>
  </property>
  <property fmtid="{D5CDD505-2E9C-101B-9397-08002B2CF9AE}" pid="6" name="MSIP_Label_1cf2588e-f000-43f9-af86-11fa810e993f_Method">
    <vt:lpwstr>Privileged</vt:lpwstr>
  </property>
  <property fmtid="{D5CDD505-2E9C-101B-9397-08002B2CF9AE}" pid="7" name="MSIP_Label_1cf2588e-f000-43f9-af86-11fa810e993f_Name">
    <vt:lpwstr>1cf2588e-f000-43f9-af86-11fa810e993f</vt:lpwstr>
  </property>
  <property fmtid="{D5CDD505-2E9C-101B-9397-08002B2CF9AE}" pid="8" name="MSIP_Label_1cf2588e-f000-43f9-af86-11fa810e993f_SiteId">
    <vt:lpwstr>6e06e42d-6925-47c6-b9e7-9581c7ca302a</vt:lpwstr>
  </property>
  <property fmtid="{D5CDD505-2E9C-101B-9397-08002B2CF9AE}" pid="9" name="MSIP_Label_1cf2588e-f000-43f9-af86-11fa810e993f_ActionId">
    <vt:lpwstr>b941d87b-8a54-4082-932b-256bb3d3b7f6</vt:lpwstr>
  </property>
  <property fmtid="{D5CDD505-2E9C-101B-9397-08002B2CF9AE}" pid="10" name="MSIP_Label_1cf2588e-f000-43f9-af86-11fa810e993f_ContentBits">
    <vt:lpwstr>1</vt:lpwstr>
  </property>
</Properties>
</file>