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src\ITR\examples\data\"/>
    </mc:Choice>
  </mc:AlternateContent>
  <xr:revisionPtr revIDLastSave="0" documentId="13_ncr:1_{6DAC7F64-845E-44B9-863E-EB31A7241B25}" xr6:coauthVersionLast="47" xr6:coauthVersionMax="47" xr10:uidLastSave="{00000000-0000-0000-0000-000000000000}"/>
  <bookViews>
    <workbookView xWindow="-120" yWindow="-120" windowWidth="51840" windowHeight="21240" activeTab="2" xr2:uid="{00000000-000D-0000-FFFF-FFFF00000000}"/>
  </bookViews>
  <sheets>
    <sheet name="Read me " sheetId="5" r:id="rId1"/>
    <sheet name="ITR input data" sheetId="2" r:id="rId2"/>
    <sheet name="ITR target input data" sheetId="8" r:id="rId3"/>
    <sheet name="Definitions" sheetId="6" r:id="rId4"/>
    <sheet name="Portfolio" sheetId="11" r:id="rId5"/>
    <sheet name="Sheet1" sheetId="12"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1" i="2" l="1"/>
  <c r="M31" i="2"/>
  <c r="N31" i="2"/>
  <c r="K31" i="2"/>
  <c r="J31" i="2"/>
  <c r="E25" i="11"/>
  <c r="E26" i="11"/>
  <c r="E27" i="11"/>
  <c r="E28" i="11"/>
  <c r="E29" i="11"/>
  <c r="E30" i="11"/>
  <c r="E31" i="11"/>
  <c r="E32" i="11"/>
  <c r="E33" i="11"/>
  <c r="E34" i="11"/>
  <c r="E35" i="11"/>
  <c r="E36" i="11"/>
  <c r="E37" i="11"/>
  <c r="E38" i="11"/>
  <c r="E39" i="11"/>
  <c r="E40" i="11"/>
  <c r="E41" i="11"/>
  <c r="E42" i="11"/>
  <c r="E43" i="11"/>
  <c r="E44" i="11"/>
  <c r="E45" i="11"/>
  <c r="E46" i="11"/>
  <c r="E47" i="11"/>
  <c r="E48" i="11"/>
  <c r="E49" i="11"/>
  <c r="E50" i="11"/>
  <c r="E51" i="11"/>
  <c r="E52" i="11"/>
  <c r="E53" i="11"/>
  <c r="E54" i="11"/>
  <c r="I14" i="8"/>
  <c r="AK54" i="2"/>
  <c r="AJ54" i="2"/>
  <c r="AI54" i="2"/>
  <c r="AH54" i="2"/>
  <c r="AG54" i="2"/>
  <c r="AF54" i="2"/>
  <c r="AE54" i="2"/>
  <c r="AK52" i="2"/>
  <c r="AJ52" i="2"/>
  <c r="AI52" i="2"/>
  <c r="AH52" i="2"/>
  <c r="AG52" i="2"/>
  <c r="AF52" i="2"/>
  <c r="AE52" i="2"/>
  <c r="AK51" i="2"/>
  <c r="AJ51" i="2"/>
  <c r="AI51" i="2"/>
  <c r="AH51" i="2"/>
  <c r="AG51" i="2"/>
  <c r="AF51" i="2"/>
  <c r="AE51" i="2"/>
  <c r="AK50" i="2"/>
  <c r="AJ50" i="2"/>
  <c r="AI50" i="2"/>
  <c r="AH50" i="2"/>
  <c r="AG50" i="2"/>
  <c r="AF50" i="2"/>
  <c r="AE50" i="2"/>
  <c r="AK45" i="2"/>
  <c r="AJ45" i="2"/>
  <c r="AI45" i="2"/>
  <c r="AH45" i="2"/>
  <c r="AG45" i="2"/>
  <c r="AF45" i="2"/>
  <c r="AE45" i="2"/>
  <c r="AK43" i="2"/>
  <c r="AJ43" i="2"/>
  <c r="AI43" i="2"/>
  <c r="AH43" i="2"/>
  <c r="AG43" i="2"/>
  <c r="AF43" i="2"/>
  <c r="AE43" i="2"/>
  <c r="AK42" i="2"/>
  <c r="AJ42" i="2"/>
  <c r="AI42" i="2"/>
  <c r="AH42" i="2"/>
  <c r="AG42" i="2"/>
  <c r="AF42" i="2"/>
  <c r="AE42" i="2"/>
  <c r="AK41" i="2"/>
  <c r="AJ41" i="2"/>
  <c r="AI41" i="2"/>
  <c r="AH41" i="2"/>
  <c r="AG41" i="2"/>
  <c r="AF41" i="2"/>
  <c r="AE41" i="2"/>
  <c r="AK40" i="2"/>
  <c r="AJ40" i="2"/>
  <c r="AI40" i="2"/>
  <c r="AH40" i="2"/>
  <c r="AG40" i="2"/>
  <c r="AF40" i="2"/>
  <c r="AE40" i="2"/>
  <c r="AK39" i="2"/>
  <c r="AJ39" i="2"/>
  <c r="AI39" i="2"/>
  <c r="AH39" i="2"/>
  <c r="AG39" i="2"/>
  <c r="AF39" i="2"/>
  <c r="AE39" i="2"/>
  <c r="AK38" i="2"/>
  <c r="AJ38" i="2"/>
  <c r="AI38" i="2"/>
  <c r="AH38" i="2"/>
  <c r="AG38" i="2"/>
  <c r="AF38" i="2"/>
  <c r="AE38" i="2"/>
  <c r="AK36" i="2"/>
  <c r="AJ36" i="2"/>
  <c r="AI36" i="2"/>
  <c r="AH36" i="2"/>
  <c r="AG36" i="2"/>
  <c r="AF36" i="2"/>
  <c r="AE36" i="2"/>
  <c r="AK35" i="2"/>
  <c r="AJ35" i="2"/>
  <c r="AI35" i="2"/>
  <c r="AH35" i="2"/>
  <c r="AG35" i="2"/>
  <c r="AF35" i="2"/>
  <c r="AE35" i="2"/>
  <c r="AK34" i="2"/>
  <c r="AJ34" i="2"/>
  <c r="AI34" i="2"/>
  <c r="AH34" i="2"/>
  <c r="AG34" i="2"/>
  <c r="AF34" i="2"/>
  <c r="AE34" i="2"/>
  <c r="AK33" i="2"/>
  <c r="AJ33" i="2"/>
  <c r="AI33" i="2"/>
  <c r="AH33" i="2"/>
  <c r="AG33" i="2"/>
  <c r="AF33" i="2"/>
  <c r="AE33" i="2"/>
  <c r="AK32" i="2"/>
  <c r="AJ32" i="2"/>
  <c r="AI32" i="2"/>
  <c r="AH32" i="2"/>
  <c r="AG32" i="2"/>
  <c r="AF32" i="2"/>
  <c r="AE32" i="2"/>
  <c r="AK30" i="2"/>
  <c r="AJ30" i="2"/>
  <c r="AI30" i="2"/>
  <c r="AH30" i="2"/>
  <c r="AG30" i="2"/>
  <c r="AF30" i="2"/>
  <c r="AE30" i="2"/>
  <c r="AK29" i="2"/>
  <c r="AJ29" i="2"/>
  <c r="AI29" i="2"/>
  <c r="AH29" i="2"/>
  <c r="AG29" i="2"/>
  <c r="AF29" i="2"/>
  <c r="AE29" i="2"/>
  <c r="AK28" i="2"/>
  <c r="AJ28" i="2"/>
  <c r="AI28" i="2"/>
  <c r="AH28" i="2"/>
  <c r="AG28" i="2"/>
  <c r="AF28" i="2"/>
  <c r="AE28" i="2"/>
  <c r="AK27" i="2"/>
  <c r="AJ27" i="2"/>
  <c r="AI27" i="2"/>
  <c r="AH27" i="2"/>
  <c r="AG27" i="2"/>
  <c r="AF27" i="2"/>
  <c r="AE27" i="2"/>
  <c r="AK26" i="2"/>
  <c r="AJ26" i="2"/>
  <c r="AI26" i="2"/>
  <c r="AH26" i="2"/>
  <c r="AG26" i="2"/>
  <c r="AF26" i="2"/>
  <c r="AE26" i="2"/>
  <c r="AK25" i="2"/>
  <c r="AJ25" i="2"/>
  <c r="AI25" i="2"/>
  <c r="AH25" i="2"/>
  <c r="AG25" i="2"/>
  <c r="AF25" i="2"/>
  <c r="AE25" i="2"/>
  <c r="AK24" i="2"/>
  <c r="AJ24" i="2"/>
  <c r="AI24" i="2"/>
  <c r="AH24" i="2"/>
  <c r="AG24" i="2"/>
  <c r="AF24" i="2"/>
  <c r="AE24" i="2"/>
  <c r="AK23" i="2"/>
  <c r="AJ23" i="2"/>
  <c r="AI23" i="2"/>
  <c r="AH23" i="2"/>
  <c r="AG23" i="2"/>
  <c r="AF23" i="2"/>
  <c r="AE23" i="2"/>
  <c r="AK22" i="2"/>
  <c r="AJ22" i="2"/>
  <c r="AI22" i="2"/>
  <c r="AH22" i="2"/>
  <c r="AG22" i="2"/>
  <c r="AF22" i="2"/>
  <c r="AE22" i="2"/>
  <c r="AK21" i="2"/>
  <c r="AJ21" i="2"/>
  <c r="AI21" i="2"/>
  <c r="AH21" i="2"/>
  <c r="AG21" i="2"/>
  <c r="AF21" i="2"/>
  <c r="AE21" i="2"/>
  <c r="AK20" i="2"/>
  <c r="AJ20" i="2"/>
  <c r="AI20" i="2"/>
  <c r="AH20" i="2"/>
  <c r="AG20" i="2"/>
  <c r="AF20" i="2"/>
  <c r="AE20" i="2"/>
  <c r="AK19" i="2"/>
  <c r="AJ19" i="2"/>
  <c r="AI19" i="2"/>
  <c r="AH19" i="2"/>
  <c r="AG19" i="2"/>
  <c r="AF19" i="2"/>
  <c r="AE19" i="2"/>
  <c r="AK18" i="2"/>
  <c r="AJ18" i="2"/>
  <c r="AI18" i="2"/>
  <c r="AH18" i="2"/>
  <c r="AG18" i="2"/>
  <c r="AF18" i="2"/>
  <c r="AE18" i="2"/>
  <c r="AK17" i="2"/>
  <c r="AJ17" i="2"/>
  <c r="AI17" i="2"/>
  <c r="AH17" i="2"/>
  <c r="AG17" i="2"/>
  <c r="AF17" i="2"/>
  <c r="AE17" i="2"/>
  <c r="AK16" i="2"/>
  <c r="AJ16" i="2"/>
  <c r="AI16" i="2"/>
  <c r="AH16" i="2"/>
  <c r="AG16" i="2"/>
  <c r="AF16" i="2"/>
  <c r="AE16" i="2"/>
  <c r="AK15" i="2"/>
  <c r="AJ15" i="2"/>
  <c r="AI15" i="2"/>
  <c r="AH15" i="2"/>
  <c r="AG15" i="2"/>
  <c r="AF15" i="2"/>
  <c r="AE15" i="2"/>
  <c r="AK14" i="2"/>
  <c r="AJ14" i="2"/>
  <c r="AI14" i="2"/>
  <c r="AH14" i="2"/>
  <c r="AG14" i="2"/>
  <c r="AF14" i="2"/>
  <c r="AE14" i="2"/>
  <c r="AK13" i="2"/>
  <c r="AJ13" i="2"/>
  <c r="AI13" i="2"/>
  <c r="AH13" i="2"/>
  <c r="AG13" i="2"/>
  <c r="AF13" i="2"/>
  <c r="AE13" i="2"/>
  <c r="AK11" i="2"/>
  <c r="AJ11" i="2"/>
  <c r="AI11" i="2"/>
  <c r="AH11" i="2"/>
  <c r="AG11" i="2"/>
  <c r="AF11" i="2"/>
  <c r="AE11" i="2"/>
  <c r="AK8" i="2"/>
  <c r="AJ8" i="2"/>
  <c r="AI8" i="2"/>
  <c r="AH8" i="2"/>
  <c r="AG8" i="2"/>
  <c r="AF8" i="2"/>
  <c r="AE8" i="2"/>
  <c r="AK7" i="2"/>
  <c r="AJ7" i="2"/>
  <c r="AI7" i="2"/>
  <c r="AH7" i="2"/>
  <c r="AG7" i="2"/>
  <c r="AF7" i="2"/>
  <c r="AE7" i="2"/>
  <c r="AK6" i="2"/>
  <c r="AJ6" i="2"/>
  <c r="AI6" i="2"/>
  <c r="AH6" i="2"/>
  <c r="AG6" i="2"/>
  <c r="AF6" i="2"/>
  <c r="AE6" i="2"/>
  <c r="AK5" i="2"/>
  <c r="AJ5" i="2"/>
  <c r="AI5" i="2"/>
  <c r="AH5" i="2"/>
  <c r="AG5" i="2"/>
  <c r="AF5" i="2"/>
  <c r="AE5" i="2"/>
  <c r="AK4" i="2"/>
  <c r="AJ4" i="2"/>
  <c r="AI4" i="2"/>
  <c r="AH4" i="2"/>
  <c r="AG4" i="2"/>
  <c r="AF4" i="2"/>
  <c r="AE4" i="2"/>
  <c r="AK3" i="2"/>
  <c r="AJ3" i="2"/>
  <c r="AI3" i="2"/>
  <c r="AH3" i="2"/>
  <c r="AG3" i="2"/>
  <c r="AF3" i="2"/>
  <c r="AE3" i="2"/>
  <c r="AK2" i="2"/>
  <c r="AJ2" i="2"/>
  <c r="AI2" i="2"/>
  <c r="AH2" i="2"/>
  <c r="AG2" i="2"/>
  <c r="AF2" i="2"/>
  <c r="AE2" i="2"/>
  <c r="I36" i="8"/>
  <c r="I23" i="8"/>
  <c r="J25" i="2" l="1"/>
  <c r="I47" i="8" l="1"/>
  <c r="I46" i="8"/>
  <c r="J24" i="2"/>
  <c r="AT2" i="2"/>
  <c r="E24" i="11"/>
  <c r="E23" i="11"/>
  <c r="E22" i="11"/>
  <c r="E21" i="11"/>
  <c r="E20" i="11"/>
  <c r="E19" i="11"/>
  <c r="E18" i="11"/>
  <c r="E17" i="11"/>
  <c r="E16" i="11"/>
  <c r="E15" i="11"/>
  <c r="E14" i="11"/>
  <c r="E13" i="11"/>
  <c r="E12" i="11"/>
  <c r="E11" i="11"/>
  <c r="E10" i="11"/>
  <c r="E9" i="11"/>
  <c r="E8" i="11"/>
  <c r="E7" i="11"/>
  <c r="E6" i="11"/>
  <c r="E5" i="11"/>
  <c r="E4" i="11"/>
  <c r="E3" i="11"/>
  <c r="E2" i="11"/>
  <c r="AW34" i="2" l="1"/>
  <c r="AV34" i="2"/>
  <c r="AU34" i="2"/>
  <c r="AT34" i="2"/>
  <c r="AS34" i="2"/>
  <c r="I34" i="8"/>
  <c r="I33" i="8"/>
  <c r="I32" i="8"/>
  <c r="Z24" i="2"/>
  <c r="Y24" i="2"/>
  <c r="X24" i="2"/>
  <c r="AS24" i="2"/>
  <c r="AT24" i="2"/>
  <c r="AU24" i="2"/>
  <c r="AV24" i="2"/>
  <c r="AW24" i="2"/>
  <c r="AV22" i="2"/>
  <c r="AU22" i="2"/>
  <c r="AT22" i="2"/>
  <c r="I13" i="8"/>
  <c r="I6" i="8"/>
  <c r="AP2" i="2"/>
  <c r="AO2" i="2"/>
  <c r="AN2" i="2"/>
  <c r="AM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Tiemann</author>
    <author>tc={1552FDB1-B469-5E43-9D59-0C000C5BD6F5}</author>
  </authors>
  <commentList>
    <comment ref="AT2" authorId="0" shapeId="0" xr:uid="{FE07E697-8595-F149-90BA-0F794AF36923}">
      <text>
        <r>
          <rPr>
            <b/>
            <sz val="10"/>
            <color rgb="FF000000"/>
            <rFont val="Tahoma"/>
            <family val="2"/>
          </rPr>
          <t>Michael Tiemann:</t>
        </r>
        <r>
          <rPr>
            <sz val="10"/>
            <color rgb="FF000000"/>
            <rFont val="Tahoma"/>
            <family val="2"/>
          </rPr>
          <t xml:space="preserve">
</t>
        </r>
        <r>
          <rPr>
            <sz val="10"/>
            <color rgb="FF000000"/>
            <rFont val="Tahoma"/>
            <family val="2"/>
          </rPr>
          <t>When this value is small, like 31536, it throws the trajectory calculations for a loop.</t>
        </r>
      </text>
    </comment>
    <comment ref="J24" authorId="0" shapeId="0" xr:uid="{E690D3D1-6563-964F-9370-62C106346114}">
      <text>
        <r>
          <rPr>
            <b/>
            <sz val="10"/>
            <color rgb="FF000000"/>
            <rFont val="Tahoma"/>
            <family val="2"/>
          </rPr>
          <t>Michael Tiemann:</t>
        </r>
        <r>
          <rPr>
            <sz val="10"/>
            <color rgb="FF000000"/>
            <rFont val="Tahoma"/>
            <family val="2"/>
          </rPr>
          <t xml:space="preserve">
</t>
        </r>
        <r>
          <rPr>
            <sz val="10"/>
            <color rgb="FF000000"/>
            <rFont val="Tahoma"/>
            <family val="2"/>
          </rPr>
          <t>calculated from exhibit 99-1</t>
        </r>
      </text>
    </comment>
    <comment ref="J25" authorId="0" shapeId="0" xr:uid="{7F1C9ED0-301F-2648-9355-C357F89590C2}">
      <text>
        <r>
          <rPr>
            <b/>
            <sz val="10"/>
            <color rgb="FF000000"/>
            <rFont val="Tahoma"/>
            <family val="2"/>
          </rPr>
          <t>Michael Tiemann:</t>
        </r>
        <r>
          <rPr>
            <sz val="10"/>
            <color rgb="FF000000"/>
            <rFont val="Tahoma"/>
            <family val="2"/>
          </rPr>
          <t xml:space="preserve">
</t>
        </r>
        <r>
          <rPr>
            <sz val="10"/>
            <color rgb="FF000000"/>
            <rFont val="Tahoma"/>
            <family val="2"/>
          </rPr>
          <t>Computed from 20-F</t>
        </r>
      </text>
    </comment>
    <comment ref="J37" authorId="0" shapeId="0" xr:uid="{FF205831-CE46-D14F-B94A-7E6915222570}">
      <text>
        <r>
          <rPr>
            <b/>
            <sz val="10"/>
            <color rgb="FF000000"/>
            <rFont val="Tahoma"/>
            <family val="2"/>
          </rPr>
          <t>Michael Tiemann:</t>
        </r>
        <r>
          <rPr>
            <sz val="10"/>
            <color rgb="FF000000"/>
            <rFont val="Tahoma"/>
            <family val="2"/>
          </rPr>
          <t xml:space="preserve">
</t>
        </r>
        <r>
          <rPr>
            <sz val="10"/>
            <color rgb="FF000000"/>
            <rFont val="Tahoma"/>
            <family val="2"/>
          </rPr>
          <t>Approximate based on market data graphs</t>
        </r>
      </text>
    </comment>
    <comment ref="A50" authorId="1" shapeId="0" xr:uid="{1552FDB1-B469-5E43-9D59-0C000C5BD6F5}">
      <text>
        <t>[Threaded comment]
Your version of Excel allows you to read this threaded comment; however, any edits to it will get removed if the file is opened in a newer version of Excel. Learn more: https://go.microsoft.com/fwlink/?linkid=870924
Comment:
    Created target based on ME Netzero goal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Tiemann</author>
    <author>tc={8747483F-B5A8-A24A-A61D-346EDF701B94}</author>
    <author>tc={4D3E799C-4A4B-294D-9638-E65AF3840917}</author>
  </authors>
  <commentList>
    <comment ref="L13" authorId="0" shapeId="0" xr:uid="{448510DF-B4CA-A74B-8DA4-8A66766A6D07}">
      <text>
        <r>
          <rPr>
            <b/>
            <sz val="10"/>
            <color rgb="FF000000"/>
            <rFont val="Tahoma"/>
            <family val="2"/>
          </rPr>
          <t>Michael Tiemann:</t>
        </r>
        <r>
          <rPr>
            <sz val="10"/>
            <color rgb="FF000000"/>
            <rFont val="Tahoma"/>
            <family val="2"/>
          </rPr>
          <t xml:space="preserve">
</t>
        </r>
        <r>
          <rPr>
            <sz val="10"/>
            <color rgb="FF000000"/>
            <rFont val="Tahoma"/>
            <family val="2"/>
          </rPr>
          <t>90% sourced from nuclear so 10% ambition imagines 100% carbon-neutral power sourcing.</t>
        </r>
      </text>
    </comment>
    <comment ref="F15" authorId="0" shapeId="0" xr:uid="{CA21DE94-42A9-2242-B39E-4A74054C3A31}">
      <text>
        <r>
          <rPr>
            <b/>
            <sz val="10"/>
            <color rgb="FF000000"/>
            <rFont val="Tahoma"/>
            <family val="2"/>
          </rPr>
          <t>Michael Tiemann:</t>
        </r>
        <r>
          <rPr>
            <sz val="10"/>
            <color rgb="FF000000"/>
            <rFont val="Tahoma"/>
            <family val="2"/>
          </rPr>
          <t xml:space="preserve">
</t>
        </r>
        <r>
          <rPr>
            <sz val="10"/>
            <color rgb="FF000000"/>
            <rFont val="Tahoma"/>
            <family val="2"/>
          </rPr>
          <t>Yes: S1+S3</t>
        </r>
      </text>
    </comment>
    <comment ref="F23" authorId="0" shapeId="0" xr:uid="{9D497080-486A-E047-A369-7047C67B1E35}">
      <text>
        <r>
          <rPr>
            <b/>
            <sz val="10"/>
            <color rgb="FF000000"/>
            <rFont val="Tahoma"/>
            <family val="2"/>
          </rPr>
          <t>Michael Tiemann:</t>
        </r>
        <r>
          <rPr>
            <sz val="10"/>
            <color rgb="FF000000"/>
            <rFont val="Tahoma"/>
            <family val="2"/>
          </rPr>
          <t xml:space="preserve">
</t>
        </r>
        <r>
          <rPr>
            <sz val="10"/>
            <color rgb="FF000000"/>
            <rFont val="Calibri"/>
            <family val="2"/>
          </rPr>
          <t xml:space="preserve">Really S1+S2+S3 but setting to S1+S2 for now.
</t>
        </r>
      </text>
    </comment>
    <comment ref="F24" authorId="0" shapeId="0" xr:uid="{CBCC6D2D-3589-F54A-A3D8-C85B5415A3A1}">
      <text>
        <r>
          <rPr>
            <b/>
            <sz val="10"/>
            <color rgb="FF000000"/>
            <rFont val="Tahoma"/>
            <family val="2"/>
          </rPr>
          <t>Michael Tiemann:</t>
        </r>
        <r>
          <rPr>
            <sz val="10"/>
            <color rgb="FF000000"/>
            <rFont val="Tahoma"/>
            <family val="2"/>
          </rPr>
          <t xml:space="preserve">
</t>
        </r>
        <r>
          <rPr>
            <sz val="10"/>
            <color rgb="FF000000"/>
            <rFont val="Calibri"/>
            <family val="2"/>
          </rPr>
          <t xml:space="preserve">Really S1+S2+S3 but setting to S1+S2 for now.
</t>
        </r>
      </text>
    </comment>
    <comment ref="F39" authorId="0" shapeId="0" xr:uid="{E1E20C21-AC41-454F-BD00-E2E3A76147CB}">
      <text>
        <r>
          <rPr>
            <b/>
            <sz val="10"/>
            <color rgb="FF000000"/>
            <rFont val="Tahoma"/>
            <family val="2"/>
          </rPr>
          <t>Michael Tiemann:</t>
        </r>
        <r>
          <rPr>
            <sz val="10"/>
            <color rgb="FF000000"/>
            <rFont val="Tahoma"/>
            <family val="2"/>
          </rPr>
          <t xml:space="preserve">
</t>
        </r>
        <r>
          <rPr>
            <sz val="10"/>
            <color rgb="FF000000"/>
            <rFont val="Tahoma"/>
            <family val="2"/>
          </rPr>
          <t>Really S1+S2+S3 but setting to S1+S2 for now.</t>
        </r>
      </text>
    </comment>
    <comment ref="F42" authorId="0" shapeId="0" xr:uid="{D7FC3687-67D6-B94A-81A4-A3F0B5E62612}">
      <text>
        <r>
          <rPr>
            <b/>
            <sz val="10"/>
            <color rgb="FF000000"/>
            <rFont val="Tahoma"/>
            <family val="2"/>
          </rPr>
          <t>Michael Tiemann:</t>
        </r>
        <r>
          <rPr>
            <sz val="10"/>
            <color rgb="FF000000"/>
            <rFont val="Tahoma"/>
            <family val="2"/>
          </rPr>
          <t xml:space="preserve">
</t>
        </r>
        <r>
          <rPr>
            <sz val="10"/>
            <color rgb="FF000000"/>
            <rFont val="Calibri"/>
            <family val="2"/>
          </rPr>
          <t xml:space="preserve">Really S1+S2+S3 but setting to S1+S2 for now.
</t>
        </r>
      </text>
    </comment>
    <comment ref="F44" authorId="0" shapeId="0" xr:uid="{D6EF40F2-AAE1-0D4C-AB96-6234B272A95B}">
      <text>
        <r>
          <rPr>
            <b/>
            <sz val="10"/>
            <color rgb="FF000000"/>
            <rFont val="Tahoma"/>
            <family val="2"/>
          </rPr>
          <t>Michael Tiemann:</t>
        </r>
        <r>
          <rPr>
            <sz val="10"/>
            <color rgb="FF000000"/>
            <rFont val="Tahoma"/>
            <family val="2"/>
          </rPr>
          <t xml:space="preserve">
</t>
        </r>
        <r>
          <rPr>
            <sz val="10"/>
            <color rgb="FF000000"/>
            <rFont val="Calibri"/>
            <family val="2"/>
          </rPr>
          <t xml:space="preserve">Really S1+S2+S3 but setting to S1+S2 for now.
</t>
        </r>
      </text>
    </comment>
    <comment ref="F45" authorId="0" shapeId="0" xr:uid="{3621CB18-1100-1A47-8F98-EC355E02058C}">
      <text>
        <r>
          <rPr>
            <b/>
            <sz val="10"/>
            <color rgb="FF000000"/>
            <rFont val="Tahoma"/>
            <family val="2"/>
          </rPr>
          <t>Michael Tiemann:</t>
        </r>
        <r>
          <rPr>
            <sz val="10"/>
            <color rgb="FF000000"/>
            <rFont val="Tahoma"/>
            <family val="2"/>
          </rPr>
          <t xml:space="preserve">
</t>
        </r>
        <r>
          <rPr>
            <sz val="10"/>
            <color rgb="FF000000"/>
            <rFont val="Calibri"/>
            <family val="2"/>
          </rPr>
          <t xml:space="preserve">Really S1+S2+S3 but setting to S1+S2 for now.
</t>
        </r>
      </text>
    </comment>
    <comment ref="F51" authorId="0" shapeId="0" xr:uid="{B523BD91-66ED-C74B-BC50-E9F5516DC079}">
      <text>
        <r>
          <rPr>
            <b/>
            <sz val="10"/>
            <color rgb="FF000000"/>
            <rFont val="Tahoma"/>
            <family val="2"/>
          </rPr>
          <t>Michael Tiemann:</t>
        </r>
        <r>
          <rPr>
            <sz val="10"/>
            <color rgb="FF000000"/>
            <rFont val="Tahoma"/>
            <family val="2"/>
          </rPr>
          <t xml:space="preserve">
</t>
        </r>
        <r>
          <rPr>
            <sz val="10"/>
            <color rgb="FF000000"/>
            <rFont val="Tahoma"/>
            <family val="2"/>
          </rPr>
          <t>Really S1+S2+S3 but setting to S1+S2 for now.</t>
        </r>
      </text>
    </comment>
    <comment ref="F56" authorId="0" shapeId="0" xr:uid="{89150159-53A4-8045-B72C-0B04D7E51127}">
      <text>
        <r>
          <rPr>
            <b/>
            <sz val="10"/>
            <color rgb="FF000000"/>
            <rFont val="Tahoma"/>
            <family val="2"/>
          </rPr>
          <t>Michael Tiemann:</t>
        </r>
        <r>
          <rPr>
            <sz val="10"/>
            <color rgb="FF000000"/>
            <rFont val="Tahoma"/>
            <family val="2"/>
          </rPr>
          <t xml:space="preserve">
</t>
        </r>
        <r>
          <rPr>
            <sz val="10"/>
            <color rgb="FF000000"/>
            <rFont val="Tahoma"/>
            <family val="2"/>
          </rPr>
          <t>Really S1+S2+S3 but setting to S1+S2 for now.</t>
        </r>
      </text>
    </comment>
    <comment ref="A60" authorId="0" shapeId="0" xr:uid="{A877392E-78F0-6846-8FB8-D6E550780DF8}">
      <text>
        <r>
          <rPr>
            <b/>
            <sz val="10"/>
            <color rgb="FF000000"/>
            <rFont val="Tahoma"/>
            <family val="2"/>
          </rPr>
          <t>Michael Tiemann:</t>
        </r>
        <r>
          <rPr>
            <sz val="10"/>
            <color rgb="FF000000"/>
            <rFont val="Tahoma"/>
            <family val="2"/>
          </rPr>
          <t xml:space="preserve">
</t>
        </r>
        <r>
          <rPr>
            <sz val="10"/>
            <color rgb="FF000000"/>
            <rFont val="Tahoma"/>
            <family val="2"/>
          </rPr>
          <t>State of Maine has stated netzero 2050 goal.  Targets inferred accordingly.</t>
        </r>
      </text>
    </comment>
    <comment ref="D64" authorId="1" shapeId="0" xr:uid="{8747483F-B5A8-A24A-A61D-346EDF701B94}">
      <text>
        <t>[Threaded comment]
Your version of Excel allows you to read this threaded comment; however, any edits to it will get removed if the file is opened in a newer version of Excel. Learn more: https://go.microsoft.com/fwlink/?linkid=870924
Comment:
    Announced March 2022</t>
      </text>
    </comment>
    <comment ref="L64" authorId="2" shapeId="0" xr:uid="{4D3E799C-4A4B-294D-9638-E65AF3840917}">
      <text>
        <t>[Threaded comment]
Your version of Excel allows you to read this threaded comment; however, any edits to it will get removed if the file is opened in a newer version of Excel. Learn more: https://go.microsoft.com/fwlink/?linkid=870924
Comment:
    Just a guess</t>
      </text>
    </comment>
  </commentList>
</comments>
</file>

<file path=xl/sharedStrings.xml><?xml version="1.0" encoding="utf-8"?>
<sst xmlns="http://schemas.openxmlformats.org/spreadsheetml/2006/main" count="1541" uniqueCount="323">
  <si>
    <t>Data field</t>
  </si>
  <si>
    <t>company_id</t>
  </si>
  <si>
    <t>Name of the company in your portfolio</t>
  </si>
  <si>
    <t>Description</t>
  </si>
  <si>
    <t xml:space="preserve">Text </t>
  </si>
  <si>
    <t>Expected value (type/unit)</t>
  </si>
  <si>
    <t>country</t>
  </si>
  <si>
    <t>region</t>
  </si>
  <si>
    <t>Country where the company has its headquarter. Used for analysis purposes only.</t>
  </si>
  <si>
    <t>Mandatory/Optional</t>
  </si>
  <si>
    <t>Mandatory</t>
  </si>
  <si>
    <t>Monetary value</t>
  </si>
  <si>
    <t>Data category</t>
  </si>
  <si>
    <t>Fundamental Data</t>
  </si>
  <si>
    <t>Target Data</t>
  </si>
  <si>
    <t>Emission Data</t>
  </si>
  <si>
    <t>2016_ghg_s1</t>
  </si>
  <si>
    <t>2017_ghg_s1</t>
  </si>
  <si>
    <t>2018_ghg_s1</t>
  </si>
  <si>
    <t>2019_ghg_s1</t>
  </si>
  <si>
    <t>2020_ghg_s1</t>
  </si>
  <si>
    <t>2016_ghg_s2</t>
  </si>
  <si>
    <t>2017_ghg_s2</t>
  </si>
  <si>
    <t>2018_ghg_s2</t>
  </si>
  <si>
    <t>2019_ghg_s2</t>
  </si>
  <si>
    <t>2020_ghg_s2</t>
  </si>
  <si>
    <t>Optional</t>
  </si>
  <si>
    <t>sector</t>
  </si>
  <si>
    <t>Options: utilities, steel</t>
  </si>
  <si>
    <t>evic</t>
  </si>
  <si>
    <t>2021_ghg_s2</t>
  </si>
  <si>
    <t>exposure</t>
  </si>
  <si>
    <t>2016_production</t>
  </si>
  <si>
    <t>2017_production</t>
  </si>
  <si>
    <t>2018_production</t>
  </si>
  <si>
    <t>2019_production</t>
  </si>
  <si>
    <t>2020_production</t>
  </si>
  <si>
    <t>2021_production</t>
  </si>
  <si>
    <t>revenue</t>
  </si>
  <si>
    <t>market_cap</t>
  </si>
  <si>
    <t>ev</t>
  </si>
  <si>
    <t>assets</t>
  </si>
  <si>
    <t>report_date</t>
  </si>
  <si>
    <t>percentage</t>
  </si>
  <si>
    <t>2021_ghg_s1</t>
  </si>
  <si>
    <t>2016_ghg_s1s2</t>
  </si>
  <si>
    <t>2017_ghg_s1s2</t>
  </si>
  <si>
    <t>2018_ghg_s1s2</t>
  </si>
  <si>
    <t>2019_ghg_s1s2</t>
  </si>
  <si>
    <t>2020_ghg_s1s2</t>
  </si>
  <si>
    <t>2021_ghg_s1s2</t>
  </si>
  <si>
    <t>2022_ghg_s1</t>
  </si>
  <si>
    <t>2022_ghg_s2</t>
  </si>
  <si>
    <t>2022_ghg_s1s2</t>
  </si>
  <si>
    <t>2022_production</t>
  </si>
  <si>
    <t>netzero_date</t>
  </si>
  <si>
    <t>company_name</t>
  </si>
  <si>
    <t>company_lei</t>
  </si>
  <si>
    <t>AES Corp.</t>
  </si>
  <si>
    <t>2NUNNB7D43COUIRE5295</t>
  </si>
  <si>
    <t>US00130H1059</t>
  </si>
  <si>
    <t>US</t>
  </si>
  <si>
    <t>North America</t>
  </si>
  <si>
    <t>currency</t>
  </si>
  <si>
    <t>equity</t>
  </si>
  <si>
    <t>USD</t>
  </si>
  <si>
    <t>intensity</t>
  </si>
  <si>
    <t>2016_ghg_s3</t>
  </si>
  <si>
    <t>2017_ghg_s3</t>
  </si>
  <si>
    <t>2018_ghg_s3</t>
  </si>
  <si>
    <t>2019_ghg_s3</t>
  </si>
  <si>
    <t>2020_ghg_s3</t>
  </si>
  <si>
    <t>2021_ghg_s3</t>
  </si>
  <si>
    <t>2022_ghg_s3</t>
  </si>
  <si>
    <t xml:space="preserve">Production data - Power or Steel </t>
  </si>
  <si>
    <t>Enterprise value in single dollars / euros</t>
  </si>
  <si>
    <t>Value of public stock in single dollars/euros</t>
  </si>
  <si>
    <t>Company revenues in single dollars/euros</t>
  </si>
  <si>
    <t>Value of assets owned by company in single dollars/euros</t>
  </si>
  <si>
    <t>Legal entity identifier</t>
  </si>
  <si>
    <t>ISIN (Identifier for the company in your portfolio, used to map target and fundamental data to the company)</t>
  </si>
  <si>
    <t>Region where the company has its headquarter. Used for analysis purposes only. The tool uses IPP AR6 regions: https://www.ipcc.ch/report/ar6/wg1/</t>
  </si>
  <si>
    <t>Investment exposure (equity or bond)</t>
  </si>
  <si>
    <t>Currency of the financial data. All entries should be converted into the SAME currency - EUR or USD</t>
  </si>
  <si>
    <t xml:space="preserve">Date of retrieving the financial data </t>
  </si>
  <si>
    <t xml:space="preserve">Investment values </t>
  </si>
  <si>
    <t>Intensity numerator: Scope 1+2 emissions timeseries for the past 5 years</t>
  </si>
  <si>
    <t>Number</t>
  </si>
  <si>
    <t>Intensity denominator: annual steel or power production of the company for the past 5 years</t>
  </si>
  <si>
    <t>Intensity numerator: Scope 1 emissions timeseries for the past 5 years</t>
  </si>
  <si>
    <t>Intensity numerator: Scope 2 emissions timeseries for the past 5 years</t>
  </si>
  <si>
    <t>Intensity numerator: Scope 3 emissions timeseries for the past 5 years</t>
  </si>
  <si>
    <t>Absolute, Intensity</t>
  </si>
  <si>
    <t>Equity, Bond</t>
  </si>
  <si>
    <t>Year (YYYY)</t>
  </si>
  <si>
    <t>Date (DD.MM.YYYY)</t>
  </si>
  <si>
    <t>Utilities, Steel</t>
  </si>
  <si>
    <t>S1, S2, S1S2,S1S2S3</t>
  </si>
  <si>
    <t>decimal</t>
  </si>
  <si>
    <r>
      <rPr>
        <b/>
        <sz val="11"/>
        <color rgb="FF000000"/>
        <rFont val="Calibri"/>
        <family val="2"/>
        <scheme val="minor"/>
      </rPr>
      <t>CO2</t>
    </r>
    <r>
      <rPr>
        <sz val="11"/>
        <color indexed="8"/>
        <rFont val="Calibri"/>
        <family val="2"/>
        <scheme val="minor"/>
      </rPr>
      <t xml:space="preserve">: kg CO2, t CO2, Mt CO2, Gt CO2, etc.; 
</t>
    </r>
    <r>
      <rPr>
        <b/>
        <sz val="11"/>
        <color rgb="FF000000"/>
        <rFont val="Calibri"/>
        <family val="2"/>
        <scheme val="minor"/>
      </rPr>
      <t>Electricity</t>
    </r>
    <r>
      <rPr>
        <sz val="11"/>
        <color indexed="8"/>
        <rFont val="Calibri"/>
        <family val="2"/>
        <scheme val="minor"/>
      </rPr>
      <t xml:space="preserve">: MWh, TWh, GJ, PJ; 
</t>
    </r>
    <r>
      <rPr>
        <b/>
        <sz val="11"/>
        <color rgb="FF000000"/>
        <rFont val="Calibri"/>
        <family val="2"/>
        <scheme val="minor"/>
      </rPr>
      <t>Steel:</t>
    </r>
    <r>
      <rPr>
        <sz val="11"/>
        <color indexed="8"/>
        <rFont val="Calibri"/>
        <family val="2"/>
        <scheme val="minor"/>
      </rPr>
      <t xml:space="preserve"> Fe_ton, M Fe_ton </t>
    </r>
  </si>
  <si>
    <t>Target year of net-zero commitment. 0 means the company has not set a target year or that their target for 2050 is not zero.</t>
  </si>
  <si>
    <t>year the target was announced</t>
  </si>
  <si>
    <t>Net Zero Ambition</t>
  </si>
  <si>
    <t xml:space="preserve">target intensity metric referring to emissions and production data. Units for the numerator (in CO2) and denominator (electricity or steel production) are indicated in the following field. </t>
  </si>
  <si>
    <t>Production or Intensity figures  (eg 12 if the target base year emission is 12 t CO2, or 0.98 if the base year intensity is 0.98 Mt CO2/MWh). Targets can be expressed in units as described below (see target_base_year_units field)</t>
  </si>
  <si>
    <t>Intensity numerator: Scope 1 emissions timeseries for 2021</t>
  </si>
  <si>
    <t>DO NOT FILL (data only available next year)</t>
  </si>
  <si>
    <t xml:space="preserve">Intensity numerator:  scope 1 emissions timeseries for 2022, only available in 2023. Do not input projected data. </t>
  </si>
  <si>
    <t>Intensity numerator: Scope 2 emissions timeseries for 2021</t>
  </si>
  <si>
    <t xml:space="preserve">Intensity numerator:  scope 2 emissions timeseries for 2022, only available in 2023. Do not input projected data. </t>
  </si>
  <si>
    <t>Intensity numerator: Scope 1+2 emissions timeseries for 2021</t>
  </si>
  <si>
    <t xml:space="preserve">Intensity numerator:  scope 1+ 2 emissions timeseries for 2022, only available in 2023. Do not input projected data. </t>
  </si>
  <si>
    <t>Intensity numerator: Scope 3 emissions timeseries for 2021</t>
  </si>
  <si>
    <t xml:space="preserve">Intensity numerator:  scope 3 emissions timeseries for 2022, only available in 2023. Do not input projected data. </t>
  </si>
  <si>
    <t>target_base_year</t>
  </si>
  <si>
    <t>target_base_year_qty</t>
  </si>
  <si>
    <t>target_base_year_unit</t>
  </si>
  <si>
    <t>target_year</t>
  </si>
  <si>
    <t>target_reduction_ambition</t>
  </si>
  <si>
    <t>The emission reduction that is set as ambition in the target.</t>
  </si>
  <si>
    <t xml:space="preserve">year the target should be reached </t>
  </si>
  <si>
    <t>Base year of the target</t>
  </si>
  <si>
    <t>target_type</t>
  </si>
  <si>
    <t>target_scope</t>
  </si>
  <si>
    <t>target_start_year</t>
  </si>
  <si>
    <t>Target scope (S3 will be taken into account later - however one can include it already to avoid having to refill the template in a few weeks )</t>
  </si>
  <si>
    <t xml:space="preserve">Type of target. Can be absolute or intensity based GHG emission reduction target. </t>
  </si>
  <si>
    <t>production_metric</t>
  </si>
  <si>
    <t>Mt CO2</t>
  </si>
  <si>
    <t>Emission Metrics</t>
  </si>
  <si>
    <t>Production Metrics</t>
  </si>
  <si>
    <t>emission_metric</t>
  </si>
  <si>
    <t>Emissions Metric (typically CO2)</t>
  </si>
  <si>
    <t>Intensity Metric (unit of output measured for sector)</t>
  </si>
  <si>
    <r>
      <rPr>
        <b/>
        <sz val="11"/>
        <color rgb="FF000000"/>
        <rFont val="Calibri"/>
        <family val="2"/>
        <scheme val="minor"/>
      </rPr>
      <t xml:space="preserve">CO2: </t>
    </r>
    <r>
      <rPr>
        <sz val="11"/>
        <color rgb="FF000000"/>
        <rFont val="Calibri"/>
        <family val="2"/>
        <scheme val="minor"/>
      </rPr>
      <t>kg CO2, t CO2, Mt CO2, Gt CO2, etc.</t>
    </r>
  </si>
  <si>
    <r>
      <rPr>
        <b/>
        <sz val="11"/>
        <color rgb="FF000000"/>
        <rFont val="Calibri"/>
        <family val="2"/>
        <scheme val="minor"/>
      </rPr>
      <t>Electricity</t>
    </r>
    <r>
      <rPr>
        <sz val="11"/>
        <color indexed="8"/>
        <rFont val="Calibri"/>
        <family val="2"/>
        <scheme val="minor"/>
      </rPr>
      <t xml:space="preserve">:  MWh, TWh, GJ, PJ; 
</t>
    </r>
    <r>
      <rPr>
        <b/>
        <sz val="11"/>
        <color rgb="FF000000"/>
        <rFont val="Calibri"/>
        <family val="2"/>
        <scheme val="minor"/>
      </rPr>
      <t xml:space="preserve">Steel: </t>
    </r>
    <r>
      <rPr>
        <sz val="11"/>
        <color indexed="8"/>
        <rFont val="Calibri"/>
        <family val="2"/>
        <scheme val="minor"/>
      </rPr>
      <t xml:space="preserve">Fe_ton, M Fe_ton </t>
    </r>
  </si>
  <si>
    <t>emissions_metric</t>
  </si>
  <si>
    <t>ITR input data</t>
  </si>
  <si>
    <t>Input tab</t>
  </si>
  <si>
    <t>ITR target input data</t>
  </si>
  <si>
    <t>Electricity Utilities</t>
  </si>
  <si>
    <t>t CO2</t>
  </si>
  <si>
    <t>MWh</t>
  </si>
  <si>
    <t>ALLETE, Inc.</t>
  </si>
  <si>
    <t>549300NNLSIMY6Z8OT86</t>
  </si>
  <si>
    <t>US0185223007</t>
  </si>
  <si>
    <t>549300T12EZ1F6PWWU29</t>
  </si>
  <si>
    <t>CA</t>
  </si>
  <si>
    <t>Alliant Energy</t>
  </si>
  <si>
    <t>5493009ML300G373MZ12</t>
  </si>
  <si>
    <t>US0188021085</t>
  </si>
  <si>
    <t>Ameren Corp.</t>
  </si>
  <si>
    <t>XRZQ5S7HYJFPHJ78L959</t>
  </si>
  <si>
    <t>US0236081024</t>
  </si>
  <si>
    <t>American Electric Power Co., Inc.</t>
  </si>
  <si>
    <t>1B4S6S7G0TW5EE83BO58</t>
  </si>
  <si>
    <t>US0255371017</t>
  </si>
  <si>
    <t>Avangrid, Inc.</t>
  </si>
  <si>
    <t>549300OX0Q38NLSKPB49</t>
  </si>
  <si>
    <t>US05351W1036</t>
  </si>
  <si>
    <t>Black Hills Corp.</t>
  </si>
  <si>
    <t>3MGELCRSTNSAMJ962671</t>
  </si>
  <si>
    <t>US0921131092</t>
  </si>
  <si>
    <t>CARPENTER TECHNOLOGY CORP</t>
  </si>
  <si>
    <t>DX6I6ZD3X5WNNCDJKP85</t>
  </si>
  <si>
    <t>US1442851036</t>
  </si>
  <si>
    <t>Steel</t>
  </si>
  <si>
    <t>Fe_ton</t>
  </si>
  <si>
    <t>CMS Energy Corp.</t>
  </si>
  <si>
    <t>549300IA9XFBAGNIBW29</t>
  </si>
  <si>
    <t>US1258961002</t>
  </si>
  <si>
    <t>COMMERCIAL METALS CO</t>
  </si>
  <si>
    <t>549300OQS2LO07ZJ7N73</t>
  </si>
  <si>
    <t>US2017231034</t>
  </si>
  <si>
    <t>Cleco Partners LP</t>
  </si>
  <si>
    <t>5493002H80P81B3HXL31</t>
  </si>
  <si>
    <t>US18551QAA58</t>
  </si>
  <si>
    <t>Consolidated Edison, Inc.</t>
  </si>
  <si>
    <t>54930033SBW53OO8T749</t>
  </si>
  <si>
    <t>US2091151041</t>
  </si>
  <si>
    <t>DTE Energy</t>
  </si>
  <si>
    <t>549300IX8SD6XXD71I78</t>
  </si>
  <si>
    <t>US2333311072</t>
  </si>
  <si>
    <t>Dominion Energy</t>
  </si>
  <si>
    <t>ILUL7B6Z54MRYCF6H308</t>
  </si>
  <si>
    <t>US25746U1097</t>
  </si>
  <si>
    <t>Duke Energy Corp.</t>
  </si>
  <si>
    <t>I1BZKREC126H0VB1BL91</t>
  </si>
  <si>
    <t>US26441C2044</t>
  </si>
  <si>
    <t>Entergy Corp.</t>
  </si>
  <si>
    <t>4XM3TW50JULSLG8BNC79</t>
  </si>
  <si>
    <t>US29364G1031</t>
  </si>
  <si>
    <t>Evergy, Inc.</t>
  </si>
  <si>
    <t>549300PGTHDQY6PSUI61</t>
  </si>
  <si>
    <t>US30034W1062</t>
  </si>
  <si>
    <t>Eversource Energy</t>
  </si>
  <si>
    <t>SJ7XXD41SQU3ZNWUJ746</t>
  </si>
  <si>
    <t>US30040W1080</t>
  </si>
  <si>
    <t>Exelon Corp.</t>
  </si>
  <si>
    <t>3SOUA6IRML7435B56G12</t>
  </si>
  <si>
    <t>US30161N1019</t>
  </si>
  <si>
    <t>FirstEnergy Corp.</t>
  </si>
  <si>
    <t>549300SVYJS666PQJH88</t>
  </si>
  <si>
    <t>US3379321074</t>
  </si>
  <si>
    <t>Fortis, Inc.</t>
  </si>
  <si>
    <t>549300MQYQ9Y065XPR71</t>
  </si>
  <si>
    <t>CA3495531079</t>
  </si>
  <si>
    <t>GERDAU S.A.</t>
  </si>
  <si>
    <t>254900YDV6SEQQPZVG24</t>
  </si>
  <si>
    <t>US3737371050</t>
  </si>
  <si>
    <t>BR</t>
  </si>
  <si>
    <t>Hawaiian Electric Industries, Inc.</t>
  </si>
  <si>
    <t>JJ8FWOCWCV22X7GUPJ23</t>
  </si>
  <si>
    <t>US4198701009</t>
  </si>
  <si>
    <t>MDU Resources Group</t>
  </si>
  <si>
    <t>0T6SBMK3JTBI1JR36794</t>
  </si>
  <si>
    <t>US5526901096</t>
  </si>
  <si>
    <t>NUCOR CORP</t>
  </si>
  <si>
    <t>549300GGJCRSI2TIEJ46</t>
  </si>
  <si>
    <t>US6703461052</t>
  </si>
  <si>
    <t>National Grid PLC</t>
  </si>
  <si>
    <t>8R95QZMKZLJX5Q2XR704</t>
  </si>
  <si>
    <t>US6362744095</t>
  </si>
  <si>
    <t>GB</t>
  </si>
  <si>
    <t>Europe</t>
  </si>
  <si>
    <t>Northwestern Corp.</t>
  </si>
  <si>
    <t>3BPWMBHR1R9SHUN7J795</t>
  </si>
  <si>
    <t>US6680743050</t>
  </si>
  <si>
    <t>OG&amp;E Energy Corp.</t>
  </si>
  <si>
    <t>CE5OG6JPOZMDSA0LAQ19</t>
  </si>
  <si>
    <t>US6708371033</t>
  </si>
  <si>
    <t>PG&amp;E Corp.</t>
  </si>
  <si>
    <t>8YQ2GSDWYZXO2EDN3511</t>
  </si>
  <si>
    <t>US69331C1080</t>
  </si>
  <si>
    <t>PNM Resources, Inc.</t>
  </si>
  <si>
    <t>5493003JOBJGLZSDDQ28</t>
  </si>
  <si>
    <t>US69349H1077</t>
  </si>
  <si>
    <t>POSCO</t>
  </si>
  <si>
    <t>988400E5HRVX81AYLM04</t>
  </si>
  <si>
    <t>KR7005490008</t>
  </si>
  <si>
    <t>KR</t>
  </si>
  <si>
    <t>PPL Corp.</t>
  </si>
  <si>
    <t>9N3UAJSNOUXFKQLF3V18</t>
  </si>
  <si>
    <t>US69351T1060</t>
  </si>
  <si>
    <t>Pinnacle West Capital Corp.</t>
  </si>
  <si>
    <t>TWSEY0NEDUDCKS27AH81</t>
  </si>
  <si>
    <t>US7234841010</t>
  </si>
  <si>
    <t>Portland General Electric Co.</t>
  </si>
  <si>
    <t>GJOUP9M7C39GLSK9R870</t>
  </si>
  <si>
    <t>US7365088472</t>
  </si>
  <si>
    <t>Public Service Enterprise Group</t>
  </si>
  <si>
    <t>PUSS41EMO3E6XXNV3U28</t>
  </si>
  <si>
    <t>US7445731067</t>
  </si>
  <si>
    <t>STEEL DYNAMICS INC</t>
  </si>
  <si>
    <t>549300HGGKEL4FYTTQ83</t>
  </si>
  <si>
    <t>US8581191009</t>
  </si>
  <si>
    <t>Sempra</t>
  </si>
  <si>
    <t>PBBKGKLRK5S5C0Y4T545</t>
  </si>
  <si>
    <t>US8168511090</t>
  </si>
  <si>
    <t>Southern Co.</t>
  </si>
  <si>
    <t>549300FC3G3YU2FBZD92</t>
  </si>
  <si>
    <t>US8425871071</t>
  </si>
  <si>
    <t>TC Energy Corp.</t>
  </si>
  <si>
    <t>549300UGKOFV2IWJJG27</t>
  </si>
  <si>
    <t>CA87807B1076</t>
  </si>
  <si>
    <t>TENARIS SA</t>
  </si>
  <si>
    <t>549300Y7C05BKC4HZB40</t>
  </si>
  <si>
    <t>US88031M1099</t>
  </si>
  <si>
    <t>LU</t>
  </si>
  <si>
    <t>TIMKENSTEEL CORP</t>
  </si>
  <si>
    <t>549300QZTZWHDE9HJL14</t>
  </si>
  <si>
    <t>US8873991033</t>
  </si>
  <si>
    <t>UNITED STATES STEEL CORP</t>
  </si>
  <si>
    <t>JNLUVFYJT1OZSIQ24U47</t>
  </si>
  <si>
    <t>US9129091081</t>
  </si>
  <si>
    <t>WEC Energy Group</t>
  </si>
  <si>
    <t>549300IGLYTZUK3PVP70</t>
  </si>
  <si>
    <t>US92939U1060</t>
  </si>
  <si>
    <t>Xcel Energy, Inc.</t>
  </si>
  <si>
    <t>LGJNMI9GH8XIDG5RCM61</t>
  </si>
  <si>
    <t>US98389B1008</t>
  </si>
  <si>
    <t>S1</t>
  </si>
  <si>
    <t>absolute</t>
  </si>
  <si>
    <t>S1+S2</t>
  </si>
  <si>
    <t>GWh</t>
  </si>
  <si>
    <t>S1+S2+S3</t>
  </si>
  <si>
    <t>t CO2/Fe_ton</t>
  </si>
  <si>
    <t>t CO2/MWh</t>
  </si>
  <si>
    <t>TWh</t>
  </si>
  <si>
    <t>company_isin</t>
  </si>
  <si>
    <t>investment_value</t>
  </si>
  <si>
    <t>netzero_year</t>
  </si>
  <si>
    <t>Global</t>
  </si>
  <si>
    <t>TERNIUM S.A.</t>
  </si>
  <si>
    <t>529900QG4KU23TEI2E46</t>
  </si>
  <si>
    <t>US8808901081</t>
  </si>
  <si>
    <t>CLEVELAND-CLIFFS INC</t>
  </si>
  <si>
    <t>549300TM2WLI2BJMDD86</t>
  </si>
  <si>
    <t>US1858991011</t>
  </si>
  <si>
    <t>Edison International</t>
  </si>
  <si>
    <t>549300I7ROF15MAEVP56</t>
  </si>
  <si>
    <t>US2810201077</t>
  </si>
  <si>
    <t>NextEra Energy, Inc.</t>
  </si>
  <si>
    <t>UMI46YPGBLUE4VGNNT48</t>
  </si>
  <si>
    <t>US65339F1012</t>
  </si>
  <si>
    <t>Nisource Inc.</t>
  </si>
  <si>
    <t>549300D8GOWWH0SJB189</t>
  </si>
  <si>
    <t>US65473P1057</t>
  </si>
  <si>
    <t>lb CO2/MWh</t>
  </si>
  <si>
    <t>Versant Power</t>
  </si>
  <si>
    <t>NQZVQT2P5IUF2PGA1Q48</t>
  </si>
  <si>
    <t>CA2908761018</t>
  </si>
  <si>
    <t>Vistra Corp.</t>
  </si>
  <si>
    <t>549300KP43CPCUJOOG15</t>
  </si>
  <si>
    <t>US92840M1027</t>
  </si>
  <si>
    <t>WORTHINGTON INDUSTRIES INC</t>
  </si>
  <si>
    <t>1WRCIANKYOIK6KYE5E82</t>
  </si>
  <si>
    <t>US9818111026</t>
  </si>
  <si>
    <t>NIPPON STEEL CORP</t>
  </si>
  <si>
    <t>35380065QWQ4U2V3PA33</t>
  </si>
  <si>
    <t>JP3381000003</t>
  </si>
  <si>
    <t>Asia</t>
  </si>
  <si>
    <t>JP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</si>
</sst>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00"/>
  </numFmts>
  <fonts count="27">
    <font>
      <sz val="11"/>
      <color indexed="8"/>
      <name val="Calibri"/>
      <family val="2"/>
      <scheme val="minor"/>
    </font>
    <font>
      <sz val="8"/>
      <name val="Calibri"/>
      <family val="2"/>
      <scheme val="minor"/>
    </font>
    <font>
      <b/>
      <sz val="11"/>
      <color indexed="8"/>
      <name val="Calibri"/>
      <family val="2"/>
      <scheme val="minor"/>
    </font>
    <font>
      <sz val="11"/>
      <color rgb="FFFF0000"/>
      <name val="Calibri"/>
      <family val="2"/>
      <scheme val="minor"/>
    </font>
    <font>
      <sz val="11"/>
      <color theme="0" tint="-0.34998626667073579"/>
      <name val="Calibri (Body)"/>
    </font>
    <font>
      <b/>
      <sz val="11"/>
      <name val="Calibri"/>
      <family val="2"/>
      <scheme val="minor"/>
    </font>
    <font>
      <b/>
      <sz val="11"/>
      <color theme="0" tint="-0.34998626667073579"/>
      <name val="Calibri"/>
      <family val="2"/>
      <scheme val="minor"/>
    </font>
    <font>
      <sz val="11"/>
      <color theme="0" tint="-0.34998626667073579"/>
      <name val="Calibri"/>
      <family val="2"/>
      <scheme val="minor"/>
    </font>
    <font>
      <sz val="11"/>
      <name val="Calibri"/>
      <family val="2"/>
      <scheme val="minor"/>
    </font>
    <font>
      <b/>
      <sz val="11"/>
      <color rgb="FF000000"/>
      <name val="Calibri"/>
      <family val="2"/>
      <scheme val="minor"/>
    </font>
    <font>
      <sz val="11"/>
      <color rgb="FF000000"/>
      <name val="Calibri"/>
      <family val="2"/>
      <scheme val="minor"/>
    </font>
    <font>
      <i/>
      <sz val="11"/>
      <color rgb="FFFF0000"/>
      <name val="Calibri"/>
      <family val="2"/>
      <scheme val="minor"/>
    </font>
    <font>
      <b/>
      <i/>
      <sz val="11"/>
      <color theme="0" tint="-0.499984740745262"/>
      <name val="Calibri"/>
      <family val="2"/>
      <scheme val="minor"/>
    </font>
    <font>
      <i/>
      <sz val="11"/>
      <color theme="0" tint="-0.499984740745262"/>
      <name val="Calibri"/>
      <family val="2"/>
      <scheme val="minor"/>
    </font>
    <font>
      <i/>
      <sz val="11"/>
      <color indexed="8"/>
      <name val="Calibri"/>
      <family val="2"/>
      <scheme val="minor"/>
    </font>
    <font>
      <b/>
      <sz val="11"/>
      <color theme="0" tint="-0.499984740745262"/>
      <name val="Calibri"/>
      <family val="2"/>
      <scheme val="minor"/>
    </font>
    <font>
      <sz val="10"/>
      <color indexed="8"/>
      <name val="Liberation Sans"/>
    </font>
    <font>
      <i/>
      <sz val="11"/>
      <color theme="1"/>
      <name val="Calibri"/>
      <family val="2"/>
      <scheme val="minor"/>
    </font>
    <font>
      <i/>
      <sz val="11"/>
      <color theme="1"/>
      <name val="Calibri (Body)"/>
    </font>
    <font>
      <sz val="10"/>
      <color theme="1"/>
      <name val="Liberation Sans"/>
    </font>
    <font>
      <sz val="10"/>
      <color rgb="FF000000"/>
      <name val="Tahoma"/>
      <family val="2"/>
    </font>
    <font>
      <b/>
      <sz val="10"/>
      <color rgb="FF000000"/>
      <name val="Tahoma"/>
      <family val="2"/>
    </font>
    <font>
      <sz val="11"/>
      <color theme="1"/>
      <name val="Calibri"/>
      <family val="2"/>
    </font>
    <font>
      <sz val="11"/>
      <color rgb="FF232323"/>
      <name val="Arial"/>
      <family val="2"/>
    </font>
    <font>
      <sz val="11"/>
      <name val="Calibri"/>
      <family val="2"/>
    </font>
    <font>
      <sz val="10"/>
      <color rgb="FF000000"/>
      <name val="Calibri"/>
      <family val="2"/>
    </font>
    <font>
      <sz val="10"/>
      <color indexed="8"/>
      <name val="ArialMT"/>
    </font>
  </fonts>
  <fills count="16">
    <fill>
      <patternFill patternType="none"/>
    </fill>
    <fill>
      <patternFill patternType="gray125"/>
    </fill>
    <fill>
      <patternFill patternType="solid">
        <fgColor theme="7" tint="0.79998168889431442"/>
        <bgColor indexed="64"/>
      </patternFill>
    </fill>
    <fill>
      <patternFill patternType="solid">
        <fgColor theme="7"/>
        <bgColor indexed="64"/>
      </patternFill>
    </fill>
    <fill>
      <patternFill patternType="solid">
        <fgColor theme="9" tint="0.39997558519241921"/>
        <bgColor indexed="64"/>
      </patternFill>
    </fill>
    <fill>
      <patternFill patternType="solid">
        <fgColor theme="5"/>
        <bgColor indexed="64"/>
      </patternFill>
    </fill>
    <fill>
      <patternFill patternType="solid">
        <fgColor theme="6"/>
        <bgColor indexed="64"/>
      </patternFill>
    </fill>
    <fill>
      <patternFill patternType="solid">
        <fgColor theme="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4"/>
        <bgColor indexed="64"/>
      </patternFill>
    </fill>
    <fill>
      <patternFill patternType="solid">
        <fgColor theme="0" tint="-0.49998474074526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rgb="FFFFC000"/>
        <bgColor rgb="FF000000"/>
      </patternFill>
    </fill>
    <fill>
      <patternFill patternType="solid">
        <fgColor rgb="FFFFC000"/>
        <bgColor indexed="64"/>
      </patternFill>
    </fill>
  </fills>
  <borders count="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91">
    <xf numFmtId="0" fontId="0" fillId="0" borderId="0" xfId="0"/>
    <xf numFmtId="0" fontId="0" fillId="0" borderId="0" xfId="0" applyAlignment="1">
      <alignment wrapText="1"/>
    </xf>
    <xf numFmtId="0" fontId="0" fillId="0" borderId="0" xfId="0" applyFill="1"/>
    <xf numFmtId="0" fontId="2" fillId="0" borderId="0" xfId="0" applyFont="1"/>
    <xf numFmtId="0" fontId="4" fillId="0" borderId="0" xfId="0" applyFont="1"/>
    <xf numFmtId="164" fontId="0" fillId="0" borderId="0" xfId="0" applyNumberFormat="1"/>
    <xf numFmtId="0" fontId="0" fillId="0" borderId="0" xfId="0" applyBorder="1" applyAlignment="1">
      <alignment vertical="center" wrapText="1"/>
    </xf>
    <xf numFmtId="0" fontId="0" fillId="0" borderId="0" xfId="0" applyBorder="1"/>
    <xf numFmtId="0" fontId="0" fillId="0" borderId="0" xfId="0" applyBorder="1" applyAlignment="1">
      <alignment wrapText="1"/>
    </xf>
    <xf numFmtId="0" fontId="0" fillId="0" borderId="0" xfId="0" applyFill="1" applyBorder="1"/>
    <xf numFmtId="0" fontId="2" fillId="3" borderId="0" xfId="0" applyFont="1" applyFill="1"/>
    <xf numFmtId="164" fontId="2" fillId="3" borderId="0" xfId="0" applyNumberFormat="1" applyFont="1" applyFill="1"/>
    <xf numFmtId="0" fontId="2" fillId="4" borderId="0" xfId="0" applyFont="1" applyFill="1"/>
    <xf numFmtId="0" fontId="2" fillId="5" borderId="0" xfId="0" applyFont="1" applyFill="1"/>
    <xf numFmtId="0" fontId="2" fillId="7" borderId="0" xfId="0" applyFont="1" applyFill="1"/>
    <xf numFmtId="0" fontId="2" fillId="6" borderId="0" xfId="0" applyFont="1" applyFill="1"/>
    <xf numFmtId="0" fontId="2" fillId="2" borderId="2" xfId="0" applyFont="1" applyFill="1" applyBorder="1"/>
    <xf numFmtId="0" fontId="2" fillId="2" borderId="2" xfId="0" applyFont="1" applyFill="1" applyBorder="1" applyAlignment="1">
      <alignment wrapText="1"/>
    </xf>
    <xf numFmtId="0" fontId="2" fillId="2" borderId="3" xfId="0" applyFont="1" applyFill="1" applyBorder="1"/>
    <xf numFmtId="0" fontId="5" fillId="4" borderId="0" xfId="0" applyFont="1" applyFill="1"/>
    <xf numFmtId="0" fontId="3" fillId="0" borderId="0" xfId="0" applyFont="1"/>
    <xf numFmtId="0" fontId="0" fillId="0" borderId="0" xfId="0" applyFill="1" applyBorder="1" applyAlignment="1">
      <alignment wrapText="1"/>
    </xf>
    <xf numFmtId="0" fontId="2" fillId="7" borderId="0" xfId="0" applyFont="1" applyFill="1" applyAlignment="1">
      <alignment wrapText="1"/>
    </xf>
    <xf numFmtId="0" fontId="2" fillId="8" borderId="0" xfId="0" applyFont="1" applyFill="1" applyAlignment="1">
      <alignment wrapText="1"/>
    </xf>
    <xf numFmtId="0" fontId="7" fillId="0" borderId="0" xfId="0" applyFont="1"/>
    <xf numFmtId="0" fontId="6" fillId="3" borderId="0" xfId="0" applyFont="1" applyFill="1"/>
    <xf numFmtId="0" fontId="8" fillId="0" borderId="0" xfId="0" applyFont="1"/>
    <xf numFmtId="0" fontId="5" fillId="9" borderId="0" xfId="0" applyFont="1" applyFill="1"/>
    <xf numFmtId="0" fontId="13" fillId="0" borderId="0" xfId="0" applyFont="1" applyBorder="1" applyAlignment="1">
      <alignment vertical="center" wrapText="1"/>
    </xf>
    <xf numFmtId="0" fontId="13" fillId="0" borderId="0" xfId="0" applyFont="1" applyBorder="1"/>
    <xf numFmtId="0" fontId="13" fillId="0" borderId="0" xfId="0" applyFont="1" applyFill="1" applyBorder="1"/>
    <xf numFmtId="0" fontId="0" fillId="6" borderId="0" xfId="0" applyFill="1" applyBorder="1" applyAlignment="1">
      <alignment vertical="center"/>
    </xf>
    <xf numFmtId="0" fontId="2" fillId="0" borderId="0" xfId="0" applyFont="1" applyFill="1" applyBorder="1" applyAlignment="1">
      <alignment horizontal="left" vertical="center" wrapText="1"/>
    </xf>
    <xf numFmtId="0" fontId="0" fillId="0" borderId="0" xfId="0" applyBorder="1" applyAlignment="1">
      <alignment vertical="center"/>
    </xf>
    <xf numFmtId="0" fontId="0" fillId="0" borderId="0" xfId="0" applyAlignment="1">
      <alignment vertical="center"/>
    </xf>
    <xf numFmtId="0" fontId="12" fillId="8" borderId="0" xfId="0" applyFont="1" applyFill="1" applyAlignment="1">
      <alignment wrapText="1"/>
    </xf>
    <xf numFmtId="0" fontId="13" fillId="0" borderId="0" xfId="0" applyFont="1" applyFill="1"/>
    <xf numFmtId="0" fontId="12" fillId="6" borderId="0" xfId="0" applyFont="1" applyFill="1"/>
    <xf numFmtId="0" fontId="2" fillId="2" borderId="1" xfId="0" applyFont="1" applyFill="1" applyBorder="1" applyAlignment="1">
      <alignment vertical="center"/>
    </xf>
    <xf numFmtId="0" fontId="2" fillId="2" borderId="2" xfId="0" applyFont="1" applyFill="1" applyBorder="1" applyAlignment="1">
      <alignment vertical="center" wrapText="1"/>
    </xf>
    <xf numFmtId="0" fontId="0" fillId="3" borderId="0" xfId="0" applyFill="1" applyAlignment="1">
      <alignment vertical="center"/>
    </xf>
    <xf numFmtId="0" fontId="2" fillId="0" borderId="0" xfId="0" applyFont="1" applyBorder="1" applyAlignment="1">
      <alignment horizontal="left" vertical="center" wrapText="1"/>
    </xf>
    <xf numFmtId="0" fontId="12" fillId="0" borderId="0" xfId="0" applyFont="1" applyBorder="1" applyAlignment="1">
      <alignment horizontal="left" vertical="center" wrapText="1"/>
    </xf>
    <xf numFmtId="164" fontId="2" fillId="0" borderId="0" xfId="0" applyNumberFormat="1" applyFont="1" applyBorder="1" applyAlignment="1">
      <alignment horizontal="left" vertical="center" wrapText="1"/>
    </xf>
    <xf numFmtId="0" fontId="0" fillId="4" borderId="0" xfId="0" applyFont="1" applyFill="1" applyAlignment="1">
      <alignment vertical="center"/>
    </xf>
    <xf numFmtId="0" fontId="8" fillId="9" borderId="0" xfId="0" applyFont="1" applyFill="1" applyAlignment="1">
      <alignment vertical="center"/>
    </xf>
    <xf numFmtId="0" fontId="0" fillId="10" borderId="0" xfId="0" applyFill="1" applyBorder="1" applyAlignment="1">
      <alignment vertical="center" wrapText="1"/>
    </xf>
    <xf numFmtId="0" fontId="2" fillId="7" borderId="0" xfId="0" applyFont="1" applyFill="1" applyAlignment="1">
      <alignment vertical="center" wrapText="1"/>
    </xf>
    <xf numFmtId="0" fontId="2" fillId="8" borderId="0" xfId="0" applyFont="1" applyFill="1" applyAlignment="1">
      <alignment vertical="center" wrapText="1"/>
    </xf>
    <xf numFmtId="0" fontId="2" fillId="11" borderId="0" xfId="0" applyFont="1" applyFill="1" applyAlignment="1">
      <alignment vertical="center" wrapText="1"/>
    </xf>
    <xf numFmtId="0" fontId="0" fillId="5" borderId="0" xfId="0" applyFill="1" applyBorder="1" applyAlignment="1">
      <alignment vertical="center" wrapText="1"/>
    </xf>
    <xf numFmtId="0" fontId="0" fillId="0" borderId="0" xfId="0" applyAlignment="1">
      <alignment vertical="center" wrapText="1"/>
    </xf>
    <xf numFmtId="0" fontId="12" fillId="7" borderId="0" xfId="0" applyFont="1" applyFill="1"/>
    <xf numFmtId="0" fontId="11" fillId="0" borderId="0" xfId="0" applyFont="1" applyFill="1"/>
    <xf numFmtId="0" fontId="11" fillId="0" borderId="0" xfId="0" applyFont="1"/>
    <xf numFmtId="0" fontId="11" fillId="0" borderId="0" xfId="0" applyFont="1" applyBorder="1" applyAlignment="1">
      <alignment wrapText="1"/>
    </xf>
    <xf numFmtId="0" fontId="14" fillId="0" borderId="0" xfId="0" applyFont="1" applyBorder="1"/>
    <xf numFmtId="0" fontId="11" fillId="0" borderId="0" xfId="0" applyFont="1" applyFill="1" applyBorder="1" applyAlignment="1">
      <alignment wrapText="1"/>
    </xf>
    <xf numFmtId="0" fontId="12" fillId="0" borderId="0" xfId="0" applyFont="1" applyFill="1" applyBorder="1" applyAlignment="1">
      <alignment horizontal="left" vertical="center" wrapText="1"/>
    </xf>
    <xf numFmtId="0" fontId="13" fillId="0" borderId="0" xfId="0" applyFont="1" applyBorder="1" applyAlignment="1">
      <alignment wrapText="1"/>
    </xf>
    <xf numFmtId="0" fontId="0" fillId="0" borderId="0" xfId="0"/>
    <xf numFmtId="0" fontId="15" fillId="4" borderId="0" xfId="0" applyFont="1" applyFill="1"/>
    <xf numFmtId="9" fontId="11" fillId="0" borderId="0" xfId="0" applyNumberFormat="1" applyFont="1"/>
    <xf numFmtId="0" fontId="10" fillId="0" borderId="0" xfId="0" applyFont="1" applyBorder="1" applyAlignment="1">
      <alignment vertical="center" wrapText="1"/>
    </xf>
    <xf numFmtId="0" fontId="2" fillId="10" borderId="0" xfId="0" applyFont="1" applyFill="1" applyBorder="1" applyAlignment="1">
      <alignment vertical="center" wrapText="1"/>
    </xf>
    <xf numFmtId="0" fontId="0" fillId="0" borderId="0" xfId="0" applyFont="1" applyBorder="1" applyAlignment="1">
      <alignment horizontal="left" vertical="center" wrapText="1"/>
    </xf>
    <xf numFmtId="0" fontId="0" fillId="0" borderId="0" xfId="0" applyFont="1" applyFill="1" applyBorder="1" applyAlignment="1">
      <alignment horizontal="left" vertical="center" wrapText="1"/>
    </xf>
    <xf numFmtId="0" fontId="10" fillId="0" borderId="0" xfId="0" applyFont="1"/>
    <xf numFmtId="0" fontId="0" fillId="12" borderId="0" xfId="0" applyFill="1"/>
    <xf numFmtId="0" fontId="16" fillId="0" borderId="0" xfId="0" applyFont="1"/>
    <xf numFmtId="0" fontId="17" fillId="0" borderId="0" xfId="0" applyFont="1"/>
    <xf numFmtId="0" fontId="18" fillId="0" borderId="0" xfId="0" applyFont="1"/>
    <xf numFmtId="0" fontId="19" fillId="0" borderId="0" xfId="0" applyFont="1"/>
    <xf numFmtId="9" fontId="17" fillId="0" borderId="0" xfId="0" applyNumberFormat="1" applyFont="1"/>
    <xf numFmtId="9" fontId="0" fillId="0" borderId="0" xfId="0" applyNumberFormat="1"/>
    <xf numFmtId="3" fontId="0" fillId="0" borderId="0" xfId="0" applyNumberFormat="1"/>
    <xf numFmtId="0" fontId="0" fillId="13" borderId="0" xfId="0" applyFill="1"/>
    <xf numFmtId="3" fontId="0" fillId="0" borderId="0" xfId="0" applyNumberFormat="1" applyFill="1"/>
    <xf numFmtId="3" fontId="23" fillId="0" borderId="0" xfId="0" applyNumberFormat="1" applyFont="1"/>
    <xf numFmtId="3" fontId="24" fillId="0" borderId="0" xfId="0" applyNumberFormat="1" applyFont="1" applyAlignment="1">
      <alignment horizontal="right" vertical="top"/>
    </xf>
    <xf numFmtId="3" fontId="22" fillId="0" borderId="0" xfId="0" applyNumberFormat="1" applyFont="1" applyAlignment="1">
      <alignment horizontal="right" vertical="top"/>
    </xf>
    <xf numFmtId="3" fontId="0" fillId="0" borderId="0" xfId="0" applyNumberFormat="1" applyAlignment="1">
      <alignment vertical="top"/>
    </xf>
    <xf numFmtId="3" fontId="0" fillId="0" borderId="0" xfId="0" applyNumberFormat="1" applyAlignment="1">
      <alignment horizontal="right" vertical="center"/>
    </xf>
    <xf numFmtId="3" fontId="22" fillId="0" borderId="0" xfId="0" applyNumberFormat="1" applyFont="1" applyFill="1" applyAlignment="1">
      <alignment horizontal="right" vertical="top"/>
    </xf>
    <xf numFmtId="0" fontId="9" fillId="14" borderId="0" xfId="0" applyFont="1" applyFill="1"/>
    <xf numFmtId="3" fontId="26" fillId="0" borderId="0" xfId="0" applyNumberFormat="1" applyFont="1"/>
    <xf numFmtId="165" fontId="0" fillId="0" borderId="0" xfId="0" applyNumberFormat="1"/>
    <xf numFmtId="0" fontId="0" fillId="15" borderId="0" xfId="0" applyFill="1"/>
    <xf numFmtId="0" fontId="8" fillId="15" borderId="0" xfId="0" applyFont="1" applyFill="1"/>
    <xf numFmtId="9" fontId="8" fillId="15" borderId="0" xfId="0" applyNumberFormat="1" applyFont="1" applyFill="1"/>
    <xf numFmtId="3" fontId="3"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0</xdr:col>
      <xdr:colOff>425450</xdr:colOff>
      <xdr:row>1</xdr:row>
      <xdr:rowOff>57149</xdr:rowOff>
    </xdr:from>
    <xdr:to>
      <xdr:col>10</xdr:col>
      <xdr:colOff>63500</xdr:colOff>
      <xdr:row>52</xdr:row>
      <xdr:rowOff>118532</xdr:rowOff>
    </xdr:to>
    <xdr:sp macro="" textlink="">
      <xdr:nvSpPr>
        <xdr:cNvPr id="2" name="TextBox 1">
          <a:extLst>
            <a:ext uri="{FF2B5EF4-FFF2-40B4-BE49-F238E27FC236}">
              <a16:creationId xmlns:a16="http://schemas.microsoft.com/office/drawing/2014/main" id="{BB4DA1BD-925A-4AB4-9F0D-EC4CB4895AFB}"/>
            </a:ext>
          </a:extLst>
        </xdr:cNvPr>
        <xdr:cNvSpPr txBox="1"/>
      </xdr:nvSpPr>
      <xdr:spPr>
        <a:xfrm>
          <a:off x="425450" y="247649"/>
          <a:ext cx="6369050" cy="97768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ITR</a:t>
          </a:r>
          <a:r>
            <a:rPr lang="en-US" sz="1100" b="1" baseline="0"/>
            <a:t> Input data template </a:t>
          </a:r>
        </a:p>
        <a:p>
          <a:endParaRPr lang="en-US" sz="1100" b="1" baseline="0"/>
        </a:p>
        <a:p>
          <a:r>
            <a:rPr lang="en-US" sz="1100" b="0" baseline="0"/>
            <a:t>The ITR tool can compute the temperature alignment equivalent for companies in four highest emitting sectors: Utilities, Steel, Oil and Gas and Automobiles.</a:t>
          </a:r>
        </a:p>
        <a:p>
          <a:endParaRPr lang="en-US" sz="1100" b="0" baseline="0"/>
        </a:p>
        <a:p>
          <a:r>
            <a:rPr lang="en-US" sz="1100" b="0" i="0">
              <a:solidFill>
                <a:schemeClr val="dk1"/>
              </a:solidFill>
              <a:effectLst/>
              <a:latin typeface="+mn-lt"/>
              <a:ea typeface="+mn-ea"/>
              <a:cs typeface="+mn-cs"/>
            </a:rPr>
            <a:t>To calculate  temperature alignment</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scores, the tool requires several types of data, in 2 separate tabs:</a:t>
          </a:r>
          <a:endParaRPr lang="en-US">
            <a:effectLst/>
          </a:endParaRPr>
        </a:p>
        <a:p>
          <a:r>
            <a:rPr lang="en-US" sz="1100" b="0" i="1">
              <a:solidFill>
                <a:schemeClr val="dk1"/>
              </a:solidFill>
              <a:effectLst/>
              <a:latin typeface="+mn-lt"/>
              <a:ea typeface="+mn-ea"/>
              <a:cs typeface="+mn-cs"/>
            </a:rPr>
            <a:t>- </a:t>
          </a:r>
          <a:r>
            <a:rPr lang="en-US" sz="1100" b="0" i="1" u="sng">
              <a:solidFill>
                <a:schemeClr val="dk1"/>
              </a:solidFill>
              <a:effectLst/>
              <a:latin typeface="+mn-lt"/>
              <a:ea typeface="+mn-ea"/>
              <a:cs typeface="+mn-cs"/>
            </a:rPr>
            <a:t>ITR</a:t>
          </a:r>
          <a:r>
            <a:rPr lang="en-US" sz="1100" b="0" i="1" u="sng" baseline="0">
              <a:solidFill>
                <a:schemeClr val="dk1"/>
              </a:solidFill>
              <a:effectLst/>
              <a:latin typeface="+mn-lt"/>
              <a:ea typeface="+mn-ea"/>
              <a:cs typeface="+mn-cs"/>
            </a:rPr>
            <a:t> Input data</a:t>
          </a:r>
          <a:r>
            <a:rPr lang="en-US" sz="1100" b="0" i="0" baseline="0">
              <a:solidFill>
                <a:schemeClr val="dk1"/>
              </a:solidFill>
              <a:effectLst/>
              <a:latin typeface="+mn-lt"/>
              <a:ea typeface="+mn-ea"/>
              <a:cs typeface="+mn-cs"/>
            </a:rPr>
            <a:t>:</a:t>
          </a:r>
          <a:endParaRPr lang="en-US">
            <a:effectLst/>
          </a:endParaRPr>
        </a:p>
        <a:p>
          <a:r>
            <a:rPr lang="en-US" sz="1100" b="1" i="0">
              <a:solidFill>
                <a:schemeClr val="dk1"/>
              </a:solidFill>
              <a:effectLst/>
              <a:latin typeface="+mn-lt"/>
              <a:ea typeface="+mn-ea"/>
              <a:cs typeface="+mn-cs"/>
            </a:rPr>
            <a:t>Fundamental data:</a:t>
          </a:r>
          <a:r>
            <a:rPr lang="en-US" sz="1100" b="1" i="0" baseline="0">
              <a:solidFill>
                <a:schemeClr val="dk1"/>
              </a:solidFill>
              <a:effectLst/>
              <a:latin typeface="+mn-lt"/>
              <a:ea typeface="+mn-ea"/>
              <a:cs typeface="+mn-cs"/>
            </a:rPr>
            <a:t> </a:t>
          </a:r>
          <a:r>
            <a:rPr lang="en-US" sz="1100" b="0" i="0">
              <a:solidFill>
                <a:schemeClr val="dk1"/>
              </a:solidFill>
              <a:effectLst/>
              <a:latin typeface="+mn-lt"/>
              <a:ea typeface="+mn-ea"/>
              <a:cs typeface="+mn-cs"/>
            </a:rPr>
            <a:t>information on a security level about your investments such as name, identifiers, and investment values.</a:t>
          </a:r>
          <a:endParaRPr lang="en-US">
            <a:effectLst/>
          </a:endParaRPr>
        </a:p>
        <a:p>
          <a:r>
            <a:rPr lang="en-US" sz="1100" b="1" i="0">
              <a:solidFill>
                <a:schemeClr val="dk1"/>
              </a:solidFill>
              <a:effectLst/>
              <a:latin typeface="+mn-lt"/>
              <a:ea typeface="+mn-ea"/>
              <a:cs typeface="+mn-cs"/>
            </a:rPr>
            <a:t>Emissions</a:t>
          </a:r>
          <a:r>
            <a:rPr lang="en-US" sz="1100" b="1" i="0" baseline="0">
              <a:solidFill>
                <a:schemeClr val="dk1"/>
              </a:solidFill>
              <a:effectLst/>
              <a:latin typeface="+mn-lt"/>
              <a:ea typeface="+mn-ea"/>
              <a:cs typeface="+mn-cs"/>
            </a:rPr>
            <a:t> data: </a:t>
          </a:r>
          <a:r>
            <a:rPr lang="en-US" sz="1100" b="0" i="0">
              <a:solidFill>
                <a:schemeClr val="dk1"/>
              </a:solidFill>
              <a:effectLst/>
              <a:latin typeface="+mn-lt"/>
              <a:ea typeface="+mn-ea"/>
              <a:cs typeface="+mn-cs"/>
            </a:rPr>
            <a:t>Reported GHG emissions for the past 5 years (timeseries)</a:t>
          </a:r>
          <a:r>
            <a:rPr lang="en-US" sz="1100" b="0" i="0" baseline="0">
              <a:solidFill>
                <a:schemeClr val="dk1"/>
              </a:solidFill>
              <a:effectLst/>
              <a:latin typeface="+mn-lt"/>
              <a:ea typeface="+mn-ea"/>
              <a:cs typeface="+mn-cs"/>
            </a:rPr>
            <a:t> for scope 1 and scope 2 of investee companies </a:t>
          </a:r>
          <a:endParaRPr lang="en-US">
            <a:effectLst/>
          </a:endParaRPr>
        </a:p>
        <a:p>
          <a:r>
            <a:rPr lang="en-US" sz="1100" b="1" i="0" baseline="0">
              <a:solidFill>
                <a:schemeClr val="dk1"/>
              </a:solidFill>
              <a:effectLst/>
              <a:latin typeface="+mn-lt"/>
              <a:ea typeface="+mn-ea"/>
              <a:cs typeface="+mn-cs"/>
            </a:rPr>
            <a:t>Production data</a:t>
          </a:r>
          <a:r>
            <a:rPr lang="en-US" sz="1100" b="0" i="0" baseline="0">
              <a:solidFill>
                <a:schemeClr val="dk1"/>
              </a:solidFill>
              <a:effectLst/>
              <a:latin typeface="+mn-lt"/>
              <a:ea typeface="+mn-ea"/>
              <a:cs typeface="+mn-cs"/>
            </a:rPr>
            <a:t>: reported production data specific to each sector of investee companies, for the past 5 years</a:t>
          </a:r>
          <a:endParaRPr lang="en-US">
            <a:effectLst/>
          </a:endParaRPr>
        </a:p>
        <a:p>
          <a:r>
            <a:rPr lang="en-US" sz="1100" b="0" i="1" baseline="0">
              <a:solidFill>
                <a:schemeClr val="dk1"/>
              </a:solidFill>
              <a:effectLst/>
              <a:latin typeface="+mn-lt"/>
              <a:ea typeface="+mn-ea"/>
              <a:cs typeface="+mn-cs"/>
            </a:rPr>
            <a:t>- </a:t>
          </a:r>
          <a:r>
            <a:rPr lang="en-US" sz="1100" b="0" i="1" u="sng" baseline="0">
              <a:solidFill>
                <a:schemeClr val="dk1"/>
              </a:solidFill>
              <a:effectLst/>
              <a:latin typeface="+mn-lt"/>
              <a:ea typeface="+mn-ea"/>
              <a:cs typeface="+mn-cs"/>
            </a:rPr>
            <a:t>ITR Target input data:</a:t>
          </a:r>
          <a:endParaRPr lang="en-US">
            <a:effectLst/>
          </a:endParaRPr>
        </a:p>
        <a:p>
          <a:pPr eaLnBrk="1" fontAlgn="auto" latinLnBrk="0" hangingPunct="1"/>
          <a:r>
            <a:rPr lang="en-US" sz="1100" b="1" i="0">
              <a:solidFill>
                <a:schemeClr val="dk1"/>
              </a:solidFill>
              <a:effectLst/>
              <a:latin typeface="+mn-lt"/>
              <a:ea typeface="+mn-ea"/>
              <a:cs typeface="+mn-cs"/>
            </a:rPr>
            <a:t>Target data: </a:t>
          </a:r>
          <a:r>
            <a:rPr lang="en-US" sz="1100" b="0" i="0">
              <a:solidFill>
                <a:schemeClr val="dk1"/>
              </a:solidFill>
              <a:effectLst/>
              <a:latin typeface="+mn-lt"/>
              <a:ea typeface="+mn-ea"/>
              <a:cs typeface="+mn-cs"/>
            </a:rPr>
            <a:t>Data about the</a:t>
          </a:r>
          <a:r>
            <a:rPr lang="en-US" sz="1100" b="0" i="0" baseline="0">
              <a:solidFill>
                <a:schemeClr val="dk1"/>
              </a:solidFill>
              <a:effectLst/>
              <a:latin typeface="+mn-lt"/>
              <a:ea typeface="+mn-ea"/>
              <a:cs typeface="+mn-cs"/>
            </a:rPr>
            <a:t> scope &amp; characteristics of the target set by</a:t>
          </a:r>
          <a:r>
            <a:rPr lang="en-US" sz="1100" b="0" i="0">
              <a:solidFill>
                <a:schemeClr val="dk1"/>
              </a:solidFill>
              <a:effectLst/>
              <a:latin typeface="+mn-lt"/>
              <a:ea typeface="+mn-ea"/>
              <a:cs typeface="+mn-cs"/>
            </a:rPr>
            <a:t> investee companies</a:t>
          </a:r>
          <a:endParaRPr lang="en-US">
            <a:effectLst/>
          </a:endParaRPr>
        </a:p>
        <a:p>
          <a:endParaRPr lang="en-US" sz="1100" b="1" i="0" baseline="0">
            <a:solidFill>
              <a:schemeClr val="dk1"/>
            </a:solidFill>
            <a:effectLst/>
            <a:latin typeface="+mn-lt"/>
            <a:ea typeface="+mn-ea"/>
            <a:cs typeface="+mn-cs"/>
          </a:endParaRPr>
        </a:p>
        <a:p>
          <a:r>
            <a:rPr lang="en-US" sz="1100" b="0" i="0">
              <a:solidFill>
                <a:schemeClr val="dk1"/>
              </a:solidFill>
              <a:effectLst/>
              <a:latin typeface="+mn-lt"/>
              <a:ea typeface="+mn-ea"/>
              <a:cs typeface="+mn-cs"/>
            </a:rPr>
            <a:t>As a user,</a:t>
          </a:r>
          <a:r>
            <a:rPr lang="en-US" sz="1100" b="0" i="0" baseline="0">
              <a:solidFill>
                <a:schemeClr val="dk1"/>
              </a:solidFill>
              <a:effectLst/>
              <a:latin typeface="+mn-lt"/>
              <a:ea typeface="+mn-ea"/>
              <a:cs typeface="+mn-cs"/>
            </a:rPr>
            <a:t> you will need to supply information about the portfolio and all investee companies on a security level in the "</a:t>
          </a:r>
          <a:r>
            <a:rPr lang="en-US" sz="1100" b="1" i="0" baseline="0">
              <a:solidFill>
                <a:schemeClr val="dk1"/>
              </a:solidFill>
              <a:effectLst/>
              <a:latin typeface="+mn-lt"/>
              <a:ea typeface="+mn-ea"/>
              <a:cs typeface="+mn-cs"/>
            </a:rPr>
            <a:t>ITR input data</a:t>
          </a:r>
          <a:r>
            <a:rPr lang="en-US" sz="1100" b="0" i="0" baseline="0">
              <a:solidFill>
                <a:schemeClr val="dk1"/>
              </a:solidFill>
              <a:effectLst/>
              <a:latin typeface="+mn-lt"/>
              <a:ea typeface="+mn-ea"/>
              <a:cs typeface="+mn-cs"/>
            </a:rPr>
            <a:t>" tab and in the "</a:t>
          </a:r>
          <a:r>
            <a:rPr lang="en-US" sz="1100" b="1" i="0" baseline="0">
              <a:solidFill>
                <a:schemeClr val="dk1"/>
              </a:solidFill>
              <a:effectLst/>
              <a:latin typeface="+mn-lt"/>
              <a:ea typeface="+mn-ea"/>
              <a:cs typeface="+mn-cs"/>
            </a:rPr>
            <a:t>ITR target input data</a:t>
          </a:r>
          <a:r>
            <a:rPr lang="en-US" sz="1100" b="0" i="0" baseline="0">
              <a:solidFill>
                <a:schemeClr val="dk1"/>
              </a:solidFill>
              <a:effectLst/>
              <a:latin typeface="+mn-lt"/>
              <a:ea typeface="+mn-ea"/>
              <a:cs typeface="+mn-cs"/>
            </a:rPr>
            <a:t>" tab. The </a:t>
          </a:r>
          <a:r>
            <a:rPr lang="en-US" sz="1100" b="1" i="0" baseline="0">
              <a:solidFill>
                <a:schemeClr val="dk1"/>
              </a:solidFill>
              <a:effectLst/>
              <a:latin typeface="+mn-lt"/>
              <a:ea typeface="+mn-ea"/>
              <a:cs typeface="+mn-cs"/>
            </a:rPr>
            <a:t>input data </a:t>
          </a:r>
          <a:r>
            <a:rPr lang="en-US" sz="1100" b="0" i="0" baseline="0">
              <a:solidFill>
                <a:schemeClr val="dk1"/>
              </a:solidFill>
              <a:effectLst/>
              <a:latin typeface="+mn-lt"/>
              <a:ea typeface="+mn-ea"/>
              <a:cs typeface="+mn-cs"/>
            </a:rPr>
            <a:t>includes both fundamental data as well as historic information on emissions and production levels for the past 5 years that are required to compute ITR results.</a:t>
          </a:r>
          <a:r>
            <a:rPr lang="en-US" sz="1100" b="0" i="0">
              <a:solidFill>
                <a:schemeClr val="dk1"/>
              </a:solidFill>
              <a:effectLst/>
              <a:latin typeface="+mn-lt"/>
              <a:ea typeface="+mn-ea"/>
              <a:cs typeface="+mn-cs"/>
            </a:rPr>
            <a:t> The target data includes </a:t>
          </a:r>
          <a:r>
            <a:rPr lang="en-US" sz="1100" b="1" i="0">
              <a:solidFill>
                <a:schemeClr val="dk1"/>
              </a:solidFill>
              <a:effectLst/>
              <a:latin typeface="+mn-lt"/>
              <a:ea typeface="+mn-ea"/>
              <a:cs typeface="+mn-cs"/>
            </a:rPr>
            <a:t>reduction ambition, scope, begin and end year of the target </a:t>
          </a:r>
          <a:r>
            <a:rPr lang="en-US" sz="1100" b="0" i="0">
              <a:solidFill>
                <a:schemeClr val="dk1"/>
              </a:solidFill>
              <a:effectLst/>
              <a:latin typeface="+mn-lt"/>
              <a:ea typeface="+mn-ea"/>
              <a:cs typeface="+mn-cs"/>
            </a:rPr>
            <a:t>also required</a:t>
          </a:r>
          <a:r>
            <a:rPr lang="en-US" sz="1100" b="0" i="0" baseline="0">
              <a:solidFill>
                <a:schemeClr val="dk1"/>
              </a:solidFill>
              <a:effectLst/>
              <a:latin typeface="+mn-lt"/>
              <a:ea typeface="+mn-ea"/>
              <a:cs typeface="+mn-cs"/>
            </a:rPr>
            <a:t> to compute the ITR result. </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Once you have filled the input and target templates... </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tool comes with several scenarios related to emission intensity and production projections from OECM and TPI.  It is possible to add other benchmark scenarios to the tool, but beyond the scope of this document.</a:t>
          </a:r>
        </a:p>
        <a:p>
          <a:r>
            <a:rPr lang="en-US" sz="1100" b="0" i="0" baseline="0">
              <a:solidFill>
                <a:schemeClr val="dk1"/>
              </a:solidFill>
              <a:effectLst/>
              <a:latin typeface="+mn-lt"/>
              <a:ea typeface="+mn-ea"/>
              <a:cs typeface="+mn-cs"/>
            </a:rPr>
            <a:t>Please contact the ITR tool team if you would like to add additional scenarios for testing or evaluation purposes.</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tool will compute projections based on benchmark projections, as well as both stated targets (target projections) and an extrapolation of the past 5 years of performance (trajectory projections).  The target projections are computed against both near-term (typically 2030) and long-term goals (stated netzero attainment goals, typically 2040 or 2050). With those projections computed, the tool will calculate the Implied Temperature Rise of each portfolio company as pair of temperature scores that that the user can then evaluate in a number of ways.</a:t>
          </a:r>
          <a:endParaRPr lang="en-US" sz="1100" b="0" i="0" baseline="0">
            <a:solidFill>
              <a:srgbClr val="FF0000"/>
            </a:solidFill>
            <a:effectLst/>
            <a:latin typeface="+mn-lt"/>
            <a:ea typeface="+mn-ea"/>
            <a:cs typeface="+mn-cs"/>
          </a:endParaRP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Output:</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GUI of the tool allows the user to assign, on a position-by-position basis,  a probability that the subject company will succeed in hitting their (presumably more aggressive) stated targets vs. merely continuing on the path of the past 5 years of carbon reductions.  When probabilities are not set the tool assigns a probability of 50%.</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user can also select how they want to weight each position's temperature score to compute an overall temperature score for their portfolio.  The effects of the weightings can be visualized in the tools GUI, and can also be downloaded as an additional column of data as an enrichment to the submitted portfolio.  The weighting methods are:</a:t>
          </a:r>
        </a:p>
        <a:p>
          <a:r>
            <a:rPr lang="en-US" sz="1100" b="0" i="0" baseline="0">
              <a:solidFill>
                <a:schemeClr val="dk1"/>
              </a:solidFill>
              <a:effectLst/>
              <a:latin typeface="+mn-lt"/>
              <a:ea typeface="+mn-ea"/>
              <a:cs typeface="+mn-cs"/>
            </a:rPr>
            <a:t>* WATS = weighted average size of position in portfolio</a:t>
          </a:r>
        </a:p>
        <a:p>
          <a:r>
            <a:rPr lang="en-US" sz="1100" b="0" i="0" baseline="0">
              <a:solidFill>
                <a:schemeClr val="dk1"/>
              </a:solidFill>
              <a:effectLst/>
              <a:latin typeface="+mn-lt"/>
              <a:ea typeface="+mn-ea"/>
              <a:cs typeface="+mn-cs"/>
            </a:rPr>
            <a:t>* TETS = weighted based on total emissions</a:t>
          </a:r>
        </a:p>
        <a:p>
          <a:r>
            <a:rPr lang="en-US" sz="1100" b="0" i="0" baseline="0">
              <a:solidFill>
                <a:schemeClr val="dk1"/>
              </a:solidFill>
              <a:effectLst/>
              <a:latin typeface="+mn-lt"/>
              <a:ea typeface="+mn-ea"/>
              <a:cs typeface="+mn-cs"/>
            </a:rPr>
            <a:t>* MOTS = market cap weights</a:t>
          </a:r>
        </a:p>
        <a:p>
          <a:r>
            <a:rPr lang="en-US" sz="1100" b="0" i="0" baseline="0">
              <a:solidFill>
                <a:schemeClr val="dk1"/>
              </a:solidFill>
              <a:effectLst/>
              <a:latin typeface="+mn-lt"/>
              <a:ea typeface="+mn-ea"/>
              <a:cs typeface="+mn-cs"/>
            </a:rPr>
            <a:t>* EOTS = enterprise value weights</a:t>
          </a:r>
        </a:p>
        <a:p>
          <a:r>
            <a:rPr lang="en-US" sz="1100" b="0" i="0" baseline="0">
              <a:solidFill>
                <a:schemeClr val="dk1"/>
              </a:solidFill>
              <a:effectLst/>
              <a:latin typeface="+mn-lt"/>
              <a:ea typeface="+mn-ea"/>
              <a:cs typeface="+mn-cs"/>
            </a:rPr>
            <a:t>* ECOTS = EVIC weights</a:t>
          </a:r>
        </a:p>
        <a:p>
          <a:r>
            <a:rPr lang="en-US" sz="1100" b="0" i="0" baseline="0">
              <a:solidFill>
                <a:schemeClr val="dk1"/>
              </a:solidFill>
              <a:effectLst/>
              <a:latin typeface="+mn-lt"/>
              <a:ea typeface="+mn-ea"/>
              <a:cs typeface="+mn-cs"/>
            </a:rPr>
            <a:t>* AOTS = asset weights</a:t>
          </a:r>
        </a:p>
        <a:p>
          <a:r>
            <a:rPr lang="en-US" sz="1100" b="0" i="0" baseline="0">
              <a:solidFill>
                <a:schemeClr val="dk1"/>
              </a:solidFill>
              <a:effectLst/>
              <a:latin typeface="+mn-lt"/>
              <a:ea typeface="+mn-ea"/>
              <a:cs typeface="+mn-cs"/>
            </a:rPr>
            <a:t>* ROTS = revenue weights</a:t>
          </a:r>
          <a:endParaRPr lang="en-US" sz="1100" b="0" i="0" baseline="0">
            <a:solidFill>
              <a:schemeClr val="accent2"/>
            </a:solidFill>
            <a:effectLst/>
            <a:latin typeface="+mn-lt"/>
            <a:ea typeface="+mn-ea"/>
            <a:cs typeface="+mn-cs"/>
          </a:endParaRPr>
        </a:p>
        <a:p>
          <a:endParaRPr lang="en-US" sz="1100" b="0" i="0" baseline="0">
            <a:solidFill>
              <a:schemeClr val="dk1"/>
            </a:solidFill>
            <a:effectLst/>
            <a:latin typeface="+mn-lt"/>
            <a:ea typeface="+mn-ea"/>
            <a:cs typeface="+mn-cs"/>
          </a:endParaRPr>
        </a:p>
        <a:p>
          <a:r>
            <a:rPr lang="en-US" sz="1100" b="0" i="1" baseline="0">
              <a:solidFill>
                <a:schemeClr val="dk1"/>
              </a:solidFill>
              <a:effectLst/>
              <a:latin typeface="+mn-lt"/>
              <a:ea typeface="+mn-ea"/>
              <a:cs typeface="+mn-cs"/>
            </a:rPr>
            <a:t>If you have any questions, please reach out to: </a:t>
          </a:r>
        </a:p>
        <a:p>
          <a:r>
            <a:rPr lang="en-US" sz="1100" b="0" i="0" baseline="0">
              <a:solidFill>
                <a:schemeClr val="dk1"/>
              </a:solidFill>
              <a:effectLst/>
              <a:latin typeface="+mn-lt"/>
              <a:ea typeface="+mn-ea"/>
              <a:cs typeface="+mn-cs"/>
            </a:rPr>
            <a:t>Franz.Croonenbrock@metafinanz.de</a:t>
          </a:r>
        </a:p>
        <a:p>
          <a:r>
            <a:rPr lang="en-US" sz="1100" b="0" i="0" baseline="0">
              <a:solidFill>
                <a:schemeClr val="dk1"/>
              </a:solidFill>
              <a:effectLst/>
              <a:latin typeface="+mn-lt"/>
              <a:ea typeface="+mn-ea"/>
              <a:cs typeface="+mn-cs"/>
            </a:rPr>
            <a:t>roland.oehen-kanzow@metafinanz.de</a:t>
          </a:r>
        </a:p>
        <a:p>
          <a:endParaRPr lang="en-US" sz="1100" b="0" i="0" baseline="0">
            <a:solidFill>
              <a:schemeClr val="dk1"/>
            </a:solidFill>
            <a:effectLst/>
            <a:latin typeface="+mn-lt"/>
            <a:ea typeface="+mn-ea"/>
            <a:cs typeface="+mn-cs"/>
          </a:endParaRPr>
        </a:p>
      </xdr:txBody>
    </xdr:sp>
    <xdr:clientData/>
  </xdr:twoCellAnchor>
</xdr:wsDr>
</file>

<file path=xl/persons/person.xml><?xml version="1.0" encoding="utf-8"?>
<personList xmlns="http://schemas.microsoft.com/office/spreadsheetml/2018/threadedcomments" xmlns:x="http://schemas.openxmlformats.org/spreadsheetml/2006/main">
  <person displayName="Michael Tiemann" id="{5980BEB0-FDC7-2249-B312-9B671A9E62E0}" userId="95be421ca493d6bd"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50" dT="2022-04-17T20:43:16.40" personId="{5980BEB0-FDC7-2249-B312-9B671A9E62E0}" id="{1552FDB1-B469-5E43-9D59-0C000C5BD6F5}">
    <text>Created target based on ME Netzero goal</text>
  </threadedComment>
</ThreadedComments>
</file>

<file path=xl/threadedComments/threadedComment2.xml><?xml version="1.0" encoding="utf-8"?>
<ThreadedComments xmlns="http://schemas.microsoft.com/office/spreadsheetml/2018/threadedcomments" xmlns:x="http://schemas.openxmlformats.org/spreadsheetml/2006/main">
  <threadedComment ref="D64" dT="2022-04-17T20:41:53.75" personId="{5980BEB0-FDC7-2249-B312-9B671A9E62E0}" id="{8747483F-B5A8-A24A-A61D-346EDF701B94}">
    <text>Announced March 2022</text>
  </threadedComment>
  <threadedComment ref="L64" dT="2022-04-17T20:41:35.41" personId="{5980BEB0-FDC7-2249-B312-9B671A9E62E0}" id="{4D3E799C-4A4B-294D-9638-E65AF3840917}">
    <text>Just a guess</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022A1-1FB4-4C34-9A96-60091C6220F6}">
  <dimension ref="L20:R20"/>
  <sheetViews>
    <sheetView zoomScale="200" zoomScaleNormal="200" workbookViewId="0"/>
  </sheetViews>
  <sheetFormatPr defaultColWidth="8.7109375" defaultRowHeight="15"/>
  <sheetData>
    <row r="20" spans="12:18">
      <c r="L20" s="2"/>
      <c r="M20" s="2"/>
      <c r="N20" s="2"/>
      <c r="O20" s="2"/>
      <c r="P20" s="2"/>
      <c r="Q20" s="2"/>
      <c r="R20" s="2"/>
    </row>
  </sheetData>
  <pageMargins left="0.7" right="0.7" top="0.75" bottom="0.75" header="0.3" footer="0.3"/>
  <pageSetup paperSize="9" orientation="portrait" r:id="rId1"/>
  <headerFooter>
    <oddHeader>&amp;C&amp;"Calibri"&amp;10&amp;K000000Confidential&amp;1#</oddHead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77C2D-751E-4405-8B8F-EC57999324C2}">
  <sheetPr>
    <pageSetUpPr fitToPage="1"/>
  </sheetPr>
  <dimension ref="A1:AZ61"/>
  <sheetViews>
    <sheetView zoomScale="60" zoomScaleNormal="60" workbookViewId="0">
      <pane xSplit="1" ySplit="1" topLeftCell="B19" activePane="bottomRight" state="frozen"/>
      <selection pane="topRight" activeCell="B1" sqref="B1"/>
      <selection pane="bottomLeft" activeCell="A2" sqref="A2"/>
      <selection pane="bottomRight" activeCell="J56" sqref="J56"/>
    </sheetView>
  </sheetViews>
  <sheetFormatPr defaultColWidth="16.42578125" defaultRowHeight="15"/>
  <cols>
    <col min="2" max="2" width="25.42578125" style="4" customWidth="1"/>
    <col min="5" max="5" width="16.42578125" style="24"/>
    <col min="7" max="7" width="16.42578125" style="4"/>
    <col min="9" max="9" width="16.42578125" style="5"/>
    <col min="14" max="14" width="25.7109375" customWidth="1"/>
    <col min="15" max="15" width="25.7109375" style="60" customWidth="1"/>
    <col min="16" max="16" width="22.140625" customWidth="1"/>
    <col min="17" max="21" width="16.42578125" customWidth="1"/>
    <col min="22" max="22" width="16.42578125" style="2" customWidth="1"/>
    <col min="23" max="23" width="16.42578125" style="36" customWidth="1"/>
    <col min="24" max="29" width="16.42578125" style="2" customWidth="1"/>
    <col min="30" max="30" width="16.42578125" style="36" customWidth="1"/>
    <col min="31" max="37" width="16.42578125" style="2" customWidth="1"/>
    <col min="38" max="44" width="16.42578125" style="2"/>
    <col min="45" max="49" width="16.7109375" style="2" customWidth="1"/>
    <col min="50" max="16384" width="16.42578125" style="2"/>
  </cols>
  <sheetData>
    <row r="1" spans="1:52" s="3" customFormat="1">
      <c r="A1" s="10" t="s">
        <v>56</v>
      </c>
      <c r="B1" s="10" t="s">
        <v>57</v>
      </c>
      <c r="C1" s="10" t="s">
        <v>1</v>
      </c>
      <c r="D1" s="10" t="s">
        <v>6</v>
      </c>
      <c r="E1" s="25" t="s">
        <v>7</v>
      </c>
      <c r="F1" s="10" t="s">
        <v>27</v>
      </c>
      <c r="G1" s="25" t="s">
        <v>31</v>
      </c>
      <c r="H1" s="10" t="s">
        <v>63</v>
      </c>
      <c r="I1" s="11" t="s">
        <v>42</v>
      </c>
      <c r="J1" s="10" t="s">
        <v>39</v>
      </c>
      <c r="K1" s="10" t="s">
        <v>38</v>
      </c>
      <c r="L1" s="10" t="s">
        <v>40</v>
      </c>
      <c r="M1" s="10" t="s">
        <v>29</v>
      </c>
      <c r="N1" s="10" t="s">
        <v>41</v>
      </c>
      <c r="O1" s="64" t="s">
        <v>136</v>
      </c>
      <c r="P1" s="64" t="s">
        <v>127</v>
      </c>
      <c r="Q1" s="15" t="s">
        <v>16</v>
      </c>
      <c r="R1" s="15" t="s">
        <v>17</v>
      </c>
      <c r="S1" s="15" t="s">
        <v>18</v>
      </c>
      <c r="T1" s="15" t="s">
        <v>19</v>
      </c>
      <c r="U1" s="15" t="s">
        <v>20</v>
      </c>
      <c r="V1" s="15" t="s">
        <v>44</v>
      </c>
      <c r="W1" s="37" t="s">
        <v>51</v>
      </c>
      <c r="X1" s="23" t="s">
        <v>21</v>
      </c>
      <c r="Y1" s="23" t="s">
        <v>22</v>
      </c>
      <c r="Z1" s="23" t="s">
        <v>23</v>
      </c>
      <c r="AA1" s="23" t="s">
        <v>24</v>
      </c>
      <c r="AB1" s="23" t="s">
        <v>25</v>
      </c>
      <c r="AC1" s="23" t="s">
        <v>30</v>
      </c>
      <c r="AD1" s="35" t="s">
        <v>52</v>
      </c>
      <c r="AE1" s="22" t="s">
        <v>45</v>
      </c>
      <c r="AF1" s="14" t="s">
        <v>46</v>
      </c>
      <c r="AG1" s="14" t="s">
        <v>47</v>
      </c>
      <c r="AH1" s="14" t="s">
        <v>48</v>
      </c>
      <c r="AI1" s="14" t="s">
        <v>49</v>
      </c>
      <c r="AJ1" s="14" t="s">
        <v>50</v>
      </c>
      <c r="AK1" s="52" t="s">
        <v>53</v>
      </c>
      <c r="AL1" s="15" t="s">
        <v>67</v>
      </c>
      <c r="AM1" s="15" t="s">
        <v>68</v>
      </c>
      <c r="AN1" s="15" t="s">
        <v>69</v>
      </c>
      <c r="AO1" s="15" t="s">
        <v>70</v>
      </c>
      <c r="AP1" s="15" t="s">
        <v>71</v>
      </c>
      <c r="AQ1" s="15" t="s">
        <v>72</v>
      </c>
      <c r="AR1" s="37" t="s">
        <v>73</v>
      </c>
      <c r="AS1" s="13" t="s">
        <v>32</v>
      </c>
      <c r="AT1" s="13" t="s">
        <v>33</v>
      </c>
      <c r="AU1" s="13" t="s">
        <v>34</v>
      </c>
      <c r="AV1" s="13" t="s">
        <v>35</v>
      </c>
      <c r="AW1" s="13" t="s">
        <v>36</v>
      </c>
      <c r="AX1" s="13" t="s">
        <v>37</v>
      </c>
      <c r="AY1" s="13" t="s">
        <v>54</v>
      </c>
    </row>
    <row r="2" spans="1:52">
      <c r="A2" s="60" t="s">
        <v>58</v>
      </c>
      <c r="B2" s="4" t="s">
        <v>59</v>
      </c>
      <c r="C2" s="60" t="s">
        <v>60</v>
      </c>
      <c r="D2" s="60" t="s">
        <v>61</v>
      </c>
      <c r="E2" s="4"/>
      <c r="F2" s="60" t="s">
        <v>140</v>
      </c>
      <c r="G2" s="4" t="s">
        <v>64</v>
      </c>
      <c r="H2" s="60" t="s">
        <v>65</v>
      </c>
      <c r="I2" s="5">
        <v>44196</v>
      </c>
      <c r="J2" s="60">
        <v>9420000000</v>
      </c>
      <c r="K2" s="60">
        <v>10189000000</v>
      </c>
      <c r="L2" s="60">
        <v>8652000000</v>
      </c>
      <c r="M2" s="60">
        <v>9681000000</v>
      </c>
      <c r="N2" s="60">
        <v>33648000000</v>
      </c>
      <c r="O2" s="60" t="s">
        <v>141</v>
      </c>
      <c r="P2" s="60" t="s">
        <v>284</v>
      </c>
      <c r="Q2" s="53">
        <v>70457000</v>
      </c>
      <c r="R2" s="53">
        <v>59804000</v>
      </c>
      <c r="S2" s="53">
        <v>50291000</v>
      </c>
      <c r="T2" s="53">
        <v>45611000</v>
      </c>
      <c r="U2" s="53">
        <v>42961000</v>
      </c>
      <c r="V2" s="53"/>
      <c r="W2" s="53"/>
      <c r="X2" s="53">
        <v>306000</v>
      </c>
      <c r="Y2" s="53">
        <v>220000</v>
      </c>
      <c r="Z2" s="53">
        <v>314000</v>
      </c>
      <c r="AA2" s="53">
        <v>324000</v>
      </c>
      <c r="AB2" s="53">
        <v>254000</v>
      </c>
      <c r="AC2" s="53"/>
      <c r="AD2" s="53"/>
      <c r="AE2" s="68">
        <f t="shared" ref="AE2:AE8" si="0">IF(ISBLANK(Q2),IF(ISBLANK(X2),"",X2),Q2+X2)</f>
        <v>70763000</v>
      </c>
      <c r="AF2" s="68">
        <f t="shared" ref="AF2:AF8" si="1">IF(ISBLANK(R2),IF(ISBLANK(Y2),"",Y2),R2+Y2)</f>
        <v>60024000</v>
      </c>
      <c r="AG2" s="68">
        <f t="shared" ref="AG2:AG8" si="2">IF(ISBLANK(S2),IF(ISBLANK(Z2),"",Z2),S2+Z2)</f>
        <v>50605000</v>
      </c>
      <c r="AH2" s="68">
        <f t="shared" ref="AH2:AH8" si="3">IF(ISBLANK(T2),IF(ISBLANK(AA2),"",AA2),T2+AA2)</f>
        <v>45935000</v>
      </c>
      <c r="AI2" s="68">
        <f t="shared" ref="AI2:AI8" si="4">IF(ISBLANK(U2),IF(ISBLANK(AB2),"",AB2),U2+AB2)</f>
        <v>43215000</v>
      </c>
      <c r="AJ2" s="68" t="str">
        <f t="shared" ref="AJ2:AJ8" si="5">IF(ISBLANK(V2),IF(ISBLANK(AC2),"",AC2),V2+AC2)</f>
        <v/>
      </c>
      <c r="AK2" s="68" t="str">
        <f t="shared" ref="AK2:AK8" si="6">IF(ISBLANK(W2),IF(ISBLANK(AD2),"",AD2),W2+AD2)</f>
        <v/>
      </c>
      <c r="AL2" s="53">
        <v>5864000</v>
      </c>
      <c r="AM2" s="53">
        <f>13871000+800</f>
        <v>13871800</v>
      </c>
      <c r="AN2" s="53">
        <f>10070000+1100</f>
        <v>10071100</v>
      </c>
      <c r="AO2" s="53">
        <f>9972000+1200</f>
        <v>9973200</v>
      </c>
      <c r="AP2" s="53">
        <f>7269000+200</f>
        <v>7269200</v>
      </c>
      <c r="AQ2" s="53"/>
      <c r="AR2" s="53"/>
      <c r="AS2" s="60">
        <v>104312</v>
      </c>
      <c r="AT2" s="60">
        <f>(AS2+AU2)/2</f>
        <v>94148.97</v>
      </c>
      <c r="AU2" s="60">
        <v>83985.94</v>
      </c>
      <c r="AV2" s="60">
        <v>75904.354999999996</v>
      </c>
      <c r="AW2" s="60">
        <v>75271.521999999997</v>
      </c>
      <c r="AX2" s="53"/>
      <c r="AY2" s="53"/>
      <c r="AZ2" s="53"/>
    </row>
    <row r="3" spans="1:52" s="60" customFormat="1">
      <c r="A3" s="60" t="s">
        <v>143</v>
      </c>
      <c r="B3" s="4" t="s">
        <v>144</v>
      </c>
      <c r="C3" s="60" t="s">
        <v>145</v>
      </c>
      <c r="D3" s="60" t="s">
        <v>61</v>
      </c>
      <c r="E3" s="4" t="s">
        <v>62</v>
      </c>
      <c r="F3" s="60" t="s">
        <v>140</v>
      </c>
      <c r="G3" s="4" t="s">
        <v>64</v>
      </c>
      <c r="H3" s="60" t="s">
        <v>65</v>
      </c>
      <c r="I3" s="60">
        <v>2019</v>
      </c>
      <c r="J3" s="60">
        <v>4285299935</v>
      </c>
      <c r="K3" s="60">
        <v>1240500000</v>
      </c>
      <c r="L3" s="60">
        <v>5829799935</v>
      </c>
      <c r="M3" s="60">
        <v>5899099935</v>
      </c>
      <c r="N3" s="60">
        <v>5482800000</v>
      </c>
      <c r="O3" s="60" t="s">
        <v>128</v>
      </c>
      <c r="P3" s="60" t="s">
        <v>288</v>
      </c>
      <c r="Q3" s="60">
        <v>8.0287915246316786</v>
      </c>
      <c r="R3" s="60">
        <v>6.5660701667357149</v>
      </c>
      <c r="S3" s="60">
        <v>6.6220188674686282</v>
      </c>
      <c r="T3" s="60">
        <v>4.223366148933545</v>
      </c>
      <c r="U3" s="60">
        <v>3.7507315607425009</v>
      </c>
      <c r="X3" s="60">
        <v>0</v>
      </c>
      <c r="Y3" s="60">
        <v>0</v>
      </c>
      <c r="Z3" s="60">
        <v>0</v>
      </c>
      <c r="AA3" s="60">
        <v>0</v>
      </c>
      <c r="AB3" s="60">
        <v>0</v>
      </c>
      <c r="AE3" s="68">
        <f t="shared" si="0"/>
        <v>8.0287915246316786</v>
      </c>
      <c r="AF3" s="68">
        <f t="shared" si="1"/>
        <v>6.5660701667357149</v>
      </c>
      <c r="AG3" s="68">
        <f t="shared" si="2"/>
        <v>6.6220188674686282</v>
      </c>
      <c r="AH3" s="68">
        <f t="shared" si="3"/>
        <v>4.223366148933545</v>
      </c>
      <c r="AI3" s="68">
        <f t="shared" si="4"/>
        <v>3.7507315607425009</v>
      </c>
      <c r="AJ3" s="68" t="str">
        <f t="shared" si="5"/>
        <v/>
      </c>
      <c r="AK3" s="68" t="str">
        <f t="shared" si="6"/>
        <v/>
      </c>
      <c r="AS3" s="60">
        <v>10.311126979999999</v>
      </c>
      <c r="AT3" s="60">
        <v>9.0333661999999979</v>
      </c>
      <c r="AU3" s="60">
        <v>8.7434580000000022</v>
      </c>
      <c r="AV3" s="60">
        <v>6.4909061999999986</v>
      </c>
      <c r="AW3" s="60">
        <v>6.0783423999999977</v>
      </c>
    </row>
    <row r="4" spans="1:52" s="60" customFormat="1">
      <c r="A4" s="60" t="s">
        <v>148</v>
      </c>
      <c r="B4" s="4" t="s">
        <v>149</v>
      </c>
      <c r="C4" s="60" t="s">
        <v>150</v>
      </c>
      <c r="D4" s="60" t="s">
        <v>61</v>
      </c>
      <c r="E4" s="4" t="s">
        <v>62</v>
      </c>
      <c r="F4" s="60" t="s">
        <v>140</v>
      </c>
      <c r="G4" s="4" t="s">
        <v>64</v>
      </c>
      <c r="H4" s="60" t="s">
        <v>65</v>
      </c>
      <c r="I4" s="60">
        <v>2019</v>
      </c>
      <c r="J4" s="60">
        <v>11600000000</v>
      </c>
      <c r="K4" s="60">
        <v>3647700000</v>
      </c>
      <c r="L4" s="60">
        <v>18503600000</v>
      </c>
      <c r="M4" s="60">
        <v>18519900000</v>
      </c>
      <c r="N4" s="60">
        <v>16700700000</v>
      </c>
      <c r="O4" s="60" t="s">
        <v>128</v>
      </c>
      <c r="P4" s="60" t="s">
        <v>288</v>
      </c>
      <c r="Q4" s="60">
        <v>12.24708381789209</v>
      </c>
      <c r="R4" s="60">
        <v>13.5958064794906</v>
      </c>
      <c r="S4" s="60">
        <v>14.58042381532983</v>
      </c>
      <c r="T4" s="60">
        <v>11.098764958614</v>
      </c>
      <c r="U4" s="60">
        <v>11.037755852936691</v>
      </c>
      <c r="X4" s="60">
        <v>0</v>
      </c>
      <c r="Y4" s="60">
        <v>0</v>
      </c>
      <c r="Z4" s="60">
        <v>0</v>
      </c>
      <c r="AA4" s="60">
        <v>0</v>
      </c>
      <c r="AB4" s="60">
        <v>0</v>
      </c>
      <c r="AE4" s="68">
        <f t="shared" si="0"/>
        <v>12.24708381789209</v>
      </c>
      <c r="AF4" s="68">
        <f t="shared" si="1"/>
        <v>13.5958064794906</v>
      </c>
      <c r="AG4" s="68">
        <f t="shared" si="2"/>
        <v>14.58042381532983</v>
      </c>
      <c r="AH4" s="68">
        <f t="shared" si="3"/>
        <v>11.098764958614</v>
      </c>
      <c r="AI4" s="68">
        <f t="shared" si="4"/>
        <v>11.037755852936691</v>
      </c>
      <c r="AJ4" s="68" t="str">
        <f t="shared" si="5"/>
        <v/>
      </c>
      <c r="AK4" s="68" t="str">
        <f t="shared" si="6"/>
        <v/>
      </c>
      <c r="AS4" s="60">
        <v>16.476443515</v>
      </c>
      <c r="AT4" s="60">
        <v>18.56133809000001</v>
      </c>
      <c r="AU4" s="60">
        <v>21.66785186300001</v>
      </c>
      <c r="AV4" s="60">
        <v>20.524337211500001</v>
      </c>
      <c r="AW4" s="60">
        <v>22.008184385999989</v>
      </c>
    </row>
    <row r="5" spans="1:52" s="60" customFormat="1">
      <c r="A5" s="60" t="s">
        <v>151</v>
      </c>
      <c r="B5" s="4" t="s">
        <v>152</v>
      </c>
      <c r="C5" s="60" t="s">
        <v>153</v>
      </c>
      <c r="D5" s="60" t="s">
        <v>61</v>
      </c>
      <c r="E5" s="4" t="s">
        <v>62</v>
      </c>
      <c r="F5" s="60" t="s">
        <v>140</v>
      </c>
      <c r="G5" s="4" t="s">
        <v>64</v>
      </c>
      <c r="H5" s="60" t="s">
        <v>65</v>
      </c>
      <c r="I5" s="60">
        <v>2019</v>
      </c>
      <c r="J5" s="60">
        <v>18378774986</v>
      </c>
      <c r="K5" s="60">
        <v>5910000000</v>
      </c>
      <c r="L5" s="60">
        <v>27804774986</v>
      </c>
      <c r="M5" s="60">
        <v>27820774986</v>
      </c>
      <c r="N5" s="60">
        <v>28933000000</v>
      </c>
      <c r="O5" s="60" t="s">
        <v>128</v>
      </c>
      <c r="P5" s="60" t="s">
        <v>288</v>
      </c>
      <c r="Q5" s="60">
        <v>28.146923974777199</v>
      </c>
      <c r="R5" s="60">
        <v>31.187509563115409</v>
      </c>
      <c r="S5" s="60">
        <v>30.672013755673639</v>
      </c>
      <c r="T5" s="60">
        <v>23.409708274206508</v>
      </c>
      <c r="U5" s="60">
        <v>25.799494098497359</v>
      </c>
      <c r="X5" s="60">
        <v>0</v>
      </c>
      <c r="Y5" s="60">
        <v>0</v>
      </c>
      <c r="Z5" s="60">
        <v>0</v>
      </c>
      <c r="AA5" s="60">
        <v>0</v>
      </c>
      <c r="AB5" s="60">
        <v>0</v>
      </c>
      <c r="AE5" s="68">
        <f t="shared" si="0"/>
        <v>28.146923974777199</v>
      </c>
      <c r="AF5" s="68">
        <f t="shared" si="1"/>
        <v>31.187509563115409</v>
      </c>
      <c r="AG5" s="68">
        <f t="shared" si="2"/>
        <v>30.672013755673639</v>
      </c>
      <c r="AH5" s="68">
        <f t="shared" si="3"/>
        <v>23.409708274206508</v>
      </c>
      <c r="AI5" s="68">
        <f t="shared" si="4"/>
        <v>25.799494098497359</v>
      </c>
      <c r="AJ5" s="68" t="str">
        <f t="shared" si="5"/>
        <v/>
      </c>
      <c r="AK5" s="68" t="str">
        <f t="shared" si="6"/>
        <v/>
      </c>
      <c r="AS5" s="60">
        <v>38.509234999999997</v>
      </c>
      <c r="AT5" s="60">
        <v>40.953088000000022</v>
      </c>
      <c r="AU5" s="60">
        <v>42.757387999999963</v>
      </c>
      <c r="AV5" s="60">
        <v>35.416852999999961</v>
      </c>
      <c r="AW5" s="60">
        <v>35.824987000000007</v>
      </c>
    </row>
    <row r="6" spans="1:52" s="60" customFormat="1">
      <c r="A6" s="60" t="s">
        <v>154</v>
      </c>
      <c r="B6" s="4" t="s">
        <v>155</v>
      </c>
      <c r="C6" s="60" t="s">
        <v>156</v>
      </c>
      <c r="D6" s="60" t="s">
        <v>61</v>
      </c>
      <c r="E6" s="4" t="s">
        <v>62</v>
      </c>
      <c r="F6" s="60" t="s">
        <v>140</v>
      </c>
      <c r="G6" s="4" t="s">
        <v>64</v>
      </c>
      <c r="H6" s="60" t="s">
        <v>65</v>
      </c>
      <c r="I6" s="60">
        <v>2019</v>
      </c>
      <c r="J6" s="60">
        <v>43491855142</v>
      </c>
      <c r="K6" s="60">
        <v>15561400000</v>
      </c>
      <c r="L6" s="60">
        <v>73417055142</v>
      </c>
      <c r="M6" s="60">
        <v>73663855142</v>
      </c>
      <c r="N6" s="60">
        <v>75892300000</v>
      </c>
      <c r="O6" s="60" t="s">
        <v>128</v>
      </c>
      <c r="P6" s="60" t="s">
        <v>288</v>
      </c>
      <c r="Q6" s="60">
        <v>91.800593776570182</v>
      </c>
      <c r="R6" s="60">
        <v>66.975500250346016</v>
      </c>
      <c r="S6" s="60">
        <v>66.441625876883464</v>
      </c>
      <c r="T6" s="60">
        <v>58.130282313466502</v>
      </c>
      <c r="U6" s="60">
        <v>43.961627594786307</v>
      </c>
      <c r="X6" s="60">
        <v>0</v>
      </c>
      <c r="Y6" s="60">
        <v>0</v>
      </c>
      <c r="Z6" s="60">
        <v>0</v>
      </c>
      <c r="AA6" s="60">
        <v>0</v>
      </c>
      <c r="AB6" s="60">
        <v>0</v>
      </c>
      <c r="AE6" s="68">
        <f t="shared" si="0"/>
        <v>91.800593776570182</v>
      </c>
      <c r="AF6" s="68">
        <f t="shared" si="1"/>
        <v>66.975500250346016</v>
      </c>
      <c r="AG6" s="68">
        <f t="shared" si="2"/>
        <v>66.441625876883464</v>
      </c>
      <c r="AH6" s="68">
        <f t="shared" si="3"/>
        <v>58.130282313466502</v>
      </c>
      <c r="AI6" s="68">
        <f t="shared" si="4"/>
        <v>43.961627594786307</v>
      </c>
      <c r="AJ6" s="68" t="str">
        <f t="shared" si="5"/>
        <v/>
      </c>
      <c r="AK6" s="68" t="str">
        <f t="shared" si="6"/>
        <v/>
      </c>
      <c r="AS6" s="60">
        <v>127.7698075333</v>
      </c>
      <c r="AT6" s="60">
        <v>93.827355038848779</v>
      </c>
      <c r="AU6" s="60">
        <v>93.541288949491104</v>
      </c>
      <c r="AV6" s="60">
        <v>83.962493096499884</v>
      </c>
      <c r="AW6" s="60">
        <v>71.732567373299986</v>
      </c>
    </row>
    <row r="7" spans="1:52">
      <c r="A7" s="60" t="s">
        <v>157</v>
      </c>
      <c r="B7" s="4" t="s">
        <v>158</v>
      </c>
      <c r="C7" s="60" t="s">
        <v>159</v>
      </c>
      <c r="D7" s="60" t="s">
        <v>61</v>
      </c>
      <c r="E7" s="4"/>
      <c r="F7" s="60" t="s">
        <v>140</v>
      </c>
      <c r="G7" s="4" t="s">
        <v>64</v>
      </c>
      <c r="H7" s="60" t="s">
        <v>65</v>
      </c>
      <c r="I7" s="5">
        <v>44196</v>
      </c>
      <c r="J7" s="60">
        <v>2374000000</v>
      </c>
      <c r="K7" s="60">
        <v>6336000000</v>
      </c>
      <c r="L7" s="60">
        <v>10364000000</v>
      </c>
      <c r="M7" s="60">
        <v>10542000000</v>
      </c>
      <c r="N7" s="60">
        <v>34394000000</v>
      </c>
      <c r="O7" s="60" t="s">
        <v>141</v>
      </c>
      <c r="P7" s="60" t="s">
        <v>284</v>
      </c>
      <c r="Q7" s="77">
        <v>1040335</v>
      </c>
      <c r="R7" s="77">
        <v>965570</v>
      </c>
      <c r="S7" s="2">
        <v>1363231</v>
      </c>
      <c r="T7" s="2">
        <v>1934393</v>
      </c>
      <c r="U7" s="2">
        <v>1416448</v>
      </c>
      <c r="X7" s="2">
        <v>0</v>
      </c>
      <c r="Y7" s="2">
        <v>0</v>
      </c>
      <c r="Z7" s="2">
        <v>381533</v>
      </c>
      <c r="AA7" s="2">
        <v>231192</v>
      </c>
      <c r="AB7" s="2">
        <v>297283</v>
      </c>
      <c r="AE7" s="68">
        <f t="shared" si="0"/>
        <v>1040335</v>
      </c>
      <c r="AF7" s="68">
        <f t="shared" si="1"/>
        <v>965570</v>
      </c>
      <c r="AG7" s="68">
        <f t="shared" si="2"/>
        <v>1744764</v>
      </c>
      <c r="AH7" s="68">
        <f t="shared" si="3"/>
        <v>2165585</v>
      </c>
      <c r="AI7" s="68">
        <f t="shared" si="4"/>
        <v>1713731</v>
      </c>
      <c r="AJ7" s="68" t="str">
        <f t="shared" si="5"/>
        <v/>
      </c>
      <c r="AK7" s="68" t="str">
        <f t="shared" si="6"/>
        <v/>
      </c>
      <c r="AN7" s="2">
        <v>21590220</v>
      </c>
      <c r="AO7" s="2">
        <v>19892852</v>
      </c>
      <c r="AP7" s="2">
        <v>24528246</v>
      </c>
      <c r="AS7" s="78">
        <v>17912</v>
      </c>
      <c r="AT7" s="78">
        <v>18104</v>
      </c>
      <c r="AU7" s="60">
        <v>20057</v>
      </c>
      <c r="AV7" s="60">
        <v>20960</v>
      </c>
      <c r="AW7" s="60">
        <v>22142</v>
      </c>
    </row>
    <row r="8" spans="1:52">
      <c r="A8" s="60" t="s">
        <v>160</v>
      </c>
      <c r="B8" s="4" t="s">
        <v>161</v>
      </c>
      <c r="C8" s="60" t="s">
        <v>162</v>
      </c>
      <c r="D8" s="60" t="s">
        <v>61</v>
      </c>
      <c r="E8" s="4"/>
      <c r="F8" s="60" t="s">
        <v>140</v>
      </c>
      <c r="G8" s="4" t="s">
        <v>64</v>
      </c>
      <c r="H8" s="60" t="s">
        <v>65</v>
      </c>
      <c r="I8" s="5">
        <v>44196</v>
      </c>
      <c r="J8" s="60">
        <v>3528768075</v>
      </c>
      <c r="K8" s="60">
        <v>1734900000</v>
      </c>
      <c r="L8" s="60">
        <v>6659087075</v>
      </c>
      <c r="M8" s="60">
        <v>6668864075</v>
      </c>
      <c r="N8" s="60">
        <v>7558457000</v>
      </c>
      <c r="O8" s="60" t="s">
        <v>141</v>
      </c>
      <c r="P8" s="60" t="s">
        <v>142</v>
      </c>
      <c r="Q8" s="2"/>
      <c r="R8" s="2"/>
      <c r="S8" s="77">
        <v>4063143</v>
      </c>
      <c r="T8" s="77">
        <v>3963128</v>
      </c>
      <c r="U8" s="77">
        <v>4036591</v>
      </c>
      <c r="Z8" s="77">
        <v>1300042</v>
      </c>
      <c r="AA8" s="77">
        <v>1219954</v>
      </c>
      <c r="AB8" s="77">
        <v>1001588</v>
      </c>
      <c r="AE8" s="68" t="str">
        <f t="shared" si="0"/>
        <v/>
      </c>
      <c r="AF8" s="68" t="str">
        <f t="shared" si="1"/>
        <v/>
      </c>
      <c r="AG8" s="68">
        <f t="shared" si="2"/>
        <v>5363185</v>
      </c>
      <c r="AH8" s="68">
        <f t="shared" si="3"/>
        <v>5183082</v>
      </c>
      <c r="AI8" s="68">
        <f t="shared" si="4"/>
        <v>5038179</v>
      </c>
      <c r="AJ8" s="68" t="str">
        <f t="shared" si="5"/>
        <v/>
      </c>
      <c r="AK8" s="68" t="str">
        <f t="shared" si="6"/>
        <v/>
      </c>
      <c r="AS8" s="60"/>
      <c r="AT8" s="60"/>
      <c r="AU8" s="60">
        <v>7067031.0930000003</v>
      </c>
      <c r="AV8" s="60">
        <v>7195251.4899999993</v>
      </c>
      <c r="AW8" s="75">
        <v>7324609</v>
      </c>
    </row>
    <row r="9" spans="1:52" s="60" customFormat="1">
      <c r="A9" s="60" t="s">
        <v>163</v>
      </c>
      <c r="B9" s="4" t="s">
        <v>164</v>
      </c>
      <c r="C9" s="60" t="s">
        <v>165</v>
      </c>
      <c r="D9" s="60" t="s">
        <v>61</v>
      </c>
      <c r="E9" s="4" t="s">
        <v>62</v>
      </c>
      <c r="F9" s="60" t="s">
        <v>166</v>
      </c>
      <c r="G9" s="4" t="s">
        <v>64</v>
      </c>
      <c r="H9" s="60" t="s">
        <v>65</v>
      </c>
      <c r="I9" s="60">
        <v>2019</v>
      </c>
      <c r="J9" s="60">
        <v>1687208892</v>
      </c>
      <c r="K9" s="60">
        <v>2380200000</v>
      </c>
      <c r="L9" s="60">
        <v>2210808892</v>
      </c>
      <c r="M9" s="60">
        <v>2237808892</v>
      </c>
      <c r="N9" s="60">
        <v>3187800000</v>
      </c>
      <c r="O9" s="67" t="s">
        <v>141</v>
      </c>
      <c r="P9" s="67" t="s">
        <v>167</v>
      </c>
      <c r="Q9" s="60">
        <v>298055</v>
      </c>
      <c r="R9" s="60">
        <v>298055</v>
      </c>
      <c r="S9" s="60">
        <v>298055</v>
      </c>
      <c r="T9" s="60">
        <v>298055</v>
      </c>
      <c r="U9" s="60">
        <v>292832.15098729829</v>
      </c>
      <c r="X9" s="60">
        <v>660000</v>
      </c>
      <c r="Y9" s="60">
        <v>660000</v>
      </c>
      <c r="Z9" s="60">
        <v>660000</v>
      </c>
      <c r="AA9" s="60">
        <v>660000</v>
      </c>
      <c r="AB9" s="60">
        <v>658435</v>
      </c>
      <c r="AE9" s="60">
        <v>958055</v>
      </c>
      <c r="AF9" s="60">
        <v>958055</v>
      </c>
      <c r="AG9" s="60">
        <v>958055</v>
      </c>
      <c r="AH9" s="60">
        <v>958055</v>
      </c>
      <c r="AI9" s="60">
        <v>951267.15098729834</v>
      </c>
      <c r="AS9" s="60">
        <v>138831</v>
      </c>
      <c r="AT9" s="60">
        <v>138831</v>
      </c>
      <c r="AU9" s="60">
        <v>138831</v>
      </c>
      <c r="AV9" s="60">
        <v>138831</v>
      </c>
      <c r="AW9" s="60">
        <v>140944.858159875</v>
      </c>
    </row>
    <row r="10" spans="1:52" s="60" customFormat="1">
      <c r="A10" s="60" t="s">
        <v>296</v>
      </c>
      <c r="B10" s="4" t="s">
        <v>297</v>
      </c>
      <c r="C10" s="60" t="s">
        <v>298</v>
      </c>
      <c r="D10" s="60" t="s">
        <v>61</v>
      </c>
      <c r="E10" s="4" t="s">
        <v>62</v>
      </c>
      <c r="F10" s="60" t="s">
        <v>166</v>
      </c>
      <c r="G10" s="4" t="s">
        <v>64</v>
      </c>
      <c r="H10" s="60" t="s">
        <v>65</v>
      </c>
      <c r="I10" s="60">
        <v>2019</v>
      </c>
      <c r="J10" s="60">
        <v>2839987963</v>
      </c>
      <c r="K10" s="60">
        <v>1989900000</v>
      </c>
      <c r="L10" s="60">
        <v>4601187963</v>
      </c>
      <c r="M10" s="60">
        <v>4953787963</v>
      </c>
      <c r="N10" s="60">
        <v>3503800000</v>
      </c>
      <c r="O10" s="60" t="s">
        <v>141</v>
      </c>
      <c r="P10" s="60" t="s">
        <v>167</v>
      </c>
      <c r="Q10" s="60">
        <v>33209464.625</v>
      </c>
      <c r="R10" s="60">
        <v>32357763.7366</v>
      </c>
      <c r="S10" s="60">
        <v>31034981.663759999</v>
      </c>
      <c r="T10" s="60">
        <v>30349904.449799899</v>
      </c>
      <c r="U10" s="60">
        <v>25607731.879518669</v>
      </c>
      <c r="X10" s="60">
        <v>4431504.7156481268</v>
      </c>
      <c r="Y10" s="60">
        <v>4473104.3565879771</v>
      </c>
      <c r="Z10" s="60">
        <v>4413355.3696956858</v>
      </c>
      <c r="AA10" s="60">
        <v>4426105.2359619504</v>
      </c>
      <c r="AB10" s="60">
        <v>3671367</v>
      </c>
      <c r="AE10" s="60">
        <v>37640969.34064813</v>
      </c>
      <c r="AF10" s="60">
        <v>36830868.09318798</v>
      </c>
      <c r="AG10" s="60">
        <v>35448337.033455677</v>
      </c>
      <c r="AH10" s="60">
        <v>34776009.685761847</v>
      </c>
      <c r="AI10" s="60">
        <v>29279098.879518669</v>
      </c>
      <c r="AL10" s="60">
        <v>1934075.55568</v>
      </c>
      <c r="AM10" s="60">
        <v>2449774.8339999998</v>
      </c>
      <c r="AN10" s="60">
        <v>2449865.6460000002</v>
      </c>
      <c r="AO10" s="60">
        <v>2194701.7039999999</v>
      </c>
      <c r="AP10" s="60">
        <v>1851779.56275</v>
      </c>
      <c r="AS10" s="60">
        <v>89951800</v>
      </c>
      <c r="AT10" s="60">
        <v>90796200</v>
      </c>
      <c r="AU10" s="60">
        <v>89583400</v>
      </c>
      <c r="AV10" s="60">
        <v>89842200</v>
      </c>
      <c r="AW10" s="60">
        <v>74522333</v>
      </c>
    </row>
    <row r="11" spans="1:52" s="60" customFormat="1">
      <c r="A11" s="60" t="s">
        <v>168</v>
      </c>
      <c r="B11" s="4" t="s">
        <v>169</v>
      </c>
      <c r="C11" s="60" t="s">
        <v>170</v>
      </c>
      <c r="D11" s="60" t="s">
        <v>61</v>
      </c>
      <c r="E11" s="4" t="s">
        <v>62</v>
      </c>
      <c r="F11" s="60" t="s">
        <v>140</v>
      </c>
      <c r="G11" s="4" t="s">
        <v>64</v>
      </c>
      <c r="H11" s="60" t="s">
        <v>65</v>
      </c>
      <c r="I11" s="60">
        <v>2019</v>
      </c>
      <c r="J11" s="60">
        <v>16352000000</v>
      </c>
      <c r="K11" s="60">
        <v>6845000000</v>
      </c>
      <c r="L11" s="60">
        <v>28163000000</v>
      </c>
      <c r="M11" s="60">
        <v>28303000000</v>
      </c>
      <c r="N11" s="60">
        <v>26837000000</v>
      </c>
      <c r="O11" s="60" t="s">
        <v>128</v>
      </c>
      <c r="P11" s="60" t="s">
        <v>288</v>
      </c>
      <c r="Q11" s="60">
        <v>12.64857631250935</v>
      </c>
      <c r="R11" s="60">
        <v>12.381008123704371</v>
      </c>
      <c r="S11" s="60">
        <v>12.277614766045071</v>
      </c>
      <c r="T11" s="60">
        <v>12.512963056846591</v>
      </c>
      <c r="U11" s="60">
        <v>10.700060724044221</v>
      </c>
      <c r="X11" s="60">
        <v>0</v>
      </c>
      <c r="Y11" s="60">
        <v>0</v>
      </c>
      <c r="Z11" s="60">
        <v>0</v>
      </c>
      <c r="AA11" s="60">
        <v>0</v>
      </c>
      <c r="AB11" s="60">
        <v>0</v>
      </c>
      <c r="AE11" s="68">
        <f t="shared" ref="AE11" si="7">IF(ISBLANK(Q11),IF(ISBLANK(X11),"",X11),Q11+X11)</f>
        <v>12.64857631250935</v>
      </c>
      <c r="AF11" s="68">
        <f t="shared" ref="AF11" si="8">IF(ISBLANK(R11),IF(ISBLANK(Y11),"",Y11),R11+Y11)</f>
        <v>12.381008123704371</v>
      </c>
      <c r="AG11" s="68">
        <f t="shared" ref="AG11" si="9">IF(ISBLANK(S11),IF(ISBLANK(Z11),"",Z11),S11+Z11)</f>
        <v>12.277614766045071</v>
      </c>
      <c r="AH11" s="68">
        <f t="shared" ref="AH11" si="10">IF(ISBLANK(T11),IF(ISBLANK(AA11),"",AA11),T11+AA11)</f>
        <v>12.512963056846591</v>
      </c>
      <c r="AI11" s="68">
        <f t="shared" ref="AI11" si="11">IF(ISBLANK(U11),IF(ISBLANK(AB11),"",AB11),U11+AB11)</f>
        <v>10.700060724044221</v>
      </c>
      <c r="AJ11" s="68" t="str">
        <f t="shared" ref="AJ11" si="12">IF(ISBLANK(V11),IF(ISBLANK(AC11),"",AC11),V11+AC11)</f>
        <v/>
      </c>
      <c r="AK11" s="68" t="str">
        <f t="shared" ref="AK11" si="13">IF(ISBLANK(W11),IF(ISBLANK(AD11),"",AD11),W11+AD11)</f>
        <v/>
      </c>
      <c r="AS11" s="60">
        <v>16.69245187922683</v>
      </c>
      <c r="AT11" s="60">
        <v>16.10949908462765</v>
      </c>
      <c r="AU11" s="60">
        <v>15.767973619906989</v>
      </c>
      <c r="AV11" s="60">
        <v>17.023515330328522</v>
      </c>
      <c r="AW11" s="60">
        <v>15.014898459545821</v>
      </c>
    </row>
    <row r="12" spans="1:52" s="60" customFormat="1">
      <c r="A12" s="60" t="s">
        <v>171</v>
      </c>
      <c r="B12" s="4" t="s">
        <v>172</v>
      </c>
      <c r="C12" s="60" t="s">
        <v>173</v>
      </c>
      <c r="D12" s="60" t="s">
        <v>61</v>
      </c>
      <c r="E12" s="4" t="s">
        <v>62</v>
      </c>
      <c r="F12" s="60" t="s">
        <v>166</v>
      </c>
      <c r="G12" s="4" t="s">
        <v>64</v>
      </c>
      <c r="H12" s="60" t="s">
        <v>65</v>
      </c>
      <c r="I12" s="60">
        <v>2019</v>
      </c>
      <c r="J12" s="60">
        <v>1900000000</v>
      </c>
      <c r="K12" s="60">
        <v>5829002000</v>
      </c>
      <c r="L12" s="60">
        <v>1</v>
      </c>
      <c r="M12" s="60">
        <v>3154921000</v>
      </c>
      <c r="N12" s="60">
        <v>3758771000</v>
      </c>
      <c r="O12" s="67" t="s">
        <v>141</v>
      </c>
      <c r="P12" s="67" t="s">
        <v>167</v>
      </c>
      <c r="Q12" s="60">
        <v>1048006</v>
      </c>
      <c r="R12" s="60">
        <v>1048006</v>
      </c>
      <c r="S12" s="60">
        <v>1048006</v>
      </c>
      <c r="T12" s="60">
        <v>1048006</v>
      </c>
      <c r="U12" s="60">
        <v>1106156</v>
      </c>
      <c r="X12" s="60">
        <v>2548437</v>
      </c>
      <c r="Y12" s="60">
        <v>2548437</v>
      </c>
      <c r="Z12" s="60">
        <v>2548437</v>
      </c>
      <c r="AA12" s="60">
        <v>1500431</v>
      </c>
      <c r="AB12" s="60">
        <v>1466830</v>
      </c>
      <c r="AE12" s="60">
        <v>3596443</v>
      </c>
      <c r="AF12" s="60">
        <v>3596443</v>
      </c>
      <c r="AG12" s="60">
        <v>3596443</v>
      </c>
      <c r="AH12" s="60">
        <v>2548437</v>
      </c>
      <c r="AI12" s="60">
        <v>2572986</v>
      </c>
      <c r="AS12" s="60">
        <v>5301216</v>
      </c>
      <c r="AT12" s="60">
        <v>5301216</v>
      </c>
      <c r="AU12" s="60">
        <v>5301216</v>
      </c>
      <c r="AV12" s="60">
        <v>5301216</v>
      </c>
      <c r="AW12" s="60">
        <v>5543677</v>
      </c>
    </row>
    <row r="13" spans="1:52" s="60" customFormat="1">
      <c r="A13" s="60" t="s">
        <v>174</v>
      </c>
      <c r="B13" s="4" t="s">
        <v>175</v>
      </c>
      <c r="C13" s="60" t="s">
        <v>176</v>
      </c>
      <c r="D13" s="60" t="s">
        <v>61</v>
      </c>
      <c r="E13" s="4" t="s">
        <v>62</v>
      </c>
      <c r="F13" s="60" t="s">
        <v>140</v>
      </c>
      <c r="G13" s="4" t="s">
        <v>64</v>
      </c>
      <c r="H13" s="60" t="s">
        <v>65</v>
      </c>
      <c r="I13" s="60">
        <v>2019</v>
      </c>
      <c r="K13" s="60">
        <v>1639605000</v>
      </c>
      <c r="L13" s="60">
        <v>1</v>
      </c>
      <c r="M13" s="60">
        <v>1</v>
      </c>
      <c r="N13" s="60">
        <v>7476298000</v>
      </c>
      <c r="O13" s="60" t="s">
        <v>128</v>
      </c>
      <c r="P13" s="60" t="s">
        <v>288</v>
      </c>
      <c r="Q13" s="60">
        <v>9.98209123846366</v>
      </c>
      <c r="R13" s="60">
        <v>8.779184031631333</v>
      </c>
      <c r="S13" s="60">
        <v>9.3084717803376087</v>
      </c>
      <c r="T13" s="60">
        <v>8.4480133281525607</v>
      </c>
      <c r="U13" s="60">
        <v>8.050303241986235</v>
      </c>
      <c r="X13" s="60">
        <v>0</v>
      </c>
      <c r="Y13" s="60">
        <v>0</v>
      </c>
      <c r="Z13" s="60">
        <v>0</v>
      </c>
      <c r="AA13" s="60">
        <v>0</v>
      </c>
      <c r="AB13" s="60">
        <v>0</v>
      </c>
      <c r="AE13" s="68">
        <f t="shared" ref="AE13:AE30" si="14">IF(ISBLANK(Q13),IF(ISBLANK(X13),"",X13),Q13+X13)</f>
        <v>9.98209123846366</v>
      </c>
      <c r="AF13" s="68">
        <f t="shared" ref="AF13:AF30" si="15">IF(ISBLANK(R13),IF(ISBLANK(Y13),"",Y13),R13+Y13)</f>
        <v>8.779184031631333</v>
      </c>
      <c r="AG13" s="68">
        <f t="shared" ref="AG13:AG30" si="16">IF(ISBLANK(S13),IF(ISBLANK(Z13),"",Z13),S13+Z13)</f>
        <v>9.3084717803376087</v>
      </c>
      <c r="AH13" s="68">
        <f t="shared" ref="AH13:AH30" si="17">IF(ISBLANK(T13),IF(ISBLANK(AA13),"",AA13),T13+AA13)</f>
        <v>8.4480133281525607</v>
      </c>
      <c r="AI13" s="68">
        <f t="shared" ref="AI13:AI30" si="18">IF(ISBLANK(U13),IF(ISBLANK(AB13),"",AB13),U13+AB13)</f>
        <v>8.050303241986235</v>
      </c>
      <c r="AJ13" s="68" t="str">
        <f t="shared" ref="AJ13:AJ30" si="19">IF(ISBLANK(V13),IF(ISBLANK(AC13),"",AC13),V13+AC13)</f>
        <v/>
      </c>
      <c r="AK13" s="68" t="str">
        <f t="shared" ref="AK13:AK30" si="20">IF(ISBLANK(W13),IF(ISBLANK(AD13),"",AD13),W13+AD13)</f>
        <v/>
      </c>
      <c r="AS13" s="60">
        <v>13.525581534692479</v>
      </c>
      <c r="AT13" s="60">
        <v>11.521487748426489</v>
      </c>
      <c r="AU13" s="60">
        <v>12.199646670480149</v>
      </c>
      <c r="AV13" s="60">
        <v>12.8612387470939</v>
      </c>
      <c r="AW13" s="60">
        <v>12.09282931613115</v>
      </c>
    </row>
    <row r="14" spans="1:52" s="60" customFormat="1">
      <c r="A14" s="60" t="s">
        <v>177</v>
      </c>
      <c r="B14" s="4" t="s">
        <v>178</v>
      </c>
      <c r="C14" s="60" t="s">
        <v>179</v>
      </c>
      <c r="D14" s="60" t="s">
        <v>61</v>
      </c>
      <c r="E14" s="4" t="s">
        <v>62</v>
      </c>
      <c r="F14" s="60" t="s">
        <v>140</v>
      </c>
      <c r="G14" s="4" t="s">
        <v>64</v>
      </c>
      <c r="H14" s="60" t="s">
        <v>65</v>
      </c>
      <c r="I14" s="60">
        <v>2019</v>
      </c>
      <c r="J14" s="60">
        <v>29100000000</v>
      </c>
      <c r="K14" s="60">
        <v>12574000000</v>
      </c>
      <c r="L14" s="60">
        <v>48092000000</v>
      </c>
      <c r="M14" s="60">
        <v>49073000000</v>
      </c>
      <c r="N14" s="60">
        <v>58079000000</v>
      </c>
      <c r="O14" s="60" t="s">
        <v>128</v>
      </c>
      <c r="P14" s="60" t="s">
        <v>288</v>
      </c>
      <c r="Q14" s="60">
        <v>1.32578662140228</v>
      </c>
      <c r="R14" s="60">
        <v>1.3237389779454329</v>
      </c>
      <c r="S14" s="60">
        <v>1.268429815337039</v>
      </c>
      <c r="T14" s="60">
        <v>1.2026904049517551</v>
      </c>
      <c r="U14" s="60">
        <v>1.3278792387295291</v>
      </c>
      <c r="X14" s="60">
        <v>0</v>
      </c>
      <c r="Y14" s="60">
        <v>0</v>
      </c>
      <c r="Z14" s="60">
        <v>0</v>
      </c>
      <c r="AA14" s="60">
        <v>0</v>
      </c>
      <c r="AB14" s="60">
        <v>0</v>
      </c>
      <c r="AE14" s="68">
        <f t="shared" si="14"/>
        <v>1.32578662140228</v>
      </c>
      <c r="AF14" s="68">
        <f t="shared" si="15"/>
        <v>1.3237389779454329</v>
      </c>
      <c r="AG14" s="68">
        <f t="shared" si="16"/>
        <v>1.268429815337039</v>
      </c>
      <c r="AH14" s="68">
        <f t="shared" si="17"/>
        <v>1.2026904049517551</v>
      </c>
      <c r="AI14" s="68">
        <f t="shared" si="18"/>
        <v>1.3278792387295291</v>
      </c>
      <c r="AJ14" s="68" t="str">
        <f t="shared" si="19"/>
        <v/>
      </c>
      <c r="AK14" s="68" t="str">
        <f t="shared" si="20"/>
        <v/>
      </c>
      <c r="AS14" s="60">
        <v>3.0828950000000002</v>
      </c>
      <c r="AT14" s="60">
        <v>3.095761</v>
      </c>
      <c r="AU14" s="60">
        <v>2.956300999999999</v>
      </c>
      <c r="AV14" s="60">
        <v>2.8198500000000002</v>
      </c>
      <c r="AW14" s="60">
        <v>3.1220319999999999</v>
      </c>
    </row>
    <row r="15" spans="1:52" s="60" customFormat="1">
      <c r="A15" s="60" t="s">
        <v>180</v>
      </c>
      <c r="B15" s="4" t="s">
        <v>181</v>
      </c>
      <c r="C15" s="60" t="s">
        <v>182</v>
      </c>
      <c r="D15" s="60" t="s">
        <v>61</v>
      </c>
      <c r="E15" s="4" t="s">
        <v>62</v>
      </c>
      <c r="F15" s="60" t="s">
        <v>140</v>
      </c>
      <c r="G15" s="4" t="s">
        <v>64</v>
      </c>
      <c r="H15" s="60" t="s">
        <v>65</v>
      </c>
      <c r="I15" s="60">
        <v>2019</v>
      </c>
      <c r="J15" s="60">
        <v>23100000000</v>
      </c>
      <c r="K15" s="60">
        <v>12669000000</v>
      </c>
      <c r="L15" s="60">
        <v>39762000000</v>
      </c>
      <c r="M15" s="60">
        <v>39855000000</v>
      </c>
      <c r="N15" s="60">
        <v>41882000000</v>
      </c>
      <c r="O15" s="60" t="s">
        <v>128</v>
      </c>
      <c r="P15" s="60" t="s">
        <v>288</v>
      </c>
      <c r="Q15" s="60">
        <v>26.800952219832549</v>
      </c>
      <c r="R15" s="60">
        <v>27.94769699143869</v>
      </c>
      <c r="S15" s="60">
        <v>29.956332607558998</v>
      </c>
      <c r="T15" s="60">
        <v>27.00027424620119</v>
      </c>
      <c r="U15" s="60">
        <v>21.34260597485035</v>
      </c>
      <c r="X15" s="60">
        <v>0</v>
      </c>
      <c r="Y15" s="60">
        <v>0</v>
      </c>
      <c r="Z15" s="60">
        <v>0</v>
      </c>
      <c r="AA15" s="60">
        <v>0</v>
      </c>
      <c r="AB15" s="60">
        <v>0</v>
      </c>
      <c r="AE15" s="68">
        <f t="shared" si="14"/>
        <v>26.800952219832549</v>
      </c>
      <c r="AF15" s="68">
        <f t="shared" si="15"/>
        <v>27.94769699143869</v>
      </c>
      <c r="AG15" s="68">
        <f t="shared" si="16"/>
        <v>29.956332607558998</v>
      </c>
      <c r="AH15" s="68">
        <f t="shared" si="17"/>
        <v>27.00027424620119</v>
      </c>
      <c r="AI15" s="68">
        <f t="shared" si="18"/>
        <v>21.34260597485035</v>
      </c>
      <c r="AJ15" s="68" t="str">
        <f t="shared" si="19"/>
        <v/>
      </c>
      <c r="AK15" s="68" t="str">
        <f t="shared" si="20"/>
        <v/>
      </c>
      <c r="AS15" s="60">
        <v>38.338929711799977</v>
      </c>
      <c r="AT15" s="60">
        <v>38.489939228899971</v>
      </c>
      <c r="AU15" s="60">
        <v>39.794065703999991</v>
      </c>
      <c r="AV15" s="60">
        <v>39.196437991399961</v>
      </c>
      <c r="AW15" s="60">
        <v>30.02338457150001</v>
      </c>
    </row>
    <row r="16" spans="1:52" s="60" customFormat="1">
      <c r="A16" s="60" t="s">
        <v>183</v>
      </c>
      <c r="B16" s="4" t="s">
        <v>184</v>
      </c>
      <c r="C16" s="60" t="s">
        <v>185</v>
      </c>
      <c r="D16" s="60" t="s">
        <v>61</v>
      </c>
      <c r="E16" s="4" t="s">
        <v>62</v>
      </c>
      <c r="F16" s="60" t="s">
        <v>140</v>
      </c>
      <c r="G16" s="4" t="s">
        <v>64</v>
      </c>
      <c r="H16" s="60" t="s">
        <v>65</v>
      </c>
      <c r="I16" s="60">
        <v>2019</v>
      </c>
      <c r="J16" s="60">
        <v>62000000000</v>
      </c>
      <c r="K16" s="60">
        <v>16572000000</v>
      </c>
      <c r="L16" s="60">
        <v>95658000000</v>
      </c>
      <c r="M16" s="60">
        <v>95824000000</v>
      </c>
      <c r="N16" s="60">
        <v>103823000000</v>
      </c>
      <c r="O16" s="60" t="s">
        <v>128</v>
      </c>
      <c r="P16" s="60" t="s">
        <v>288</v>
      </c>
      <c r="Q16" s="60">
        <v>43.346668252252449</v>
      </c>
      <c r="R16" s="60">
        <v>36.869361503682207</v>
      </c>
      <c r="S16" s="60">
        <v>35.120067341795277</v>
      </c>
      <c r="T16" s="60">
        <v>31.432803553609599</v>
      </c>
      <c r="U16" s="60">
        <v>32.246843518396567</v>
      </c>
      <c r="X16" s="60">
        <v>0</v>
      </c>
      <c r="Y16" s="60">
        <v>0</v>
      </c>
      <c r="Z16" s="60">
        <v>0</v>
      </c>
      <c r="AA16" s="60">
        <v>0</v>
      </c>
      <c r="AB16" s="60">
        <v>0</v>
      </c>
      <c r="AE16" s="68">
        <f t="shared" si="14"/>
        <v>43.346668252252449</v>
      </c>
      <c r="AF16" s="68">
        <f t="shared" si="15"/>
        <v>36.869361503682207</v>
      </c>
      <c r="AG16" s="68">
        <f t="shared" si="16"/>
        <v>35.120067341795277</v>
      </c>
      <c r="AH16" s="68">
        <f t="shared" si="17"/>
        <v>31.432803553609599</v>
      </c>
      <c r="AI16" s="68">
        <f t="shared" si="18"/>
        <v>32.246843518396567</v>
      </c>
      <c r="AJ16" s="68" t="str">
        <f t="shared" si="19"/>
        <v/>
      </c>
      <c r="AK16" s="68" t="str">
        <f t="shared" si="20"/>
        <v/>
      </c>
      <c r="AS16" s="60">
        <v>102.3781215467001</v>
      </c>
      <c r="AT16" s="60">
        <v>95.363361617799967</v>
      </c>
      <c r="AU16" s="60">
        <v>95.723638083700166</v>
      </c>
      <c r="AV16" s="60">
        <v>97.768233357200032</v>
      </c>
      <c r="AW16" s="60">
        <v>101.0949584695</v>
      </c>
    </row>
    <row r="17" spans="1:49" s="60" customFormat="1">
      <c r="A17" s="60" t="s">
        <v>186</v>
      </c>
      <c r="B17" s="4" t="s">
        <v>187</v>
      </c>
      <c r="C17" s="60" t="s">
        <v>188</v>
      </c>
      <c r="D17" s="60" t="s">
        <v>61</v>
      </c>
      <c r="E17" s="4" t="s">
        <v>62</v>
      </c>
      <c r="F17" s="60" t="s">
        <v>140</v>
      </c>
      <c r="G17" s="4" t="s">
        <v>64</v>
      </c>
      <c r="H17" s="60" t="s">
        <v>65</v>
      </c>
      <c r="I17" s="60">
        <v>2019</v>
      </c>
      <c r="J17" s="60">
        <v>64230558771</v>
      </c>
      <c r="K17" s="60">
        <v>25079000000</v>
      </c>
      <c r="L17" s="60">
        <v>126981558771</v>
      </c>
      <c r="M17" s="60">
        <v>127292558771</v>
      </c>
      <c r="N17" s="60">
        <v>158838000000</v>
      </c>
      <c r="O17" s="60" t="s">
        <v>128</v>
      </c>
      <c r="P17" s="60" t="s">
        <v>288</v>
      </c>
      <c r="Q17" s="60">
        <v>101.0192770968623</v>
      </c>
      <c r="R17" s="60">
        <v>93.530450474088056</v>
      </c>
      <c r="S17" s="60">
        <v>95.012237689685421</v>
      </c>
      <c r="T17" s="60">
        <v>83.573620116699033</v>
      </c>
      <c r="U17" s="60">
        <v>74.771237187252837</v>
      </c>
      <c r="X17" s="60">
        <v>0</v>
      </c>
      <c r="Y17" s="60">
        <v>0</v>
      </c>
      <c r="Z17" s="60">
        <v>0</v>
      </c>
      <c r="AA17" s="60">
        <v>0</v>
      </c>
      <c r="AB17" s="60">
        <v>0</v>
      </c>
      <c r="AE17" s="68">
        <f t="shared" si="14"/>
        <v>101.0192770968623</v>
      </c>
      <c r="AF17" s="68">
        <f t="shared" si="15"/>
        <v>93.530450474088056</v>
      </c>
      <c r="AG17" s="68">
        <f t="shared" si="16"/>
        <v>95.012237689685421</v>
      </c>
      <c r="AH17" s="68">
        <f t="shared" si="17"/>
        <v>83.573620116699033</v>
      </c>
      <c r="AI17" s="68">
        <f t="shared" si="18"/>
        <v>74.771237187252837</v>
      </c>
      <c r="AJ17" s="68" t="str">
        <f t="shared" si="19"/>
        <v/>
      </c>
      <c r="AK17" s="68" t="str">
        <f t="shared" si="20"/>
        <v/>
      </c>
      <c r="AS17" s="60">
        <v>215.7289175879782</v>
      </c>
      <c r="AT17" s="60">
        <v>209.73241402343839</v>
      </c>
      <c r="AU17" s="60">
        <v>215.51204423832829</v>
      </c>
      <c r="AV17" s="60">
        <v>206.167169888941</v>
      </c>
      <c r="AW17" s="60">
        <v>199.53951726531841</v>
      </c>
    </row>
    <row r="18" spans="1:49">
      <c r="A18" s="2" t="s">
        <v>299</v>
      </c>
      <c r="B18" s="4" t="s">
        <v>300</v>
      </c>
      <c r="C18" s="2" t="s">
        <v>301</v>
      </c>
      <c r="D18" s="2" t="s">
        <v>61</v>
      </c>
      <c r="E18" s="4" t="s">
        <v>62</v>
      </c>
      <c r="F18" s="2" t="s">
        <v>140</v>
      </c>
      <c r="G18" s="4" t="s">
        <v>64</v>
      </c>
      <c r="H18" s="2" t="s">
        <v>65</v>
      </c>
      <c r="I18" s="2">
        <v>2019</v>
      </c>
      <c r="J18" s="2">
        <v>22000000000</v>
      </c>
      <c r="K18" s="2">
        <v>12347000000</v>
      </c>
      <c r="L18" s="2">
        <v>42069000000</v>
      </c>
      <c r="M18" s="2">
        <v>42137000000</v>
      </c>
      <c r="N18" s="2">
        <v>64382000000</v>
      </c>
      <c r="O18" s="2" t="s">
        <v>128</v>
      </c>
      <c r="P18" s="2" t="s">
        <v>288</v>
      </c>
      <c r="Q18" s="2">
        <v>2.1022921303922648</v>
      </c>
      <c r="R18" s="2">
        <v>1.7852141410919431</v>
      </c>
      <c r="S18" s="2">
        <v>0.97111824551102033</v>
      </c>
      <c r="T18" s="2">
        <v>1.3136646433334851</v>
      </c>
      <c r="U18" s="2">
        <v>1.293922465619566</v>
      </c>
      <c r="W18" s="2"/>
      <c r="X18" s="2">
        <v>0</v>
      </c>
      <c r="Y18" s="2">
        <v>0</v>
      </c>
      <c r="Z18" s="2">
        <v>1.2</v>
      </c>
      <c r="AA18" s="2">
        <v>0.6</v>
      </c>
      <c r="AB18" s="2">
        <v>0.7</v>
      </c>
      <c r="AD18" s="2"/>
      <c r="AE18" s="68">
        <f t="shared" si="14"/>
        <v>2.1022921303922648</v>
      </c>
      <c r="AF18" s="68">
        <f t="shared" si="15"/>
        <v>1.7852141410919431</v>
      </c>
      <c r="AG18" s="68">
        <f t="shared" si="16"/>
        <v>2.1711182455110203</v>
      </c>
      <c r="AH18" s="68">
        <f t="shared" si="17"/>
        <v>1.913664643333485</v>
      </c>
      <c r="AI18" s="68">
        <f t="shared" si="18"/>
        <v>1.993922465619566</v>
      </c>
      <c r="AJ18" s="68" t="str">
        <f t="shared" si="19"/>
        <v/>
      </c>
      <c r="AK18" s="68" t="str">
        <f t="shared" si="20"/>
        <v/>
      </c>
      <c r="AN18" s="2">
        <v>15.8</v>
      </c>
      <c r="AO18" s="2">
        <v>9.8000000000000007</v>
      </c>
      <c r="AP18" s="2">
        <v>11.3</v>
      </c>
      <c r="AS18" s="2">
        <v>14.009789366</v>
      </c>
      <c r="AT18" s="2">
        <v>14.812107803999989</v>
      </c>
      <c r="AU18" s="2">
        <v>10.728513921999999</v>
      </c>
      <c r="AV18" s="2">
        <v>12.55866114399999</v>
      </c>
      <c r="AW18" s="2">
        <v>10.22082041399999</v>
      </c>
    </row>
    <row r="19" spans="1:49" s="60" customFormat="1">
      <c r="A19" s="60" t="s">
        <v>189</v>
      </c>
      <c r="B19" s="4" t="s">
        <v>190</v>
      </c>
      <c r="C19" s="60" t="s">
        <v>191</v>
      </c>
      <c r="D19" s="60" t="s">
        <v>61</v>
      </c>
      <c r="E19" s="4" t="s">
        <v>62</v>
      </c>
      <c r="F19" s="60" t="s">
        <v>140</v>
      </c>
      <c r="G19" s="4" t="s">
        <v>64</v>
      </c>
      <c r="H19" s="60" t="s">
        <v>65</v>
      </c>
      <c r="I19" s="60">
        <v>2019</v>
      </c>
      <c r="J19" s="60">
        <v>20500000000</v>
      </c>
      <c r="K19" s="60">
        <v>10878673000</v>
      </c>
      <c r="L19" s="60">
        <v>39134228000</v>
      </c>
      <c r="M19" s="60">
        <v>39559950000</v>
      </c>
      <c r="N19" s="60">
        <v>51723912000</v>
      </c>
      <c r="O19" s="60" t="s">
        <v>128</v>
      </c>
      <c r="P19" s="60" t="s">
        <v>288</v>
      </c>
      <c r="Q19" s="60">
        <v>32.534277276775477</v>
      </c>
      <c r="R19" s="60">
        <v>31.452615946488208</v>
      </c>
      <c r="S19" s="60">
        <v>34.632403953117489</v>
      </c>
      <c r="T19" s="60">
        <v>33.246229122713601</v>
      </c>
      <c r="U19" s="60">
        <v>30.543162251514762</v>
      </c>
      <c r="X19" s="60">
        <v>0</v>
      </c>
      <c r="Y19" s="60">
        <v>0</v>
      </c>
      <c r="Z19" s="60">
        <v>0</v>
      </c>
      <c r="AA19" s="60">
        <v>0</v>
      </c>
      <c r="AB19" s="60">
        <v>0</v>
      </c>
      <c r="AE19" s="68">
        <f t="shared" si="14"/>
        <v>32.534277276775477</v>
      </c>
      <c r="AF19" s="68">
        <f t="shared" si="15"/>
        <v>31.452615946488208</v>
      </c>
      <c r="AG19" s="68">
        <f t="shared" si="16"/>
        <v>34.632403953117489</v>
      </c>
      <c r="AH19" s="68">
        <f t="shared" si="17"/>
        <v>33.246229122713601</v>
      </c>
      <c r="AI19" s="68">
        <f t="shared" si="18"/>
        <v>30.543162251514762</v>
      </c>
      <c r="AJ19" s="68" t="str">
        <f t="shared" si="19"/>
        <v/>
      </c>
      <c r="AK19" s="68" t="str">
        <f t="shared" si="20"/>
        <v/>
      </c>
      <c r="AS19" s="60">
        <v>95.811363396945325</v>
      </c>
      <c r="AT19" s="60">
        <v>90.773791353405684</v>
      </c>
      <c r="AU19" s="60">
        <v>97.968985789594171</v>
      </c>
      <c r="AV19" s="60">
        <v>102.3034426882144</v>
      </c>
      <c r="AW19" s="60">
        <v>102.6649041897431</v>
      </c>
    </row>
    <row r="20" spans="1:49" s="60" customFormat="1">
      <c r="A20" s="60" t="s">
        <v>192</v>
      </c>
      <c r="B20" s="4" t="s">
        <v>193</v>
      </c>
      <c r="C20" s="60" t="s">
        <v>194</v>
      </c>
      <c r="D20" s="60" t="s">
        <v>61</v>
      </c>
      <c r="E20" s="4" t="s">
        <v>62</v>
      </c>
      <c r="F20" s="60" t="s">
        <v>140</v>
      </c>
      <c r="G20" s="4" t="s">
        <v>64</v>
      </c>
      <c r="H20" s="60" t="s">
        <v>65</v>
      </c>
      <c r="I20" s="60">
        <v>2019</v>
      </c>
      <c r="J20" s="60">
        <v>14138041261</v>
      </c>
      <c r="K20" s="60">
        <v>5147800000</v>
      </c>
      <c r="L20" s="60">
        <v>22861541261</v>
      </c>
      <c r="M20" s="60">
        <v>22884741261</v>
      </c>
      <c r="N20" s="60">
        <v>25975900000</v>
      </c>
      <c r="O20" s="60" t="s">
        <v>128</v>
      </c>
      <c r="P20" s="60" t="s">
        <v>288</v>
      </c>
      <c r="Q20" s="60">
        <v>35.143399275736513</v>
      </c>
      <c r="R20" s="60">
        <v>32.270603331565873</v>
      </c>
      <c r="S20" s="60">
        <v>30.548667622949981</v>
      </c>
      <c r="T20" s="60">
        <v>26.749411150191438</v>
      </c>
      <c r="U20" s="60">
        <v>24.40294321370958</v>
      </c>
      <c r="X20" s="60">
        <v>0</v>
      </c>
      <c r="Y20" s="60">
        <v>0</v>
      </c>
      <c r="Z20" s="60">
        <v>0</v>
      </c>
      <c r="AA20" s="60">
        <v>0</v>
      </c>
      <c r="AB20" s="60">
        <v>0</v>
      </c>
      <c r="AE20" s="68">
        <f t="shared" si="14"/>
        <v>35.143399275736513</v>
      </c>
      <c r="AF20" s="68">
        <f t="shared" si="15"/>
        <v>32.270603331565873</v>
      </c>
      <c r="AG20" s="68">
        <f t="shared" si="16"/>
        <v>30.548667622949981</v>
      </c>
      <c r="AH20" s="68">
        <f t="shared" si="17"/>
        <v>26.749411150191438</v>
      </c>
      <c r="AI20" s="68">
        <f t="shared" si="18"/>
        <v>24.40294321370958</v>
      </c>
      <c r="AJ20" s="68" t="str">
        <f t="shared" si="19"/>
        <v/>
      </c>
      <c r="AK20" s="68" t="str">
        <f t="shared" si="20"/>
        <v/>
      </c>
      <c r="AS20" s="60">
        <v>44.02608498059999</v>
      </c>
      <c r="AT20" s="60">
        <v>43.611918605100001</v>
      </c>
      <c r="AU20" s="60">
        <v>40.625634925699977</v>
      </c>
      <c r="AV20" s="60">
        <v>37.623516467499996</v>
      </c>
      <c r="AW20" s="60">
        <v>35.892610833500001</v>
      </c>
    </row>
    <row r="21" spans="1:49" s="60" customFormat="1">
      <c r="A21" s="60" t="s">
        <v>195</v>
      </c>
      <c r="B21" s="4" t="s">
        <v>196</v>
      </c>
      <c r="C21" s="60" t="s">
        <v>197</v>
      </c>
      <c r="D21" s="60" t="s">
        <v>61</v>
      </c>
      <c r="E21" s="4" t="s">
        <v>62</v>
      </c>
      <c r="F21" s="60" t="s">
        <v>140</v>
      </c>
      <c r="G21" s="4" t="s">
        <v>64</v>
      </c>
      <c r="H21" s="60" t="s">
        <v>65</v>
      </c>
      <c r="I21" s="60">
        <v>2019</v>
      </c>
      <c r="J21" s="60">
        <v>24486439602</v>
      </c>
      <c r="K21" s="60">
        <v>8526470000</v>
      </c>
      <c r="L21" s="60">
        <v>38241835602</v>
      </c>
      <c r="M21" s="60">
        <v>38257267602</v>
      </c>
      <c r="N21" s="60">
        <v>41123915000</v>
      </c>
      <c r="O21" s="60" t="s">
        <v>128</v>
      </c>
      <c r="P21" s="60" t="s">
        <v>288</v>
      </c>
      <c r="Q21" s="60">
        <v>0.54127068994473682</v>
      </c>
      <c r="R21" s="60">
        <v>0.38852905220414979</v>
      </c>
      <c r="S21" s="60">
        <v>3.4941452190248999E-3</v>
      </c>
      <c r="T21" s="60">
        <v>2.212864871423E-4</v>
      </c>
      <c r="U21" s="60">
        <v>3.6851314504339998E-4</v>
      </c>
      <c r="X21" s="60">
        <v>0</v>
      </c>
      <c r="Y21" s="60">
        <v>0</v>
      </c>
      <c r="Z21" s="60">
        <v>0</v>
      </c>
      <c r="AA21" s="60">
        <v>0</v>
      </c>
      <c r="AB21" s="60">
        <v>0</v>
      </c>
      <c r="AE21" s="68">
        <f t="shared" si="14"/>
        <v>0.54127068994473682</v>
      </c>
      <c r="AF21" s="68">
        <f t="shared" si="15"/>
        <v>0.38852905220414979</v>
      </c>
      <c r="AG21" s="68">
        <f t="shared" si="16"/>
        <v>3.4941452190248999E-3</v>
      </c>
      <c r="AH21" s="68">
        <f t="shared" si="17"/>
        <v>2.212864871423E-4</v>
      </c>
      <c r="AI21" s="68">
        <f t="shared" si="18"/>
        <v>3.6851314504339998E-4</v>
      </c>
      <c r="AJ21" s="68" t="str">
        <f t="shared" si="19"/>
        <v/>
      </c>
      <c r="AK21" s="68" t="str">
        <f t="shared" si="20"/>
        <v/>
      </c>
      <c r="AS21" s="60">
        <v>1.0800586419062039</v>
      </c>
      <c r="AT21" s="60">
        <v>0.99355118802682363</v>
      </c>
      <c r="AU21" s="60">
        <v>1.74436112E-2</v>
      </c>
      <c r="AV21" s="60">
        <v>6.074384179999999E-2</v>
      </c>
      <c r="AW21" s="60">
        <v>8.1134556999999996E-2</v>
      </c>
    </row>
    <row r="22" spans="1:49">
      <c r="A22" s="60" t="s">
        <v>198</v>
      </c>
      <c r="B22" s="4" t="s">
        <v>199</v>
      </c>
      <c r="C22" s="60" t="s">
        <v>200</v>
      </c>
      <c r="D22" s="60" t="s">
        <v>61</v>
      </c>
      <c r="E22" s="4"/>
      <c r="F22" s="60" t="s">
        <v>140</v>
      </c>
      <c r="G22" s="4" t="s">
        <v>64</v>
      </c>
      <c r="H22" s="60" t="s">
        <v>65</v>
      </c>
      <c r="I22" s="5">
        <v>44196</v>
      </c>
      <c r="J22" s="60">
        <v>35402501369</v>
      </c>
      <c r="K22" s="60">
        <v>34438000000</v>
      </c>
      <c r="L22" s="60">
        <v>66144501369</v>
      </c>
      <c r="M22" s="60">
        <v>66731501369</v>
      </c>
      <c r="N22" s="60">
        <v>124977000000</v>
      </c>
      <c r="O22" s="67" t="s">
        <v>141</v>
      </c>
      <c r="P22" s="67" t="s">
        <v>142</v>
      </c>
      <c r="Q22" s="2">
        <v>9723000</v>
      </c>
      <c r="R22" s="80">
        <v>9532000</v>
      </c>
      <c r="S22" s="80">
        <v>8841000</v>
      </c>
      <c r="T22" s="80">
        <v>8566000</v>
      </c>
      <c r="U22" s="83">
        <v>8493000</v>
      </c>
      <c r="X22" s="2">
        <v>7061000</v>
      </c>
      <c r="Y22" s="80">
        <v>17693000</v>
      </c>
      <c r="Z22" s="80">
        <v>21022000</v>
      </c>
      <c r="AA22" s="80">
        <v>18864000</v>
      </c>
      <c r="AB22" s="83">
        <v>13720000</v>
      </c>
      <c r="AE22" s="68">
        <f t="shared" si="14"/>
        <v>16784000</v>
      </c>
      <c r="AF22" s="68">
        <f t="shared" si="15"/>
        <v>27225000</v>
      </c>
      <c r="AG22" s="68">
        <f t="shared" si="16"/>
        <v>29863000</v>
      </c>
      <c r="AH22" s="68">
        <f t="shared" si="17"/>
        <v>27430000</v>
      </c>
      <c r="AI22" s="68">
        <f t="shared" si="18"/>
        <v>22213000</v>
      </c>
      <c r="AJ22" s="68" t="str">
        <f t="shared" si="19"/>
        <v/>
      </c>
      <c r="AK22" s="68" t="str">
        <f t="shared" si="20"/>
        <v/>
      </c>
      <c r="AS22" s="75">
        <v>186212000</v>
      </c>
      <c r="AT22" s="79">
        <f>195307000+51595000</f>
        <v>246902000</v>
      </c>
      <c r="AU22" s="80">
        <f>194224000+59050000</f>
        <v>253274000</v>
      </c>
      <c r="AV22" s="81">
        <f>189463000+69708000</f>
        <v>259171000</v>
      </c>
      <c r="AW22" s="60">
        <v>181369000</v>
      </c>
    </row>
    <row r="23" spans="1:49">
      <c r="A23" s="60" t="s">
        <v>201</v>
      </c>
      <c r="B23" s="4" t="s">
        <v>202</v>
      </c>
      <c r="C23" s="60" t="s">
        <v>203</v>
      </c>
      <c r="D23" s="60" t="s">
        <v>61</v>
      </c>
      <c r="E23" s="4"/>
      <c r="F23" s="60" t="s">
        <v>140</v>
      </c>
      <c r="G23" s="4" t="s">
        <v>64</v>
      </c>
      <c r="H23" s="60" t="s">
        <v>65</v>
      </c>
      <c r="I23" s="5">
        <v>44196</v>
      </c>
      <c r="J23" s="60">
        <v>20967401361</v>
      </c>
      <c r="K23" s="60">
        <v>11035000000</v>
      </c>
      <c r="L23" s="60">
        <v>39958401361</v>
      </c>
      <c r="M23" s="60">
        <v>40585401361</v>
      </c>
      <c r="N23" s="60">
        <v>42301000000</v>
      </c>
      <c r="O23" s="67" t="s">
        <v>141</v>
      </c>
      <c r="P23" s="67" t="s">
        <v>142</v>
      </c>
      <c r="Q23" s="2"/>
      <c r="R23" s="77">
        <v>42354899</v>
      </c>
      <c r="S23" s="77">
        <v>32748805</v>
      </c>
      <c r="T23" s="77">
        <v>17935528</v>
      </c>
      <c r="U23" s="77">
        <v>14519279</v>
      </c>
      <c r="Y23" s="77">
        <v>18079772</v>
      </c>
      <c r="Z23" s="77">
        <v>20223892</v>
      </c>
      <c r="AA23" s="77">
        <v>31927583</v>
      </c>
      <c r="AB23" s="77">
        <v>28230946</v>
      </c>
      <c r="AE23" s="68" t="str">
        <f t="shared" si="14"/>
        <v/>
      </c>
      <c r="AF23" s="68">
        <f t="shared" si="15"/>
        <v>60434671</v>
      </c>
      <c r="AG23" s="68">
        <f t="shared" si="16"/>
        <v>52972697</v>
      </c>
      <c r="AH23" s="68">
        <f t="shared" si="17"/>
        <v>49863111</v>
      </c>
      <c r="AI23" s="68">
        <f t="shared" si="18"/>
        <v>42750225</v>
      </c>
      <c r="AJ23" s="68" t="str">
        <f t="shared" si="19"/>
        <v/>
      </c>
      <c r="AK23" s="68" t="str">
        <f t="shared" si="20"/>
        <v/>
      </c>
      <c r="AS23" s="60"/>
      <c r="AT23" s="75">
        <v>116315158</v>
      </c>
      <c r="AU23" s="75">
        <v>109322672</v>
      </c>
      <c r="AV23" s="75">
        <v>65313409</v>
      </c>
      <c r="AW23" s="75">
        <v>61496572</v>
      </c>
    </row>
    <row r="24" spans="1:49">
      <c r="A24" s="60" t="s">
        <v>204</v>
      </c>
      <c r="B24" s="4" t="s">
        <v>205</v>
      </c>
      <c r="C24" s="60" t="s">
        <v>206</v>
      </c>
      <c r="D24" s="60" t="s">
        <v>147</v>
      </c>
      <c r="E24" s="4"/>
      <c r="F24" s="60" t="s">
        <v>140</v>
      </c>
      <c r="G24" s="4" t="s">
        <v>64</v>
      </c>
      <c r="H24" s="60" t="s">
        <v>65</v>
      </c>
      <c r="I24" s="5">
        <v>44196</v>
      </c>
      <c r="J24" s="60">
        <f>474900000*45</f>
        <v>21370500000</v>
      </c>
      <c r="K24" s="60">
        <v>6736467578.2073479</v>
      </c>
      <c r="L24" s="60">
        <v>1</v>
      </c>
      <c r="M24" s="60">
        <v>1</v>
      </c>
      <c r="N24" s="60">
        <v>40960299959.761497</v>
      </c>
      <c r="O24" s="67" t="s">
        <v>141</v>
      </c>
      <c r="P24" s="67" t="s">
        <v>142</v>
      </c>
      <c r="Q24" s="2">
        <v>10891000</v>
      </c>
      <c r="R24" s="77">
        <v>10010000</v>
      </c>
      <c r="S24" s="77">
        <v>10818000</v>
      </c>
      <c r="T24" s="77">
        <v>11925000</v>
      </c>
      <c r="U24" s="77">
        <v>10093000</v>
      </c>
      <c r="X24" s="77">
        <f>(191+3353)*1000</f>
        <v>3544000</v>
      </c>
      <c r="Y24" s="77">
        <f>(223+3625)*1000</f>
        <v>3848000</v>
      </c>
      <c r="Z24" s="77">
        <f>(222+2893)*1000</f>
        <v>3115000</v>
      </c>
      <c r="AA24" s="77">
        <v>2933000</v>
      </c>
      <c r="AB24" s="77">
        <v>2487000</v>
      </c>
      <c r="AE24" s="68">
        <f t="shared" si="14"/>
        <v>14435000</v>
      </c>
      <c r="AF24" s="68">
        <f t="shared" si="15"/>
        <v>13858000</v>
      </c>
      <c r="AG24" s="68">
        <f t="shared" si="16"/>
        <v>13933000</v>
      </c>
      <c r="AH24" s="68">
        <f t="shared" si="17"/>
        <v>14858000</v>
      </c>
      <c r="AI24" s="68">
        <f t="shared" si="18"/>
        <v>12580000</v>
      </c>
      <c r="AJ24" s="68" t="str">
        <f t="shared" si="19"/>
        <v/>
      </c>
      <c r="AK24" s="68" t="str">
        <f t="shared" si="20"/>
        <v/>
      </c>
      <c r="AS24" s="60">
        <f>(15818+18480)*1000</f>
        <v>34298000</v>
      </c>
      <c r="AT24" s="60">
        <f>(15369+19785)*1000</f>
        <v>35154000</v>
      </c>
      <c r="AU24" s="60">
        <f>(18776+19163)*1000</f>
        <v>37939000</v>
      </c>
      <c r="AV24" s="60">
        <f>18976000+19244000</f>
        <v>38220000</v>
      </c>
      <c r="AW24" s="60">
        <f>17694000+18255000</f>
        <v>35949000</v>
      </c>
    </row>
    <row r="25" spans="1:49" s="60" customFormat="1">
      <c r="A25" s="60" t="s">
        <v>207</v>
      </c>
      <c r="B25" s="4" t="s">
        <v>208</v>
      </c>
      <c r="C25" s="60" t="s">
        <v>209</v>
      </c>
      <c r="D25" s="60" t="s">
        <v>210</v>
      </c>
      <c r="E25" s="4" t="s">
        <v>292</v>
      </c>
      <c r="F25" s="60" t="s">
        <v>166</v>
      </c>
      <c r="G25" s="4" t="s">
        <v>64</v>
      </c>
      <c r="H25" s="60" t="s">
        <v>65</v>
      </c>
      <c r="I25" s="60">
        <v>2019</v>
      </c>
      <c r="J25" s="60">
        <f>571900000*16.72*0.2</f>
        <v>1912433600</v>
      </c>
      <c r="K25" s="60">
        <v>9835514922.9662342</v>
      </c>
      <c r="L25" s="60">
        <v>1</v>
      </c>
      <c r="M25" s="60">
        <v>1</v>
      </c>
      <c r="N25" s="60">
        <v>13397913513.781719</v>
      </c>
      <c r="O25" s="67" t="s">
        <v>141</v>
      </c>
      <c r="P25" s="67" t="s">
        <v>167</v>
      </c>
      <c r="Q25" s="60">
        <v>12075000</v>
      </c>
      <c r="R25" s="60">
        <v>12075000</v>
      </c>
      <c r="S25" s="60">
        <v>10707412.125</v>
      </c>
      <c r="T25" s="60">
        <v>9056519</v>
      </c>
      <c r="U25" s="60">
        <v>9198407</v>
      </c>
      <c r="X25" s="60">
        <v>4025000</v>
      </c>
      <c r="Y25" s="60">
        <v>4025000</v>
      </c>
      <c r="Z25" s="60">
        <v>3569137.375</v>
      </c>
      <c r="AA25" s="60">
        <v>2890986</v>
      </c>
      <c r="AB25" s="60">
        <v>2082515</v>
      </c>
      <c r="AE25" s="68">
        <f t="shared" si="14"/>
        <v>16100000</v>
      </c>
      <c r="AF25" s="68">
        <f t="shared" si="15"/>
        <v>16100000</v>
      </c>
      <c r="AG25" s="68">
        <f t="shared" si="16"/>
        <v>14276549.5</v>
      </c>
      <c r="AH25" s="68">
        <f t="shared" si="17"/>
        <v>11947505</v>
      </c>
      <c r="AI25" s="68">
        <f t="shared" si="18"/>
        <v>11280922</v>
      </c>
      <c r="AJ25" s="68" t="str">
        <f t="shared" si="19"/>
        <v/>
      </c>
      <c r="AK25" s="68" t="str">
        <f t="shared" si="20"/>
        <v/>
      </c>
      <c r="AS25" s="60">
        <v>16100000</v>
      </c>
      <c r="AT25" s="60">
        <v>16100000</v>
      </c>
      <c r="AU25" s="60">
        <v>14276549.5</v>
      </c>
      <c r="AV25" s="60">
        <v>12453099</v>
      </c>
      <c r="AW25" s="60">
        <v>13142354.300000001</v>
      </c>
    </row>
    <row r="26" spans="1:49" s="60" customFormat="1">
      <c r="A26" s="60" t="s">
        <v>211</v>
      </c>
      <c r="B26" s="4" t="s">
        <v>212</v>
      </c>
      <c r="C26" s="60" t="s">
        <v>213</v>
      </c>
      <c r="D26" s="60" t="s">
        <v>61</v>
      </c>
      <c r="E26" s="4" t="s">
        <v>62</v>
      </c>
      <c r="F26" s="60" t="s">
        <v>140</v>
      </c>
      <c r="G26" s="4" t="s">
        <v>64</v>
      </c>
      <c r="H26" s="60" t="s">
        <v>65</v>
      </c>
      <c r="I26" s="60">
        <v>2019</v>
      </c>
      <c r="J26" s="60">
        <v>4745752027</v>
      </c>
      <c r="K26" s="60">
        <v>2874601000</v>
      </c>
      <c r="L26" s="60">
        <v>6513304027</v>
      </c>
      <c r="M26" s="60">
        <v>6710117027</v>
      </c>
      <c r="N26" s="60">
        <v>13745251000</v>
      </c>
      <c r="O26" s="60" t="s">
        <v>128</v>
      </c>
      <c r="P26" s="60" t="s">
        <v>288</v>
      </c>
      <c r="Q26" s="60">
        <v>3.8868941887587818</v>
      </c>
      <c r="R26" s="60">
        <v>3.8663196803185511</v>
      </c>
      <c r="S26" s="60">
        <v>3.9373016635971498</v>
      </c>
      <c r="T26" s="60">
        <v>3.9790181439510599</v>
      </c>
      <c r="U26" s="60">
        <v>3.7164390526980591</v>
      </c>
      <c r="X26" s="60">
        <v>0</v>
      </c>
      <c r="Y26" s="60">
        <v>0</v>
      </c>
      <c r="Z26" s="60">
        <v>0</v>
      </c>
      <c r="AA26" s="60">
        <v>0</v>
      </c>
      <c r="AB26" s="60">
        <v>0</v>
      </c>
      <c r="AE26" s="68">
        <f t="shared" si="14"/>
        <v>3.8868941887587818</v>
      </c>
      <c r="AF26" s="68">
        <f t="shared" si="15"/>
        <v>3.8663196803185511</v>
      </c>
      <c r="AG26" s="68">
        <f t="shared" si="16"/>
        <v>3.9373016635971498</v>
      </c>
      <c r="AH26" s="68">
        <f t="shared" si="17"/>
        <v>3.9790181439510599</v>
      </c>
      <c r="AI26" s="68">
        <f t="shared" si="18"/>
        <v>3.7164390526980591</v>
      </c>
      <c r="AJ26" s="68" t="str">
        <f t="shared" si="19"/>
        <v/>
      </c>
      <c r="AK26" s="68" t="str">
        <f t="shared" si="20"/>
        <v/>
      </c>
      <c r="AS26" s="60">
        <v>4.9426489999999976</v>
      </c>
      <c r="AT26" s="60">
        <v>4.8881049999999977</v>
      </c>
      <c r="AU26" s="60">
        <v>4.9569289999999979</v>
      </c>
      <c r="AV26" s="60">
        <v>4.9702039999999954</v>
      </c>
      <c r="AW26" s="60">
        <v>4.6293220000000019</v>
      </c>
    </row>
    <row r="27" spans="1:49" s="60" customFormat="1">
      <c r="A27" s="60" t="s">
        <v>214</v>
      </c>
      <c r="B27" s="4" t="s">
        <v>215</v>
      </c>
      <c r="C27" s="60" t="s">
        <v>216</v>
      </c>
      <c r="D27" s="60" t="s">
        <v>61</v>
      </c>
      <c r="E27" s="4" t="s">
        <v>62</v>
      </c>
      <c r="F27" s="60" t="s">
        <v>140</v>
      </c>
      <c r="G27" s="4" t="s">
        <v>64</v>
      </c>
      <c r="H27" s="60" t="s">
        <v>65</v>
      </c>
      <c r="I27" s="60">
        <v>2019</v>
      </c>
      <c r="J27" s="60">
        <v>5134204876</v>
      </c>
      <c r="K27" s="60">
        <v>5336776000</v>
      </c>
      <c r="L27" s="60">
        <v>7310852876</v>
      </c>
      <c r="M27" s="60">
        <v>7377311876</v>
      </c>
      <c r="N27" s="60">
        <v>7683059000</v>
      </c>
      <c r="O27" s="60" t="s">
        <v>128</v>
      </c>
      <c r="P27" s="60" t="s">
        <v>288</v>
      </c>
      <c r="Q27" s="60">
        <v>1.874621875279868</v>
      </c>
      <c r="R27" s="60">
        <v>1.8443599273530791</v>
      </c>
      <c r="S27" s="60">
        <v>2.0515686489135461</v>
      </c>
      <c r="T27" s="60">
        <v>1.710493430739056</v>
      </c>
      <c r="U27" s="60">
        <v>1.826274638769471</v>
      </c>
      <c r="X27" s="60">
        <v>0</v>
      </c>
      <c r="Y27" s="60">
        <v>0</v>
      </c>
      <c r="Z27" s="60">
        <v>0</v>
      </c>
      <c r="AA27" s="60">
        <v>0</v>
      </c>
      <c r="AB27" s="60">
        <v>0</v>
      </c>
      <c r="AE27" s="68">
        <f t="shared" si="14"/>
        <v>1.874621875279868</v>
      </c>
      <c r="AF27" s="68">
        <f t="shared" si="15"/>
        <v>1.8443599273530791</v>
      </c>
      <c r="AG27" s="68">
        <f t="shared" si="16"/>
        <v>2.0515686489135461</v>
      </c>
      <c r="AH27" s="68">
        <f t="shared" si="17"/>
        <v>1.710493430739056</v>
      </c>
      <c r="AI27" s="68">
        <f t="shared" si="18"/>
        <v>1.826274638769471</v>
      </c>
      <c r="AJ27" s="68" t="str">
        <f t="shared" si="19"/>
        <v/>
      </c>
      <c r="AK27" s="68" t="str">
        <f t="shared" si="20"/>
        <v/>
      </c>
      <c r="AS27" s="60">
        <v>2.1870177499999999</v>
      </c>
      <c r="AT27" s="60">
        <v>2.1656629999999999</v>
      </c>
      <c r="AU27" s="60">
        <v>2.3207654999999998</v>
      </c>
      <c r="AV27" s="60">
        <v>2.147123249999999</v>
      </c>
      <c r="AW27" s="60">
        <v>2.2935585000000001</v>
      </c>
    </row>
    <row r="28" spans="1:49" s="60" customFormat="1">
      <c r="A28" s="60" t="s">
        <v>217</v>
      </c>
      <c r="B28" s="4" t="s">
        <v>218</v>
      </c>
      <c r="C28" s="60" t="s">
        <v>219</v>
      </c>
      <c r="D28" s="60" t="s">
        <v>61</v>
      </c>
      <c r="E28" s="4" t="s">
        <v>62</v>
      </c>
      <c r="F28" s="60" t="s">
        <v>166</v>
      </c>
      <c r="G28" s="4" t="s">
        <v>64</v>
      </c>
      <c r="H28" s="60" t="s">
        <v>65</v>
      </c>
      <c r="I28" s="60">
        <v>2019</v>
      </c>
      <c r="J28" s="60">
        <v>16580000000</v>
      </c>
      <c r="K28" s="60">
        <v>22588858000</v>
      </c>
      <c r="L28" s="60">
        <v>19336696000</v>
      </c>
      <c r="M28" s="60">
        <v>20871301000</v>
      </c>
      <c r="N28" s="60">
        <v>18344666000</v>
      </c>
      <c r="O28" s="67" t="s">
        <v>141</v>
      </c>
      <c r="P28" s="67" t="s">
        <v>167</v>
      </c>
      <c r="Q28" s="60">
        <v>4800000</v>
      </c>
      <c r="R28" s="60">
        <v>4800000</v>
      </c>
      <c r="S28" s="60">
        <v>4800000</v>
      </c>
      <c r="T28" s="60">
        <v>4400000</v>
      </c>
      <c r="U28" s="60">
        <v>4700000</v>
      </c>
      <c r="X28" s="60">
        <v>5785714.2857142854</v>
      </c>
      <c r="Y28" s="60">
        <v>5785714.2857142854</v>
      </c>
      <c r="Z28" s="60">
        <v>5785714.2857142854</v>
      </c>
      <c r="AA28" s="60">
        <v>5400000</v>
      </c>
      <c r="AB28" s="60">
        <v>5400000</v>
      </c>
      <c r="AE28" s="68">
        <f t="shared" si="14"/>
        <v>10585714.285714285</v>
      </c>
      <c r="AF28" s="68">
        <f t="shared" si="15"/>
        <v>10585714.285714285</v>
      </c>
      <c r="AG28" s="68">
        <f t="shared" si="16"/>
        <v>10585714.285714285</v>
      </c>
      <c r="AH28" s="68">
        <f t="shared" si="17"/>
        <v>9800000</v>
      </c>
      <c r="AI28" s="68">
        <f t="shared" si="18"/>
        <v>10100000</v>
      </c>
      <c r="AJ28" s="68" t="str">
        <f t="shared" si="19"/>
        <v/>
      </c>
      <c r="AK28" s="68" t="str">
        <f t="shared" si="20"/>
        <v/>
      </c>
      <c r="AL28" s="60">
        <v>7557446.8085106378</v>
      </c>
      <c r="AM28" s="60">
        <v>7557446.8085106378</v>
      </c>
      <c r="AN28" s="60">
        <v>7557446.8085106378</v>
      </c>
      <c r="AO28" s="60">
        <v>6927659.5744680855</v>
      </c>
      <c r="AP28" s="60">
        <v>7400000</v>
      </c>
      <c r="AS28" s="60">
        <v>22500000</v>
      </c>
      <c r="AT28" s="60">
        <v>22500000</v>
      </c>
      <c r="AU28" s="60">
        <v>22500000</v>
      </c>
      <c r="AV28" s="60">
        <v>20700000</v>
      </c>
      <c r="AW28" s="60">
        <v>20300000</v>
      </c>
    </row>
    <row r="29" spans="1:49" s="60" customFormat="1">
      <c r="A29" s="60" t="s">
        <v>220</v>
      </c>
      <c r="B29" s="4" t="s">
        <v>221</v>
      </c>
      <c r="C29" s="60" t="s">
        <v>222</v>
      </c>
      <c r="D29" s="60" t="s">
        <v>223</v>
      </c>
      <c r="E29" s="4" t="s">
        <v>224</v>
      </c>
      <c r="F29" s="60" t="s">
        <v>140</v>
      </c>
      <c r="G29" s="4" t="s">
        <v>64</v>
      </c>
      <c r="H29" s="60" t="s">
        <v>65</v>
      </c>
      <c r="I29" s="60">
        <v>2019</v>
      </c>
      <c r="J29" s="60">
        <v>40783780623.596977</v>
      </c>
      <c r="K29" s="60">
        <v>19393506493.506489</v>
      </c>
      <c r="L29" s="60">
        <v>1</v>
      </c>
      <c r="M29" s="60">
        <v>1</v>
      </c>
      <c r="N29" s="60">
        <v>81770129870.129868</v>
      </c>
      <c r="O29" s="60" t="s">
        <v>128</v>
      </c>
      <c r="P29" s="60" t="s">
        <v>288</v>
      </c>
      <c r="Q29" s="60">
        <v>5.8304249123706393</v>
      </c>
      <c r="R29" s="60">
        <v>4.1059781322581674</v>
      </c>
      <c r="S29" s="60">
        <v>5.7563259519008847</v>
      </c>
      <c r="T29" s="60">
        <v>4.7256911734020344</v>
      </c>
      <c r="U29" s="60">
        <v>6.0785452695146844</v>
      </c>
      <c r="X29" s="60">
        <v>0</v>
      </c>
      <c r="Y29" s="60">
        <v>0</v>
      </c>
      <c r="Z29" s="60">
        <v>0</v>
      </c>
      <c r="AA29" s="60">
        <v>0</v>
      </c>
      <c r="AB29" s="60">
        <v>0</v>
      </c>
      <c r="AE29" s="68">
        <f t="shared" si="14"/>
        <v>5.8304249123706393</v>
      </c>
      <c r="AF29" s="68">
        <f t="shared" si="15"/>
        <v>4.1059781322581674</v>
      </c>
      <c r="AG29" s="68">
        <f t="shared" si="16"/>
        <v>5.7563259519008847</v>
      </c>
      <c r="AH29" s="68">
        <f t="shared" si="17"/>
        <v>4.7256911734020344</v>
      </c>
      <c r="AI29" s="68">
        <f t="shared" si="18"/>
        <v>6.0785452695146844</v>
      </c>
      <c r="AJ29" s="68" t="str">
        <f t="shared" si="19"/>
        <v/>
      </c>
      <c r="AK29" s="68" t="str">
        <f t="shared" si="20"/>
        <v/>
      </c>
      <c r="AS29" s="60">
        <v>9.6681579999999929</v>
      </c>
      <c r="AT29" s="60">
        <v>6.7177260000000034</v>
      </c>
      <c r="AU29" s="60">
        <v>9.3488639999999847</v>
      </c>
      <c r="AV29" s="60">
        <v>7.7770189999999966</v>
      </c>
      <c r="AW29" s="60">
        <v>10.203675999999991</v>
      </c>
    </row>
    <row r="30" spans="1:49" s="60" customFormat="1">
      <c r="A30" s="2" t="s">
        <v>302</v>
      </c>
      <c r="B30" s="4" t="s">
        <v>303</v>
      </c>
      <c r="C30" s="60" t="s">
        <v>304</v>
      </c>
      <c r="D30" s="60" t="s">
        <v>61</v>
      </c>
      <c r="E30" s="4" t="s">
        <v>62</v>
      </c>
      <c r="F30" s="60" t="s">
        <v>140</v>
      </c>
      <c r="G30" s="4" t="s">
        <v>64</v>
      </c>
      <c r="H30" s="60" t="s">
        <v>65</v>
      </c>
      <c r="I30" s="60">
        <v>2019</v>
      </c>
      <c r="J30" s="60">
        <v>97905404884</v>
      </c>
      <c r="K30" s="60">
        <v>19204000000</v>
      </c>
      <c r="L30" s="60">
        <v>134848404884</v>
      </c>
      <c r="M30" s="60">
        <v>135448404884</v>
      </c>
      <c r="N30" s="60">
        <v>117691000000</v>
      </c>
      <c r="O30" s="60" t="s">
        <v>128</v>
      </c>
      <c r="P30" s="60" t="s">
        <v>288</v>
      </c>
      <c r="Q30" s="60">
        <v>44.467669531404027</v>
      </c>
      <c r="R30" s="60">
        <v>45.15651668584934</v>
      </c>
      <c r="S30" s="60">
        <v>45.362601100706101</v>
      </c>
      <c r="T30" s="60">
        <v>44.579149470133437</v>
      </c>
      <c r="U30" s="60">
        <v>42.257461966110647</v>
      </c>
      <c r="X30" s="60">
        <v>0</v>
      </c>
      <c r="Y30" s="60">
        <v>0</v>
      </c>
      <c r="Z30" s="60">
        <v>0</v>
      </c>
      <c r="AA30" s="60">
        <v>0</v>
      </c>
      <c r="AB30" s="60">
        <v>0</v>
      </c>
      <c r="AE30" s="68">
        <f t="shared" si="14"/>
        <v>44.467669531404027</v>
      </c>
      <c r="AF30" s="68">
        <f t="shared" si="15"/>
        <v>45.15651668584934</v>
      </c>
      <c r="AG30" s="68">
        <f t="shared" si="16"/>
        <v>45.362601100706101</v>
      </c>
      <c r="AH30" s="68">
        <f t="shared" si="17"/>
        <v>44.579149470133437</v>
      </c>
      <c r="AI30" s="68">
        <f t="shared" si="18"/>
        <v>42.257461966110647</v>
      </c>
      <c r="AJ30" s="68" t="str">
        <f t="shared" si="19"/>
        <v/>
      </c>
      <c r="AK30" s="68" t="str">
        <f t="shared" si="20"/>
        <v/>
      </c>
      <c r="AS30" s="60">
        <v>127.73700738310001</v>
      </c>
      <c r="AT30" s="60">
        <v>129.14431197200011</v>
      </c>
      <c r="AU30" s="60">
        <v>133.74937911255</v>
      </c>
      <c r="AV30" s="60">
        <v>135.71818765739991</v>
      </c>
      <c r="AW30" s="60">
        <v>137.27814340149999</v>
      </c>
    </row>
    <row r="31" spans="1:49" s="60" customFormat="1">
      <c r="A31" s="60" t="s">
        <v>318</v>
      </c>
      <c r="B31" s="4" t="s">
        <v>319</v>
      </c>
      <c r="C31" s="60" t="s">
        <v>320</v>
      </c>
      <c r="D31" s="60" t="s">
        <v>322</v>
      </c>
      <c r="E31" s="26" t="s">
        <v>321</v>
      </c>
      <c r="F31" s="60" t="s">
        <v>166</v>
      </c>
      <c r="G31" s="4" t="s">
        <v>64</v>
      </c>
      <c r="H31" s="60" t="s">
        <v>65</v>
      </c>
      <c r="I31" s="60">
        <v>2019</v>
      </c>
      <c r="J31" s="60">
        <f>879400*1000000/107.92</f>
        <v>8148628613.7879906</v>
      </c>
      <c r="K31" s="60">
        <f>5921500*1000000/107.92</f>
        <v>54869347664.936989</v>
      </c>
      <c r="L31" s="60">
        <f>M31+289549*1000000/107.92</f>
        <v>33892605633.802818</v>
      </c>
      <c r="M31" s="60">
        <f>J31+2488741*1000000/107.92</f>
        <v>31209608969.607117</v>
      </c>
      <c r="N31" s="60">
        <f>7444965*1000000/107.92</f>
        <v>68985961823.573013</v>
      </c>
      <c r="O31" s="60" t="s">
        <v>141</v>
      </c>
      <c r="P31" s="60" t="s">
        <v>167</v>
      </c>
      <c r="Q31" s="60">
        <v>80501000</v>
      </c>
      <c r="R31" s="60">
        <v>80501000</v>
      </c>
      <c r="S31" s="60">
        <v>81099000</v>
      </c>
      <c r="T31" s="60">
        <v>78384000</v>
      </c>
      <c r="U31" s="60">
        <v>62860000</v>
      </c>
      <c r="X31" s="60">
        <v>12478000</v>
      </c>
      <c r="Y31" s="60">
        <v>12478000</v>
      </c>
      <c r="Z31" s="60">
        <v>12563000</v>
      </c>
      <c r="AA31" s="60">
        <v>11878000</v>
      </c>
      <c r="AB31" s="60">
        <v>10846000</v>
      </c>
      <c r="AE31" s="60">
        <v>92979000</v>
      </c>
      <c r="AF31" s="60">
        <v>92979000</v>
      </c>
      <c r="AG31" s="60">
        <v>93662000</v>
      </c>
      <c r="AH31" s="60">
        <v>90262000</v>
      </c>
      <c r="AI31" s="60">
        <v>73706000</v>
      </c>
      <c r="AL31" s="60">
        <v>20957000</v>
      </c>
      <c r="AM31" s="60">
        <v>20957000</v>
      </c>
      <c r="AN31" s="60">
        <v>21191000</v>
      </c>
      <c r="AO31" s="60">
        <v>20937000</v>
      </c>
      <c r="AP31" s="60">
        <v>18078000</v>
      </c>
      <c r="AS31" s="60">
        <v>49580000</v>
      </c>
      <c r="AT31" s="60">
        <v>49580000</v>
      </c>
      <c r="AU31" s="60">
        <v>48500000</v>
      </c>
      <c r="AV31" s="60">
        <v>45890000</v>
      </c>
      <c r="AW31" s="60">
        <v>36630000</v>
      </c>
    </row>
    <row r="32" spans="1:49" s="60" customFormat="1">
      <c r="A32" s="2" t="s">
        <v>305</v>
      </c>
      <c r="B32" s="4" t="s">
        <v>306</v>
      </c>
      <c r="C32" s="60" t="s">
        <v>307</v>
      </c>
      <c r="D32" s="60" t="s">
        <v>61</v>
      </c>
      <c r="E32" s="4" t="s">
        <v>62</v>
      </c>
      <c r="F32" s="60" t="s">
        <v>140</v>
      </c>
      <c r="G32" s="4" t="s">
        <v>64</v>
      </c>
      <c r="H32" s="60" t="s">
        <v>65</v>
      </c>
      <c r="I32" s="60">
        <v>2019</v>
      </c>
      <c r="J32" s="60">
        <v>10713311150</v>
      </c>
      <c r="K32" s="60">
        <v>5053400000</v>
      </c>
      <c r="L32" s="60">
        <v>19338411150</v>
      </c>
      <c r="M32" s="60">
        <v>19477711150</v>
      </c>
      <c r="N32" s="60">
        <v>22659800000</v>
      </c>
      <c r="O32" s="60" t="s">
        <v>128</v>
      </c>
      <c r="P32" s="60" t="s">
        <v>288</v>
      </c>
      <c r="Q32" s="60">
        <v>9.9601014764331595</v>
      </c>
      <c r="R32" s="60">
        <v>9.6960935392110255</v>
      </c>
      <c r="S32" s="60">
        <v>10.80060607497348</v>
      </c>
      <c r="T32" s="60">
        <v>8.57140918766944</v>
      </c>
      <c r="U32" s="60">
        <v>5.9569034121262181</v>
      </c>
      <c r="X32" s="60">
        <v>0</v>
      </c>
      <c r="Y32" s="60">
        <v>0</v>
      </c>
      <c r="Z32" s="60">
        <v>0</v>
      </c>
      <c r="AA32" s="60">
        <v>0</v>
      </c>
      <c r="AB32" s="60">
        <v>0</v>
      </c>
      <c r="AE32" s="68">
        <f t="shared" ref="AE32:AE36" si="21">IF(ISBLANK(Q32),IF(ISBLANK(X32),"",X32),Q32+X32)</f>
        <v>9.9601014764331595</v>
      </c>
      <c r="AF32" s="68">
        <f t="shared" ref="AF32:AF36" si="22">IF(ISBLANK(R32),IF(ISBLANK(Y32),"",Y32),R32+Y32)</f>
        <v>9.6960935392110255</v>
      </c>
      <c r="AG32" s="68">
        <f t="shared" ref="AG32:AG36" si="23">IF(ISBLANK(S32),IF(ISBLANK(Z32),"",Z32),S32+Z32)</f>
        <v>10.80060607497348</v>
      </c>
      <c r="AH32" s="68">
        <f t="shared" ref="AH32:AH36" si="24">IF(ISBLANK(T32),IF(ISBLANK(AA32),"",AA32),T32+AA32)</f>
        <v>8.57140918766944</v>
      </c>
      <c r="AI32" s="68">
        <f t="shared" ref="AI32:AI36" si="25">IF(ISBLANK(U32),IF(ISBLANK(AB32),"",AB32),U32+AB32)</f>
        <v>5.9569034121262181</v>
      </c>
      <c r="AJ32" s="68" t="str">
        <f t="shared" ref="AJ32:AJ36" si="26">IF(ISBLANK(V32),IF(ISBLANK(AC32),"",AC32),V32+AC32)</f>
        <v/>
      </c>
      <c r="AK32" s="68" t="str">
        <f t="shared" ref="AK32:AK36" si="27">IF(ISBLANK(W32),IF(ISBLANK(AD32),"",AD32),W32+AD32)</f>
        <v/>
      </c>
      <c r="AS32" s="60">
        <v>11.781155</v>
      </c>
      <c r="AT32" s="60">
        <v>11.451045000000009</v>
      </c>
      <c r="AU32" s="60">
        <v>11.979272999999999</v>
      </c>
      <c r="AV32" s="60">
        <v>10.329416</v>
      </c>
      <c r="AW32" s="60">
        <v>7.6103259999999988</v>
      </c>
    </row>
    <row r="33" spans="1:49" s="60" customFormat="1">
      <c r="A33" s="60" t="s">
        <v>225</v>
      </c>
      <c r="B33" s="4" t="s">
        <v>226</v>
      </c>
      <c r="C33" s="60" t="s">
        <v>227</v>
      </c>
      <c r="D33" s="60" t="s">
        <v>61</v>
      </c>
      <c r="E33" s="4" t="s">
        <v>62</v>
      </c>
      <c r="F33" s="60" t="s">
        <v>140</v>
      </c>
      <c r="G33" s="4" t="s">
        <v>64</v>
      </c>
      <c r="H33" s="60" t="s">
        <v>65</v>
      </c>
      <c r="I33" s="60">
        <v>2019</v>
      </c>
      <c r="J33" s="60">
        <v>3639448000</v>
      </c>
      <c r="K33" s="60">
        <v>1257910000</v>
      </c>
      <c r="L33" s="60">
        <v>6051117000</v>
      </c>
      <c r="M33" s="60">
        <v>6056262000</v>
      </c>
      <c r="N33" s="60">
        <v>5910702000</v>
      </c>
      <c r="O33" s="60" t="s">
        <v>128</v>
      </c>
      <c r="P33" s="60" t="s">
        <v>288</v>
      </c>
      <c r="Q33" s="60">
        <v>10.582888304777761</v>
      </c>
      <c r="R33" s="60">
        <v>11.130297979749971</v>
      </c>
      <c r="S33" s="60">
        <v>10.993496221932819</v>
      </c>
      <c r="T33" s="60">
        <v>10.742924548950519</v>
      </c>
      <c r="U33" s="60">
        <v>7.6614925655895112</v>
      </c>
      <c r="X33" s="60">
        <v>0</v>
      </c>
      <c r="Y33" s="60">
        <v>0</v>
      </c>
      <c r="Z33" s="60">
        <v>0</v>
      </c>
      <c r="AA33" s="60">
        <v>0</v>
      </c>
      <c r="AB33" s="60">
        <v>0</v>
      </c>
      <c r="AE33" s="68">
        <f t="shared" si="21"/>
        <v>10.582888304777761</v>
      </c>
      <c r="AF33" s="68">
        <f t="shared" si="22"/>
        <v>11.130297979749971</v>
      </c>
      <c r="AG33" s="68">
        <f t="shared" si="23"/>
        <v>10.993496221932819</v>
      </c>
      <c r="AH33" s="68">
        <f t="shared" si="24"/>
        <v>10.742924548950519</v>
      </c>
      <c r="AI33" s="68">
        <f t="shared" si="25"/>
        <v>7.6614925655895112</v>
      </c>
      <c r="AJ33" s="68" t="str">
        <f t="shared" si="26"/>
        <v/>
      </c>
      <c r="AK33" s="68" t="str">
        <f t="shared" si="27"/>
        <v/>
      </c>
      <c r="AS33" s="60">
        <v>21.821417649600019</v>
      </c>
      <c r="AT33" s="60">
        <v>23.083953169599969</v>
      </c>
      <c r="AU33" s="60">
        <v>23.586075636698851</v>
      </c>
      <c r="AV33" s="60">
        <v>23.48062432319999</v>
      </c>
      <c r="AW33" s="60">
        <v>19.634134127999999</v>
      </c>
    </row>
    <row r="34" spans="1:49">
      <c r="A34" s="60" t="s">
        <v>228</v>
      </c>
      <c r="B34" s="4" t="s">
        <v>229</v>
      </c>
      <c r="C34" s="60" t="s">
        <v>230</v>
      </c>
      <c r="D34" s="60" t="s">
        <v>61</v>
      </c>
      <c r="E34" s="4"/>
      <c r="F34" s="60" t="s">
        <v>140</v>
      </c>
      <c r="G34" s="4" t="s">
        <v>64</v>
      </c>
      <c r="H34" s="60" t="s">
        <v>65</v>
      </c>
      <c r="I34" s="5">
        <v>44196</v>
      </c>
      <c r="J34" s="60">
        <v>6077156282</v>
      </c>
      <c r="K34" s="60">
        <v>2231600000</v>
      </c>
      <c r="L34" s="60">
        <v>1</v>
      </c>
      <c r="M34" s="60">
        <v>1</v>
      </c>
      <c r="N34" s="60">
        <v>11024300000</v>
      </c>
      <c r="O34" s="67" t="s">
        <v>141</v>
      </c>
      <c r="P34" s="67" t="s">
        <v>142</v>
      </c>
      <c r="Q34" s="77">
        <v>26596742</v>
      </c>
      <c r="R34" s="77">
        <v>29995758</v>
      </c>
      <c r="S34" s="77">
        <v>29344948</v>
      </c>
      <c r="T34" s="77">
        <v>24205850</v>
      </c>
      <c r="U34" s="77">
        <v>25759240</v>
      </c>
      <c r="X34" s="77">
        <v>6570582</v>
      </c>
      <c r="Y34" s="77">
        <v>6366492</v>
      </c>
      <c r="Z34" s="77">
        <v>6552023</v>
      </c>
      <c r="AA34" s="77">
        <v>6121318</v>
      </c>
      <c r="AB34" s="77">
        <v>6063090</v>
      </c>
      <c r="AE34" s="68">
        <f t="shared" si="21"/>
        <v>33167324</v>
      </c>
      <c r="AF34" s="68">
        <f t="shared" si="22"/>
        <v>36362250</v>
      </c>
      <c r="AG34" s="68">
        <f t="shared" si="23"/>
        <v>35896971</v>
      </c>
      <c r="AH34" s="68">
        <f t="shared" si="24"/>
        <v>30327168</v>
      </c>
      <c r="AI34" s="68">
        <f t="shared" si="25"/>
        <v>31822330</v>
      </c>
      <c r="AJ34" s="68" t="str">
        <f t="shared" si="26"/>
        <v/>
      </c>
      <c r="AK34" s="68" t="str">
        <f t="shared" si="27"/>
        <v/>
      </c>
      <c r="AS34" s="1">
        <f>27386150+337284+9430179+1135+58481+1356185+7487+317670+11610944</f>
        <v>50505515</v>
      </c>
      <c r="AT34" s="1">
        <f>31026112+283323+8304127+777+39306+1494512+5994+322935+11280342</f>
        <v>52757428</v>
      </c>
      <c r="AU34" s="1">
        <f>30506684+465026+10655278+4344+34495+1129399+5996+277653+11385085</f>
        <v>54463960</v>
      </c>
      <c r="AV34" s="1">
        <f>25067412+190452+9189864+4488+52483+1978567+7145+276564+11751484</f>
        <v>48518459</v>
      </c>
      <c r="AW34" s="1">
        <f>26746679+224926+7717598+760+62669+1795659+9332+269579+11586013</f>
        <v>48413215</v>
      </c>
    </row>
    <row r="35" spans="1:49" s="60" customFormat="1">
      <c r="A35" s="60" t="s">
        <v>231</v>
      </c>
      <c r="B35" s="4" t="s">
        <v>232</v>
      </c>
      <c r="C35" s="60" t="s">
        <v>233</v>
      </c>
      <c r="D35" s="60" t="s">
        <v>61</v>
      </c>
      <c r="E35" s="4" t="s">
        <v>62</v>
      </c>
      <c r="F35" s="60" t="s">
        <v>140</v>
      </c>
      <c r="G35" s="4" t="s">
        <v>64</v>
      </c>
      <c r="H35" s="60" t="s">
        <v>65</v>
      </c>
      <c r="I35" s="60">
        <v>2019</v>
      </c>
      <c r="J35" s="60">
        <v>12130000000</v>
      </c>
      <c r="K35" s="60">
        <v>17129000000</v>
      </c>
      <c r="L35" s="60">
        <v>32736000000</v>
      </c>
      <c r="M35" s="60">
        <v>34306000000</v>
      </c>
      <c r="N35" s="60">
        <v>85196000000</v>
      </c>
      <c r="O35" s="60" t="s">
        <v>128</v>
      </c>
      <c r="P35" s="60" t="s">
        <v>288</v>
      </c>
      <c r="Q35" s="60">
        <v>2.2165439927868431</v>
      </c>
      <c r="R35" s="60">
        <v>2.2511915664015651</v>
      </c>
      <c r="S35" s="60">
        <v>2.4511497723448512</v>
      </c>
      <c r="T35" s="60">
        <v>2.4417731948327588</v>
      </c>
      <c r="U35" s="60">
        <v>2.4929495902512868</v>
      </c>
      <c r="X35" s="60">
        <v>0</v>
      </c>
      <c r="Y35" s="60">
        <v>0</v>
      </c>
      <c r="Z35" s="60">
        <v>0</v>
      </c>
      <c r="AA35" s="60">
        <v>0</v>
      </c>
      <c r="AB35" s="60">
        <v>0</v>
      </c>
      <c r="AE35" s="68">
        <f t="shared" si="21"/>
        <v>2.2165439927868431</v>
      </c>
      <c r="AF35" s="68">
        <f t="shared" si="22"/>
        <v>2.2511915664015651</v>
      </c>
      <c r="AG35" s="68">
        <f t="shared" si="23"/>
        <v>2.4511497723448512</v>
      </c>
      <c r="AH35" s="68">
        <f t="shared" si="24"/>
        <v>2.4417731948327588</v>
      </c>
      <c r="AI35" s="68">
        <f t="shared" si="25"/>
        <v>2.4929495902512868</v>
      </c>
      <c r="AJ35" s="68" t="str">
        <f t="shared" si="26"/>
        <v/>
      </c>
      <c r="AK35" s="68" t="str">
        <f t="shared" si="27"/>
        <v/>
      </c>
      <c r="AS35" s="60">
        <v>32.993292000000046</v>
      </c>
      <c r="AT35" s="60">
        <v>34.490223999999976</v>
      </c>
      <c r="AU35" s="60">
        <v>32.281219999999983</v>
      </c>
      <c r="AV35" s="60">
        <v>33.513361000000003</v>
      </c>
      <c r="AW35" s="60">
        <v>28.915493999999999</v>
      </c>
    </row>
    <row r="36" spans="1:49" s="60" customFormat="1">
      <c r="A36" s="60" t="s">
        <v>234</v>
      </c>
      <c r="B36" s="4" t="s">
        <v>235</v>
      </c>
      <c r="C36" s="60" t="s">
        <v>236</v>
      </c>
      <c r="D36" s="60" t="s">
        <v>61</v>
      </c>
      <c r="E36" s="4" t="s">
        <v>62</v>
      </c>
      <c r="F36" s="60" t="s">
        <v>140</v>
      </c>
      <c r="G36" s="4" t="s">
        <v>64</v>
      </c>
      <c r="H36" s="60" t="s">
        <v>65</v>
      </c>
      <c r="I36" s="60">
        <v>2019</v>
      </c>
      <c r="J36" s="60">
        <v>4055165998</v>
      </c>
      <c r="K36" s="60">
        <v>1457603000</v>
      </c>
      <c r="L36" s="60">
        <v>6568781998</v>
      </c>
      <c r="M36" s="60">
        <v>6572614998</v>
      </c>
      <c r="N36" s="60">
        <v>7298774000</v>
      </c>
      <c r="O36" s="60" t="s">
        <v>128</v>
      </c>
      <c r="P36" s="60" t="s">
        <v>288</v>
      </c>
      <c r="Q36" s="60">
        <v>6.3372507858173828</v>
      </c>
      <c r="R36" s="60">
        <v>6.4887687018882163</v>
      </c>
      <c r="S36" s="60">
        <v>5.2178957581488241</v>
      </c>
      <c r="T36" s="60">
        <v>5.3678279888909568</v>
      </c>
      <c r="U36" s="60">
        <v>5.2994389016205039</v>
      </c>
      <c r="X36" s="60">
        <v>0</v>
      </c>
      <c r="Y36" s="60">
        <v>0</v>
      </c>
      <c r="Z36" s="60">
        <v>0</v>
      </c>
      <c r="AA36" s="60">
        <v>0</v>
      </c>
      <c r="AB36" s="60">
        <v>0</v>
      </c>
      <c r="AE36" s="68">
        <f t="shared" si="21"/>
        <v>6.3372507858173828</v>
      </c>
      <c r="AF36" s="68">
        <f t="shared" si="22"/>
        <v>6.4887687018882163</v>
      </c>
      <c r="AG36" s="68">
        <f t="shared" si="23"/>
        <v>5.2178957581488241</v>
      </c>
      <c r="AH36" s="68">
        <f t="shared" si="24"/>
        <v>5.3678279888909568</v>
      </c>
      <c r="AI36" s="68">
        <f t="shared" si="25"/>
        <v>5.2994389016205039</v>
      </c>
      <c r="AJ36" s="68" t="str">
        <f t="shared" si="26"/>
        <v/>
      </c>
      <c r="AK36" s="68" t="str">
        <f t="shared" si="27"/>
        <v/>
      </c>
      <c r="AS36" s="60">
        <v>10.2316756958</v>
      </c>
      <c r="AT36" s="60">
        <v>10.1709745005</v>
      </c>
      <c r="AU36" s="60">
        <v>9.3077880988000032</v>
      </c>
      <c r="AV36" s="60">
        <v>9.9073846084999992</v>
      </c>
      <c r="AW36" s="60">
        <v>9.7428489771999978</v>
      </c>
    </row>
    <row r="37" spans="1:49" s="60" customFormat="1">
      <c r="A37" s="60" t="s">
        <v>237</v>
      </c>
      <c r="B37" s="4" t="s">
        <v>238</v>
      </c>
      <c r="C37" s="60" t="s">
        <v>239</v>
      </c>
      <c r="D37" s="60" t="s">
        <v>240</v>
      </c>
      <c r="E37" s="4" t="s">
        <v>321</v>
      </c>
      <c r="F37" s="60" t="s">
        <v>166</v>
      </c>
      <c r="G37" s="4" t="s">
        <v>64</v>
      </c>
      <c r="H37" s="60" t="s">
        <v>65</v>
      </c>
      <c r="I37" s="60">
        <v>2019</v>
      </c>
      <c r="J37" s="60">
        <v>20260000000</v>
      </c>
      <c r="K37" s="60">
        <v>55955872344.100883</v>
      </c>
      <c r="L37" s="60">
        <v>1</v>
      </c>
      <c r="M37" s="60">
        <v>1</v>
      </c>
      <c r="N37" s="60">
        <v>68553124892.036621</v>
      </c>
      <c r="O37" s="67" t="s">
        <v>141</v>
      </c>
      <c r="P37" s="67" t="s">
        <v>167</v>
      </c>
      <c r="Q37" s="60">
        <v>81309800</v>
      </c>
      <c r="R37" s="60">
        <v>75633360</v>
      </c>
      <c r="S37" s="60">
        <v>77391479</v>
      </c>
      <c r="T37" s="60">
        <v>79447924</v>
      </c>
      <c r="U37" s="60">
        <v>75069656</v>
      </c>
      <c r="X37" s="60">
        <v>3715700</v>
      </c>
      <c r="Y37" s="60">
        <v>1107681</v>
      </c>
      <c r="Z37" s="60">
        <v>1106964</v>
      </c>
      <c r="AA37" s="60">
        <v>815966</v>
      </c>
      <c r="AB37" s="60">
        <v>580226</v>
      </c>
      <c r="AE37" s="60">
        <v>85025500</v>
      </c>
      <c r="AF37" s="60">
        <v>76741041</v>
      </c>
      <c r="AG37" s="60">
        <v>78498443</v>
      </c>
      <c r="AH37" s="60">
        <v>80263890</v>
      </c>
      <c r="AI37" s="60">
        <v>75649882</v>
      </c>
      <c r="AL37" s="60">
        <v>18044000</v>
      </c>
      <c r="AM37" s="60">
        <v>18044000</v>
      </c>
      <c r="AN37" s="60">
        <v>18903000</v>
      </c>
      <c r="AO37" s="60">
        <v>13139000</v>
      </c>
      <c r="AP37" s="60">
        <v>11951000</v>
      </c>
      <c r="AS37" s="60">
        <v>42199000</v>
      </c>
      <c r="AT37" s="60">
        <v>37207000</v>
      </c>
      <c r="AU37" s="60">
        <v>37735000</v>
      </c>
      <c r="AV37" s="60">
        <v>38007000</v>
      </c>
      <c r="AW37" s="60">
        <v>35935000</v>
      </c>
    </row>
    <row r="38" spans="1:49" s="60" customFormat="1">
      <c r="A38" s="60" t="s">
        <v>241</v>
      </c>
      <c r="B38" s="4" t="s">
        <v>242</v>
      </c>
      <c r="C38" s="60" t="s">
        <v>243</v>
      </c>
      <c r="D38" s="60" t="s">
        <v>61</v>
      </c>
      <c r="E38" s="4" t="s">
        <v>62</v>
      </c>
      <c r="F38" s="60" t="s">
        <v>140</v>
      </c>
      <c r="G38" s="4" t="s">
        <v>64</v>
      </c>
      <c r="H38" s="60" t="s">
        <v>65</v>
      </c>
      <c r="I38" s="60">
        <v>2019</v>
      </c>
      <c r="J38" s="60">
        <v>22384264788</v>
      </c>
      <c r="K38" s="60">
        <v>7769000000</v>
      </c>
      <c r="L38" s="60">
        <v>43462264788</v>
      </c>
      <c r="M38" s="60">
        <v>44277264788</v>
      </c>
      <c r="N38" s="60">
        <v>45680000000</v>
      </c>
      <c r="O38" s="60" t="s">
        <v>128</v>
      </c>
      <c r="P38" s="60" t="s">
        <v>288</v>
      </c>
      <c r="Q38" s="60">
        <v>30.088487225134571</v>
      </c>
      <c r="R38" s="60">
        <v>30.248371457395859</v>
      </c>
      <c r="S38" s="60">
        <v>31.6114690424515</v>
      </c>
      <c r="T38" s="60">
        <v>28.77891531834095</v>
      </c>
      <c r="U38" s="60">
        <v>26.356336337583219</v>
      </c>
      <c r="X38" s="60">
        <v>0</v>
      </c>
      <c r="Y38" s="60">
        <v>0</v>
      </c>
      <c r="Z38" s="60">
        <v>0</v>
      </c>
      <c r="AA38" s="60">
        <v>0</v>
      </c>
      <c r="AB38" s="60">
        <v>0</v>
      </c>
      <c r="AE38" s="68">
        <f t="shared" ref="AE38:AE43" si="28">IF(ISBLANK(Q38),IF(ISBLANK(X38),"",X38),Q38+X38)</f>
        <v>30.088487225134571</v>
      </c>
      <c r="AF38" s="68">
        <f t="shared" ref="AF38:AF43" si="29">IF(ISBLANK(R38),IF(ISBLANK(Y38),"",Y38),R38+Y38)</f>
        <v>30.248371457395859</v>
      </c>
      <c r="AG38" s="68">
        <f t="shared" ref="AG38:AG43" si="30">IF(ISBLANK(S38),IF(ISBLANK(Z38),"",Z38),S38+Z38)</f>
        <v>31.6114690424515</v>
      </c>
      <c r="AH38" s="68">
        <f t="shared" ref="AH38:AH43" si="31">IF(ISBLANK(T38),IF(ISBLANK(AA38),"",AA38),T38+AA38)</f>
        <v>28.77891531834095</v>
      </c>
      <c r="AI38" s="68">
        <f t="shared" ref="AI38:AI43" si="32">IF(ISBLANK(U38),IF(ISBLANK(AB38),"",AB38),U38+AB38)</f>
        <v>26.356336337583219</v>
      </c>
      <c r="AJ38" s="68" t="str">
        <f t="shared" ref="AJ38:AJ43" si="33">IF(ISBLANK(V38),IF(ISBLANK(AC38),"",AC38),V38+AC38)</f>
        <v/>
      </c>
      <c r="AK38" s="68" t="str">
        <f t="shared" ref="AK38:AK43" si="34">IF(ISBLANK(W38),IF(ISBLANK(AD38),"",AD38),W38+AD38)</f>
        <v/>
      </c>
      <c r="AS38" s="60">
        <v>34.613221170895542</v>
      </c>
      <c r="AT38" s="60">
        <v>33.53286848432834</v>
      </c>
      <c r="AU38" s="60">
        <v>35.571970040298531</v>
      </c>
      <c r="AV38" s="60">
        <v>33.152931723134323</v>
      </c>
      <c r="AW38" s="60">
        <v>30.552479561194019</v>
      </c>
    </row>
    <row r="39" spans="1:49" s="60" customFormat="1">
      <c r="A39" s="60" t="s">
        <v>244</v>
      </c>
      <c r="B39" s="4" t="s">
        <v>245</v>
      </c>
      <c r="C39" s="60" t="s">
        <v>246</v>
      </c>
      <c r="D39" s="60" t="s">
        <v>61</v>
      </c>
      <c r="E39" s="4" t="s">
        <v>62</v>
      </c>
      <c r="F39" s="60" t="s">
        <v>140</v>
      </c>
      <c r="G39" s="4" t="s">
        <v>64</v>
      </c>
      <c r="H39" s="60" t="s">
        <v>65</v>
      </c>
      <c r="I39" s="60">
        <v>2019</v>
      </c>
      <c r="J39" s="60">
        <v>10536165750</v>
      </c>
      <c r="K39" s="60">
        <v>3471209000</v>
      </c>
      <c r="L39" s="60">
        <v>16720274750</v>
      </c>
      <c r="M39" s="60">
        <v>16730557750</v>
      </c>
      <c r="N39" s="60">
        <v>18479247000</v>
      </c>
      <c r="O39" s="60" t="s">
        <v>128</v>
      </c>
      <c r="P39" s="60" t="s">
        <v>288</v>
      </c>
      <c r="Q39" s="60">
        <v>10.126420092845519</v>
      </c>
      <c r="R39" s="60">
        <v>11.120392660652859</v>
      </c>
      <c r="S39" s="60">
        <v>11.1870425101908</v>
      </c>
      <c r="T39" s="60">
        <v>10.54957153044421</v>
      </c>
      <c r="U39" s="60">
        <v>10.831472549502321</v>
      </c>
      <c r="X39" s="60">
        <v>0</v>
      </c>
      <c r="Y39" s="60">
        <v>0</v>
      </c>
      <c r="Z39" s="60">
        <v>0</v>
      </c>
      <c r="AA39" s="60">
        <v>0</v>
      </c>
      <c r="AB39" s="60">
        <v>0</v>
      </c>
      <c r="AE39" s="68">
        <f t="shared" si="28"/>
        <v>10.126420092845519</v>
      </c>
      <c r="AF39" s="68">
        <f t="shared" si="29"/>
        <v>11.120392660652859</v>
      </c>
      <c r="AG39" s="68">
        <f t="shared" si="30"/>
        <v>11.1870425101908</v>
      </c>
      <c r="AH39" s="68">
        <f t="shared" si="31"/>
        <v>10.54957153044421</v>
      </c>
      <c r="AI39" s="68">
        <f t="shared" si="32"/>
        <v>10.831472549502321</v>
      </c>
      <c r="AJ39" s="68" t="str">
        <f t="shared" si="33"/>
        <v/>
      </c>
      <c r="AK39" s="68" t="str">
        <f t="shared" si="34"/>
        <v/>
      </c>
      <c r="AS39" s="60">
        <v>24.816709093617551</v>
      </c>
      <c r="AT39" s="60">
        <v>25.543286224276841</v>
      </c>
      <c r="AU39" s="60">
        <v>25.329525464472439</v>
      </c>
      <c r="AV39" s="60">
        <v>25.614466876473589</v>
      </c>
      <c r="AW39" s="60">
        <v>26.617025473166962</v>
      </c>
    </row>
    <row r="40" spans="1:49" s="60" customFormat="1">
      <c r="A40" s="60" t="s">
        <v>247</v>
      </c>
      <c r="B40" s="4" t="s">
        <v>248</v>
      </c>
      <c r="C40" s="60" t="s">
        <v>249</v>
      </c>
      <c r="D40" s="60" t="s">
        <v>61</v>
      </c>
      <c r="E40" s="4" t="s">
        <v>62</v>
      </c>
      <c r="F40" s="60" t="s">
        <v>140</v>
      </c>
      <c r="G40" s="4" t="s">
        <v>64</v>
      </c>
      <c r="H40" s="60" t="s">
        <v>65</v>
      </c>
      <c r="I40" s="60">
        <v>2019</v>
      </c>
      <c r="J40" s="60">
        <v>4823580272</v>
      </c>
      <c r="K40" s="60">
        <v>2123000000</v>
      </c>
      <c r="L40" s="60">
        <v>7832580272</v>
      </c>
      <c r="M40" s="60">
        <v>7862580272</v>
      </c>
      <c r="N40" s="60">
        <v>8394000000</v>
      </c>
      <c r="O40" s="60" t="s">
        <v>128</v>
      </c>
      <c r="P40" s="60" t="s">
        <v>288</v>
      </c>
      <c r="Q40" s="60">
        <v>5.9896601061833952</v>
      </c>
      <c r="R40" s="60">
        <v>5.9839268728476567</v>
      </c>
      <c r="S40" s="60">
        <v>6.0355401320321747</v>
      </c>
      <c r="T40" s="60">
        <v>7.6219275866474083</v>
      </c>
      <c r="U40" s="60">
        <v>6.2495578398509801</v>
      </c>
      <c r="X40" s="60">
        <v>0</v>
      </c>
      <c r="Y40" s="60">
        <v>0</v>
      </c>
      <c r="Z40" s="60">
        <v>0</v>
      </c>
      <c r="AA40" s="60">
        <v>0</v>
      </c>
      <c r="AB40" s="60">
        <v>0</v>
      </c>
      <c r="AE40" s="68">
        <f t="shared" si="28"/>
        <v>5.9896601061833952</v>
      </c>
      <c r="AF40" s="68">
        <f t="shared" si="29"/>
        <v>5.9839268728476567</v>
      </c>
      <c r="AG40" s="68">
        <f t="shared" si="30"/>
        <v>6.0355401320321747</v>
      </c>
      <c r="AH40" s="68">
        <f t="shared" si="31"/>
        <v>7.6219275866474083</v>
      </c>
      <c r="AI40" s="68">
        <f t="shared" si="32"/>
        <v>6.2495578398509801</v>
      </c>
      <c r="AJ40" s="68" t="str">
        <f t="shared" si="33"/>
        <v/>
      </c>
      <c r="AK40" s="68" t="str">
        <f t="shared" si="34"/>
        <v/>
      </c>
      <c r="AS40" s="60">
        <v>13.038877158599989</v>
      </c>
      <c r="AT40" s="60">
        <v>13.158134055399991</v>
      </c>
      <c r="AU40" s="60">
        <v>13.92538710869696</v>
      </c>
      <c r="AV40" s="60">
        <v>15.80069078849999</v>
      </c>
      <c r="AW40" s="60">
        <v>14.42413200079999</v>
      </c>
    </row>
    <row r="41" spans="1:49" s="60" customFormat="1">
      <c r="A41" s="60" t="s">
        <v>250</v>
      </c>
      <c r="B41" s="4" t="s">
        <v>251</v>
      </c>
      <c r="C41" s="60" t="s">
        <v>252</v>
      </c>
      <c r="D41" s="60" t="s">
        <v>61</v>
      </c>
      <c r="E41" s="4" t="s">
        <v>62</v>
      </c>
      <c r="F41" s="60" t="s">
        <v>140</v>
      </c>
      <c r="G41" s="4" t="s">
        <v>64</v>
      </c>
      <c r="H41" s="60" t="s">
        <v>65</v>
      </c>
      <c r="I41" s="60">
        <v>2019</v>
      </c>
      <c r="J41" s="60">
        <v>29513402185</v>
      </c>
      <c r="K41" s="60">
        <v>10076000000</v>
      </c>
      <c r="L41" s="60">
        <v>46089402185</v>
      </c>
      <c r="M41" s="60">
        <v>46236402185</v>
      </c>
      <c r="N41" s="60">
        <v>47730000000</v>
      </c>
      <c r="O41" s="60" t="s">
        <v>128</v>
      </c>
      <c r="P41" s="60" t="s">
        <v>288</v>
      </c>
      <c r="Q41" s="60">
        <v>11.7569055157382</v>
      </c>
      <c r="R41" s="60">
        <v>10.497003363215869</v>
      </c>
      <c r="S41" s="60">
        <v>11.866499645588631</v>
      </c>
      <c r="T41" s="60">
        <v>11.57175374231133</v>
      </c>
      <c r="U41" s="60">
        <v>8.2013432159028046</v>
      </c>
      <c r="X41" s="60">
        <v>0</v>
      </c>
      <c r="Y41" s="60">
        <v>0</v>
      </c>
      <c r="Z41" s="60">
        <v>0</v>
      </c>
      <c r="AA41" s="60">
        <v>0</v>
      </c>
      <c r="AB41" s="60">
        <v>0</v>
      </c>
      <c r="AE41" s="68">
        <f t="shared" si="28"/>
        <v>11.7569055157382</v>
      </c>
      <c r="AF41" s="68">
        <f t="shared" si="29"/>
        <v>10.497003363215869</v>
      </c>
      <c r="AG41" s="68">
        <f t="shared" si="30"/>
        <v>11.866499645588631</v>
      </c>
      <c r="AH41" s="68">
        <f t="shared" si="31"/>
        <v>11.57175374231133</v>
      </c>
      <c r="AI41" s="68">
        <f t="shared" si="32"/>
        <v>8.2013432159028046</v>
      </c>
      <c r="AJ41" s="68" t="str">
        <f t="shared" si="33"/>
        <v/>
      </c>
      <c r="AK41" s="68" t="str">
        <f t="shared" si="34"/>
        <v/>
      </c>
      <c r="AS41" s="60">
        <v>51.638514609599987</v>
      </c>
      <c r="AT41" s="60">
        <v>51.196017137599981</v>
      </c>
      <c r="AU41" s="60">
        <v>53.823207085</v>
      </c>
      <c r="AV41" s="60">
        <v>53.457216006999943</v>
      </c>
      <c r="AW41" s="60">
        <v>49.809330486083823</v>
      </c>
    </row>
    <row r="42" spans="1:49" s="60" customFormat="1">
      <c r="A42" s="60" t="s">
        <v>256</v>
      </c>
      <c r="B42" s="4" t="s">
        <v>257</v>
      </c>
      <c r="C42" s="60" t="s">
        <v>258</v>
      </c>
      <c r="D42" s="60" t="s">
        <v>61</v>
      </c>
      <c r="E42" s="4" t="s">
        <v>62</v>
      </c>
      <c r="F42" s="60" t="s">
        <v>140</v>
      </c>
      <c r="G42" s="4" t="s">
        <v>64</v>
      </c>
      <c r="H42" s="60" t="s">
        <v>65</v>
      </c>
      <c r="I42" s="60">
        <v>2019</v>
      </c>
      <c r="J42" s="60">
        <v>37700000000</v>
      </c>
      <c r="K42" s="60">
        <v>10829000000</v>
      </c>
      <c r="L42" s="60">
        <v>58377000000</v>
      </c>
      <c r="M42" s="60">
        <v>58485000000</v>
      </c>
      <c r="N42" s="60">
        <v>65665000000</v>
      </c>
      <c r="O42" s="60" t="s">
        <v>128</v>
      </c>
      <c r="P42" s="60" t="s">
        <v>288</v>
      </c>
      <c r="Q42" s="60">
        <v>0.93325631030505529</v>
      </c>
      <c r="R42" s="60">
        <v>1.0145733542115061</v>
      </c>
      <c r="S42" s="60">
        <v>0.7871242347505536</v>
      </c>
      <c r="T42" s="60">
        <v>0.49535753618873218</v>
      </c>
      <c r="U42" s="60">
        <v>0.81038145236854964</v>
      </c>
      <c r="X42" s="60">
        <v>0</v>
      </c>
      <c r="Y42" s="60">
        <v>0</v>
      </c>
      <c r="Z42" s="60">
        <v>0</v>
      </c>
      <c r="AA42" s="60">
        <v>0</v>
      </c>
      <c r="AB42" s="60">
        <v>0</v>
      </c>
      <c r="AE42" s="68">
        <f t="shared" si="28"/>
        <v>0.93325631030505529</v>
      </c>
      <c r="AF42" s="68">
        <f t="shared" si="29"/>
        <v>1.0145733542115061</v>
      </c>
      <c r="AG42" s="68">
        <f t="shared" si="30"/>
        <v>0.7871242347505536</v>
      </c>
      <c r="AH42" s="68">
        <f t="shared" si="31"/>
        <v>0.49535753618873218</v>
      </c>
      <c r="AI42" s="68">
        <f t="shared" si="32"/>
        <v>0.81038145236854964</v>
      </c>
      <c r="AJ42" s="68" t="str">
        <f t="shared" si="33"/>
        <v/>
      </c>
      <c r="AK42" s="68" t="str">
        <f t="shared" si="34"/>
        <v/>
      </c>
      <c r="AS42" s="60">
        <v>2.4300410000000001</v>
      </c>
      <c r="AT42" s="60">
        <v>2.6489569999999998</v>
      </c>
      <c r="AU42" s="60">
        <v>2.03335</v>
      </c>
      <c r="AV42" s="60">
        <v>1.263015</v>
      </c>
      <c r="AW42" s="60">
        <v>2.1170110000000002</v>
      </c>
    </row>
    <row r="43" spans="1:49" s="60" customFormat="1">
      <c r="A43" s="60" t="s">
        <v>259</v>
      </c>
      <c r="B43" s="4" t="s">
        <v>260</v>
      </c>
      <c r="C43" s="60" t="s">
        <v>261</v>
      </c>
      <c r="D43" s="60" t="s">
        <v>61</v>
      </c>
      <c r="E43" s="4" t="s">
        <v>62</v>
      </c>
      <c r="F43" s="60" t="s">
        <v>140</v>
      </c>
      <c r="G43" s="4" t="s">
        <v>64</v>
      </c>
      <c r="H43" s="60" t="s">
        <v>65</v>
      </c>
      <c r="I43" s="60">
        <v>2019</v>
      </c>
      <c r="J43" s="60">
        <v>57800000000</v>
      </c>
      <c r="K43" s="60">
        <v>21419000000</v>
      </c>
      <c r="L43" s="60">
        <v>97623000000</v>
      </c>
      <c r="M43" s="60">
        <v>99598000000</v>
      </c>
      <c r="N43" s="60">
        <v>118700000000</v>
      </c>
      <c r="O43" s="60" t="s">
        <v>128</v>
      </c>
      <c r="P43" s="60" t="s">
        <v>288</v>
      </c>
      <c r="Q43" s="60">
        <v>73.158060139100485</v>
      </c>
      <c r="R43" s="60">
        <v>68.701762309261767</v>
      </c>
      <c r="S43" s="60">
        <v>70.065115266754631</v>
      </c>
      <c r="T43" s="60">
        <v>63.436734029678092</v>
      </c>
      <c r="U43" s="60">
        <v>55.268400132395477</v>
      </c>
      <c r="X43" s="60">
        <v>0</v>
      </c>
      <c r="Y43" s="60">
        <v>0</v>
      </c>
      <c r="Z43" s="60">
        <v>0</v>
      </c>
      <c r="AA43" s="60">
        <v>0</v>
      </c>
      <c r="AB43" s="60">
        <v>0</v>
      </c>
      <c r="AE43" s="68">
        <f t="shared" si="28"/>
        <v>73.158060139100485</v>
      </c>
      <c r="AF43" s="68">
        <f t="shared" si="29"/>
        <v>68.701762309261767</v>
      </c>
      <c r="AG43" s="68">
        <f t="shared" si="30"/>
        <v>70.065115266754631</v>
      </c>
      <c r="AH43" s="68">
        <f t="shared" si="31"/>
        <v>63.436734029678092</v>
      </c>
      <c r="AI43" s="68">
        <f t="shared" si="32"/>
        <v>55.268400132395477</v>
      </c>
      <c r="AJ43" s="68" t="str">
        <f t="shared" si="33"/>
        <v/>
      </c>
      <c r="AK43" s="68" t="str">
        <f t="shared" si="34"/>
        <v/>
      </c>
      <c r="AS43" s="60">
        <v>142.17079841667211</v>
      </c>
      <c r="AT43" s="60">
        <v>139.1341640924112</v>
      </c>
      <c r="AU43" s="60">
        <v>143.25452060572161</v>
      </c>
      <c r="AV43" s="60">
        <v>139.14247161355911</v>
      </c>
      <c r="AW43" s="60">
        <v>133.66992427778109</v>
      </c>
    </row>
    <row r="44" spans="1:49" s="60" customFormat="1">
      <c r="A44" s="60" t="s">
        <v>253</v>
      </c>
      <c r="B44" s="4" t="s">
        <v>254</v>
      </c>
      <c r="C44" s="60" t="s">
        <v>255</v>
      </c>
      <c r="D44" s="60" t="s">
        <v>61</v>
      </c>
      <c r="E44" s="4" t="s">
        <v>62</v>
      </c>
      <c r="F44" s="60" t="s">
        <v>166</v>
      </c>
      <c r="G44" s="4" t="s">
        <v>64</v>
      </c>
      <c r="H44" s="60" t="s">
        <v>65</v>
      </c>
      <c r="I44" s="60">
        <v>2019</v>
      </c>
      <c r="J44" s="60">
        <v>5000000000</v>
      </c>
      <c r="K44" s="60">
        <v>10464991000</v>
      </c>
      <c r="L44" s="60">
        <v>6352884000</v>
      </c>
      <c r="M44" s="60">
        <v>7734344000</v>
      </c>
      <c r="N44" s="60">
        <v>8275765000</v>
      </c>
      <c r="O44" s="67" t="s">
        <v>141</v>
      </c>
      <c r="P44" s="67" t="s">
        <v>167</v>
      </c>
      <c r="Q44" s="60">
        <v>3215942</v>
      </c>
      <c r="R44" s="60">
        <v>3215942</v>
      </c>
      <c r="S44" s="60">
        <v>3299883</v>
      </c>
      <c r="T44" s="60">
        <v>3145097</v>
      </c>
      <c r="U44" s="60">
        <v>3063829.9454545449</v>
      </c>
      <c r="X44" s="60">
        <v>1700245</v>
      </c>
      <c r="Y44" s="60">
        <v>1700245</v>
      </c>
      <c r="Z44" s="60">
        <v>1863045</v>
      </c>
      <c r="AA44" s="60">
        <v>1744669</v>
      </c>
      <c r="AB44" s="60">
        <v>1694260.136363636</v>
      </c>
      <c r="AE44" s="60">
        <v>4916187</v>
      </c>
      <c r="AF44" s="60">
        <v>4916187</v>
      </c>
      <c r="AG44" s="60">
        <v>5162928</v>
      </c>
      <c r="AH44" s="60">
        <v>4889766</v>
      </c>
      <c r="AI44" s="60">
        <v>4758090.081818182</v>
      </c>
      <c r="AS44" s="60">
        <v>8529969</v>
      </c>
      <c r="AT44" s="60">
        <v>8529969</v>
      </c>
      <c r="AU44" s="60">
        <v>9074135</v>
      </c>
      <c r="AV44" s="60">
        <v>8793160</v>
      </c>
      <c r="AW44" s="60">
        <v>8925057.3999999985</v>
      </c>
    </row>
    <row r="45" spans="1:49" s="60" customFormat="1">
      <c r="A45" s="60" t="s">
        <v>262</v>
      </c>
      <c r="B45" s="4" t="s">
        <v>263</v>
      </c>
      <c r="C45" s="60" t="s">
        <v>264</v>
      </c>
      <c r="D45" s="60" t="s">
        <v>147</v>
      </c>
      <c r="E45" s="4" t="s">
        <v>62</v>
      </c>
      <c r="F45" s="60" t="s">
        <v>140</v>
      </c>
      <c r="G45" s="4" t="s">
        <v>64</v>
      </c>
      <c r="H45" s="60" t="s">
        <v>65</v>
      </c>
      <c r="I45" s="60">
        <v>2019</v>
      </c>
      <c r="J45" s="90">
        <v>50030000000</v>
      </c>
      <c r="K45" s="60">
        <v>10175225448.55982</v>
      </c>
      <c r="L45" s="60">
        <v>1</v>
      </c>
      <c r="M45" s="60">
        <v>1</v>
      </c>
      <c r="N45" s="60">
        <v>76211709340.442871</v>
      </c>
      <c r="O45" s="60" t="s">
        <v>128</v>
      </c>
      <c r="P45" s="60" t="s">
        <v>288</v>
      </c>
      <c r="Q45" s="60">
        <v>0.37608664639778139</v>
      </c>
      <c r="R45" s="60">
        <v>0.47113547279974038</v>
      </c>
      <c r="S45" s="60">
        <v>0.71664363849399704</v>
      </c>
      <c r="T45" s="60">
        <v>0.58371024316223075</v>
      </c>
      <c r="U45" s="60">
        <v>0.5420364847718061</v>
      </c>
      <c r="X45" s="60">
        <v>0</v>
      </c>
      <c r="Y45" s="60">
        <v>0</v>
      </c>
      <c r="Z45" s="60">
        <v>0</v>
      </c>
      <c r="AA45" s="60">
        <v>0</v>
      </c>
      <c r="AB45" s="60">
        <v>0</v>
      </c>
      <c r="AE45" s="68">
        <f t="shared" ref="AE45" si="35">IF(ISBLANK(Q45),IF(ISBLANK(X45),"",X45),Q45+X45)</f>
        <v>0.37608664639778139</v>
      </c>
      <c r="AF45" s="68">
        <f t="shared" ref="AF45" si="36">IF(ISBLANK(R45),IF(ISBLANK(Y45),"",Y45),R45+Y45)</f>
        <v>0.47113547279974038</v>
      </c>
      <c r="AG45" s="68">
        <f t="shared" ref="AG45" si="37">IF(ISBLANK(S45),IF(ISBLANK(Z45),"",Z45),S45+Z45)</f>
        <v>0.71664363849399704</v>
      </c>
      <c r="AH45" s="68">
        <f t="shared" ref="AH45" si="38">IF(ISBLANK(T45),IF(ISBLANK(AA45),"",AA45),T45+AA45)</f>
        <v>0.58371024316223075</v>
      </c>
      <c r="AI45" s="68">
        <f t="shared" ref="AI45" si="39">IF(ISBLANK(U45),IF(ISBLANK(AB45),"",AB45),U45+AB45)</f>
        <v>0.5420364847718061</v>
      </c>
      <c r="AJ45" s="68" t="str">
        <f t="shared" ref="AJ45" si="40">IF(ISBLANK(V45),IF(ISBLANK(AC45),"",AC45),V45+AC45)</f>
        <v/>
      </c>
      <c r="AK45" s="68" t="str">
        <f t="shared" ref="AK45" si="41">IF(ISBLANK(W45),IF(ISBLANK(AD45),"",AD45),W45+AD45)</f>
        <v/>
      </c>
      <c r="AS45" s="60">
        <v>2.003308999999998</v>
      </c>
      <c r="AT45" s="60">
        <v>1.056713999999999</v>
      </c>
      <c r="AU45" s="60">
        <v>1.51502</v>
      </c>
      <c r="AV45" s="60">
        <v>1.2483029999999991</v>
      </c>
      <c r="AW45" s="60">
        <v>1.2963249999999999</v>
      </c>
    </row>
    <row r="46" spans="1:49" s="60" customFormat="1">
      <c r="A46" s="60" t="s">
        <v>265</v>
      </c>
      <c r="B46" s="4" t="s">
        <v>266</v>
      </c>
      <c r="C46" s="60" t="s">
        <v>267</v>
      </c>
      <c r="D46" s="60" t="s">
        <v>268</v>
      </c>
      <c r="E46" s="4" t="s">
        <v>224</v>
      </c>
      <c r="F46" s="60" t="s">
        <v>166</v>
      </c>
      <c r="G46" s="4" t="s">
        <v>64</v>
      </c>
      <c r="H46" s="60" t="s">
        <v>65</v>
      </c>
      <c r="I46" s="60">
        <v>2019</v>
      </c>
      <c r="J46" s="20">
        <v>590000000</v>
      </c>
      <c r="K46" s="60">
        <v>7294055000</v>
      </c>
      <c r="L46" s="60">
        <v>1</v>
      </c>
      <c r="M46" s="60">
        <v>1</v>
      </c>
      <c r="N46" s="60">
        <v>14842991000</v>
      </c>
      <c r="O46" s="67" t="s">
        <v>141</v>
      </c>
      <c r="P46" s="67" t="s">
        <v>167</v>
      </c>
      <c r="Q46" s="60">
        <v>2000000</v>
      </c>
      <c r="R46" s="60">
        <v>2000000</v>
      </c>
      <c r="S46" s="60">
        <v>2000000</v>
      </c>
      <c r="T46" s="60">
        <v>1800000</v>
      </c>
      <c r="U46" s="60">
        <v>1100000</v>
      </c>
      <c r="X46" s="60">
        <v>1000000</v>
      </c>
      <c r="Y46" s="60">
        <v>1000000</v>
      </c>
      <c r="Z46" s="60">
        <v>1000000</v>
      </c>
      <c r="AA46" s="60">
        <v>800000</v>
      </c>
      <c r="AB46" s="60">
        <v>400000</v>
      </c>
      <c r="AE46" s="60">
        <v>3000000</v>
      </c>
      <c r="AF46" s="60">
        <v>3000000</v>
      </c>
      <c r="AG46" s="60">
        <v>3000000</v>
      </c>
      <c r="AH46" s="60">
        <v>2600000</v>
      </c>
      <c r="AI46" s="60">
        <v>1500000</v>
      </c>
      <c r="AL46" s="60">
        <v>3200000</v>
      </c>
      <c r="AM46" s="60">
        <v>3200000</v>
      </c>
      <c r="AN46" s="60">
        <v>3200000</v>
      </c>
      <c r="AO46" s="60">
        <v>2300000</v>
      </c>
      <c r="AP46" s="60">
        <v>1300000</v>
      </c>
      <c r="AS46" s="60">
        <v>2900000</v>
      </c>
      <c r="AT46" s="60">
        <v>2900000</v>
      </c>
      <c r="AU46" s="60">
        <v>2900000</v>
      </c>
      <c r="AV46" s="60">
        <v>2900000</v>
      </c>
      <c r="AW46" s="60">
        <v>1800000</v>
      </c>
    </row>
    <row r="47" spans="1:49" s="60" customFormat="1">
      <c r="A47" s="2" t="s">
        <v>293</v>
      </c>
      <c r="B47" s="4" t="s">
        <v>294</v>
      </c>
      <c r="C47" s="60" t="s">
        <v>295</v>
      </c>
      <c r="D47" s="60" t="s">
        <v>268</v>
      </c>
      <c r="E47" s="4" t="s">
        <v>224</v>
      </c>
      <c r="F47" s="60" t="s">
        <v>166</v>
      </c>
      <c r="G47" s="4" t="s">
        <v>64</v>
      </c>
      <c r="H47" s="60" t="s">
        <v>65</v>
      </c>
      <c r="I47" s="60">
        <v>2019</v>
      </c>
      <c r="J47" s="20">
        <v>352130000</v>
      </c>
      <c r="K47" s="60">
        <v>10192818000</v>
      </c>
      <c r="L47" s="60">
        <v>1</v>
      </c>
      <c r="M47" s="60">
        <v>1</v>
      </c>
      <c r="N47" s="60">
        <v>12935533000</v>
      </c>
      <c r="O47" s="67" t="s">
        <v>141</v>
      </c>
      <c r="P47" s="67" t="s">
        <v>167</v>
      </c>
      <c r="Q47" s="60">
        <v>17744560</v>
      </c>
      <c r="R47" s="60">
        <v>17744560</v>
      </c>
      <c r="S47" s="60">
        <v>17744560</v>
      </c>
      <c r="T47" s="60">
        <v>16682357</v>
      </c>
      <c r="U47" s="60">
        <v>15257923</v>
      </c>
      <c r="X47" s="60">
        <v>858941</v>
      </c>
      <c r="Y47" s="60">
        <v>858941</v>
      </c>
      <c r="Z47" s="60">
        <v>858941</v>
      </c>
      <c r="AA47" s="60">
        <v>1141024</v>
      </c>
      <c r="AB47" s="60">
        <v>1154111</v>
      </c>
      <c r="AE47" s="60">
        <v>18603501</v>
      </c>
      <c r="AF47" s="60">
        <v>18603501</v>
      </c>
      <c r="AG47" s="60">
        <v>18603501</v>
      </c>
      <c r="AH47" s="60">
        <v>17823381</v>
      </c>
      <c r="AI47" s="60">
        <v>16412034</v>
      </c>
      <c r="AL47" s="60">
        <v>1056210</v>
      </c>
      <c r="AM47" s="60">
        <v>1056210</v>
      </c>
      <c r="AN47" s="60">
        <v>1056210</v>
      </c>
      <c r="AO47" s="60">
        <v>910292</v>
      </c>
      <c r="AP47" s="60">
        <v>767666</v>
      </c>
      <c r="AS47" s="60">
        <v>10953432.098765429</v>
      </c>
      <c r="AT47" s="60">
        <v>10953432.098765429</v>
      </c>
      <c r="AU47" s="60">
        <v>10953432.098765429</v>
      </c>
      <c r="AV47" s="60">
        <v>10297751.234567899</v>
      </c>
      <c r="AW47" s="60">
        <v>9418470.9876543209</v>
      </c>
    </row>
    <row r="48" spans="1:49" s="60" customFormat="1">
      <c r="A48" s="60" t="s">
        <v>269</v>
      </c>
      <c r="B48" s="4" t="s">
        <v>270</v>
      </c>
      <c r="C48" s="60" t="s">
        <v>271</v>
      </c>
      <c r="D48" s="60" t="s">
        <v>61</v>
      </c>
      <c r="E48" s="4" t="s">
        <v>62</v>
      </c>
      <c r="F48" s="60" t="s">
        <v>166</v>
      </c>
      <c r="G48" s="4" t="s">
        <v>64</v>
      </c>
      <c r="H48" s="60" t="s">
        <v>65</v>
      </c>
      <c r="I48" s="60">
        <v>2019</v>
      </c>
      <c r="J48" s="60">
        <v>337525844</v>
      </c>
      <c r="K48" s="60">
        <v>1208800000</v>
      </c>
      <c r="L48" s="60">
        <v>400425844</v>
      </c>
      <c r="M48" s="60">
        <v>427525844</v>
      </c>
      <c r="N48" s="60">
        <v>1085200000</v>
      </c>
      <c r="O48" s="67" t="s">
        <v>141</v>
      </c>
      <c r="P48" s="67" t="s">
        <v>167</v>
      </c>
      <c r="Q48" s="60">
        <v>99660</v>
      </c>
      <c r="R48" s="60">
        <v>99660</v>
      </c>
      <c r="S48" s="60">
        <v>99660</v>
      </c>
      <c r="T48" s="60">
        <v>94460</v>
      </c>
      <c r="U48" s="60">
        <v>91490</v>
      </c>
      <c r="X48" s="60">
        <v>371530</v>
      </c>
      <c r="Y48" s="60">
        <v>371530</v>
      </c>
      <c r="Z48" s="60">
        <v>371530</v>
      </c>
      <c r="AA48" s="60">
        <v>336550</v>
      </c>
      <c r="AB48" s="60">
        <v>316640</v>
      </c>
      <c r="AE48" s="60">
        <v>471190</v>
      </c>
      <c r="AF48" s="60">
        <v>471190</v>
      </c>
      <c r="AG48" s="60">
        <v>471190</v>
      </c>
      <c r="AH48" s="60">
        <v>431010</v>
      </c>
      <c r="AI48" s="60">
        <v>408130</v>
      </c>
      <c r="AL48" s="60">
        <v>421722</v>
      </c>
      <c r="AM48" s="60">
        <v>421722</v>
      </c>
      <c r="AN48" s="60">
        <v>421722</v>
      </c>
      <c r="AO48" s="60">
        <v>298526</v>
      </c>
      <c r="AP48" s="60">
        <v>197605</v>
      </c>
      <c r="AS48" s="60">
        <v>1472468.75</v>
      </c>
      <c r="AT48" s="60">
        <v>1472468.75</v>
      </c>
      <c r="AU48" s="60">
        <v>1472468.75</v>
      </c>
      <c r="AV48" s="60">
        <v>1346906.25</v>
      </c>
      <c r="AW48" s="60">
        <v>1360433.333333333</v>
      </c>
    </row>
    <row r="49" spans="1:49" s="60" customFormat="1">
      <c r="A49" s="60" t="s">
        <v>272</v>
      </c>
      <c r="B49" s="4" t="s">
        <v>273</v>
      </c>
      <c r="C49" s="60" t="s">
        <v>274</v>
      </c>
      <c r="D49" s="60" t="s">
        <v>61</v>
      </c>
      <c r="E49" s="4" t="s">
        <v>62</v>
      </c>
      <c r="F49" s="60" t="s">
        <v>166</v>
      </c>
      <c r="G49" s="4" t="s">
        <v>64</v>
      </c>
      <c r="H49" s="60" t="s">
        <v>65</v>
      </c>
      <c r="I49" s="60">
        <v>2019</v>
      </c>
      <c r="J49" s="60">
        <v>2600000000</v>
      </c>
      <c r="K49" s="60">
        <v>12937000000</v>
      </c>
      <c r="L49" s="60">
        <v>5630000000</v>
      </c>
      <c r="M49" s="60">
        <v>6379000000</v>
      </c>
      <c r="N49" s="60">
        <v>11608000000</v>
      </c>
      <c r="O49" s="67" t="s">
        <v>141</v>
      </c>
      <c r="P49" s="67" t="s">
        <v>167</v>
      </c>
      <c r="Q49" s="60">
        <v>29000000</v>
      </c>
      <c r="R49" s="60">
        <v>30000000</v>
      </c>
      <c r="S49" s="60">
        <v>32500000</v>
      </c>
      <c r="T49" s="60">
        <v>29500000</v>
      </c>
      <c r="U49" s="60">
        <v>24500000</v>
      </c>
      <c r="X49" s="60">
        <v>3200000</v>
      </c>
      <c r="Y49" s="60">
        <v>3300000</v>
      </c>
      <c r="Z49" s="60">
        <v>3300000</v>
      </c>
      <c r="AA49" s="60">
        <v>3200000</v>
      </c>
      <c r="AB49" s="60">
        <v>2000000</v>
      </c>
      <c r="AE49" s="60">
        <v>32200000</v>
      </c>
      <c r="AF49" s="60">
        <v>33300000</v>
      </c>
      <c r="AG49" s="60">
        <v>35800000</v>
      </c>
      <c r="AH49" s="60">
        <v>32700000</v>
      </c>
      <c r="AI49" s="60">
        <v>26500000</v>
      </c>
      <c r="AS49" s="60">
        <v>14220000</v>
      </c>
      <c r="AT49" s="60">
        <v>14440000</v>
      </c>
      <c r="AU49" s="60">
        <v>15350000</v>
      </c>
      <c r="AV49" s="60">
        <v>13890000</v>
      </c>
      <c r="AW49" s="60">
        <v>11540000</v>
      </c>
    </row>
    <row r="50" spans="1:49" s="60" customFormat="1">
      <c r="A50" s="2" t="s">
        <v>309</v>
      </c>
      <c r="B50" s="4" t="s">
        <v>310</v>
      </c>
      <c r="C50" s="60" t="s">
        <v>311</v>
      </c>
      <c r="D50" s="60" t="s">
        <v>147</v>
      </c>
      <c r="E50" s="4" t="s">
        <v>62</v>
      </c>
      <c r="F50" s="60" t="s">
        <v>140</v>
      </c>
      <c r="G50" s="4" t="s">
        <v>64</v>
      </c>
      <c r="H50" s="60" t="s">
        <v>65</v>
      </c>
      <c r="I50" s="60">
        <v>2019</v>
      </c>
      <c r="K50" s="60">
        <v>4691120536.865262</v>
      </c>
      <c r="L50" s="60">
        <v>1</v>
      </c>
      <c r="M50" s="60">
        <v>1</v>
      </c>
      <c r="N50" s="60">
        <v>24443570632.443741</v>
      </c>
      <c r="O50" s="60" t="s">
        <v>128</v>
      </c>
      <c r="P50" s="60" t="s">
        <v>288</v>
      </c>
      <c r="Q50" s="60">
        <v>11.641638960259289</v>
      </c>
      <c r="R50" s="60">
        <v>9.41263241795032</v>
      </c>
      <c r="S50" s="60">
        <v>10.1279024835251</v>
      </c>
      <c r="T50" s="60">
        <v>8.7046989666181123</v>
      </c>
      <c r="U50" s="60">
        <v>7.8127186930358956</v>
      </c>
      <c r="X50" s="60">
        <v>0</v>
      </c>
      <c r="Y50" s="60">
        <v>0</v>
      </c>
      <c r="Z50" s="60">
        <v>0</v>
      </c>
      <c r="AA50" s="60">
        <v>0</v>
      </c>
      <c r="AB50" s="60">
        <v>0</v>
      </c>
      <c r="AE50" s="68">
        <f t="shared" ref="AE50:AE52" si="42">IF(ISBLANK(Q50),IF(ISBLANK(X50),"",X50),Q50+X50)</f>
        <v>11.641638960259289</v>
      </c>
      <c r="AF50" s="68">
        <f t="shared" ref="AF50:AF52" si="43">IF(ISBLANK(R50),IF(ISBLANK(Y50),"",Y50),R50+Y50)</f>
        <v>9.41263241795032</v>
      </c>
      <c r="AG50" s="68">
        <f t="shared" ref="AG50:AG52" si="44">IF(ISBLANK(S50),IF(ISBLANK(Z50),"",Z50),S50+Z50)</f>
        <v>10.1279024835251</v>
      </c>
      <c r="AH50" s="68">
        <f t="shared" ref="AH50:AH52" si="45">IF(ISBLANK(T50),IF(ISBLANK(AA50),"",AA50),T50+AA50)</f>
        <v>8.7046989666181123</v>
      </c>
      <c r="AI50" s="68">
        <f t="shared" ref="AI50:AI52" si="46">IF(ISBLANK(U50),IF(ISBLANK(AB50),"",AB50),U50+AB50)</f>
        <v>7.8127186930358956</v>
      </c>
      <c r="AJ50" s="68" t="str">
        <f t="shared" ref="AJ50:AJ52" si="47">IF(ISBLANK(V50),IF(ISBLANK(AC50),"",AC50),V50+AC50)</f>
        <v/>
      </c>
      <c r="AK50" s="68" t="str">
        <f t="shared" ref="AK50:AK52" si="48">IF(ISBLANK(W50),IF(ISBLANK(AD50),"",AD50),W50+AD50)</f>
        <v/>
      </c>
      <c r="AS50" s="60">
        <v>17.412890000000001</v>
      </c>
      <c r="AT50" s="60">
        <v>13.256577969478061</v>
      </c>
      <c r="AU50" s="60">
        <v>19.823205962022801</v>
      </c>
      <c r="AV50" s="60">
        <v>19.426865053034611</v>
      </c>
      <c r="AW50" s="60">
        <v>18.5517652927645</v>
      </c>
    </row>
    <row r="51" spans="1:49" s="60" customFormat="1">
      <c r="A51" s="2" t="s">
        <v>312</v>
      </c>
      <c r="B51" s="4" t="s">
        <v>313</v>
      </c>
      <c r="C51" s="60" t="s">
        <v>314</v>
      </c>
      <c r="D51" s="60" t="s">
        <v>61</v>
      </c>
      <c r="E51" s="4" t="s">
        <v>62</v>
      </c>
      <c r="F51" s="60" t="s">
        <v>140</v>
      </c>
      <c r="G51" s="4" t="s">
        <v>64</v>
      </c>
      <c r="H51" s="60" t="s">
        <v>65</v>
      </c>
      <c r="I51" s="60">
        <v>2019</v>
      </c>
      <c r="J51" s="60">
        <v>8654325784</v>
      </c>
      <c r="K51" s="60">
        <v>11809000000</v>
      </c>
      <c r="L51" s="60">
        <v>18456325784</v>
      </c>
      <c r="M51" s="60">
        <v>18756325784</v>
      </c>
      <c r="N51" s="60">
        <v>26616000000</v>
      </c>
      <c r="O51" s="60" t="s">
        <v>128</v>
      </c>
      <c r="P51" s="60" t="s">
        <v>288</v>
      </c>
      <c r="Q51" s="60">
        <v>10.71249309987906</v>
      </c>
      <c r="R51" s="60">
        <v>12.32093074412195</v>
      </c>
      <c r="S51" s="60">
        <v>12.777919806678369</v>
      </c>
      <c r="T51" s="60">
        <v>6.8411353909788124</v>
      </c>
      <c r="U51" s="60">
        <v>5.9194542371742198</v>
      </c>
      <c r="X51" s="60">
        <v>0</v>
      </c>
      <c r="Y51" s="60">
        <v>0</v>
      </c>
      <c r="Z51" s="60">
        <v>0</v>
      </c>
      <c r="AA51" s="60">
        <v>0</v>
      </c>
      <c r="AB51" s="60">
        <v>0</v>
      </c>
      <c r="AE51" s="68">
        <f t="shared" si="42"/>
        <v>10.71249309987906</v>
      </c>
      <c r="AF51" s="68">
        <f t="shared" si="43"/>
        <v>12.32093074412195</v>
      </c>
      <c r="AG51" s="68">
        <f t="shared" si="44"/>
        <v>12.777919806678369</v>
      </c>
      <c r="AH51" s="68">
        <f t="shared" si="45"/>
        <v>6.8411353909788124</v>
      </c>
      <c r="AI51" s="68">
        <f t="shared" si="46"/>
        <v>5.9194542371742198</v>
      </c>
      <c r="AJ51" s="68" t="str">
        <f t="shared" si="47"/>
        <v/>
      </c>
      <c r="AK51" s="68" t="str">
        <f t="shared" si="48"/>
        <v/>
      </c>
      <c r="AS51" s="60">
        <v>10.467761579104479</v>
      </c>
      <c r="AT51" s="60">
        <v>11.98372126567164</v>
      </c>
      <c r="AU51" s="60">
        <v>12.39241645970149</v>
      </c>
      <c r="AV51" s="60">
        <v>6.7384240268656717</v>
      </c>
      <c r="AW51" s="60">
        <v>5.9371504388059684</v>
      </c>
    </row>
    <row r="52" spans="1:49" s="60" customFormat="1">
      <c r="A52" s="60" t="s">
        <v>275</v>
      </c>
      <c r="B52" s="4" t="s">
        <v>276</v>
      </c>
      <c r="C52" s="60" t="s">
        <v>277</v>
      </c>
      <c r="D52" s="60" t="s">
        <v>61</v>
      </c>
      <c r="E52" s="4" t="s">
        <v>62</v>
      </c>
      <c r="F52" s="60" t="s">
        <v>140</v>
      </c>
      <c r="G52" s="4" t="s">
        <v>64</v>
      </c>
      <c r="H52" s="60" t="s">
        <v>65</v>
      </c>
      <c r="I52" s="60">
        <v>2019</v>
      </c>
      <c r="J52" s="60">
        <v>26300000000</v>
      </c>
      <c r="K52" s="60">
        <v>7523100000</v>
      </c>
      <c r="L52" s="60">
        <v>38120800000</v>
      </c>
      <c r="M52" s="60">
        <v>38158300000</v>
      </c>
      <c r="N52" s="60">
        <v>34951800000</v>
      </c>
      <c r="O52" s="60" t="s">
        <v>128</v>
      </c>
      <c r="P52" s="60" t="s">
        <v>288</v>
      </c>
      <c r="Q52" s="60">
        <v>19.0203714477306</v>
      </c>
      <c r="R52" s="60">
        <v>19.627231815165601</v>
      </c>
      <c r="S52" s="60">
        <v>16.478434173257209</v>
      </c>
      <c r="T52" s="60">
        <v>9.8745765849492209</v>
      </c>
      <c r="U52" s="60">
        <v>9.667297788165051</v>
      </c>
      <c r="X52" s="60">
        <v>0</v>
      </c>
      <c r="Y52" s="60">
        <v>0</v>
      </c>
      <c r="Z52" s="60">
        <v>0</v>
      </c>
      <c r="AA52" s="60">
        <v>0</v>
      </c>
      <c r="AB52" s="60">
        <v>0</v>
      </c>
      <c r="AE52" s="68">
        <f t="shared" si="42"/>
        <v>19.0203714477306</v>
      </c>
      <c r="AF52" s="68">
        <f t="shared" si="43"/>
        <v>19.627231815165601</v>
      </c>
      <c r="AG52" s="68">
        <f t="shared" si="44"/>
        <v>16.478434173257209</v>
      </c>
      <c r="AH52" s="68">
        <f t="shared" si="45"/>
        <v>9.8745765849492209</v>
      </c>
      <c r="AI52" s="68">
        <f t="shared" si="46"/>
        <v>9.667297788165051</v>
      </c>
      <c r="AJ52" s="68" t="str">
        <f t="shared" si="47"/>
        <v/>
      </c>
      <c r="AK52" s="68" t="str">
        <f t="shared" si="48"/>
        <v/>
      </c>
      <c r="AS52" s="60">
        <v>23.36732410565391</v>
      </c>
      <c r="AT52" s="60">
        <v>23.86463542866894</v>
      </c>
      <c r="AU52" s="60">
        <v>21.139317437999999</v>
      </c>
      <c r="AV52" s="60">
        <v>15.874233993999979</v>
      </c>
      <c r="AW52" s="60">
        <v>15.86528568849999</v>
      </c>
    </row>
    <row r="53" spans="1:49" s="60" customFormat="1">
      <c r="A53" s="2" t="s">
        <v>315</v>
      </c>
      <c r="B53" s="4" t="s">
        <v>316</v>
      </c>
      <c r="C53" s="60" t="s">
        <v>317</v>
      </c>
      <c r="D53" s="60" t="s">
        <v>61</v>
      </c>
      <c r="E53" s="4" t="s">
        <v>62</v>
      </c>
      <c r="F53" s="60" t="s">
        <v>166</v>
      </c>
      <c r="G53" s="4" t="s">
        <v>64</v>
      </c>
      <c r="H53" s="60" t="s">
        <v>65</v>
      </c>
      <c r="I53" s="60">
        <v>2019</v>
      </c>
      <c r="J53" s="60">
        <v>1633376617</v>
      </c>
      <c r="K53" s="60">
        <v>3759556000</v>
      </c>
      <c r="L53" s="60">
        <v>2294113617</v>
      </c>
      <c r="M53" s="60">
        <v>2386476617</v>
      </c>
      <c r="N53" s="60">
        <v>2510796000</v>
      </c>
      <c r="O53" s="60" t="s">
        <v>141</v>
      </c>
      <c r="P53" s="60" t="s">
        <v>167</v>
      </c>
      <c r="Q53" s="60">
        <v>126399</v>
      </c>
      <c r="R53" s="60">
        <v>132944</v>
      </c>
      <c r="S53" s="60">
        <v>139953</v>
      </c>
      <c r="T53" s="60">
        <v>134257</v>
      </c>
      <c r="U53" s="60">
        <v>130506</v>
      </c>
      <c r="X53" s="60">
        <v>191840</v>
      </c>
      <c r="Y53" s="60">
        <v>176617</v>
      </c>
      <c r="Z53" s="60">
        <v>175958</v>
      </c>
      <c r="AA53" s="60">
        <v>160799</v>
      </c>
      <c r="AB53" s="60">
        <v>139201</v>
      </c>
      <c r="AE53" s="60">
        <v>318239</v>
      </c>
      <c r="AF53" s="60">
        <v>309561</v>
      </c>
      <c r="AG53" s="60">
        <v>315911</v>
      </c>
      <c r="AH53" s="60">
        <v>295056</v>
      </c>
      <c r="AI53" s="60">
        <v>269707</v>
      </c>
      <c r="AS53" s="60">
        <v>3523000</v>
      </c>
      <c r="AT53" s="60">
        <v>4070000</v>
      </c>
      <c r="AU53" s="60">
        <v>3820000</v>
      </c>
      <c r="AV53" s="60">
        <v>3715000</v>
      </c>
      <c r="AW53" s="60">
        <v>3830000</v>
      </c>
    </row>
    <row r="54" spans="1:49" s="60" customFormat="1">
      <c r="A54" s="60" t="s">
        <v>278</v>
      </c>
      <c r="B54" s="4" t="s">
        <v>279</v>
      </c>
      <c r="C54" s="60" t="s">
        <v>280</v>
      </c>
      <c r="D54" s="60" t="s">
        <v>61</v>
      </c>
      <c r="E54" s="4" t="s">
        <v>62</v>
      </c>
      <c r="F54" s="60" t="s">
        <v>140</v>
      </c>
      <c r="G54" s="4" t="s">
        <v>64</v>
      </c>
      <c r="H54" s="60" t="s">
        <v>65</v>
      </c>
      <c r="I54" s="60">
        <v>2019</v>
      </c>
      <c r="J54" s="60">
        <v>30629347167</v>
      </c>
      <c r="K54" s="60">
        <v>11529000000</v>
      </c>
      <c r="L54" s="60">
        <v>50608347167</v>
      </c>
      <c r="M54" s="60">
        <v>50856347167</v>
      </c>
      <c r="N54" s="60">
        <v>50448000000</v>
      </c>
      <c r="O54" s="60" t="s">
        <v>128</v>
      </c>
      <c r="P54" s="60" t="s">
        <v>288</v>
      </c>
      <c r="Q54" s="60">
        <v>46.128179096556018</v>
      </c>
      <c r="R54" s="60">
        <v>45.01099863348599</v>
      </c>
      <c r="S54" s="60">
        <v>45.358516394732483</v>
      </c>
      <c r="T54" s="60">
        <v>41.448404774063491</v>
      </c>
      <c r="U54" s="60">
        <v>34.87948004738535</v>
      </c>
      <c r="X54" s="60">
        <v>0</v>
      </c>
      <c r="Y54" s="60">
        <v>0</v>
      </c>
      <c r="Z54" s="60">
        <v>0</v>
      </c>
      <c r="AA54" s="60">
        <v>0</v>
      </c>
      <c r="AB54" s="60">
        <v>0</v>
      </c>
      <c r="AE54" s="68">
        <f t="shared" ref="AE54" si="49">IF(ISBLANK(Q54),IF(ISBLANK(X54),"",X54),Q54+X54)</f>
        <v>46.128179096556018</v>
      </c>
      <c r="AF54" s="68">
        <f t="shared" ref="AF54" si="50">IF(ISBLANK(R54),IF(ISBLANK(Y54),"",Y54),R54+Y54)</f>
        <v>45.01099863348599</v>
      </c>
      <c r="AG54" s="68">
        <f t="shared" ref="AG54" si="51">IF(ISBLANK(S54),IF(ISBLANK(Z54),"",Z54),S54+Z54)</f>
        <v>45.358516394732483</v>
      </c>
      <c r="AH54" s="68">
        <f t="shared" ref="AH54" si="52">IF(ISBLANK(T54),IF(ISBLANK(AA54),"",AA54),T54+AA54)</f>
        <v>41.448404774063491</v>
      </c>
      <c r="AI54" s="68">
        <f t="shared" ref="AI54" si="53">IF(ISBLANK(U54),IF(ISBLANK(AB54),"",AB54),U54+AB54)</f>
        <v>34.87948004738535</v>
      </c>
      <c r="AJ54" s="68" t="str">
        <f t="shared" ref="AJ54" si="54">IF(ISBLANK(V54),IF(ISBLANK(AC54),"",AC54),V54+AC54)</f>
        <v/>
      </c>
      <c r="AK54" s="68" t="str">
        <f t="shared" ref="AK54" si="55">IF(ISBLANK(W54),IF(ISBLANK(AD54),"",AD54),W54+AD54)</f>
        <v/>
      </c>
      <c r="AS54" s="60">
        <v>73.830967827900864</v>
      </c>
      <c r="AT54" s="60">
        <v>72.028542699037573</v>
      </c>
      <c r="AU54" s="60">
        <v>76.006929525492438</v>
      </c>
      <c r="AV54" s="60">
        <v>75.73140690534774</v>
      </c>
      <c r="AW54" s="60">
        <v>69.493403520078331</v>
      </c>
    </row>
    <row r="55" spans="1:49">
      <c r="A55" s="60"/>
      <c r="C55" s="60"/>
      <c r="D55" s="60"/>
      <c r="E55" s="60"/>
      <c r="F55" s="60"/>
      <c r="H55" s="60"/>
      <c r="J55" s="60"/>
      <c r="K55" s="60"/>
      <c r="L55" s="60"/>
      <c r="M55" s="60"/>
      <c r="N55" s="60"/>
      <c r="P55" s="60"/>
      <c r="Q55" s="2"/>
      <c r="R55" s="2"/>
      <c r="S55" s="2"/>
      <c r="T55" s="2"/>
      <c r="U55" s="2"/>
      <c r="AS55" s="60"/>
      <c r="AT55" s="60"/>
      <c r="AU55" s="60"/>
      <c r="AV55" s="60"/>
      <c r="AW55" s="60"/>
    </row>
    <row r="56" spans="1:49">
      <c r="A56" s="60"/>
      <c r="C56" s="60"/>
      <c r="D56" s="60"/>
      <c r="E56" s="60"/>
      <c r="F56" s="60"/>
      <c r="H56" s="60"/>
      <c r="J56" s="60"/>
      <c r="K56" s="60"/>
      <c r="L56" s="60"/>
      <c r="M56" s="60"/>
      <c r="N56" s="60"/>
      <c r="P56" s="60"/>
      <c r="Q56" s="2"/>
      <c r="R56" s="2"/>
      <c r="S56" s="2"/>
      <c r="T56" s="2"/>
      <c r="U56" s="2"/>
      <c r="AS56" s="60"/>
      <c r="AT56" s="60"/>
      <c r="AU56" s="60"/>
      <c r="AV56" s="60"/>
      <c r="AW56" s="60"/>
    </row>
    <row r="57" spans="1:49">
      <c r="A57" s="60"/>
      <c r="C57" s="60"/>
      <c r="D57" s="60"/>
      <c r="E57" s="60"/>
      <c r="F57" s="60"/>
      <c r="H57" s="60"/>
      <c r="J57" s="60"/>
      <c r="K57" s="60"/>
      <c r="L57" s="60"/>
      <c r="M57" s="60"/>
      <c r="N57" s="60"/>
      <c r="O57" s="67"/>
      <c r="P57" s="67"/>
      <c r="Q57" s="2"/>
      <c r="R57" s="2"/>
      <c r="S57" s="2"/>
      <c r="T57" s="2"/>
      <c r="U57" s="2"/>
      <c r="AS57" s="60"/>
      <c r="AT57" s="60"/>
      <c r="AU57" s="60"/>
      <c r="AV57" s="60"/>
      <c r="AW57" s="60"/>
    </row>
    <row r="58" spans="1:49">
      <c r="A58" s="60"/>
      <c r="C58" s="60"/>
      <c r="D58" s="60"/>
      <c r="E58" s="60"/>
      <c r="F58" s="60"/>
      <c r="H58" s="60"/>
      <c r="J58" s="60"/>
      <c r="K58" s="60"/>
      <c r="L58" s="60"/>
      <c r="M58" s="60"/>
      <c r="N58" s="60"/>
      <c r="O58" s="67"/>
      <c r="P58" s="67"/>
      <c r="Q58" s="2"/>
      <c r="R58" s="2"/>
      <c r="S58" s="2"/>
      <c r="T58" s="2"/>
      <c r="U58" s="2"/>
      <c r="AS58" s="60"/>
      <c r="AT58" s="60"/>
      <c r="AU58" s="60"/>
      <c r="AV58" s="60"/>
      <c r="AW58" s="60"/>
    </row>
    <row r="59" spans="1:49">
      <c r="A59" s="60"/>
      <c r="C59" s="60"/>
      <c r="D59" s="60"/>
      <c r="E59" s="60"/>
      <c r="F59" s="60"/>
      <c r="H59" s="60"/>
      <c r="J59" s="60"/>
      <c r="K59" s="60"/>
      <c r="L59" s="60"/>
      <c r="M59" s="60"/>
      <c r="N59" s="60"/>
      <c r="O59" s="67"/>
      <c r="P59" s="67"/>
      <c r="Q59" s="2"/>
      <c r="R59" s="2"/>
      <c r="S59" s="2"/>
      <c r="T59" s="2"/>
      <c r="U59" s="2"/>
      <c r="AS59" s="60"/>
      <c r="AT59" s="60"/>
      <c r="AU59" s="60"/>
      <c r="AV59" s="60"/>
      <c r="AW59" s="60"/>
    </row>
    <row r="60" spans="1:49">
      <c r="A60" s="60"/>
      <c r="C60" s="60"/>
      <c r="D60" s="60"/>
      <c r="E60" s="60"/>
      <c r="F60" s="60"/>
      <c r="H60" s="60"/>
      <c r="J60" s="60"/>
      <c r="K60" s="60"/>
      <c r="L60" s="60"/>
      <c r="M60" s="60"/>
      <c r="N60" s="60"/>
      <c r="P60" s="60"/>
      <c r="Q60" s="2"/>
      <c r="R60" s="2"/>
      <c r="S60" s="2"/>
      <c r="T60" s="2"/>
      <c r="U60" s="2"/>
      <c r="AS60" s="60"/>
      <c r="AT60" s="60"/>
      <c r="AU60" s="60"/>
      <c r="AV60" s="60"/>
      <c r="AW60" s="60"/>
    </row>
    <row r="61" spans="1:49">
      <c r="A61" s="60"/>
      <c r="C61" s="60"/>
      <c r="D61" s="60"/>
      <c r="E61" s="60"/>
      <c r="F61" s="60"/>
      <c r="H61" s="60"/>
      <c r="J61" s="60"/>
      <c r="K61" s="60"/>
      <c r="L61" s="60"/>
      <c r="M61" s="60"/>
      <c r="N61" s="60"/>
      <c r="O61" s="67"/>
      <c r="P61" s="67"/>
      <c r="Q61" s="2"/>
      <c r="R61" s="2"/>
      <c r="S61" s="2"/>
      <c r="T61" s="2"/>
      <c r="U61" s="2"/>
      <c r="AS61" s="60"/>
      <c r="AT61" s="60"/>
      <c r="AU61" s="60"/>
      <c r="AV61" s="60"/>
      <c r="AW61" s="60"/>
    </row>
  </sheetData>
  <phoneticPr fontId="1" type="noConversion"/>
  <pageMargins left="0.7" right="0.7" top="0.75" bottom="0.75" header="0.3" footer="0.3"/>
  <pageSetup paperSize="9" scale="46" fitToWidth="4" orientation="landscape" r:id="rId1"/>
  <headerFooter>
    <oddHeader>&amp;C&amp;"Calibri"&amp;10&amp;K000000Confidential&amp;1#</oddHead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EF12C-8FCA-4C98-A7E3-A92507F3829D}">
  <dimension ref="A1:L65"/>
  <sheetViews>
    <sheetView tabSelected="1" zoomScale="150" zoomScaleNormal="150" workbookViewId="0">
      <pane xSplit="1" ySplit="1" topLeftCell="B7" activePane="bottomRight" state="frozen"/>
      <selection pane="topRight" activeCell="B1" sqref="B1"/>
      <selection pane="bottomLeft" activeCell="A2" sqref="A2"/>
      <selection pane="bottomRight" activeCell="C31" sqref="C31"/>
    </sheetView>
  </sheetViews>
  <sheetFormatPr defaultColWidth="8.7109375" defaultRowHeight="15"/>
  <cols>
    <col min="1" max="1" width="29.28515625" style="60" customWidth="1"/>
    <col min="2" max="2" width="25.42578125" style="4" customWidth="1"/>
    <col min="3" max="3" width="16.42578125" style="60"/>
    <col min="4" max="4" width="16.42578125" style="26"/>
    <col min="5" max="5" width="17.42578125" style="26" customWidth="1"/>
    <col min="6" max="7" width="24" style="60" customWidth="1"/>
    <col min="8" max="8" width="22.42578125" style="20" customWidth="1"/>
    <col min="9" max="9" width="23.28515625" style="60" customWidth="1"/>
    <col min="10" max="10" width="24" style="60" customWidth="1"/>
    <col min="11" max="11" width="19.28515625" style="60" customWidth="1"/>
    <col min="12" max="12" width="21.42578125" style="60" customWidth="1"/>
  </cols>
  <sheetData>
    <row r="1" spans="1:12">
      <c r="A1" s="10" t="s">
        <v>56</v>
      </c>
      <c r="B1" s="10" t="s">
        <v>57</v>
      </c>
      <c r="C1" s="10" t="s">
        <v>1</v>
      </c>
      <c r="D1" s="27" t="s">
        <v>291</v>
      </c>
      <c r="E1" s="19" t="s">
        <v>122</v>
      </c>
      <c r="F1" s="19" t="s">
        <v>123</v>
      </c>
      <c r="G1" s="61" t="s">
        <v>124</v>
      </c>
      <c r="H1" s="19" t="s">
        <v>114</v>
      </c>
      <c r="I1" s="19" t="s">
        <v>115</v>
      </c>
      <c r="J1" s="19" t="s">
        <v>116</v>
      </c>
      <c r="K1" s="12" t="s">
        <v>117</v>
      </c>
      <c r="L1" s="12" t="s">
        <v>118</v>
      </c>
    </row>
    <row r="2" spans="1:12">
      <c r="A2" s="60" t="s">
        <v>58</v>
      </c>
      <c r="B2" s="71" t="s">
        <v>59</v>
      </c>
      <c r="C2" s="70" t="s">
        <v>60</v>
      </c>
      <c r="D2" s="70">
        <v>2040</v>
      </c>
      <c r="E2" s="70" t="s">
        <v>66</v>
      </c>
      <c r="F2" s="70" t="s">
        <v>283</v>
      </c>
      <c r="G2" s="70">
        <v>2019</v>
      </c>
      <c r="H2" s="60">
        <v>2016</v>
      </c>
      <c r="I2" s="72">
        <v>0.67400000000000004</v>
      </c>
      <c r="J2" s="70" t="s">
        <v>287</v>
      </c>
      <c r="K2" s="70">
        <v>2040</v>
      </c>
      <c r="L2" s="73">
        <v>1</v>
      </c>
    </row>
    <row r="3" spans="1:12" s="60" customFormat="1">
      <c r="A3" s="60" t="s">
        <v>58</v>
      </c>
      <c r="B3" s="4" t="s">
        <v>59</v>
      </c>
      <c r="C3" s="60" t="s">
        <v>60</v>
      </c>
      <c r="D3" s="70">
        <v>2040</v>
      </c>
      <c r="E3" s="60" t="s">
        <v>282</v>
      </c>
      <c r="F3" s="60" t="s">
        <v>285</v>
      </c>
      <c r="G3" s="70">
        <v>2019</v>
      </c>
      <c r="H3" s="60">
        <v>2016</v>
      </c>
      <c r="I3" s="75">
        <v>70457</v>
      </c>
      <c r="J3" s="60" t="s">
        <v>128</v>
      </c>
      <c r="K3" s="60">
        <v>2050</v>
      </c>
      <c r="L3" s="74">
        <v>1</v>
      </c>
    </row>
    <row r="4" spans="1:12" s="60" customFormat="1">
      <c r="A4" s="60" t="s">
        <v>58</v>
      </c>
      <c r="B4" s="4" t="s">
        <v>59</v>
      </c>
      <c r="C4" s="60" t="s">
        <v>60</v>
      </c>
      <c r="D4" s="70">
        <v>2040</v>
      </c>
      <c r="E4" s="76" t="s">
        <v>66</v>
      </c>
      <c r="F4" s="60" t="s">
        <v>283</v>
      </c>
      <c r="G4" s="70">
        <v>2019</v>
      </c>
      <c r="H4" s="60">
        <v>2016</v>
      </c>
      <c r="I4" s="60">
        <v>0.67</v>
      </c>
      <c r="J4" s="60" t="s">
        <v>287</v>
      </c>
      <c r="K4" s="60">
        <v>2030</v>
      </c>
      <c r="L4" s="74">
        <v>0.7</v>
      </c>
    </row>
    <row r="5" spans="1:12">
      <c r="A5" s="60" t="s">
        <v>143</v>
      </c>
      <c r="B5" s="4" t="s">
        <v>144</v>
      </c>
      <c r="C5" s="60" t="s">
        <v>145</v>
      </c>
      <c r="D5" s="54">
        <v>2050</v>
      </c>
      <c r="E5" s="70" t="s">
        <v>282</v>
      </c>
      <c r="F5" s="70" t="s">
        <v>283</v>
      </c>
      <c r="G5" s="54"/>
      <c r="H5" s="54">
        <v>2005</v>
      </c>
      <c r="I5" s="69">
        <v>10178945</v>
      </c>
      <c r="J5" s="70" t="s">
        <v>141</v>
      </c>
      <c r="K5" s="54">
        <v>2050</v>
      </c>
      <c r="L5" s="62">
        <v>1</v>
      </c>
    </row>
    <row r="6" spans="1:12">
      <c r="A6" s="60" t="s">
        <v>148</v>
      </c>
      <c r="B6" s="4" t="s">
        <v>146</v>
      </c>
      <c r="C6" s="60" t="s">
        <v>150</v>
      </c>
      <c r="D6" s="26">
        <v>2050</v>
      </c>
      <c r="E6" s="70" t="s">
        <v>66</v>
      </c>
      <c r="F6" s="60" t="s">
        <v>283</v>
      </c>
      <c r="H6" s="20">
        <v>2005</v>
      </c>
      <c r="I6" s="60">
        <f>(16*0.4+9*0.5)/(16+9)</f>
        <v>0.436</v>
      </c>
      <c r="J6" s="60" t="s">
        <v>287</v>
      </c>
      <c r="K6" s="60">
        <v>2030</v>
      </c>
      <c r="L6" s="74">
        <v>0.5</v>
      </c>
    </row>
    <row r="7" spans="1:12">
      <c r="A7" s="60" t="s">
        <v>151</v>
      </c>
      <c r="B7" s="4" t="s">
        <v>152</v>
      </c>
      <c r="C7" s="60" t="s">
        <v>153</v>
      </c>
      <c r="D7" s="26">
        <v>2050</v>
      </c>
      <c r="E7" s="70" t="s">
        <v>282</v>
      </c>
      <c r="F7" s="60" t="s">
        <v>283</v>
      </c>
      <c r="H7" s="20">
        <v>2005</v>
      </c>
      <c r="I7" s="75">
        <v>38113792</v>
      </c>
      <c r="J7" s="70" t="s">
        <v>141</v>
      </c>
      <c r="K7" s="60">
        <v>2030</v>
      </c>
      <c r="L7" s="74">
        <v>0.5</v>
      </c>
    </row>
    <row r="8" spans="1:12">
      <c r="A8" s="60" t="s">
        <v>151</v>
      </c>
      <c r="B8" s="4" t="s">
        <v>152</v>
      </c>
      <c r="C8" s="60" t="s">
        <v>153</v>
      </c>
      <c r="D8" s="26">
        <v>2050</v>
      </c>
      <c r="E8" s="70" t="s">
        <v>282</v>
      </c>
      <c r="F8" s="60" t="s">
        <v>283</v>
      </c>
      <c r="H8" s="20">
        <v>2005</v>
      </c>
      <c r="I8" s="75">
        <v>38113792</v>
      </c>
      <c r="J8" s="70" t="s">
        <v>141</v>
      </c>
      <c r="K8" s="60">
        <v>2040</v>
      </c>
      <c r="L8" s="74">
        <v>0.85</v>
      </c>
    </row>
    <row r="9" spans="1:12">
      <c r="A9" s="60" t="s">
        <v>154</v>
      </c>
      <c r="B9" s="4" t="s">
        <v>155</v>
      </c>
      <c r="C9" s="60" t="s">
        <v>156</v>
      </c>
      <c r="D9" s="26">
        <v>2050</v>
      </c>
      <c r="E9" s="26" t="s">
        <v>282</v>
      </c>
      <c r="F9" s="60" t="s">
        <v>281</v>
      </c>
      <c r="H9" s="20">
        <v>2000</v>
      </c>
      <c r="I9" s="26">
        <v>167000000</v>
      </c>
      <c r="J9" s="70" t="s">
        <v>141</v>
      </c>
      <c r="K9" s="60">
        <v>2030</v>
      </c>
      <c r="L9" s="74">
        <v>0.8</v>
      </c>
    </row>
    <row r="10" spans="1:12">
      <c r="A10" s="60" t="s">
        <v>157</v>
      </c>
      <c r="B10" s="4" t="s">
        <v>158</v>
      </c>
      <c r="C10" s="60" t="s">
        <v>159</v>
      </c>
      <c r="D10" s="26">
        <v>2035</v>
      </c>
      <c r="E10" s="26" t="s">
        <v>282</v>
      </c>
      <c r="F10" s="60" t="s">
        <v>281</v>
      </c>
      <c r="H10" s="20">
        <v>2015</v>
      </c>
      <c r="I10" s="69">
        <v>1.3146552000000001E-2</v>
      </c>
      <c r="J10" s="70" t="s">
        <v>128</v>
      </c>
      <c r="K10" s="60">
        <v>2025</v>
      </c>
      <c r="L10" s="74">
        <v>0.35</v>
      </c>
    </row>
    <row r="11" spans="1:12">
      <c r="A11" s="60" t="s">
        <v>160</v>
      </c>
      <c r="B11" s="4" t="s">
        <v>161</v>
      </c>
      <c r="C11" s="60" t="s">
        <v>162</v>
      </c>
      <c r="E11" s="26" t="s">
        <v>66</v>
      </c>
      <c r="F11" s="60" t="s">
        <v>281</v>
      </c>
      <c r="H11" s="20">
        <v>2005</v>
      </c>
      <c r="I11" s="60">
        <v>1</v>
      </c>
      <c r="J11" s="70" t="s">
        <v>287</v>
      </c>
      <c r="K11" s="60">
        <v>2030</v>
      </c>
      <c r="L11" s="74">
        <v>0.4</v>
      </c>
    </row>
    <row r="12" spans="1:12" s="60" customFormat="1">
      <c r="A12" s="60" t="s">
        <v>160</v>
      </c>
      <c r="B12" s="4" t="s">
        <v>161</v>
      </c>
      <c r="C12" s="60" t="s">
        <v>162</v>
      </c>
      <c r="D12" s="26"/>
      <c r="E12" s="26" t="s">
        <v>66</v>
      </c>
      <c r="F12" s="60" t="s">
        <v>281</v>
      </c>
      <c r="H12" s="20">
        <v>2005</v>
      </c>
      <c r="I12" s="60">
        <v>1</v>
      </c>
      <c r="J12" s="70" t="s">
        <v>287</v>
      </c>
      <c r="K12" s="60">
        <v>2040</v>
      </c>
      <c r="L12" s="74">
        <v>0.7</v>
      </c>
    </row>
    <row r="13" spans="1:12">
      <c r="A13" s="60" t="s">
        <v>163</v>
      </c>
      <c r="B13" s="4" t="s">
        <v>164</v>
      </c>
      <c r="C13" s="60" t="s">
        <v>165</v>
      </c>
      <c r="E13" s="26" t="s">
        <v>66</v>
      </c>
      <c r="F13" s="60" t="s">
        <v>283</v>
      </c>
      <c r="H13" s="20">
        <v>2020</v>
      </c>
      <c r="I13" s="60">
        <f>0.292832151/0.141</f>
        <v>2.0768237659574469</v>
      </c>
      <c r="J13" s="70" t="s">
        <v>286</v>
      </c>
      <c r="K13" s="60">
        <v>2050</v>
      </c>
      <c r="L13" s="74">
        <v>0.1</v>
      </c>
    </row>
    <row r="14" spans="1:12" s="60" customFormat="1">
      <c r="A14" s="60" t="s">
        <v>296</v>
      </c>
      <c r="B14" s="4" t="s">
        <v>297</v>
      </c>
      <c r="C14" s="60" t="s">
        <v>298</v>
      </c>
      <c r="D14" s="26"/>
      <c r="E14" s="26" t="s">
        <v>66</v>
      </c>
      <c r="F14" s="60" t="s">
        <v>283</v>
      </c>
      <c r="G14" s="60">
        <v>2021</v>
      </c>
      <c r="H14" s="20">
        <v>2017</v>
      </c>
      <c r="I14" s="60">
        <f>36830868.09/90796200</f>
        <v>0.40564327681114409</v>
      </c>
      <c r="J14" s="70" t="s">
        <v>286</v>
      </c>
      <c r="K14" s="60">
        <v>2030</v>
      </c>
      <c r="L14" s="74">
        <v>0.25</v>
      </c>
    </row>
    <row r="15" spans="1:12">
      <c r="A15" s="60" t="s">
        <v>168</v>
      </c>
      <c r="B15" s="4" t="s">
        <v>169</v>
      </c>
      <c r="C15" s="60" t="s">
        <v>170</v>
      </c>
      <c r="E15" s="60" t="s">
        <v>282</v>
      </c>
      <c r="F15" s="60" t="s">
        <v>283</v>
      </c>
      <c r="G15" s="60">
        <v>2020</v>
      </c>
      <c r="H15" s="20">
        <v>2005</v>
      </c>
      <c r="I15" s="60">
        <v>25218000</v>
      </c>
      <c r="J15" s="60" t="s">
        <v>141</v>
      </c>
      <c r="K15" s="60">
        <v>2040</v>
      </c>
      <c r="L15" s="74">
        <v>1</v>
      </c>
    </row>
    <row r="16" spans="1:12">
      <c r="A16" s="60" t="s">
        <v>171</v>
      </c>
      <c r="B16" s="4" t="s">
        <v>172</v>
      </c>
      <c r="C16" s="60" t="s">
        <v>173</v>
      </c>
      <c r="E16" s="26" t="s">
        <v>66</v>
      </c>
      <c r="F16" s="60" t="s">
        <v>283</v>
      </c>
      <c r="G16" s="60">
        <v>2021</v>
      </c>
      <c r="H16" s="20">
        <v>2019</v>
      </c>
      <c r="I16" s="60">
        <v>0.48099999999999998</v>
      </c>
      <c r="J16" s="70" t="s">
        <v>286</v>
      </c>
      <c r="K16" s="60">
        <v>2030</v>
      </c>
      <c r="L16" s="74">
        <v>0.2</v>
      </c>
    </row>
    <row r="17" spans="1:12">
      <c r="A17" s="60" t="s">
        <v>174</v>
      </c>
      <c r="B17" s="4" t="s">
        <v>175</v>
      </c>
      <c r="C17" s="60" t="s">
        <v>176</v>
      </c>
      <c r="D17" s="26">
        <v>2050</v>
      </c>
      <c r="E17" s="26" t="s">
        <v>282</v>
      </c>
      <c r="F17" s="60" t="s">
        <v>283</v>
      </c>
      <c r="H17" s="20">
        <v>2011</v>
      </c>
      <c r="I17" s="60">
        <v>24000000</v>
      </c>
      <c r="J17" s="70" t="s">
        <v>141</v>
      </c>
      <c r="K17" s="60">
        <v>2030</v>
      </c>
      <c r="L17" s="74">
        <v>0.6</v>
      </c>
    </row>
    <row r="18" spans="1:12">
      <c r="A18" s="60" t="s">
        <v>177</v>
      </c>
      <c r="B18" s="4" t="s">
        <v>178</v>
      </c>
      <c r="C18" s="60" t="s">
        <v>179</v>
      </c>
      <c r="D18" s="26">
        <v>2040</v>
      </c>
      <c r="E18" s="26" t="s">
        <v>282</v>
      </c>
      <c r="F18" s="60" t="s">
        <v>281</v>
      </c>
      <c r="G18" s="60">
        <v>2021</v>
      </c>
      <c r="H18" s="20">
        <v>2020</v>
      </c>
      <c r="I18" s="60">
        <v>1.3278792387295291</v>
      </c>
      <c r="J18" s="60" t="s">
        <v>128</v>
      </c>
      <c r="K18" s="60">
        <v>2040</v>
      </c>
      <c r="L18" s="74">
        <v>1</v>
      </c>
    </row>
    <row r="19" spans="1:12">
      <c r="A19" s="60" t="s">
        <v>180</v>
      </c>
      <c r="B19" s="4" t="s">
        <v>181</v>
      </c>
      <c r="C19" s="60" t="s">
        <v>182</v>
      </c>
      <c r="D19" s="26">
        <v>2050</v>
      </c>
      <c r="E19" s="26" t="s">
        <v>282</v>
      </c>
      <c r="F19" s="60" t="s">
        <v>281</v>
      </c>
      <c r="G19" s="60">
        <v>2017</v>
      </c>
      <c r="H19" s="20">
        <v>2005</v>
      </c>
      <c r="I19" s="60">
        <v>37700000</v>
      </c>
      <c r="J19" s="70" t="s">
        <v>141</v>
      </c>
      <c r="K19" s="60">
        <v>2030</v>
      </c>
      <c r="L19" s="74">
        <v>0.5</v>
      </c>
    </row>
    <row r="20" spans="1:12">
      <c r="A20" s="60" t="s">
        <v>180</v>
      </c>
      <c r="B20" s="4" t="s">
        <v>181</v>
      </c>
      <c r="C20" s="60" t="s">
        <v>182</v>
      </c>
      <c r="D20" s="26">
        <v>2050</v>
      </c>
      <c r="E20" s="26" t="s">
        <v>282</v>
      </c>
      <c r="F20" s="60" t="s">
        <v>281</v>
      </c>
      <c r="G20" s="60">
        <v>2017</v>
      </c>
      <c r="H20" s="20">
        <v>2005</v>
      </c>
      <c r="I20" s="60">
        <v>37700000</v>
      </c>
      <c r="J20" s="70" t="s">
        <v>141</v>
      </c>
      <c r="K20" s="60">
        <v>2040</v>
      </c>
      <c r="L20" s="74">
        <v>0.8</v>
      </c>
    </row>
    <row r="21" spans="1:12">
      <c r="A21" s="60" t="s">
        <v>183</v>
      </c>
      <c r="B21" s="4" t="s">
        <v>184</v>
      </c>
      <c r="C21" s="60" t="s">
        <v>185</v>
      </c>
      <c r="D21" s="26">
        <v>2050</v>
      </c>
      <c r="E21" s="26" t="s">
        <v>282</v>
      </c>
      <c r="F21" s="60" t="s">
        <v>281</v>
      </c>
      <c r="H21" s="20">
        <v>2005</v>
      </c>
      <c r="I21" s="60">
        <v>59.347999999999999</v>
      </c>
      <c r="J21" s="70" t="s">
        <v>128</v>
      </c>
      <c r="K21" s="60">
        <v>2030</v>
      </c>
      <c r="L21" s="74">
        <v>0.55000000000000004</v>
      </c>
    </row>
    <row r="22" spans="1:12">
      <c r="A22" s="60" t="s">
        <v>186</v>
      </c>
      <c r="B22" s="4" t="s">
        <v>187</v>
      </c>
      <c r="C22" s="60" t="s">
        <v>188</v>
      </c>
      <c r="D22" s="26">
        <v>2050</v>
      </c>
      <c r="E22" s="26" t="s">
        <v>282</v>
      </c>
      <c r="F22" s="60" t="s">
        <v>281</v>
      </c>
      <c r="H22" s="20">
        <v>2005</v>
      </c>
      <c r="I22" s="60">
        <v>153000000</v>
      </c>
      <c r="J22" s="70" t="s">
        <v>141</v>
      </c>
      <c r="K22" s="60">
        <v>2030</v>
      </c>
      <c r="L22" s="74">
        <v>0.5</v>
      </c>
    </row>
    <row r="23" spans="1:12" s="60" customFormat="1">
      <c r="A23" s="2" t="s">
        <v>299</v>
      </c>
      <c r="B23" s="60" t="s">
        <v>300</v>
      </c>
      <c r="C23" s="60" t="s">
        <v>301</v>
      </c>
      <c r="D23" s="26">
        <v>2045</v>
      </c>
      <c r="E23" s="26" t="s">
        <v>282</v>
      </c>
      <c r="F23" s="60" t="s">
        <v>283</v>
      </c>
      <c r="G23" s="60">
        <v>2021</v>
      </c>
      <c r="H23" s="20">
        <v>2018</v>
      </c>
      <c r="I23" s="87">
        <f>1.1+1.2+0*15.8</f>
        <v>2.2999999999999998</v>
      </c>
      <c r="J23" s="60" t="s">
        <v>128</v>
      </c>
      <c r="K23" s="60">
        <v>2045</v>
      </c>
      <c r="L23" s="74">
        <v>1</v>
      </c>
    </row>
    <row r="24" spans="1:12">
      <c r="A24" s="60" t="s">
        <v>189</v>
      </c>
      <c r="B24" s="4" t="s">
        <v>190</v>
      </c>
      <c r="C24" s="60" t="s">
        <v>191</v>
      </c>
      <c r="D24" s="26">
        <v>2050</v>
      </c>
      <c r="E24" s="26" t="s">
        <v>282</v>
      </c>
      <c r="F24" s="60" t="s">
        <v>283</v>
      </c>
      <c r="G24" s="60">
        <v>2020</v>
      </c>
      <c r="H24" s="20">
        <v>2000</v>
      </c>
      <c r="I24" s="60">
        <v>49960899</v>
      </c>
      <c r="J24" s="70" t="s">
        <v>141</v>
      </c>
      <c r="K24" s="60">
        <v>2050</v>
      </c>
      <c r="L24" s="74">
        <v>1</v>
      </c>
    </row>
    <row r="25" spans="1:12">
      <c r="A25" s="60" t="s">
        <v>189</v>
      </c>
      <c r="B25" s="4" t="s">
        <v>190</v>
      </c>
      <c r="C25" s="60" t="s">
        <v>191</v>
      </c>
      <c r="D25" s="26">
        <v>2050</v>
      </c>
      <c r="E25" s="26" t="s">
        <v>66</v>
      </c>
      <c r="F25" s="60" t="s">
        <v>281</v>
      </c>
      <c r="G25" s="60">
        <v>2030</v>
      </c>
      <c r="H25" s="20">
        <v>2000</v>
      </c>
      <c r="I25" s="60">
        <v>0.4826223</v>
      </c>
      <c r="J25" s="70" t="s">
        <v>287</v>
      </c>
      <c r="K25" s="60">
        <v>2030</v>
      </c>
      <c r="L25" s="74">
        <v>0.5</v>
      </c>
    </row>
    <row r="26" spans="1:12">
      <c r="A26" s="60" t="s">
        <v>192</v>
      </c>
      <c r="B26" s="4" t="s">
        <v>193</v>
      </c>
      <c r="C26" s="60" t="s">
        <v>194</v>
      </c>
      <c r="D26" s="26">
        <v>2045</v>
      </c>
      <c r="E26" s="26" t="s">
        <v>282</v>
      </c>
      <c r="F26" s="60" t="s">
        <v>281</v>
      </c>
      <c r="H26" s="20">
        <v>2005</v>
      </c>
      <c r="I26" s="75">
        <v>48455198</v>
      </c>
      <c r="J26" s="70" t="s">
        <v>141</v>
      </c>
      <c r="K26" s="60">
        <v>2030</v>
      </c>
      <c r="L26" s="74">
        <v>0.7</v>
      </c>
    </row>
    <row r="27" spans="1:12">
      <c r="A27" s="2" t="s">
        <v>195</v>
      </c>
      <c r="B27" s="4" t="s">
        <v>196</v>
      </c>
      <c r="C27" s="60" t="s">
        <v>197</v>
      </c>
      <c r="D27" s="26">
        <v>2030</v>
      </c>
      <c r="E27" s="26" t="s">
        <v>282</v>
      </c>
      <c r="F27" s="60" t="s">
        <v>283</v>
      </c>
      <c r="G27" s="60">
        <v>2019</v>
      </c>
      <c r="H27" s="20">
        <v>2018</v>
      </c>
      <c r="I27" s="60">
        <v>828107</v>
      </c>
      <c r="J27" s="70" t="s">
        <v>141</v>
      </c>
      <c r="K27" s="60">
        <v>2030</v>
      </c>
      <c r="L27" s="74">
        <v>1</v>
      </c>
    </row>
    <row r="28" spans="1:12">
      <c r="A28" s="60" t="s">
        <v>201</v>
      </c>
      <c r="B28" s="4" t="s">
        <v>202</v>
      </c>
      <c r="C28" s="60" t="s">
        <v>203</v>
      </c>
      <c r="E28" s="26" t="s">
        <v>282</v>
      </c>
      <c r="F28" s="60" t="s">
        <v>281</v>
      </c>
      <c r="G28" s="60">
        <v>2015</v>
      </c>
      <c r="H28" s="20">
        <v>2005</v>
      </c>
      <c r="I28" s="60">
        <v>86403130</v>
      </c>
      <c r="J28" s="70" t="s">
        <v>141</v>
      </c>
      <c r="K28" s="60">
        <v>2045</v>
      </c>
      <c r="L28" s="74">
        <v>0.62</v>
      </c>
    </row>
    <row r="29" spans="1:12">
      <c r="A29" s="60" t="s">
        <v>204</v>
      </c>
      <c r="B29" s="4" t="s">
        <v>205</v>
      </c>
      <c r="C29" s="60" t="s">
        <v>206</v>
      </c>
      <c r="E29" s="26" t="s">
        <v>282</v>
      </c>
      <c r="F29" s="60" t="s">
        <v>281</v>
      </c>
      <c r="G29" s="60">
        <v>2020</v>
      </c>
      <c r="H29" s="20">
        <v>2019</v>
      </c>
      <c r="I29" s="77">
        <v>11925000</v>
      </c>
      <c r="J29" s="70" t="s">
        <v>141</v>
      </c>
      <c r="K29" s="60">
        <v>2035</v>
      </c>
      <c r="L29" s="74">
        <v>0.75</v>
      </c>
    </row>
    <row r="30" spans="1:12">
      <c r="A30" s="60" t="s">
        <v>207</v>
      </c>
      <c r="B30" s="4" t="s">
        <v>208</v>
      </c>
      <c r="C30" s="60" t="s">
        <v>209</v>
      </c>
      <c r="D30" s="26">
        <v>2050</v>
      </c>
      <c r="E30" s="26" t="s">
        <v>66</v>
      </c>
      <c r="F30" s="60" t="s">
        <v>283</v>
      </c>
      <c r="G30" s="60">
        <v>2022</v>
      </c>
      <c r="H30" s="20">
        <v>2020</v>
      </c>
      <c r="I30" s="60">
        <v>0.93</v>
      </c>
      <c r="J30" s="70" t="s">
        <v>286</v>
      </c>
      <c r="K30" s="60">
        <v>2031</v>
      </c>
      <c r="L30" s="74">
        <v>0.10800000000000001</v>
      </c>
    </row>
    <row r="31" spans="1:12">
      <c r="A31" s="60" t="s">
        <v>211</v>
      </c>
      <c r="B31" s="4" t="s">
        <v>212</v>
      </c>
      <c r="C31" s="60" t="s">
        <v>213</v>
      </c>
      <c r="E31" s="26" t="s">
        <v>66</v>
      </c>
      <c r="F31" s="60" t="s">
        <v>281</v>
      </c>
      <c r="G31" s="60">
        <v>2020</v>
      </c>
      <c r="H31" s="20">
        <v>2010</v>
      </c>
      <c r="I31" s="60">
        <v>0.76300000000000001</v>
      </c>
      <c r="J31" s="70" t="s">
        <v>287</v>
      </c>
      <c r="K31" s="60">
        <v>2030</v>
      </c>
      <c r="L31" s="74">
        <v>0.1</v>
      </c>
    </row>
    <row r="32" spans="1:12">
      <c r="A32" s="60" t="s">
        <v>214</v>
      </c>
      <c r="B32" s="4" t="s">
        <v>215</v>
      </c>
      <c r="C32" s="60" t="s">
        <v>216</v>
      </c>
      <c r="E32" s="26" t="s">
        <v>66</v>
      </c>
      <c r="F32" s="60" t="s">
        <v>283</v>
      </c>
      <c r="H32" s="20">
        <v>2000</v>
      </c>
      <c r="I32" s="60">
        <f>2650/2000</f>
        <v>1.325</v>
      </c>
      <c r="J32" s="70" t="s">
        <v>287</v>
      </c>
      <c r="K32" s="60">
        <v>2030</v>
      </c>
      <c r="L32" s="74">
        <v>0.5</v>
      </c>
    </row>
    <row r="33" spans="1:12" s="60" customFormat="1">
      <c r="A33" s="60" t="s">
        <v>220</v>
      </c>
      <c r="B33" s="4" t="s">
        <v>221</v>
      </c>
      <c r="C33" s="60" t="s">
        <v>222</v>
      </c>
      <c r="D33" s="26">
        <v>2050</v>
      </c>
      <c r="E33" s="60" t="s">
        <v>282</v>
      </c>
      <c r="F33" s="60" t="s">
        <v>283</v>
      </c>
      <c r="G33" s="60">
        <v>2020</v>
      </c>
      <c r="H33" s="60">
        <v>1990</v>
      </c>
      <c r="I33" s="60">
        <f>7000000/(1-0.68)</f>
        <v>21875000.000000004</v>
      </c>
      <c r="J33" s="60" t="s">
        <v>141</v>
      </c>
      <c r="K33" s="60">
        <v>2030</v>
      </c>
      <c r="L33" s="74">
        <v>0.8</v>
      </c>
    </row>
    <row r="34" spans="1:12">
      <c r="A34" s="60" t="s">
        <v>220</v>
      </c>
      <c r="B34" s="4" t="s">
        <v>221</v>
      </c>
      <c r="C34" s="60" t="s">
        <v>222</v>
      </c>
      <c r="D34" s="26">
        <v>2050</v>
      </c>
      <c r="E34" s="60" t="s">
        <v>282</v>
      </c>
      <c r="F34" s="60" t="s">
        <v>283</v>
      </c>
      <c r="G34" s="60">
        <v>2020</v>
      </c>
      <c r="H34" s="60">
        <v>1990</v>
      </c>
      <c r="I34" s="60">
        <f>7000000/(1-0.68)</f>
        <v>21875000.000000004</v>
      </c>
      <c r="J34" s="60" t="s">
        <v>141</v>
      </c>
      <c r="K34" s="60">
        <v>2040</v>
      </c>
      <c r="L34" s="74">
        <v>0.9</v>
      </c>
    </row>
    <row r="35" spans="1:12" s="60" customFormat="1">
      <c r="A35" s="2" t="s">
        <v>302</v>
      </c>
      <c r="B35" s="60" t="s">
        <v>303</v>
      </c>
      <c r="C35" s="60" t="s">
        <v>304</v>
      </c>
      <c r="D35" s="26">
        <v>2050</v>
      </c>
      <c r="E35" s="26" t="s">
        <v>66</v>
      </c>
      <c r="F35" s="60" t="s">
        <v>283</v>
      </c>
      <c r="G35" s="60">
        <v>2020</v>
      </c>
      <c r="H35" s="60">
        <v>2005</v>
      </c>
      <c r="I35" s="60">
        <v>843</v>
      </c>
      <c r="J35" s="70" t="s">
        <v>308</v>
      </c>
      <c r="K35" s="60">
        <v>2025</v>
      </c>
      <c r="L35" s="74">
        <v>0.67</v>
      </c>
    </row>
    <row r="36" spans="1:12" s="60" customFormat="1">
      <c r="A36" s="2" t="s">
        <v>305</v>
      </c>
      <c r="B36" s="60" t="s">
        <v>306</v>
      </c>
      <c r="C36" s="60" t="s">
        <v>307</v>
      </c>
      <c r="D36" s="26">
        <v>2050</v>
      </c>
      <c r="E36" s="60" t="s">
        <v>282</v>
      </c>
      <c r="F36" s="60" t="s">
        <v>283</v>
      </c>
      <c r="G36" s="60">
        <v>2020</v>
      </c>
      <c r="H36" s="60">
        <v>2005</v>
      </c>
      <c r="I36" s="60">
        <f>6332981/(1-0.63)</f>
        <v>17116164.864864863</v>
      </c>
      <c r="J36" s="60" t="s">
        <v>141</v>
      </c>
      <c r="K36" s="60">
        <v>2030</v>
      </c>
      <c r="L36" s="74">
        <v>0.9</v>
      </c>
    </row>
    <row r="37" spans="1:12">
      <c r="A37" s="60" t="s">
        <v>225</v>
      </c>
      <c r="B37" s="4" t="s">
        <v>226</v>
      </c>
      <c r="C37" s="60" t="s">
        <v>227</v>
      </c>
      <c r="D37" s="26">
        <v>2050</v>
      </c>
      <c r="E37" s="26" t="s">
        <v>282</v>
      </c>
      <c r="F37" s="60" t="s">
        <v>281</v>
      </c>
      <c r="G37" s="60">
        <v>2019</v>
      </c>
      <c r="H37" s="20">
        <v>2010</v>
      </c>
      <c r="I37" s="75">
        <v>3734024</v>
      </c>
      <c r="J37" s="60" t="s">
        <v>141</v>
      </c>
      <c r="K37" s="60">
        <v>2045</v>
      </c>
      <c r="L37" s="74">
        <v>0.9</v>
      </c>
    </row>
    <row r="38" spans="1:12" s="60" customFormat="1">
      <c r="A38" s="67" t="s">
        <v>318</v>
      </c>
      <c r="B38" s="67" t="s">
        <v>319</v>
      </c>
      <c r="C38" s="67" t="s">
        <v>320</v>
      </c>
      <c r="D38" s="26">
        <v>2050</v>
      </c>
      <c r="E38" s="60" t="s">
        <v>282</v>
      </c>
      <c r="F38" s="60" t="s">
        <v>283</v>
      </c>
      <c r="G38" s="60">
        <v>2021</v>
      </c>
      <c r="H38" s="60">
        <v>2013</v>
      </c>
      <c r="I38" s="60">
        <v>102</v>
      </c>
      <c r="J38" s="60" t="s">
        <v>128</v>
      </c>
      <c r="K38" s="60">
        <v>2030</v>
      </c>
      <c r="L38" s="74">
        <v>0.3</v>
      </c>
    </row>
    <row r="39" spans="1:12">
      <c r="A39" s="60" t="s">
        <v>217</v>
      </c>
      <c r="B39" s="4" t="s">
        <v>218</v>
      </c>
      <c r="C39" s="60" t="s">
        <v>219</v>
      </c>
      <c r="E39" s="60" t="s">
        <v>66</v>
      </c>
      <c r="F39" s="60" t="s">
        <v>283</v>
      </c>
      <c r="G39" s="60">
        <v>2020</v>
      </c>
      <c r="H39" s="60">
        <v>2015</v>
      </c>
      <c r="I39" s="60">
        <v>0.82</v>
      </c>
      <c r="J39" s="60" t="s">
        <v>286</v>
      </c>
      <c r="K39" s="60">
        <v>2030</v>
      </c>
      <c r="L39" s="74">
        <v>0.35</v>
      </c>
    </row>
    <row r="40" spans="1:12">
      <c r="A40" s="60" t="s">
        <v>228</v>
      </c>
      <c r="B40" s="4" t="s">
        <v>229</v>
      </c>
      <c r="C40" s="60" t="s">
        <v>230</v>
      </c>
      <c r="E40" s="26" t="s">
        <v>282</v>
      </c>
      <c r="F40" s="60" t="s">
        <v>281</v>
      </c>
      <c r="G40" s="60">
        <v>2018</v>
      </c>
      <c r="H40" s="20">
        <v>2005</v>
      </c>
      <c r="I40" s="75">
        <v>21445571</v>
      </c>
      <c r="J40" s="60" t="s">
        <v>141</v>
      </c>
      <c r="K40" s="60">
        <v>2030</v>
      </c>
      <c r="L40" s="74">
        <v>0.5</v>
      </c>
    </row>
    <row r="41" spans="1:12">
      <c r="A41" s="60" t="s">
        <v>228</v>
      </c>
      <c r="B41" s="4" t="s">
        <v>229</v>
      </c>
      <c r="C41" s="60" t="s">
        <v>230</v>
      </c>
      <c r="E41" s="26" t="s">
        <v>282</v>
      </c>
      <c r="F41" s="60" t="s">
        <v>281</v>
      </c>
      <c r="G41" s="60">
        <v>2018</v>
      </c>
      <c r="H41" s="20">
        <v>2005</v>
      </c>
      <c r="I41" s="75">
        <v>21445571</v>
      </c>
      <c r="J41" s="60" t="s">
        <v>141</v>
      </c>
      <c r="K41" s="60">
        <v>2050</v>
      </c>
      <c r="L41" s="74">
        <v>0.95</v>
      </c>
    </row>
    <row r="42" spans="1:12">
      <c r="A42" s="60" t="s">
        <v>231</v>
      </c>
      <c r="B42" s="4" t="s">
        <v>232</v>
      </c>
      <c r="C42" s="60" t="s">
        <v>233</v>
      </c>
      <c r="D42" s="26">
        <v>2045</v>
      </c>
      <c r="E42" s="26" t="s">
        <v>282</v>
      </c>
      <c r="F42" s="60" t="s">
        <v>283</v>
      </c>
      <c r="G42" s="60">
        <v>2021</v>
      </c>
      <c r="H42" s="20">
        <v>2016</v>
      </c>
      <c r="I42" s="2">
        <v>2.2165439930000002</v>
      </c>
      <c r="J42" s="60" t="s">
        <v>128</v>
      </c>
      <c r="K42" s="60">
        <v>2045</v>
      </c>
      <c r="L42" s="74">
        <v>1</v>
      </c>
    </row>
    <row r="43" spans="1:12">
      <c r="A43" s="60" t="s">
        <v>234</v>
      </c>
      <c r="B43" s="4" t="s">
        <v>235</v>
      </c>
      <c r="C43" s="60" t="s">
        <v>236</v>
      </c>
      <c r="D43" s="26">
        <v>2040</v>
      </c>
      <c r="E43" s="26" t="s">
        <v>282</v>
      </c>
      <c r="F43" s="60" t="s">
        <v>281</v>
      </c>
      <c r="G43" s="60">
        <v>2019</v>
      </c>
      <c r="H43" s="20">
        <v>2005</v>
      </c>
      <c r="I43" s="82">
        <v>6976930.1319702603</v>
      </c>
      <c r="J43" s="60" t="s">
        <v>141</v>
      </c>
      <c r="K43" s="60">
        <v>2040</v>
      </c>
      <c r="L43" s="74">
        <v>1</v>
      </c>
    </row>
    <row r="44" spans="1:12">
      <c r="A44" s="60" t="s">
        <v>237</v>
      </c>
      <c r="B44" s="4" t="s">
        <v>238</v>
      </c>
      <c r="C44" s="60" t="s">
        <v>239</v>
      </c>
      <c r="D44" s="26">
        <v>2050</v>
      </c>
      <c r="E44" s="26" t="s">
        <v>66</v>
      </c>
      <c r="F44" s="60" t="s">
        <v>283</v>
      </c>
      <c r="G44" s="60">
        <v>2020</v>
      </c>
      <c r="H44" s="20">
        <v>2017</v>
      </c>
      <c r="I44" s="60">
        <v>2.06</v>
      </c>
      <c r="J44" s="60" t="s">
        <v>286</v>
      </c>
      <c r="K44" s="60">
        <v>2030</v>
      </c>
      <c r="L44" s="74">
        <v>0.2</v>
      </c>
    </row>
    <row r="45" spans="1:12">
      <c r="A45" s="60" t="s">
        <v>237</v>
      </c>
      <c r="B45" s="4" t="s">
        <v>238</v>
      </c>
      <c r="C45" s="60" t="s">
        <v>239</v>
      </c>
      <c r="D45" s="26">
        <v>2050</v>
      </c>
      <c r="E45" s="26" t="s">
        <v>66</v>
      </c>
      <c r="F45" s="60" t="s">
        <v>283</v>
      </c>
      <c r="G45" s="60">
        <v>2020</v>
      </c>
      <c r="H45" s="20">
        <v>2017</v>
      </c>
      <c r="I45" s="60">
        <v>2.06</v>
      </c>
      <c r="J45" s="60" t="s">
        <v>286</v>
      </c>
      <c r="K45" s="60">
        <v>2040</v>
      </c>
      <c r="L45" s="74">
        <v>0.5</v>
      </c>
    </row>
    <row r="46" spans="1:12">
      <c r="A46" s="60" t="s">
        <v>241</v>
      </c>
      <c r="B46" s="4" t="s">
        <v>242</v>
      </c>
      <c r="C46" s="60" t="s">
        <v>243</v>
      </c>
      <c r="D46" s="26">
        <v>2050</v>
      </c>
      <c r="E46" s="26" t="s">
        <v>282</v>
      </c>
      <c r="F46" s="60" t="s">
        <v>283</v>
      </c>
      <c r="G46" s="60">
        <v>2021</v>
      </c>
      <c r="H46" s="20">
        <v>2010</v>
      </c>
      <c r="I46" s="75">
        <f>60736086+1597157</f>
        <v>62333243</v>
      </c>
      <c r="J46" s="60" t="s">
        <v>141</v>
      </c>
      <c r="K46" s="60">
        <v>2035</v>
      </c>
      <c r="L46" s="74">
        <v>0.7</v>
      </c>
    </row>
    <row r="47" spans="1:12">
      <c r="A47" s="60" t="s">
        <v>241</v>
      </c>
      <c r="B47" s="4" t="s">
        <v>242</v>
      </c>
      <c r="C47" s="60" t="s">
        <v>243</v>
      </c>
      <c r="D47" s="26">
        <v>2050</v>
      </c>
      <c r="E47" s="26" t="s">
        <v>282</v>
      </c>
      <c r="F47" s="60" t="s">
        <v>283</v>
      </c>
      <c r="G47" s="60">
        <v>2021</v>
      </c>
      <c r="H47" s="20">
        <v>2010</v>
      </c>
      <c r="I47" s="75">
        <f>60736086+1597157</f>
        <v>62333243</v>
      </c>
      <c r="J47" s="60" t="s">
        <v>141</v>
      </c>
      <c r="K47" s="60">
        <v>2040</v>
      </c>
      <c r="L47" s="74">
        <v>0.8</v>
      </c>
    </row>
    <row r="48" spans="1:12">
      <c r="A48" s="60" t="s">
        <v>244</v>
      </c>
      <c r="B48" s="4" t="s">
        <v>245</v>
      </c>
      <c r="C48" s="60" t="s">
        <v>246</v>
      </c>
      <c r="D48" s="26">
        <v>2050</v>
      </c>
      <c r="E48" s="26" t="s">
        <v>282</v>
      </c>
      <c r="F48" s="60" t="s">
        <v>283</v>
      </c>
      <c r="G48" s="60">
        <v>2020</v>
      </c>
      <c r="H48" s="20">
        <v>2005</v>
      </c>
      <c r="I48" s="85">
        <v>16557441</v>
      </c>
      <c r="J48" s="60" t="s">
        <v>141</v>
      </c>
      <c r="K48" s="60">
        <v>2030</v>
      </c>
      <c r="L48" s="74">
        <v>0.7</v>
      </c>
    </row>
    <row r="49" spans="1:12">
      <c r="A49" s="60" t="s">
        <v>247</v>
      </c>
      <c r="B49" s="4" t="s">
        <v>248</v>
      </c>
      <c r="C49" s="60" t="s">
        <v>249</v>
      </c>
      <c r="D49" s="26">
        <v>2040</v>
      </c>
      <c r="E49" s="26" t="s">
        <v>66</v>
      </c>
      <c r="F49" s="60" t="s">
        <v>283</v>
      </c>
      <c r="G49" s="60">
        <v>2020</v>
      </c>
      <c r="H49" s="20">
        <v>2010</v>
      </c>
      <c r="I49" s="60">
        <v>0.47</v>
      </c>
      <c r="J49" s="60" t="s">
        <v>287</v>
      </c>
      <c r="K49" s="60">
        <v>2030</v>
      </c>
      <c r="L49" s="74">
        <v>0.8</v>
      </c>
    </row>
    <row r="50" spans="1:12">
      <c r="A50" s="60" t="s">
        <v>250</v>
      </c>
      <c r="B50" s="4" t="s">
        <v>251</v>
      </c>
      <c r="C50" s="60" t="s">
        <v>252</v>
      </c>
      <c r="D50" s="26">
        <v>2030</v>
      </c>
      <c r="E50" s="26" t="s">
        <v>282</v>
      </c>
      <c r="F50" s="60" t="s">
        <v>283</v>
      </c>
      <c r="G50" s="60">
        <v>2021</v>
      </c>
      <c r="H50" s="20">
        <v>2005</v>
      </c>
      <c r="I50" s="75">
        <v>26566330</v>
      </c>
      <c r="J50" s="60" t="s">
        <v>141</v>
      </c>
      <c r="K50" s="60">
        <v>2030</v>
      </c>
      <c r="L50" s="74">
        <v>1</v>
      </c>
    </row>
    <row r="51" spans="1:12" s="60" customFormat="1">
      <c r="A51" s="60" t="s">
        <v>256</v>
      </c>
      <c r="B51" s="4" t="s">
        <v>257</v>
      </c>
      <c r="C51" s="60" t="s">
        <v>258</v>
      </c>
      <c r="D51" s="26">
        <v>2050</v>
      </c>
      <c r="E51" s="26" t="s">
        <v>66</v>
      </c>
      <c r="F51" s="60" t="s">
        <v>283</v>
      </c>
      <c r="G51" s="60">
        <v>2020</v>
      </c>
      <c r="H51" s="20">
        <v>2019</v>
      </c>
      <c r="I51" s="86">
        <v>0.80243130614229874</v>
      </c>
      <c r="J51" s="60" t="s">
        <v>287</v>
      </c>
      <c r="K51" s="60">
        <v>2030</v>
      </c>
      <c r="L51" s="74">
        <v>0.5</v>
      </c>
    </row>
    <row r="52" spans="1:12" s="60" customFormat="1">
      <c r="A52" s="60" t="s">
        <v>259</v>
      </c>
      <c r="B52" s="4" t="s">
        <v>260</v>
      </c>
      <c r="C52" s="60" t="s">
        <v>261</v>
      </c>
      <c r="D52" s="26">
        <v>2050</v>
      </c>
      <c r="E52" s="26" t="s">
        <v>66</v>
      </c>
      <c r="F52" s="60" t="s">
        <v>283</v>
      </c>
      <c r="G52" s="60">
        <v>2020</v>
      </c>
      <c r="H52" s="20">
        <v>2007</v>
      </c>
      <c r="I52" s="86">
        <v>0.98420553538837829</v>
      </c>
      <c r="J52" s="60" t="s">
        <v>287</v>
      </c>
      <c r="K52" s="60">
        <v>2030</v>
      </c>
      <c r="L52" s="74">
        <v>0.5</v>
      </c>
    </row>
    <row r="53" spans="1:12">
      <c r="A53" s="60" t="s">
        <v>253</v>
      </c>
      <c r="B53" s="4" t="s">
        <v>254</v>
      </c>
      <c r="C53" s="60" t="s">
        <v>255</v>
      </c>
      <c r="D53" s="26">
        <v>2050</v>
      </c>
      <c r="E53" s="26" t="s">
        <v>66</v>
      </c>
      <c r="F53" s="60" t="s">
        <v>283</v>
      </c>
      <c r="G53" s="60">
        <v>2021</v>
      </c>
      <c r="H53" s="20">
        <v>2018</v>
      </c>
      <c r="I53" s="60">
        <v>5.162928</v>
      </c>
      <c r="J53" s="60" t="s">
        <v>286</v>
      </c>
      <c r="K53" s="60">
        <v>2025</v>
      </c>
      <c r="L53" s="74">
        <v>0.2</v>
      </c>
    </row>
    <row r="54" spans="1:12" s="60" customFormat="1">
      <c r="A54" s="60" t="s">
        <v>253</v>
      </c>
      <c r="B54" s="4" t="s">
        <v>254</v>
      </c>
      <c r="C54" s="60" t="s">
        <v>255</v>
      </c>
      <c r="D54" s="26">
        <v>2050</v>
      </c>
      <c r="E54" s="26" t="s">
        <v>66</v>
      </c>
      <c r="F54" s="60" t="s">
        <v>283</v>
      </c>
      <c r="G54" s="60">
        <v>2021</v>
      </c>
      <c r="H54" s="20">
        <v>2018</v>
      </c>
      <c r="I54" s="60">
        <v>5.162928</v>
      </c>
      <c r="J54" s="60" t="s">
        <v>286</v>
      </c>
      <c r="K54" s="60">
        <v>2030</v>
      </c>
      <c r="L54" s="74">
        <v>0.3</v>
      </c>
    </row>
    <row r="55" spans="1:12">
      <c r="A55" s="60" t="s">
        <v>262</v>
      </c>
      <c r="B55" s="4" t="s">
        <v>263</v>
      </c>
      <c r="C55" s="60" t="s">
        <v>264</v>
      </c>
      <c r="D55" s="26">
        <v>2050</v>
      </c>
      <c r="E55" s="26" t="s">
        <v>66</v>
      </c>
      <c r="F55" s="60" t="s">
        <v>283</v>
      </c>
      <c r="G55" s="60">
        <v>2020</v>
      </c>
      <c r="H55" s="20">
        <v>2019</v>
      </c>
      <c r="I55" s="86">
        <v>0.46760301224942979</v>
      </c>
      <c r="J55" s="60" t="s">
        <v>287</v>
      </c>
      <c r="K55" s="60">
        <v>2030</v>
      </c>
      <c r="L55" s="74">
        <v>0.3</v>
      </c>
    </row>
    <row r="56" spans="1:12">
      <c r="A56" s="60" t="s">
        <v>265</v>
      </c>
      <c r="B56" s="4" t="s">
        <v>266</v>
      </c>
      <c r="C56" s="60" t="s">
        <v>267</v>
      </c>
      <c r="E56" s="26" t="s">
        <v>66</v>
      </c>
      <c r="F56" s="60" t="s">
        <v>283</v>
      </c>
      <c r="G56" s="60">
        <v>2021</v>
      </c>
      <c r="H56" s="20">
        <v>2018</v>
      </c>
      <c r="I56" s="86">
        <v>2.9</v>
      </c>
      <c r="J56" s="60" t="s">
        <v>286</v>
      </c>
      <c r="K56" s="60">
        <v>2030</v>
      </c>
      <c r="L56" s="74">
        <v>0.3</v>
      </c>
    </row>
    <row r="57" spans="1:12" s="60" customFormat="1">
      <c r="A57" s="60" t="s">
        <v>293</v>
      </c>
      <c r="B57" s="60" t="s">
        <v>294</v>
      </c>
      <c r="C57" s="60" t="s">
        <v>295</v>
      </c>
      <c r="D57" s="26"/>
      <c r="E57" s="26" t="s">
        <v>66</v>
      </c>
      <c r="F57" s="60" t="s">
        <v>283</v>
      </c>
      <c r="G57" s="60">
        <v>2021</v>
      </c>
      <c r="H57" s="20">
        <v>2018</v>
      </c>
      <c r="I57" s="86">
        <v>1.69</v>
      </c>
      <c r="J57" s="60" t="s">
        <v>286</v>
      </c>
      <c r="K57" s="60">
        <v>2030</v>
      </c>
      <c r="L57" s="74">
        <v>0.2</v>
      </c>
    </row>
    <row r="58" spans="1:12">
      <c r="A58" s="60" t="s">
        <v>269</v>
      </c>
      <c r="B58" s="4" t="s">
        <v>270</v>
      </c>
      <c r="C58" s="60" t="s">
        <v>271</v>
      </c>
      <c r="E58" s="26" t="s">
        <v>66</v>
      </c>
      <c r="F58" s="60" t="s">
        <v>283</v>
      </c>
      <c r="G58" s="60">
        <v>2021</v>
      </c>
      <c r="H58" s="20">
        <v>2018</v>
      </c>
      <c r="I58" s="86">
        <v>0.42172199999999999</v>
      </c>
      <c r="J58" s="60" t="s">
        <v>286</v>
      </c>
      <c r="K58" s="60">
        <v>2030</v>
      </c>
      <c r="L58" s="74">
        <v>0.4</v>
      </c>
    </row>
    <row r="59" spans="1:12">
      <c r="A59" s="60" t="s">
        <v>272</v>
      </c>
      <c r="B59" s="4" t="s">
        <v>273</v>
      </c>
      <c r="C59" s="60" t="s">
        <v>274</v>
      </c>
      <c r="E59" s="26" t="s">
        <v>66</v>
      </c>
      <c r="F59" s="60" t="s">
        <v>283</v>
      </c>
      <c r="G59" s="60">
        <v>2020</v>
      </c>
      <c r="H59" s="20">
        <v>2018</v>
      </c>
      <c r="I59" s="86">
        <v>0.315911</v>
      </c>
      <c r="J59" s="60" t="s">
        <v>286</v>
      </c>
      <c r="K59" s="60">
        <v>2030</v>
      </c>
      <c r="L59" s="74">
        <v>0.2</v>
      </c>
    </row>
    <row r="60" spans="1:12" s="60" customFormat="1">
      <c r="A60" s="88" t="s">
        <v>309</v>
      </c>
      <c r="B60" s="88" t="s">
        <v>310</v>
      </c>
      <c r="C60" s="88" t="s">
        <v>311</v>
      </c>
      <c r="D60" s="88">
        <v>2050</v>
      </c>
      <c r="E60" s="88" t="s">
        <v>282</v>
      </c>
      <c r="F60" s="88" t="s">
        <v>281</v>
      </c>
      <c r="G60" s="88">
        <v>2020</v>
      </c>
      <c r="H60" s="88">
        <v>2005</v>
      </c>
      <c r="I60" s="88">
        <v>11.641638960259289</v>
      </c>
      <c r="J60" s="88" t="s">
        <v>128</v>
      </c>
      <c r="K60" s="88">
        <v>2050</v>
      </c>
      <c r="L60" s="89">
        <v>1</v>
      </c>
    </row>
    <row r="61" spans="1:12" s="60" customFormat="1">
      <c r="A61" s="2" t="s">
        <v>312</v>
      </c>
      <c r="B61" s="60" t="s">
        <v>313</v>
      </c>
      <c r="C61" s="60" t="s">
        <v>314</v>
      </c>
      <c r="D61" s="26">
        <v>2050</v>
      </c>
      <c r="E61" s="26" t="s">
        <v>282</v>
      </c>
      <c r="F61" s="60" t="s">
        <v>283</v>
      </c>
      <c r="G61" s="60">
        <v>2020</v>
      </c>
      <c r="H61" s="20">
        <v>2010</v>
      </c>
      <c r="I61" s="60">
        <v>69124235.200000003</v>
      </c>
      <c r="J61" s="60" t="s">
        <v>141</v>
      </c>
      <c r="K61" s="60">
        <v>2030</v>
      </c>
      <c r="L61" s="74">
        <v>0.6</v>
      </c>
    </row>
    <row r="62" spans="1:12" s="60" customFormat="1">
      <c r="A62" s="60" t="s">
        <v>275</v>
      </c>
      <c r="B62" s="4" t="s">
        <v>276</v>
      </c>
      <c r="C62" s="60" t="s">
        <v>277</v>
      </c>
      <c r="D62" s="26">
        <v>2050</v>
      </c>
      <c r="E62" s="26" t="s">
        <v>66</v>
      </c>
      <c r="F62" s="60" t="s">
        <v>283</v>
      </c>
      <c r="G62" s="60">
        <v>2020</v>
      </c>
      <c r="H62" s="20">
        <v>2005</v>
      </c>
      <c r="I62" s="60">
        <v>0.78</v>
      </c>
      <c r="J62" s="60" t="s">
        <v>287</v>
      </c>
      <c r="K62" s="60">
        <v>2025</v>
      </c>
      <c r="L62" s="74">
        <v>0.6</v>
      </c>
    </row>
    <row r="63" spans="1:12" s="60" customFormat="1">
      <c r="A63" s="60" t="s">
        <v>275</v>
      </c>
      <c r="B63" s="4" t="s">
        <v>276</v>
      </c>
      <c r="C63" s="60" t="s">
        <v>277</v>
      </c>
      <c r="D63" s="26">
        <v>2050</v>
      </c>
      <c r="E63" s="26" t="s">
        <v>66</v>
      </c>
      <c r="F63" s="60" t="s">
        <v>283</v>
      </c>
      <c r="G63" s="60">
        <v>2020</v>
      </c>
      <c r="H63" s="20">
        <v>2005</v>
      </c>
      <c r="I63" s="60">
        <v>0.78</v>
      </c>
      <c r="J63" s="60" t="s">
        <v>287</v>
      </c>
      <c r="K63" s="60">
        <v>2030</v>
      </c>
      <c r="L63" s="74">
        <v>0.8</v>
      </c>
    </row>
    <row r="64" spans="1:12" s="60" customFormat="1">
      <c r="A64" s="2" t="s">
        <v>315</v>
      </c>
      <c r="B64" s="60" t="s">
        <v>316</v>
      </c>
      <c r="C64" s="60" t="s">
        <v>317</v>
      </c>
      <c r="D64" s="26">
        <v>2050</v>
      </c>
      <c r="E64" s="26" t="s">
        <v>66</v>
      </c>
      <c r="F64" s="60" t="s">
        <v>283</v>
      </c>
      <c r="G64" s="60">
        <v>2020</v>
      </c>
      <c r="H64" s="20">
        <v>2018</v>
      </c>
      <c r="I64" s="86">
        <v>0.315911</v>
      </c>
      <c r="J64" s="60" t="s">
        <v>286</v>
      </c>
      <c r="K64" s="60">
        <v>2030</v>
      </c>
      <c r="L64" s="74">
        <v>0.3</v>
      </c>
    </row>
    <row r="65" spans="1:12">
      <c r="A65" s="60" t="s">
        <v>278</v>
      </c>
      <c r="B65" s="4" t="s">
        <v>279</v>
      </c>
      <c r="C65" s="60" t="s">
        <v>280</v>
      </c>
      <c r="D65" s="26">
        <v>2050</v>
      </c>
      <c r="E65" s="26" t="s">
        <v>66</v>
      </c>
      <c r="F65" s="60" t="s">
        <v>283</v>
      </c>
      <c r="G65" s="60">
        <v>2020</v>
      </c>
      <c r="H65" s="20">
        <v>2005</v>
      </c>
      <c r="I65" s="86">
        <v>0.88086205923584682</v>
      </c>
      <c r="J65" s="60" t="s">
        <v>287</v>
      </c>
      <c r="K65" s="60">
        <v>2030</v>
      </c>
      <c r="L65" s="74">
        <v>0.8</v>
      </c>
    </row>
  </sheetData>
  <pageMargins left="0.7" right="0.7" top="0.75" bottom="0.75" header="0.3" footer="0.3"/>
  <pageSetup orientation="portrait" horizontalDpi="90" verticalDpi="90" r:id="rId1"/>
  <headerFooter>
    <oddHeader>&amp;C&amp;"Calibri"&amp;10&amp;K000000Confidential&amp;1#</oddHead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5420B-4269-4C0B-A558-3652DBE2EE0B}">
  <dimension ref="A1:F59"/>
  <sheetViews>
    <sheetView zoomScale="150" zoomScaleNormal="150" workbookViewId="0"/>
  </sheetViews>
  <sheetFormatPr defaultColWidth="8.7109375" defaultRowHeight="15"/>
  <cols>
    <col min="1" max="1" width="17.42578125" style="34" bestFit="1" customWidth="1"/>
    <col min="2" max="3" width="21.7109375" style="51" customWidth="1"/>
    <col min="4" max="4" width="44" customWidth="1"/>
    <col min="5" max="5" width="25.140625" bestFit="1" customWidth="1"/>
    <col min="6" max="6" width="26.7109375" customWidth="1"/>
    <col min="8" max="8" width="87.7109375" customWidth="1"/>
  </cols>
  <sheetData>
    <row r="1" spans="1:6" ht="15.75" thickBot="1">
      <c r="A1" s="38" t="s">
        <v>12</v>
      </c>
      <c r="B1" s="39" t="s">
        <v>0</v>
      </c>
      <c r="C1" s="39" t="s">
        <v>138</v>
      </c>
      <c r="D1" s="17" t="s">
        <v>3</v>
      </c>
      <c r="E1" s="16" t="s">
        <v>5</v>
      </c>
      <c r="F1" s="18" t="s">
        <v>9</v>
      </c>
    </row>
    <row r="2" spans="1:6">
      <c r="A2" s="40" t="s">
        <v>13</v>
      </c>
      <c r="B2" s="41" t="s">
        <v>56</v>
      </c>
      <c r="C2" s="65" t="s">
        <v>137</v>
      </c>
      <c r="D2" s="6" t="s">
        <v>2</v>
      </c>
      <c r="E2" s="7" t="s">
        <v>4</v>
      </c>
      <c r="F2" s="7" t="s">
        <v>10</v>
      </c>
    </row>
    <row r="3" spans="1:6">
      <c r="A3" s="40" t="s">
        <v>13</v>
      </c>
      <c r="B3" s="42" t="s">
        <v>57</v>
      </c>
      <c r="C3" s="65" t="s">
        <v>137</v>
      </c>
      <c r="D3" s="28" t="s">
        <v>79</v>
      </c>
      <c r="E3" s="29" t="s">
        <v>4</v>
      </c>
      <c r="F3" s="30" t="s">
        <v>26</v>
      </c>
    </row>
    <row r="4" spans="1:6" ht="45">
      <c r="A4" s="40" t="s">
        <v>13</v>
      </c>
      <c r="B4" s="41" t="s">
        <v>1</v>
      </c>
      <c r="C4" s="65" t="s">
        <v>137</v>
      </c>
      <c r="D4" s="6" t="s">
        <v>80</v>
      </c>
      <c r="E4" s="7" t="s">
        <v>4</v>
      </c>
      <c r="F4" s="7" t="s">
        <v>10</v>
      </c>
    </row>
    <row r="5" spans="1:6" ht="30">
      <c r="A5" s="40" t="s">
        <v>13</v>
      </c>
      <c r="B5" s="41" t="s">
        <v>6</v>
      </c>
      <c r="C5" s="65" t="s">
        <v>137</v>
      </c>
      <c r="D5" s="6" t="s">
        <v>8</v>
      </c>
      <c r="E5" s="7" t="s">
        <v>4</v>
      </c>
      <c r="F5" s="7" t="s">
        <v>10</v>
      </c>
    </row>
    <row r="6" spans="1:6" ht="60">
      <c r="A6" s="40" t="s">
        <v>13</v>
      </c>
      <c r="B6" s="42" t="s">
        <v>7</v>
      </c>
      <c r="C6" s="65" t="s">
        <v>137</v>
      </c>
      <c r="D6" s="28" t="s">
        <v>81</v>
      </c>
      <c r="E6" s="29" t="s">
        <v>4</v>
      </c>
      <c r="F6" s="30" t="s">
        <v>26</v>
      </c>
    </row>
    <row r="7" spans="1:6">
      <c r="A7" s="40" t="s">
        <v>13</v>
      </c>
      <c r="B7" s="41" t="s">
        <v>27</v>
      </c>
      <c r="C7" s="65" t="s">
        <v>137</v>
      </c>
      <c r="D7" s="8" t="s">
        <v>28</v>
      </c>
      <c r="E7" s="7" t="s">
        <v>96</v>
      </c>
      <c r="F7" s="7" t="s">
        <v>10</v>
      </c>
    </row>
    <row r="8" spans="1:6">
      <c r="A8" s="40" t="s">
        <v>13</v>
      </c>
      <c r="B8" s="41" t="s">
        <v>31</v>
      </c>
      <c r="C8" s="65" t="s">
        <v>137</v>
      </c>
      <c r="D8" s="8" t="s">
        <v>82</v>
      </c>
      <c r="E8" s="7" t="s">
        <v>93</v>
      </c>
      <c r="F8" s="7" t="s">
        <v>10</v>
      </c>
    </row>
    <row r="9" spans="1:6" ht="45">
      <c r="A9" s="40" t="s">
        <v>13</v>
      </c>
      <c r="B9" s="32" t="s">
        <v>63</v>
      </c>
      <c r="C9" s="65" t="s">
        <v>137</v>
      </c>
      <c r="D9" s="6" t="s">
        <v>83</v>
      </c>
      <c r="E9" s="7" t="s">
        <v>4</v>
      </c>
      <c r="F9" s="7" t="s">
        <v>10</v>
      </c>
    </row>
    <row r="10" spans="1:6">
      <c r="A10" s="40" t="s">
        <v>13</v>
      </c>
      <c r="B10" s="43" t="s">
        <v>42</v>
      </c>
      <c r="C10" s="65" t="s">
        <v>137</v>
      </c>
      <c r="D10" s="6" t="s">
        <v>84</v>
      </c>
      <c r="E10" s="7" t="s">
        <v>95</v>
      </c>
      <c r="F10" s="7" t="s">
        <v>10</v>
      </c>
    </row>
    <row r="11" spans="1:6">
      <c r="A11" s="40" t="s">
        <v>13</v>
      </c>
      <c r="B11" s="32" t="s">
        <v>39</v>
      </c>
      <c r="C11" s="65" t="s">
        <v>137</v>
      </c>
      <c r="D11" s="1" t="s">
        <v>76</v>
      </c>
      <c r="E11" s="7" t="s">
        <v>11</v>
      </c>
      <c r="F11" s="7" t="s">
        <v>10</v>
      </c>
    </row>
    <row r="12" spans="1:6">
      <c r="A12" s="40" t="s">
        <v>13</v>
      </c>
      <c r="B12" s="32" t="s">
        <v>38</v>
      </c>
      <c r="C12" s="65" t="s">
        <v>137</v>
      </c>
      <c r="D12" s="1" t="s">
        <v>77</v>
      </c>
      <c r="E12" s="7" t="s">
        <v>11</v>
      </c>
      <c r="F12" s="7" t="s">
        <v>10</v>
      </c>
    </row>
    <row r="13" spans="1:6">
      <c r="A13" s="40" t="s">
        <v>13</v>
      </c>
      <c r="B13" s="32" t="s">
        <v>40</v>
      </c>
      <c r="C13" s="65" t="s">
        <v>137</v>
      </c>
      <c r="D13" s="1" t="s">
        <v>75</v>
      </c>
      <c r="E13" s="7" t="s">
        <v>11</v>
      </c>
      <c r="F13" s="7" t="s">
        <v>10</v>
      </c>
    </row>
    <row r="14" spans="1:6" ht="30">
      <c r="A14" s="40" t="s">
        <v>13</v>
      </c>
      <c r="B14" s="32" t="s">
        <v>29</v>
      </c>
      <c r="C14" s="65" t="s">
        <v>137</v>
      </c>
      <c r="D14" s="1" t="s">
        <v>78</v>
      </c>
      <c r="E14" s="7" t="s">
        <v>11</v>
      </c>
      <c r="F14" s="7" t="s">
        <v>10</v>
      </c>
    </row>
    <row r="15" spans="1:6">
      <c r="A15" s="40" t="s">
        <v>13</v>
      </c>
      <c r="B15" s="32" t="s">
        <v>41</v>
      </c>
      <c r="C15" s="65" t="s">
        <v>137</v>
      </c>
      <c r="D15" s="9" t="s">
        <v>85</v>
      </c>
      <c r="E15" s="7" t="s">
        <v>11</v>
      </c>
      <c r="F15" s="7" t="s">
        <v>10</v>
      </c>
    </row>
    <row r="16" spans="1:6" s="34" customFormat="1" ht="72.75" customHeight="1">
      <c r="A16" s="46" t="s">
        <v>129</v>
      </c>
      <c r="B16" s="32" t="s">
        <v>131</v>
      </c>
      <c r="C16" s="65" t="s">
        <v>137</v>
      </c>
      <c r="D16" s="6" t="s">
        <v>132</v>
      </c>
      <c r="E16" s="63" t="s">
        <v>134</v>
      </c>
      <c r="F16" s="33" t="s">
        <v>10</v>
      </c>
    </row>
    <row r="17" spans="1:6" s="34" customFormat="1" ht="72.75" customHeight="1">
      <c r="A17" s="46" t="s">
        <v>130</v>
      </c>
      <c r="B17" s="32" t="s">
        <v>127</v>
      </c>
      <c r="C17" s="65" t="s">
        <v>137</v>
      </c>
      <c r="D17" s="6" t="s">
        <v>133</v>
      </c>
      <c r="E17" s="6" t="s">
        <v>135</v>
      </c>
      <c r="F17" s="33" t="s">
        <v>10</v>
      </c>
    </row>
    <row r="18" spans="1:6" ht="30">
      <c r="A18" s="31" t="s">
        <v>15</v>
      </c>
      <c r="B18" s="47" t="s">
        <v>16</v>
      </c>
      <c r="C18" s="65" t="s">
        <v>137</v>
      </c>
      <c r="D18" s="8" t="s">
        <v>89</v>
      </c>
      <c r="E18" s="7" t="s">
        <v>87</v>
      </c>
      <c r="F18" s="7" t="s">
        <v>10</v>
      </c>
    </row>
    <row r="19" spans="1:6" ht="30">
      <c r="A19" s="31" t="s">
        <v>15</v>
      </c>
      <c r="B19" s="47" t="s">
        <v>17</v>
      </c>
      <c r="C19" s="65" t="s">
        <v>137</v>
      </c>
      <c r="D19" s="8" t="s">
        <v>89</v>
      </c>
      <c r="E19" s="7" t="s">
        <v>87</v>
      </c>
      <c r="F19" s="7" t="s">
        <v>10</v>
      </c>
    </row>
    <row r="20" spans="1:6" ht="30">
      <c r="A20" s="31" t="s">
        <v>15</v>
      </c>
      <c r="B20" s="47" t="s">
        <v>18</v>
      </c>
      <c r="C20" s="65" t="s">
        <v>137</v>
      </c>
      <c r="D20" s="8" t="s">
        <v>89</v>
      </c>
      <c r="E20" s="7" t="s">
        <v>87</v>
      </c>
      <c r="F20" s="7" t="s">
        <v>10</v>
      </c>
    </row>
    <row r="21" spans="1:6" ht="30">
      <c r="A21" s="31" t="s">
        <v>15</v>
      </c>
      <c r="B21" s="47" t="s">
        <v>19</v>
      </c>
      <c r="C21" s="65" t="s">
        <v>137</v>
      </c>
      <c r="D21" s="8" t="s">
        <v>89</v>
      </c>
      <c r="E21" s="7" t="s">
        <v>87</v>
      </c>
      <c r="F21" s="7" t="s">
        <v>10</v>
      </c>
    </row>
    <row r="22" spans="1:6" ht="30">
      <c r="A22" s="31" t="s">
        <v>15</v>
      </c>
      <c r="B22" s="47" t="s">
        <v>20</v>
      </c>
      <c r="C22" s="65" t="s">
        <v>137</v>
      </c>
      <c r="D22" s="8" t="s">
        <v>89</v>
      </c>
      <c r="E22" s="7" t="s">
        <v>87</v>
      </c>
      <c r="F22" s="7" t="s">
        <v>10</v>
      </c>
    </row>
    <row r="23" spans="1:6" ht="30">
      <c r="A23" s="31" t="s">
        <v>15</v>
      </c>
      <c r="B23" s="47" t="s">
        <v>44</v>
      </c>
      <c r="C23" s="65" t="s">
        <v>137</v>
      </c>
      <c r="D23" s="8" t="s">
        <v>105</v>
      </c>
      <c r="E23" s="7" t="s">
        <v>87</v>
      </c>
      <c r="F23" s="9" t="s">
        <v>26</v>
      </c>
    </row>
    <row r="24" spans="1:6" ht="45">
      <c r="A24" s="31" t="s">
        <v>15</v>
      </c>
      <c r="B24" s="47" t="s">
        <v>51</v>
      </c>
      <c r="C24" s="65" t="s">
        <v>137</v>
      </c>
      <c r="D24" s="55" t="s">
        <v>107</v>
      </c>
      <c r="E24" s="56" t="s">
        <v>87</v>
      </c>
      <c r="F24" s="57" t="s">
        <v>106</v>
      </c>
    </row>
    <row r="25" spans="1:6" ht="30">
      <c r="A25" s="31" t="s">
        <v>15</v>
      </c>
      <c r="B25" s="48" t="s">
        <v>21</v>
      </c>
      <c r="C25" s="65" t="s">
        <v>137</v>
      </c>
      <c r="D25" s="8" t="s">
        <v>90</v>
      </c>
      <c r="E25" s="7" t="s">
        <v>87</v>
      </c>
      <c r="F25" s="7" t="s">
        <v>10</v>
      </c>
    </row>
    <row r="26" spans="1:6" ht="30">
      <c r="A26" s="31" t="s">
        <v>15</v>
      </c>
      <c r="B26" s="48" t="s">
        <v>22</v>
      </c>
      <c r="C26" s="65" t="s">
        <v>137</v>
      </c>
      <c r="D26" s="8" t="s">
        <v>90</v>
      </c>
      <c r="E26" s="7" t="s">
        <v>87</v>
      </c>
      <c r="F26" s="7" t="s">
        <v>10</v>
      </c>
    </row>
    <row r="27" spans="1:6" ht="30">
      <c r="A27" s="31" t="s">
        <v>15</v>
      </c>
      <c r="B27" s="48" t="s">
        <v>23</v>
      </c>
      <c r="C27" s="65" t="s">
        <v>137</v>
      </c>
      <c r="D27" s="8" t="s">
        <v>90</v>
      </c>
      <c r="E27" s="7" t="s">
        <v>87</v>
      </c>
      <c r="F27" s="7" t="s">
        <v>10</v>
      </c>
    </row>
    <row r="28" spans="1:6" ht="30">
      <c r="A28" s="31" t="s">
        <v>15</v>
      </c>
      <c r="B28" s="48" t="s">
        <v>24</v>
      </c>
      <c r="C28" s="65" t="s">
        <v>137</v>
      </c>
      <c r="D28" s="8" t="s">
        <v>90</v>
      </c>
      <c r="E28" s="7" t="s">
        <v>87</v>
      </c>
      <c r="F28" s="7" t="s">
        <v>10</v>
      </c>
    </row>
    <row r="29" spans="1:6" ht="30">
      <c r="A29" s="31" t="s">
        <v>15</v>
      </c>
      <c r="B29" s="48" t="s">
        <v>25</v>
      </c>
      <c r="C29" s="65" t="s">
        <v>137</v>
      </c>
      <c r="D29" s="8" t="s">
        <v>90</v>
      </c>
      <c r="E29" s="7" t="s">
        <v>87</v>
      </c>
      <c r="F29" s="7" t="s">
        <v>10</v>
      </c>
    </row>
    <row r="30" spans="1:6" ht="30">
      <c r="A30" s="31" t="s">
        <v>15</v>
      </c>
      <c r="B30" s="48" t="s">
        <v>30</v>
      </c>
      <c r="C30" s="65" t="s">
        <v>137</v>
      </c>
      <c r="D30" s="8" t="s">
        <v>108</v>
      </c>
      <c r="E30" s="7" t="s">
        <v>87</v>
      </c>
      <c r="F30" s="9" t="s">
        <v>26</v>
      </c>
    </row>
    <row r="31" spans="1:6" ht="45">
      <c r="A31" s="31" t="s">
        <v>15</v>
      </c>
      <c r="B31" s="48" t="s">
        <v>52</v>
      </c>
      <c r="C31" s="65" t="s">
        <v>137</v>
      </c>
      <c r="D31" s="55" t="s">
        <v>109</v>
      </c>
      <c r="E31" s="56" t="s">
        <v>87</v>
      </c>
      <c r="F31" s="57" t="s">
        <v>106</v>
      </c>
    </row>
    <row r="32" spans="1:6" ht="30">
      <c r="A32" s="31" t="s">
        <v>15</v>
      </c>
      <c r="B32" s="47" t="s">
        <v>45</v>
      </c>
      <c r="C32" s="65" t="s">
        <v>137</v>
      </c>
      <c r="D32" s="8" t="s">
        <v>86</v>
      </c>
      <c r="E32" s="7" t="s">
        <v>87</v>
      </c>
      <c r="F32" s="7" t="s">
        <v>10</v>
      </c>
    </row>
    <row r="33" spans="1:6" ht="30">
      <c r="A33" s="31" t="s">
        <v>15</v>
      </c>
      <c r="B33" s="47" t="s">
        <v>46</v>
      </c>
      <c r="C33" s="65" t="s">
        <v>137</v>
      </c>
      <c r="D33" s="8" t="s">
        <v>86</v>
      </c>
      <c r="E33" s="7" t="s">
        <v>87</v>
      </c>
      <c r="F33" s="7" t="s">
        <v>10</v>
      </c>
    </row>
    <row r="34" spans="1:6" ht="30">
      <c r="A34" s="31" t="s">
        <v>15</v>
      </c>
      <c r="B34" s="47" t="s">
        <v>47</v>
      </c>
      <c r="C34" s="65" t="s">
        <v>137</v>
      </c>
      <c r="D34" s="8" t="s">
        <v>86</v>
      </c>
      <c r="E34" s="7" t="s">
        <v>87</v>
      </c>
      <c r="F34" s="7" t="s">
        <v>10</v>
      </c>
    </row>
    <row r="35" spans="1:6" ht="30">
      <c r="A35" s="31" t="s">
        <v>15</v>
      </c>
      <c r="B35" s="47" t="s">
        <v>48</v>
      </c>
      <c r="C35" s="65" t="s">
        <v>137</v>
      </c>
      <c r="D35" s="8" t="s">
        <v>86</v>
      </c>
      <c r="E35" s="7" t="s">
        <v>87</v>
      </c>
      <c r="F35" s="7" t="s">
        <v>10</v>
      </c>
    </row>
    <row r="36" spans="1:6" ht="30">
      <c r="A36" s="31" t="s">
        <v>15</v>
      </c>
      <c r="B36" s="47" t="s">
        <v>49</v>
      </c>
      <c r="C36" s="65" t="s">
        <v>137</v>
      </c>
      <c r="D36" s="8" t="s">
        <v>86</v>
      </c>
      <c r="E36" s="7" t="s">
        <v>87</v>
      </c>
      <c r="F36" s="7" t="s">
        <v>10</v>
      </c>
    </row>
    <row r="37" spans="1:6" ht="30">
      <c r="A37" s="31" t="s">
        <v>15</v>
      </c>
      <c r="B37" s="47" t="s">
        <v>50</v>
      </c>
      <c r="C37" s="65" t="s">
        <v>137</v>
      </c>
      <c r="D37" s="8" t="s">
        <v>110</v>
      </c>
      <c r="E37" s="7" t="s">
        <v>87</v>
      </c>
      <c r="F37" s="9" t="s">
        <v>26</v>
      </c>
    </row>
    <row r="38" spans="1:6" ht="45">
      <c r="A38" s="31" t="s">
        <v>15</v>
      </c>
      <c r="B38" s="47" t="s">
        <v>53</v>
      </c>
      <c r="C38" s="65" t="s">
        <v>137</v>
      </c>
      <c r="D38" s="55" t="s">
        <v>111</v>
      </c>
      <c r="E38" s="56" t="s">
        <v>87</v>
      </c>
      <c r="F38" s="57" t="s">
        <v>106</v>
      </c>
    </row>
    <row r="39" spans="1:6" ht="30">
      <c r="A39" s="31" t="s">
        <v>15</v>
      </c>
      <c r="B39" s="49" t="s">
        <v>67</v>
      </c>
      <c r="C39" s="65" t="s">
        <v>137</v>
      </c>
      <c r="D39" s="8" t="s">
        <v>91</v>
      </c>
      <c r="E39" s="7" t="s">
        <v>87</v>
      </c>
      <c r="F39" s="7" t="s">
        <v>10</v>
      </c>
    </row>
    <row r="40" spans="1:6" ht="30">
      <c r="A40" s="31" t="s">
        <v>15</v>
      </c>
      <c r="B40" s="49" t="s">
        <v>68</v>
      </c>
      <c r="C40" s="65" t="s">
        <v>137</v>
      </c>
      <c r="D40" s="8" t="s">
        <v>91</v>
      </c>
      <c r="E40" s="7" t="s">
        <v>87</v>
      </c>
      <c r="F40" s="7" t="s">
        <v>10</v>
      </c>
    </row>
    <row r="41" spans="1:6" ht="30">
      <c r="A41" s="31" t="s">
        <v>15</v>
      </c>
      <c r="B41" s="49" t="s">
        <v>69</v>
      </c>
      <c r="C41" s="65" t="s">
        <v>137</v>
      </c>
      <c r="D41" s="8" t="s">
        <v>91</v>
      </c>
      <c r="E41" s="7" t="s">
        <v>87</v>
      </c>
      <c r="F41" s="7" t="s">
        <v>10</v>
      </c>
    </row>
    <row r="42" spans="1:6" ht="30">
      <c r="A42" s="31" t="s">
        <v>15</v>
      </c>
      <c r="B42" s="49" t="s">
        <v>70</v>
      </c>
      <c r="C42" s="65" t="s">
        <v>137</v>
      </c>
      <c r="D42" s="8" t="s">
        <v>91</v>
      </c>
      <c r="E42" s="7" t="s">
        <v>87</v>
      </c>
      <c r="F42" s="7" t="s">
        <v>10</v>
      </c>
    </row>
    <row r="43" spans="1:6" ht="30">
      <c r="A43" s="31" t="s">
        <v>15</v>
      </c>
      <c r="B43" s="49" t="s">
        <v>71</v>
      </c>
      <c r="C43" s="65" t="s">
        <v>137</v>
      </c>
      <c r="D43" s="8" t="s">
        <v>91</v>
      </c>
      <c r="E43" s="7" t="s">
        <v>87</v>
      </c>
      <c r="F43" s="7" t="s">
        <v>10</v>
      </c>
    </row>
    <row r="44" spans="1:6" ht="30">
      <c r="A44" s="31" t="s">
        <v>15</v>
      </c>
      <c r="B44" s="49" t="s">
        <v>72</v>
      </c>
      <c r="C44" s="65" t="s">
        <v>137</v>
      </c>
      <c r="D44" s="8" t="s">
        <v>112</v>
      </c>
      <c r="E44" s="7" t="s">
        <v>87</v>
      </c>
      <c r="F44" s="9" t="s">
        <v>26</v>
      </c>
    </row>
    <row r="45" spans="1:6" ht="45">
      <c r="A45" s="31" t="s">
        <v>15</v>
      </c>
      <c r="B45" s="49" t="s">
        <v>73</v>
      </c>
      <c r="C45" s="65" t="s">
        <v>137</v>
      </c>
      <c r="D45" s="55" t="s">
        <v>113</v>
      </c>
      <c r="E45" s="56" t="s">
        <v>87</v>
      </c>
      <c r="F45" s="57" t="s">
        <v>106</v>
      </c>
    </row>
    <row r="46" spans="1:6" ht="30">
      <c r="A46" s="50" t="s">
        <v>74</v>
      </c>
      <c r="B46" s="41" t="s">
        <v>32</v>
      </c>
      <c r="C46" s="65" t="s">
        <v>137</v>
      </c>
      <c r="D46" s="8" t="s">
        <v>88</v>
      </c>
      <c r="E46" s="7" t="s">
        <v>87</v>
      </c>
      <c r="F46" s="7" t="s">
        <v>10</v>
      </c>
    </row>
    <row r="47" spans="1:6" ht="30">
      <c r="A47" s="50" t="s">
        <v>74</v>
      </c>
      <c r="B47" s="41" t="s">
        <v>33</v>
      </c>
      <c r="C47" s="65" t="s">
        <v>137</v>
      </c>
      <c r="D47" s="8" t="s">
        <v>88</v>
      </c>
      <c r="E47" s="7" t="s">
        <v>87</v>
      </c>
      <c r="F47" s="7" t="s">
        <v>10</v>
      </c>
    </row>
    <row r="48" spans="1:6" ht="30">
      <c r="A48" s="50" t="s">
        <v>74</v>
      </c>
      <c r="B48" s="41" t="s">
        <v>34</v>
      </c>
      <c r="C48" s="65" t="s">
        <v>137</v>
      </c>
      <c r="D48" s="8" t="s">
        <v>88</v>
      </c>
      <c r="E48" s="7" t="s">
        <v>87</v>
      </c>
      <c r="F48" s="7" t="s">
        <v>10</v>
      </c>
    </row>
    <row r="49" spans="1:6" ht="30">
      <c r="A49" s="50" t="s">
        <v>74</v>
      </c>
      <c r="B49" s="41" t="s">
        <v>35</v>
      </c>
      <c r="C49" s="65" t="s">
        <v>137</v>
      </c>
      <c r="D49" s="8" t="s">
        <v>88</v>
      </c>
      <c r="E49" s="7" t="s">
        <v>87</v>
      </c>
      <c r="F49" s="7" t="s">
        <v>10</v>
      </c>
    </row>
    <row r="50" spans="1:6" ht="30">
      <c r="A50" s="50" t="s">
        <v>74</v>
      </c>
      <c r="B50" s="41" t="s">
        <v>36</v>
      </c>
      <c r="C50" s="65" t="s">
        <v>137</v>
      </c>
      <c r="D50" s="8" t="s">
        <v>88</v>
      </c>
      <c r="E50" s="7" t="s">
        <v>87</v>
      </c>
      <c r="F50" s="7" t="s">
        <v>10</v>
      </c>
    </row>
    <row r="51" spans="1:6" ht="30">
      <c r="A51" s="44" t="s">
        <v>14</v>
      </c>
      <c r="B51" s="32" t="s">
        <v>122</v>
      </c>
      <c r="C51" s="66" t="s">
        <v>139</v>
      </c>
      <c r="D51" s="8" t="s">
        <v>126</v>
      </c>
      <c r="E51" s="7" t="s">
        <v>92</v>
      </c>
      <c r="F51" s="7" t="s">
        <v>10</v>
      </c>
    </row>
    <row r="52" spans="1:6" ht="60">
      <c r="A52" s="44" t="s">
        <v>14</v>
      </c>
      <c r="B52" s="32" t="s">
        <v>123</v>
      </c>
      <c r="C52" s="66" t="s">
        <v>139</v>
      </c>
      <c r="D52" s="8" t="s">
        <v>125</v>
      </c>
      <c r="E52" s="9" t="s">
        <v>97</v>
      </c>
      <c r="F52" s="7" t="s">
        <v>10</v>
      </c>
    </row>
    <row r="53" spans="1:6">
      <c r="A53" s="44" t="s">
        <v>14</v>
      </c>
      <c r="B53" s="58" t="s">
        <v>124</v>
      </c>
      <c r="C53" s="66" t="s">
        <v>139</v>
      </c>
      <c r="D53" s="59" t="s">
        <v>101</v>
      </c>
      <c r="E53" s="29" t="s">
        <v>94</v>
      </c>
      <c r="F53" s="29" t="s">
        <v>26</v>
      </c>
    </row>
    <row r="54" spans="1:6">
      <c r="A54" s="44" t="s">
        <v>14</v>
      </c>
      <c r="B54" s="32" t="s">
        <v>114</v>
      </c>
      <c r="C54" s="66" t="s">
        <v>139</v>
      </c>
      <c r="D54" s="8" t="s">
        <v>121</v>
      </c>
      <c r="E54" s="7" t="s">
        <v>94</v>
      </c>
      <c r="F54" s="7" t="s">
        <v>10</v>
      </c>
    </row>
    <row r="55" spans="1:6" ht="75">
      <c r="A55" s="44" t="s">
        <v>14</v>
      </c>
      <c r="B55" s="32" t="s">
        <v>115</v>
      </c>
      <c r="C55" s="66" t="s">
        <v>139</v>
      </c>
      <c r="D55" s="8" t="s">
        <v>104</v>
      </c>
      <c r="E55" s="7" t="s">
        <v>98</v>
      </c>
      <c r="F55" s="7" t="s">
        <v>10</v>
      </c>
    </row>
    <row r="56" spans="1:6" ht="75">
      <c r="A56" s="44" t="s">
        <v>14</v>
      </c>
      <c r="B56" s="32" t="s">
        <v>116</v>
      </c>
      <c r="C56" s="66" t="s">
        <v>139</v>
      </c>
      <c r="D56" s="6" t="s">
        <v>103</v>
      </c>
      <c r="E56" s="21" t="s">
        <v>99</v>
      </c>
      <c r="F56" s="7" t="s">
        <v>10</v>
      </c>
    </row>
    <row r="57" spans="1:6">
      <c r="A57" s="44" t="s">
        <v>14</v>
      </c>
      <c r="B57" s="32" t="s">
        <v>117</v>
      </c>
      <c r="C57" s="66" t="s">
        <v>139</v>
      </c>
      <c r="D57" s="8" t="s">
        <v>120</v>
      </c>
      <c r="E57" s="7" t="s">
        <v>94</v>
      </c>
      <c r="F57" s="7" t="s">
        <v>10</v>
      </c>
    </row>
    <row r="58" spans="1:6" ht="30">
      <c r="A58" s="44" t="s">
        <v>14</v>
      </c>
      <c r="B58" s="32" t="s">
        <v>118</v>
      </c>
      <c r="C58" s="66" t="s">
        <v>139</v>
      </c>
      <c r="D58" s="8" t="s">
        <v>119</v>
      </c>
      <c r="E58" s="9" t="s">
        <v>43</v>
      </c>
      <c r="F58" s="9" t="s">
        <v>10</v>
      </c>
    </row>
    <row r="59" spans="1:6" ht="45">
      <c r="A59" s="45" t="s">
        <v>102</v>
      </c>
      <c r="B59" s="32" t="s">
        <v>55</v>
      </c>
      <c r="C59" s="66" t="s">
        <v>139</v>
      </c>
      <c r="D59" s="8" t="s">
        <v>100</v>
      </c>
      <c r="E59" s="7" t="s">
        <v>94</v>
      </c>
      <c r="F59" s="7" t="s">
        <v>10</v>
      </c>
    </row>
  </sheetData>
  <phoneticPr fontId="1" type="noConversion"/>
  <pageMargins left="0.7" right="0.7" top="0.75" bottom="0.75" header="0.3" footer="0.3"/>
  <pageSetup orientation="portrait" horizontalDpi="90" verticalDpi="90" r:id="rId1"/>
  <headerFooter>
    <oddHeader>&amp;C&amp;"Calibri"&amp;10&amp;K000000Confidential&amp;1#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F8BFE4-8461-B541-8467-258963D3527B}">
  <dimension ref="A1:E54"/>
  <sheetViews>
    <sheetView zoomScale="150" zoomScaleNormal="150" workbookViewId="0">
      <selection activeCell="C12" sqref="C12"/>
    </sheetView>
  </sheetViews>
  <sheetFormatPr defaultColWidth="11.42578125" defaultRowHeight="15"/>
  <cols>
    <col min="1" max="1" width="40.7109375" customWidth="1"/>
    <col min="2" max="2" width="22.7109375" customWidth="1"/>
    <col min="3" max="3" width="13.7109375" customWidth="1"/>
    <col min="4" max="4" width="13.7109375" style="60" customWidth="1"/>
  </cols>
  <sheetData>
    <row r="1" spans="1:5">
      <c r="A1" s="84" t="s">
        <v>56</v>
      </c>
      <c r="B1" s="84" t="s">
        <v>57</v>
      </c>
      <c r="C1" s="84" t="s">
        <v>1</v>
      </c>
      <c r="D1" s="84" t="s">
        <v>289</v>
      </c>
      <c r="E1" s="84" t="s">
        <v>290</v>
      </c>
    </row>
    <row r="2" spans="1:5">
      <c r="A2" s="60" t="s">
        <v>58</v>
      </c>
      <c r="B2" s="4" t="s">
        <v>59</v>
      </c>
      <c r="C2" s="60" t="s">
        <v>60</v>
      </c>
      <c r="D2" s="60" t="s">
        <v>60</v>
      </c>
      <c r="E2">
        <f t="shared" ref="E2:E33" ca="1" si="0">RANDBETWEEN(35000,250000)</f>
        <v>45506</v>
      </c>
    </row>
    <row r="3" spans="1:5">
      <c r="A3" s="60" t="s">
        <v>143</v>
      </c>
      <c r="B3" s="4" t="s">
        <v>144</v>
      </c>
      <c r="C3" s="60" t="s">
        <v>145</v>
      </c>
      <c r="D3" s="60" t="s">
        <v>145</v>
      </c>
      <c r="E3" s="60">
        <f t="shared" ca="1" si="0"/>
        <v>199516</v>
      </c>
    </row>
    <row r="4" spans="1:5">
      <c r="A4" s="60" t="s">
        <v>148</v>
      </c>
      <c r="B4" s="4" t="s">
        <v>149</v>
      </c>
      <c r="C4" s="60" t="s">
        <v>150</v>
      </c>
      <c r="D4" s="60" t="s">
        <v>150</v>
      </c>
      <c r="E4" s="60">
        <f t="shared" ca="1" si="0"/>
        <v>136769</v>
      </c>
    </row>
    <row r="5" spans="1:5">
      <c r="A5" s="60" t="s">
        <v>151</v>
      </c>
      <c r="B5" s="4" t="s">
        <v>152</v>
      </c>
      <c r="C5" s="60" t="s">
        <v>153</v>
      </c>
      <c r="D5" s="60" t="s">
        <v>153</v>
      </c>
      <c r="E5" s="60">
        <f t="shared" ca="1" si="0"/>
        <v>133933</v>
      </c>
    </row>
    <row r="6" spans="1:5">
      <c r="A6" s="60" t="s">
        <v>154</v>
      </c>
      <c r="B6" s="4" t="s">
        <v>155</v>
      </c>
      <c r="C6" s="60" t="s">
        <v>156</v>
      </c>
      <c r="D6" s="60" t="s">
        <v>156</v>
      </c>
      <c r="E6" s="60">
        <f t="shared" ca="1" si="0"/>
        <v>165920</v>
      </c>
    </row>
    <row r="7" spans="1:5">
      <c r="A7" s="60" t="s">
        <v>157</v>
      </c>
      <c r="B7" s="4" t="s">
        <v>158</v>
      </c>
      <c r="C7" s="60" t="s">
        <v>159</v>
      </c>
      <c r="D7" s="60" t="s">
        <v>159</v>
      </c>
      <c r="E7" s="60">
        <f t="shared" ca="1" si="0"/>
        <v>114363</v>
      </c>
    </row>
    <row r="8" spans="1:5">
      <c r="A8" s="60" t="s">
        <v>160</v>
      </c>
      <c r="B8" s="4" t="s">
        <v>161</v>
      </c>
      <c r="C8" s="60" t="s">
        <v>162</v>
      </c>
      <c r="D8" s="60" t="s">
        <v>162</v>
      </c>
      <c r="E8" s="60">
        <f t="shared" ca="1" si="0"/>
        <v>50344</v>
      </c>
    </row>
    <row r="9" spans="1:5">
      <c r="A9" s="60" t="s">
        <v>163</v>
      </c>
      <c r="B9" s="4" t="s">
        <v>164</v>
      </c>
      <c r="C9" s="60" t="s">
        <v>165</v>
      </c>
      <c r="D9" s="60" t="s">
        <v>165</v>
      </c>
      <c r="E9" s="60">
        <f t="shared" ca="1" si="0"/>
        <v>181187</v>
      </c>
    </row>
    <row r="10" spans="1:5">
      <c r="A10" s="60" t="s">
        <v>296</v>
      </c>
      <c r="B10" s="4" t="s">
        <v>297</v>
      </c>
      <c r="C10" s="60" t="s">
        <v>298</v>
      </c>
      <c r="D10" s="60" t="s">
        <v>298</v>
      </c>
      <c r="E10" s="60">
        <f t="shared" ca="1" si="0"/>
        <v>187913</v>
      </c>
    </row>
    <row r="11" spans="1:5">
      <c r="A11" s="60" t="s">
        <v>168</v>
      </c>
      <c r="B11" s="4" t="s">
        <v>169</v>
      </c>
      <c r="C11" s="60" t="s">
        <v>170</v>
      </c>
      <c r="D11" s="60" t="s">
        <v>170</v>
      </c>
      <c r="E11" s="60">
        <f t="shared" ca="1" si="0"/>
        <v>181825</v>
      </c>
    </row>
    <row r="12" spans="1:5">
      <c r="A12" s="60" t="s">
        <v>171</v>
      </c>
      <c r="B12" s="4" t="s">
        <v>172</v>
      </c>
      <c r="C12" s="60" t="s">
        <v>173</v>
      </c>
      <c r="D12" s="60" t="s">
        <v>173</v>
      </c>
      <c r="E12" s="60">
        <f t="shared" ca="1" si="0"/>
        <v>218982</v>
      </c>
    </row>
    <row r="13" spans="1:5">
      <c r="A13" s="60" t="s">
        <v>174</v>
      </c>
      <c r="B13" s="4" t="s">
        <v>175</v>
      </c>
      <c r="C13" s="60" t="s">
        <v>176</v>
      </c>
      <c r="D13" s="60" t="s">
        <v>176</v>
      </c>
      <c r="E13" s="60">
        <f t="shared" ca="1" si="0"/>
        <v>174132</v>
      </c>
    </row>
    <row r="14" spans="1:5">
      <c r="A14" s="60" t="s">
        <v>177</v>
      </c>
      <c r="B14" s="4" t="s">
        <v>178</v>
      </c>
      <c r="C14" s="60" t="s">
        <v>179</v>
      </c>
      <c r="D14" s="60" t="s">
        <v>179</v>
      </c>
      <c r="E14" s="60">
        <f t="shared" ca="1" si="0"/>
        <v>62636</v>
      </c>
    </row>
    <row r="15" spans="1:5">
      <c r="A15" s="60" t="s">
        <v>180</v>
      </c>
      <c r="B15" s="4" t="s">
        <v>181</v>
      </c>
      <c r="C15" s="60" t="s">
        <v>182</v>
      </c>
      <c r="D15" s="60" t="s">
        <v>182</v>
      </c>
      <c r="E15" s="60">
        <f t="shared" ca="1" si="0"/>
        <v>44212</v>
      </c>
    </row>
    <row r="16" spans="1:5">
      <c r="A16" s="60" t="s">
        <v>183</v>
      </c>
      <c r="B16" s="4" t="s">
        <v>184</v>
      </c>
      <c r="C16" s="60" t="s">
        <v>185</v>
      </c>
      <c r="D16" s="60" t="s">
        <v>185</v>
      </c>
      <c r="E16" s="60">
        <f t="shared" ca="1" si="0"/>
        <v>151935</v>
      </c>
    </row>
    <row r="17" spans="1:5">
      <c r="A17" s="60" t="s">
        <v>186</v>
      </c>
      <c r="B17" s="4" t="s">
        <v>187</v>
      </c>
      <c r="C17" s="60" t="s">
        <v>188</v>
      </c>
      <c r="D17" s="60" t="s">
        <v>188</v>
      </c>
      <c r="E17" s="60">
        <f t="shared" ca="1" si="0"/>
        <v>180016</v>
      </c>
    </row>
    <row r="18" spans="1:5">
      <c r="A18" s="60" t="s">
        <v>299</v>
      </c>
      <c r="B18" s="4" t="s">
        <v>300</v>
      </c>
      <c r="C18" s="60" t="s">
        <v>301</v>
      </c>
      <c r="D18" s="60" t="s">
        <v>301</v>
      </c>
      <c r="E18" s="60">
        <f t="shared" ca="1" si="0"/>
        <v>124406</v>
      </c>
    </row>
    <row r="19" spans="1:5">
      <c r="A19" s="60" t="s">
        <v>189</v>
      </c>
      <c r="B19" s="4" t="s">
        <v>190</v>
      </c>
      <c r="C19" s="60" t="s">
        <v>191</v>
      </c>
      <c r="D19" s="60" t="s">
        <v>191</v>
      </c>
      <c r="E19" s="60">
        <f t="shared" ca="1" si="0"/>
        <v>205404</v>
      </c>
    </row>
    <row r="20" spans="1:5">
      <c r="A20" s="60" t="s">
        <v>192</v>
      </c>
      <c r="B20" s="4" t="s">
        <v>193</v>
      </c>
      <c r="C20" s="60" t="s">
        <v>194</v>
      </c>
      <c r="D20" s="60" t="s">
        <v>194</v>
      </c>
      <c r="E20" s="60">
        <f t="shared" ca="1" si="0"/>
        <v>238027</v>
      </c>
    </row>
    <row r="21" spans="1:5">
      <c r="A21" s="60" t="s">
        <v>195</v>
      </c>
      <c r="B21" s="4" t="s">
        <v>196</v>
      </c>
      <c r="C21" s="60" t="s">
        <v>197</v>
      </c>
      <c r="D21" s="60" t="s">
        <v>197</v>
      </c>
      <c r="E21" s="60">
        <f t="shared" ca="1" si="0"/>
        <v>59096</v>
      </c>
    </row>
    <row r="22" spans="1:5">
      <c r="A22" s="60" t="s">
        <v>198</v>
      </c>
      <c r="B22" s="4" t="s">
        <v>199</v>
      </c>
      <c r="C22" s="60" t="s">
        <v>200</v>
      </c>
      <c r="D22" s="60" t="s">
        <v>200</v>
      </c>
      <c r="E22" s="60">
        <f t="shared" ca="1" si="0"/>
        <v>124090</v>
      </c>
    </row>
    <row r="23" spans="1:5">
      <c r="A23" s="60" t="s">
        <v>201</v>
      </c>
      <c r="B23" s="4" t="s">
        <v>202</v>
      </c>
      <c r="C23" s="60" t="s">
        <v>203</v>
      </c>
      <c r="D23" s="60" t="s">
        <v>203</v>
      </c>
      <c r="E23" s="60">
        <f t="shared" ca="1" si="0"/>
        <v>113395</v>
      </c>
    </row>
    <row r="24" spans="1:5">
      <c r="A24" s="60" t="s">
        <v>204</v>
      </c>
      <c r="B24" s="4" t="s">
        <v>205</v>
      </c>
      <c r="C24" s="60" t="s">
        <v>206</v>
      </c>
      <c r="D24" s="60" t="s">
        <v>206</v>
      </c>
      <c r="E24" s="60">
        <f t="shared" ca="1" si="0"/>
        <v>155166</v>
      </c>
    </row>
    <row r="25" spans="1:5">
      <c r="A25" s="60" t="s">
        <v>207</v>
      </c>
      <c r="B25" s="4" t="s">
        <v>208</v>
      </c>
      <c r="C25" s="60" t="s">
        <v>209</v>
      </c>
      <c r="D25" s="60" t="s">
        <v>209</v>
      </c>
      <c r="E25" s="60">
        <f t="shared" ca="1" si="0"/>
        <v>120864</v>
      </c>
    </row>
    <row r="26" spans="1:5">
      <c r="A26" s="60" t="s">
        <v>211</v>
      </c>
      <c r="B26" s="4" t="s">
        <v>212</v>
      </c>
      <c r="C26" s="60" t="s">
        <v>213</v>
      </c>
      <c r="D26" s="60" t="s">
        <v>213</v>
      </c>
      <c r="E26" s="60">
        <f t="shared" ca="1" si="0"/>
        <v>130471</v>
      </c>
    </row>
    <row r="27" spans="1:5">
      <c r="A27" s="60" t="s">
        <v>214</v>
      </c>
      <c r="B27" s="4" t="s">
        <v>215</v>
      </c>
      <c r="C27" s="60" t="s">
        <v>216</v>
      </c>
      <c r="D27" s="60" t="s">
        <v>216</v>
      </c>
      <c r="E27" s="60">
        <f t="shared" ca="1" si="0"/>
        <v>133737</v>
      </c>
    </row>
    <row r="28" spans="1:5">
      <c r="A28" s="60" t="s">
        <v>217</v>
      </c>
      <c r="B28" s="4" t="s">
        <v>218</v>
      </c>
      <c r="C28" s="60" t="s">
        <v>219</v>
      </c>
      <c r="D28" s="60" t="s">
        <v>219</v>
      </c>
      <c r="E28" s="60">
        <f t="shared" ca="1" si="0"/>
        <v>91663</v>
      </c>
    </row>
    <row r="29" spans="1:5">
      <c r="A29" s="60" t="s">
        <v>220</v>
      </c>
      <c r="B29" s="4" t="s">
        <v>221</v>
      </c>
      <c r="C29" s="60" t="s">
        <v>222</v>
      </c>
      <c r="D29" s="60" t="s">
        <v>222</v>
      </c>
      <c r="E29" s="60">
        <f t="shared" ca="1" si="0"/>
        <v>56626</v>
      </c>
    </row>
    <row r="30" spans="1:5">
      <c r="A30" s="60" t="s">
        <v>302</v>
      </c>
      <c r="B30" s="4" t="s">
        <v>303</v>
      </c>
      <c r="C30" s="60" t="s">
        <v>304</v>
      </c>
      <c r="D30" s="60" t="s">
        <v>304</v>
      </c>
      <c r="E30" s="60">
        <f t="shared" ca="1" si="0"/>
        <v>61487</v>
      </c>
    </row>
    <row r="31" spans="1:5">
      <c r="A31" s="60" t="s">
        <v>318</v>
      </c>
      <c r="B31" s="4" t="s">
        <v>319</v>
      </c>
      <c r="C31" s="60" t="s">
        <v>320</v>
      </c>
      <c r="D31" s="60" t="s">
        <v>320</v>
      </c>
      <c r="E31" s="60">
        <f t="shared" ca="1" si="0"/>
        <v>93156</v>
      </c>
    </row>
    <row r="32" spans="1:5">
      <c r="A32" s="60" t="s">
        <v>305</v>
      </c>
      <c r="B32" s="4" t="s">
        <v>306</v>
      </c>
      <c r="C32" s="60" t="s">
        <v>307</v>
      </c>
      <c r="D32" s="60" t="s">
        <v>307</v>
      </c>
      <c r="E32" s="60">
        <f t="shared" ca="1" si="0"/>
        <v>189399</v>
      </c>
    </row>
    <row r="33" spans="1:5">
      <c r="A33" s="60" t="s">
        <v>225</v>
      </c>
      <c r="B33" s="4" t="s">
        <v>226</v>
      </c>
      <c r="C33" s="60" t="s">
        <v>227</v>
      </c>
      <c r="D33" s="60" t="s">
        <v>227</v>
      </c>
      <c r="E33" s="60">
        <f t="shared" ca="1" si="0"/>
        <v>135844</v>
      </c>
    </row>
    <row r="34" spans="1:5">
      <c r="A34" s="60" t="s">
        <v>228</v>
      </c>
      <c r="B34" s="4" t="s">
        <v>229</v>
      </c>
      <c r="C34" s="60" t="s">
        <v>230</v>
      </c>
      <c r="D34" s="60" t="s">
        <v>230</v>
      </c>
      <c r="E34" s="60">
        <f t="shared" ref="E34:E54" ca="1" si="1">RANDBETWEEN(35000,250000)</f>
        <v>56971</v>
      </c>
    </row>
    <row r="35" spans="1:5">
      <c r="A35" s="60" t="s">
        <v>231</v>
      </c>
      <c r="B35" s="4" t="s">
        <v>232</v>
      </c>
      <c r="C35" s="60" t="s">
        <v>233</v>
      </c>
      <c r="D35" s="60" t="s">
        <v>233</v>
      </c>
      <c r="E35" s="60">
        <f t="shared" ca="1" si="1"/>
        <v>115918</v>
      </c>
    </row>
    <row r="36" spans="1:5">
      <c r="A36" s="60" t="s">
        <v>234</v>
      </c>
      <c r="B36" s="4" t="s">
        <v>235</v>
      </c>
      <c r="C36" s="60" t="s">
        <v>236</v>
      </c>
      <c r="D36" s="60" t="s">
        <v>236</v>
      </c>
      <c r="E36" s="60">
        <f t="shared" ca="1" si="1"/>
        <v>46010</v>
      </c>
    </row>
    <row r="37" spans="1:5">
      <c r="A37" s="60" t="s">
        <v>237</v>
      </c>
      <c r="B37" s="4" t="s">
        <v>238</v>
      </c>
      <c r="C37" s="60" t="s">
        <v>239</v>
      </c>
      <c r="D37" s="60" t="s">
        <v>239</v>
      </c>
      <c r="E37" s="60">
        <f t="shared" ca="1" si="1"/>
        <v>193522</v>
      </c>
    </row>
    <row r="38" spans="1:5">
      <c r="A38" s="60" t="s">
        <v>241</v>
      </c>
      <c r="B38" s="4" t="s">
        <v>242</v>
      </c>
      <c r="C38" s="60" t="s">
        <v>243</v>
      </c>
      <c r="D38" s="60" t="s">
        <v>243</v>
      </c>
      <c r="E38" s="60">
        <f t="shared" ca="1" si="1"/>
        <v>86270</v>
      </c>
    </row>
    <row r="39" spans="1:5">
      <c r="A39" s="60" t="s">
        <v>244</v>
      </c>
      <c r="B39" s="4" t="s">
        <v>245</v>
      </c>
      <c r="C39" s="60" t="s">
        <v>246</v>
      </c>
      <c r="D39" s="60" t="s">
        <v>246</v>
      </c>
      <c r="E39" s="60">
        <f t="shared" ca="1" si="1"/>
        <v>63017</v>
      </c>
    </row>
    <row r="40" spans="1:5">
      <c r="A40" s="60" t="s">
        <v>247</v>
      </c>
      <c r="B40" s="4" t="s">
        <v>248</v>
      </c>
      <c r="C40" s="60" t="s">
        <v>249</v>
      </c>
      <c r="D40" s="60" t="s">
        <v>249</v>
      </c>
      <c r="E40" s="60">
        <f t="shared" ca="1" si="1"/>
        <v>95709</v>
      </c>
    </row>
    <row r="41" spans="1:5">
      <c r="A41" s="60" t="s">
        <v>250</v>
      </c>
      <c r="B41" s="4" t="s">
        <v>251</v>
      </c>
      <c r="C41" s="60" t="s">
        <v>252</v>
      </c>
      <c r="D41" s="60" t="s">
        <v>252</v>
      </c>
      <c r="E41" s="60">
        <f t="shared" ca="1" si="1"/>
        <v>120368</v>
      </c>
    </row>
    <row r="42" spans="1:5">
      <c r="A42" s="60" t="s">
        <v>256</v>
      </c>
      <c r="B42" s="4" t="s">
        <v>257</v>
      </c>
      <c r="C42" s="60" t="s">
        <v>258</v>
      </c>
      <c r="D42" s="60" t="s">
        <v>258</v>
      </c>
      <c r="E42" s="60">
        <f t="shared" ca="1" si="1"/>
        <v>60032</v>
      </c>
    </row>
    <row r="43" spans="1:5">
      <c r="A43" s="60" t="s">
        <v>259</v>
      </c>
      <c r="B43" s="4" t="s">
        <v>260</v>
      </c>
      <c r="C43" s="60" t="s">
        <v>261</v>
      </c>
      <c r="D43" s="60" t="s">
        <v>261</v>
      </c>
      <c r="E43" s="60">
        <f t="shared" ca="1" si="1"/>
        <v>82483</v>
      </c>
    </row>
    <row r="44" spans="1:5" s="60" customFormat="1">
      <c r="A44" s="60" t="s">
        <v>253</v>
      </c>
      <c r="B44" s="4" t="s">
        <v>254</v>
      </c>
      <c r="C44" s="60" t="s">
        <v>255</v>
      </c>
      <c r="D44" s="60" t="s">
        <v>255</v>
      </c>
      <c r="E44" s="60">
        <f t="shared" ca="1" si="1"/>
        <v>136772</v>
      </c>
    </row>
    <row r="45" spans="1:5">
      <c r="A45" s="60" t="s">
        <v>262</v>
      </c>
      <c r="B45" s="4" t="s">
        <v>263</v>
      </c>
      <c r="C45" s="60" t="s">
        <v>264</v>
      </c>
      <c r="D45" s="60" t="s">
        <v>264</v>
      </c>
      <c r="E45" s="60">
        <f t="shared" ca="1" si="1"/>
        <v>112273</v>
      </c>
    </row>
    <row r="46" spans="1:5">
      <c r="A46" t="s">
        <v>265</v>
      </c>
      <c r="B46" s="4" t="s">
        <v>266</v>
      </c>
      <c r="C46" t="s">
        <v>267</v>
      </c>
      <c r="D46" s="60" t="s">
        <v>267</v>
      </c>
      <c r="E46" s="60">
        <f t="shared" ca="1" si="1"/>
        <v>45832</v>
      </c>
    </row>
    <row r="47" spans="1:5">
      <c r="A47" t="s">
        <v>293</v>
      </c>
      <c r="B47" s="4" t="s">
        <v>294</v>
      </c>
      <c r="C47" t="s">
        <v>295</v>
      </c>
      <c r="D47" s="60" t="s">
        <v>295</v>
      </c>
      <c r="E47" s="60">
        <f t="shared" ca="1" si="1"/>
        <v>63384</v>
      </c>
    </row>
    <row r="48" spans="1:5">
      <c r="A48" t="s">
        <v>269</v>
      </c>
      <c r="B48" s="4" t="s">
        <v>270</v>
      </c>
      <c r="C48" t="s">
        <v>271</v>
      </c>
      <c r="D48" s="60" t="s">
        <v>271</v>
      </c>
      <c r="E48" s="60">
        <f t="shared" ca="1" si="1"/>
        <v>170828</v>
      </c>
    </row>
    <row r="49" spans="1:5">
      <c r="A49" t="s">
        <v>272</v>
      </c>
      <c r="B49" s="4" t="s">
        <v>273</v>
      </c>
      <c r="C49" t="s">
        <v>274</v>
      </c>
      <c r="D49" s="60" t="s">
        <v>274</v>
      </c>
      <c r="E49" s="60">
        <f t="shared" ca="1" si="1"/>
        <v>41284</v>
      </c>
    </row>
    <row r="50" spans="1:5">
      <c r="A50" t="s">
        <v>309</v>
      </c>
      <c r="B50" s="4" t="s">
        <v>310</v>
      </c>
      <c r="C50" t="s">
        <v>311</v>
      </c>
      <c r="D50" s="60" t="s">
        <v>311</v>
      </c>
      <c r="E50" s="60">
        <f t="shared" ca="1" si="1"/>
        <v>55233</v>
      </c>
    </row>
    <row r="51" spans="1:5">
      <c r="A51" t="s">
        <v>312</v>
      </c>
      <c r="B51" s="4" t="s">
        <v>313</v>
      </c>
      <c r="C51" t="s">
        <v>314</v>
      </c>
      <c r="D51" s="60" t="s">
        <v>314</v>
      </c>
      <c r="E51" s="60">
        <f t="shared" ca="1" si="1"/>
        <v>71174</v>
      </c>
    </row>
    <row r="52" spans="1:5">
      <c r="A52" t="s">
        <v>275</v>
      </c>
      <c r="B52" s="4" t="s">
        <v>276</v>
      </c>
      <c r="C52" t="s">
        <v>277</v>
      </c>
      <c r="D52" s="60" t="s">
        <v>277</v>
      </c>
      <c r="E52" s="60">
        <f t="shared" ca="1" si="1"/>
        <v>181804</v>
      </c>
    </row>
    <row r="53" spans="1:5">
      <c r="A53" t="s">
        <v>315</v>
      </c>
      <c r="B53" s="4" t="s">
        <v>316</v>
      </c>
      <c r="C53" t="s">
        <v>317</v>
      </c>
      <c r="D53" s="60" t="s">
        <v>317</v>
      </c>
      <c r="E53" s="60">
        <f t="shared" ca="1" si="1"/>
        <v>50955</v>
      </c>
    </row>
    <row r="54" spans="1:5">
      <c r="A54" t="s">
        <v>278</v>
      </c>
      <c r="B54" s="4" t="s">
        <v>279</v>
      </c>
      <c r="C54" t="s">
        <v>280</v>
      </c>
      <c r="D54" s="60" t="s">
        <v>280</v>
      </c>
      <c r="E54" s="60">
        <f t="shared" ca="1" si="1"/>
        <v>157865</v>
      </c>
    </row>
  </sheetData>
  <pageMargins left="0.7" right="0.7" top="0.75" bottom="0.75" header="0.3" footer="0.3"/>
  <pageSetup orientation="portrait" r:id="rId1"/>
  <headerFooter>
    <oddHeader>&amp;C&amp;"Calibri"&amp;10&amp;K000000Confidential&amp;1#</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094D4-0F9E-7642-AF59-07CF264C1F1C}">
  <dimension ref="A1"/>
  <sheetViews>
    <sheetView workbookViewId="0">
      <selection sqref="A1:E30"/>
    </sheetView>
  </sheetViews>
  <sheetFormatPr defaultColWidth="11.42578125" defaultRowHeight="15"/>
  <sheetData/>
  <pageMargins left="0.7" right="0.7" top="0.75" bottom="0.75" header="0.3" footer="0.3"/>
  <pageSetup orientation="portrait" r:id="rId1"/>
  <headerFooter>
    <oddHeader>&amp;C&amp;"Calibri"&amp;10&amp;K000000Confidential&amp;1#</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B6CE2092F7CDA4FBA49881696A89DE0" ma:contentTypeVersion="12" ma:contentTypeDescription="Create a new document." ma:contentTypeScope="" ma:versionID="8b5918a5add965903052caa4f280154e">
  <xsd:schema xmlns:xsd="http://www.w3.org/2001/XMLSchema" xmlns:xs="http://www.w3.org/2001/XMLSchema" xmlns:p="http://schemas.microsoft.com/office/2006/metadata/properties" xmlns:ns3="020ef37c-4094-40f4-bf82-41b1d62e0e53" xmlns:ns4="40408af7-2a3f-48ae-b560-b937464d5fc3" targetNamespace="http://schemas.microsoft.com/office/2006/metadata/properties" ma:root="true" ma:fieldsID="55d586a85da155bcad137d4f3c4349ba" ns3:_="" ns4:_="">
    <xsd:import namespace="020ef37c-4094-40f4-bf82-41b1d62e0e53"/>
    <xsd:import namespace="40408af7-2a3f-48ae-b560-b937464d5fc3"/>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DateTaken" minOccurs="0"/>
                <xsd:element ref="ns4:MediaServiceOCR"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20ef37c-4094-40f4-bf82-41b1d62e0e53"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0408af7-2a3f-48ae-b560-b937464d5fc3"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9C61229-62A1-4F5F-B8F8-172CE6F3C2F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20ef37c-4094-40f4-bf82-41b1d62e0e53"/>
    <ds:schemaRef ds:uri="40408af7-2a3f-48ae-b560-b937464d5f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247F93A-D89B-4D3E-A390-CCD57A0A6ACD}">
  <ds:schemaRef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40408af7-2a3f-48ae-b560-b937464d5fc3"/>
    <ds:schemaRef ds:uri="http://schemas.microsoft.com/office/2006/documentManagement/types"/>
    <ds:schemaRef ds:uri="020ef37c-4094-40f4-bf82-41b1d62e0e53"/>
    <ds:schemaRef ds:uri="http://www.w3.org/XML/1998/namespace"/>
    <ds:schemaRef ds:uri="http://purl.org/dc/dcmitype/"/>
  </ds:schemaRefs>
</ds:datastoreItem>
</file>

<file path=customXml/itemProps3.xml><?xml version="1.0" encoding="utf-8"?>
<ds:datastoreItem xmlns:ds="http://schemas.openxmlformats.org/officeDocument/2006/customXml" ds:itemID="{A6EA39C3-A15D-48B6-A2C6-B0C6753DDE5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Read me </vt:lpstr>
      <vt:lpstr>ITR input data</vt:lpstr>
      <vt:lpstr>ITR target input data</vt:lpstr>
      <vt:lpstr>Definitions</vt:lpstr>
      <vt:lpstr>Portfolio</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David Kroon</cp:lastModifiedBy>
  <cp:lastPrinted>2022-02-14T13:19:46Z</cp:lastPrinted>
  <dcterms:created xsi:type="dcterms:W3CDTF">2022-02-08T09:02:08Z</dcterms:created>
  <dcterms:modified xsi:type="dcterms:W3CDTF">2022-06-21T13:00:25Z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0x010100BB6CE2092F7CDA4FBA49881696A89DE0</vt:lpwstr>
  </property>
  <property fmtid="{D5CDD505-2E9C-101B-9397-08002B2CF9AE}" pid="3" name="_NewReviewCycle">
    <vt:lpwstr/>
  </property>
  <property fmtid="{D5CDD505-2E9C-101B-9397-08002B2CF9AE}" pid="4" name="MSIP_Label_1cf2588e-f000-43f9-af86-11fa810e993f_Enabled">
    <vt:lpwstr>true</vt:lpwstr>
  </property>
  <property fmtid="{D5CDD505-2E9C-101B-9397-08002B2CF9AE}" pid="5" name="MSIP_Label_1cf2588e-f000-43f9-af86-11fa810e993f_SetDate">
    <vt:lpwstr>2022-05-16T10:30:11Z</vt:lpwstr>
  </property>
  <property fmtid="{D5CDD505-2E9C-101B-9397-08002B2CF9AE}" pid="6" name="MSIP_Label_1cf2588e-f000-43f9-af86-11fa810e993f_Method">
    <vt:lpwstr>Privileged</vt:lpwstr>
  </property>
  <property fmtid="{D5CDD505-2E9C-101B-9397-08002B2CF9AE}" pid="7" name="MSIP_Label_1cf2588e-f000-43f9-af86-11fa810e993f_Name">
    <vt:lpwstr>1cf2588e-f000-43f9-af86-11fa810e993f</vt:lpwstr>
  </property>
  <property fmtid="{D5CDD505-2E9C-101B-9397-08002B2CF9AE}" pid="8" name="MSIP_Label_1cf2588e-f000-43f9-af86-11fa810e993f_SiteId">
    <vt:lpwstr>6e06e42d-6925-47c6-b9e7-9581c7ca302a</vt:lpwstr>
  </property>
  <property fmtid="{D5CDD505-2E9C-101B-9397-08002B2CF9AE}" pid="9" name="MSIP_Label_1cf2588e-f000-43f9-af86-11fa810e993f_ActionId">
    <vt:lpwstr>ebb9052d-651d-447a-bc5a-21d287557131</vt:lpwstr>
  </property>
  <property fmtid="{D5CDD505-2E9C-101B-9397-08002B2CF9AE}" pid="10" name="MSIP_Label_1cf2588e-f000-43f9-af86-11fa810e993f_ContentBits">
    <vt:lpwstr>1</vt:lpwstr>
  </property>
</Properties>
</file>