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1.xml" ContentType="application/vnd.openxmlformats-officedocument.customXmlProperties+xml"/>
  <Override PartName="/customXml/itemProps3.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1.xml" ContentType="application/xml"/>
  <Override PartName="/customXml/item3.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 me " sheetId="1" state="visible" r:id="rId2"/>
    <sheet name="ITR input data" sheetId="2" state="visible" r:id="rId3"/>
    <sheet name="ITR target input data" sheetId="3" state="visible" r:id="rId4"/>
    <sheet name="Definitions" sheetId="4" state="visible" r:id="rId5"/>
    <sheet name="Portfolio" sheetId="5" state="visible" r:id="rId6"/>
    <sheet name="User Notes" sheetId="6" state="visible" r:id="rId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H20" authorId="0">
      <text>
        <r>
          <rPr>
            <sz val="11"/>
            <color rgb="FF000000"/>
            <rFont val="Calibri"/>
            <family val="2"/>
            <charset val="1"/>
          </rPr>
          <t xml:space="preserve">Michael Tiemann:
</t>
        </r>
        <r>
          <rPr>
            <sz val="10"/>
            <color rgb="FF000000"/>
            <rFont val="Tahoma"/>
            <family val="2"/>
            <charset val="1"/>
          </rPr>
          <t xml:space="preserve">Actually EUR</t>
        </r>
      </text>
    </comment>
    <comment ref="H33" authorId="0">
      <text>
        <r>
          <rPr>
            <sz val="11"/>
            <color rgb="FF000000"/>
            <rFont val="Calibri"/>
            <family val="2"/>
            <charset val="1"/>
          </rPr>
          <t xml:space="preserve">Michael Tiemann:
</t>
        </r>
        <r>
          <rPr>
            <sz val="10"/>
            <color rgb="FF000000"/>
            <rFont val="Tahoma"/>
            <family val="2"/>
            <charset val="1"/>
          </rPr>
          <t xml:space="preserve">Actually EUR</t>
        </r>
      </text>
    </comment>
    <comment ref="H61" authorId="0">
      <text>
        <r>
          <rPr>
            <sz val="11"/>
            <color rgb="FF000000"/>
            <rFont val="Calibri"/>
            <family val="2"/>
            <charset val="1"/>
          </rPr>
          <t xml:space="preserve">Michael Tiemann:
</t>
        </r>
        <r>
          <rPr>
            <sz val="10"/>
            <color rgb="FF000000"/>
            <rFont val="Tahoma"/>
            <family val="2"/>
            <charset val="1"/>
          </rPr>
          <t xml:space="preserve">Actually EUR</t>
        </r>
      </text>
    </comment>
    <comment ref="J29" authorId="0">
      <text>
        <r>
          <rPr>
            <sz val="11"/>
            <color rgb="FF000000"/>
            <rFont val="Calibri"/>
            <family val="2"/>
            <charset val="1"/>
          </rPr>
          <t xml:space="preserve">Michael Tiemann:
</t>
        </r>
        <r>
          <rPr>
            <sz val="10"/>
            <color rgb="FF000000"/>
            <rFont val="Tahoma"/>
            <family val="2"/>
            <charset val="1"/>
          </rPr>
          <t xml:space="preserve">calculated from exhibit 99-1</t>
        </r>
      </text>
    </comment>
    <comment ref="J31" authorId="0">
      <text>
        <r>
          <rPr>
            <sz val="11"/>
            <color rgb="FF000000"/>
            <rFont val="Calibri"/>
            <family val="2"/>
            <charset val="1"/>
          </rPr>
          <t xml:space="preserve">Michael Tiemann:
</t>
        </r>
        <r>
          <rPr>
            <sz val="10"/>
            <color rgb="FF000000"/>
            <rFont val="Tahoma"/>
            <family val="2"/>
            <charset val="1"/>
          </rPr>
          <t xml:space="preserve">Computed from 20-F</t>
        </r>
      </text>
    </comment>
    <comment ref="J45" authorId="0">
      <text>
        <r>
          <rPr>
            <sz val="11"/>
            <color rgb="FF000000"/>
            <rFont val="Calibri"/>
            <family val="2"/>
            <charset val="1"/>
          </rPr>
          <t xml:space="preserve">Michael Tiemann:
</t>
        </r>
        <r>
          <rPr>
            <sz val="10"/>
            <color rgb="FF000000"/>
            <rFont val="Tahoma"/>
            <family val="2"/>
            <charset val="1"/>
          </rPr>
          <t xml:space="preserve">Approximate based on market data graphs</t>
        </r>
      </text>
    </comment>
    <comment ref="AO61" authorId="0">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T2" authorId="0">
      <text>
        <r>
          <rPr>
            <sz val="11"/>
            <color rgb="FF000000"/>
            <rFont val="Calibri"/>
            <family val="2"/>
            <charset val="1"/>
          </rPr>
          <t xml:space="preserve">Michael Tiemann:
</t>
        </r>
        <r>
          <rPr>
            <sz val="10"/>
            <color rgb="FF000000"/>
            <rFont val="Tahoma"/>
            <family val="2"/>
            <charset val="1"/>
          </rPr>
          <t xml:space="preserve">When this value is small, like 31536, it throws the trajectory calculations for a loop.</t>
        </r>
      </text>
    </comment>
  </commentList>
</comments>
</file>

<file path=xl/comments3.xml><?xml version="1.0" encoding="utf-8"?>
<comments xmlns="http://schemas.openxmlformats.org/spreadsheetml/2006/main" xmlns:xdr="http://schemas.openxmlformats.org/drawingml/2006/spreadsheetDrawing">
  <authors>
    <author> </author>
  </authors>
  <commentList>
    <comment ref="A76" authorId="0">
      <text>
        <r>
          <rPr>
            <sz val="11"/>
            <color rgb="FF000000"/>
            <rFont val="Calibri"/>
            <family val="2"/>
            <charset val="1"/>
          </rPr>
          <t xml:space="preserve">Michael Tiemann:
</t>
        </r>
        <r>
          <rPr>
            <sz val="10"/>
            <color rgb="FF000000"/>
            <rFont val="Tahoma"/>
            <family val="2"/>
            <charset val="1"/>
          </rPr>
          <t xml:space="preserve">State of Maine has stated netzero 2050 goal.  Targets inferred accordingly.</t>
        </r>
      </text>
    </comment>
    <comment ref="D8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Announced March 2022</t>
        </r>
      </text>
    </comment>
    <comment ref="F17" authorId="0">
      <text>
        <r>
          <rPr>
            <sz val="11"/>
            <color rgb="FF000000"/>
            <rFont val="Calibri"/>
            <family val="2"/>
            <charset val="1"/>
          </rPr>
          <t xml:space="preserve">Michael Tiemann:
</t>
        </r>
        <r>
          <rPr>
            <sz val="10"/>
            <color rgb="FF000000"/>
            <rFont val="Tahoma"/>
            <family val="2"/>
            <charset val="1"/>
          </rPr>
          <t xml:space="preserve">Yes: S1+S3</t>
        </r>
      </text>
    </comment>
    <comment ref="F29"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31"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50"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F53"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55"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56"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63"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F69"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L14" authorId="0">
      <text>
        <r>
          <rPr>
            <sz val="11"/>
            <color rgb="FF000000"/>
            <rFont val="Calibri"/>
            <family val="2"/>
            <charset val="1"/>
          </rPr>
          <t xml:space="preserve">Michael Tiemann:
</t>
        </r>
        <r>
          <rPr>
            <sz val="10"/>
            <color rgb="FF000000"/>
            <rFont val="Tahoma"/>
            <family val="2"/>
            <charset val="1"/>
          </rPr>
          <t xml:space="preserve">90% sourced from nuclear so 10% ambition imagines 100% carbon-neutral power sourcing.</t>
        </r>
      </text>
    </comment>
    <comment ref="L8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<sst xmlns="http://schemas.openxmlformats.org/spreadsheetml/2006/main" count="1801" uniqueCount="379">
  <si>
    <t xml:space="preserve">company_name</t>
  </si>
  <si>
    <t xml:space="preserve">company_lei</t>
  </si>
  <si>
    <t xml:space="preserve">company_id</t>
  </si>
  <si>
    <t xml:space="preserve">country</t>
  </si>
  <si>
    <t xml:space="preserve">region</t>
  </si>
  <si>
    <t xml:space="preserve">sector</t>
  </si>
  <si>
    <t xml:space="preserve">exposure</t>
  </si>
  <si>
    <t xml:space="preserve">currency</t>
  </si>
  <si>
    <t xml:space="preserve">report_date</t>
  </si>
  <si>
    <t xml:space="preserve">market_cap</t>
  </si>
  <si>
    <t xml:space="preserve">revenue</t>
  </si>
  <si>
    <t xml:space="preserve">ev</t>
  </si>
  <si>
    <t xml:space="preserve">evic</t>
  </si>
  <si>
    <t xml:space="preserve">assets</t>
  </si>
  <si>
    <t xml:space="preserve">emissions_metric</t>
  </si>
  <si>
    <t xml:space="preserve">production_metric</t>
  </si>
  <si>
    <t xml:space="preserve">2016_ghg_s1</t>
  </si>
  <si>
    <t xml:space="preserve">2017_ghg_s1</t>
  </si>
  <si>
    <t xml:space="preserve">2018_ghg_s1</t>
  </si>
  <si>
    <t xml:space="preserve">2019_ghg_s1</t>
  </si>
  <si>
    <t xml:space="preserve">2020_ghg_s1</t>
  </si>
  <si>
    <t xml:space="preserve">2021_ghg_s1</t>
  </si>
  <si>
    <t xml:space="preserve">2022_ghg_s1</t>
  </si>
  <si>
    <t xml:space="preserve">2016_ghg_s2</t>
  </si>
  <si>
    <t xml:space="preserve">2017_ghg_s2</t>
  </si>
  <si>
    <t xml:space="preserve">2018_ghg_s2</t>
  </si>
  <si>
    <t xml:space="preserve">2019_ghg_s2</t>
  </si>
  <si>
    <t xml:space="preserve">2020_ghg_s2</t>
  </si>
  <si>
    <t xml:space="preserve">2021_ghg_s2</t>
  </si>
  <si>
    <t xml:space="preserve">2022_ghg_s2</t>
  </si>
  <si>
    <t xml:space="preserve">2016_ghg_s1s2</t>
  </si>
  <si>
    <t xml:space="preserve">2017_ghg_s1s2</t>
  </si>
  <si>
    <t xml:space="preserve">2018_ghg_s1s2</t>
  </si>
  <si>
    <t xml:space="preserve">2019_ghg_s1s2</t>
  </si>
  <si>
    <t xml:space="preserve">2020_ghg_s1s2</t>
  </si>
  <si>
    <t xml:space="preserve">2021_ghg_s1s2</t>
  </si>
  <si>
    <t xml:space="preserve">2022_ghg_s1s2</t>
  </si>
  <si>
    <t xml:space="preserve">2016_ghg_s3</t>
  </si>
  <si>
    <t xml:space="preserve">2017_ghg_s3</t>
  </si>
  <si>
    <t xml:space="preserve">2018_ghg_s3</t>
  </si>
  <si>
    <t xml:space="preserve">2019_ghg_s3</t>
  </si>
  <si>
    <t xml:space="preserve">2020_ghg_s3</t>
  </si>
  <si>
    <t xml:space="preserve">2021_ghg_s3</t>
  </si>
  <si>
    <t xml:space="preserve">2022_ghg_s3</t>
  </si>
  <si>
    <t xml:space="preserve">2016_production</t>
  </si>
  <si>
    <t xml:space="preserve">2017_production</t>
  </si>
  <si>
    <t xml:space="preserve">2018_production</t>
  </si>
  <si>
    <t xml:space="preserve">2019_production</t>
  </si>
  <si>
    <t xml:space="preserve">2020_production</t>
  </si>
  <si>
    <t xml:space="preserve">2021_production</t>
  </si>
  <si>
    <t xml:space="preserve">2022_production</t>
  </si>
  <si>
    <t xml:space="preserve">AES Corp.</t>
  </si>
  <si>
    <t xml:space="preserve">2NUNNB7D43COUIRE5295</t>
  </si>
  <si>
    <t xml:space="preserve">US00130H1059</t>
  </si>
  <si>
    <t xml:space="preserve">US</t>
  </si>
  <si>
    <t xml:space="preserve">Electricity Utilities</t>
  </si>
  <si>
    <t xml:space="preserve">equity</t>
  </si>
  <si>
    <t xml:space="preserve">USD</t>
  </si>
  <si>
    <t xml:space="preserve">t CO2</t>
  </si>
  <si>
    <t xml:space="preserve">GWh</t>
  </si>
  <si>
    <t xml:space="preserve">ALLETE, Inc.</t>
  </si>
  <si>
    <t xml:space="preserve">549300NNLSIMY6Z8OT86</t>
  </si>
  <si>
    <t xml:space="preserve">US0185223007</t>
  </si>
  <si>
    <t xml:space="preserve">North America</t>
  </si>
  <si>
    <t xml:space="preserve">Mt CO2</t>
  </si>
  <si>
    <t xml:space="preserve">TWh</t>
  </si>
  <si>
    <t xml:space="preserve">Alliant Energy</t>
  </si>
  <si>
    <t xml:space="preserve">5493009ML300G373MZ12</t>
  </si>
  <si>
    <t xml:space="preserve">US0188021085</t>
  </si>
  <si>
    <t xml:space="preserve">Ameren Corp.</t>
  </si>
  <si>
    <t xml:space="preserve">XRZQ5S7HYJFPHJ78L959</t>
  </si>
  <si>
    <t xml:space="preserve">US0236081024</t>
  </si>
  <si>
    <t xml:space="preserve">American Electric Power Co., Inc.</t>
  </si>
  <si>
    <t xml:space="preserve">1B4S6S7G0TW5EE83BO58</t>
  </si>
  <si>
    <t xml:space="preserve">US0255371017</t>
  </si>
  <si>
    <t xml:space="preserve">Avangrid, Inc.</t>
  </si>
  <si>
    <t xml:space="preserve">549300OX0Q38NLSKPB49</t>
  </si>
  <si>
    <t xml:space="preserve">US05351W1036</t>
  </si>
  <si>
    <t xml:space="preserve">Black Hills Corp.</t>
  </si>
  <si>
    <t xml:space="preserve">3MGELCRSTNSAMJ962671</t>
  </si>
  <si>
    <t xml:space="preserve">US0921131092</t>
  </si>
  <si>
    <t xml:space="preserve">MWh</t>
  </si>
  <si>
    <t xml:space="preserve">BP plc</t>
  </si>
  <si>
    <t xml:space="preserve">213800LH1BZH3DI6G760</t>
  </si>
  <si>
    <t xml:space="preserve">GB0007980591</t>
  </si>
  <si>
    <t xml:space="preserve">GB</t>
  </si>
  <si>
    <t xml:space="preserve">Europe</t>
  </si>
  <si>
    <t xml:space="preserve">Oil &amp; Gas</t>
  </si>
  <si>
    <t xml:space="preserve">PJ</t>
  </si>
  <si>
    <t xml:space="preserve">CARPENTER TECHNOLOGY CORP</t>
  </si>
  <si>
    <t xml:space="preserve">DX6I6ZD3X5WNNCDJKP85</t>
  </si>
  <si>
    <t xml:space="preserve">US1442851036</t>
  </si>
  <si>
    <t xml:space="preserve">Steel</t>
  </si>
  <si>
    <t xml:space="preserve">Fe_ton</t>
  </si>
  <si>
    <t xml:space="preserve">Chevron Corp</t>
  </si>
  <si>
    <t xml:space="preserve">VA8TZDWPEZYU430RZ444</t>
  </si>
  <si>
    <t xml:space="preserve">US1667641005</t>
  </si>
  <si>
    <t xml:space="preserve">CLEVELAND-CLIFFS INC</t>
  </si>
  <si>
    <t xml:space="preserve">549300TM2WLI2BJMDD86</t>
  </si>
  <si>
    <t xml:space="preserve">US1858991011</t>
  </si>
  <si>
    <t xml:space="preserve">CMS Energy Corp.</t>
  </si>
  <si>
    <t xml:space="preserve">549300IA9XFBAGNIBW29</t>
  </si>
  <si>
    <t xml:space="preserve">US1258961002</t>
  </si>
  <si>
    <t xml:space="preserve">COMMERCIAL METALS CO</t>
  </si>
  <si>
    <t xml:space="preserve">549300OQS2LO07ZJ7N73</t>
  </si>
  <si>
    <t xml:space="preserve">US2017231034</t>
  </si>
  <si>
    <t xml:space="preserve">Cleco Partners LP</t>
  </si>
  <si>
    <t xml:space="preserve">5493002H80P81B3HXL31</t>
  </si>
  <si>
    <t xml:space="preserve">US18551QAA58</t>
  </si>
  <si>
    <t xml:space="preserve">Consolidated Edison, Inc.</t>
  </si>
  <si>
    <t xml:space="preserve">54930033SBW53OO8T749</t>
  </si>
  <si>
    <t xml:space="preserve">US2091151041</t>
  </si>
  <si>
    <t xml:space="preserve">DTE Energy</t>
  </si>
  <si>
    <t xml:space="preserve">549300IX8SD6XXD71I78</t>
  </si>
  <si>
    <t xml:space="preserve">US2333311072</t>
  </si>
  <si>
    <t xml:space="preserve">Dominion Energy</t>
  </si>
  <si>
    <t xml:space="preserve">ILUL7B6Z54MRYCF6H308</t>
  </si>
  <si>
    <t xml:space="preserve">US25746U1097</t>
  </si>
  <si>
    <t xml:space="preserve">Duke Energy Corp.</t>
  </si>
  <si>
    <t xml:space="preserve">I1BZKREC126H0VB1BL91</t>
  </si>
  <si>
    <t xml:space="preserve">US26441C2044</t>
  </si>
  <si>
    <t xml:space="preserve">Electricité de France</t>
  </si>
  <si>
    <t xml:space="preserve">549300X3UK4GG3FNMO06</t>
  </si>
  <si>
    <t xml:space="preserve">FR0010242511</t>
  </si>
  <si>
    <t xml:space="preserve">FR</t>
  </si>
  <si>
    <t xml:space="preserve">Edison International</t>
  </si>
  <si>
    <t xml:space="preserve">549300I7ROF15MAEVP56</t>
  </si>
  <si>
    <t xml:space="preserve">US2810201077</t>
  </si>
  <si>
    <t xml:space="preserve">Enel Americas S.A.</t>
  </si>
  <si>
    <t xml:space="preserve">549300LKH11TFCJLZK20</t>
  </si>
  <si>
    <t xml:space="preserve">US29274F1049</t>
  </si>
  <si>
    <t xml:space="preserve">CL</t>
  </si>
  <si>
    <t xml:space="preserve">Global</t>
  </si>
  <si>
    <t xml:space="preserve">kt CO2</t>
  </si>
  <si>
    <t xml:space="preserve">Entergy Corp.</t>
  </si>
  <si>
    <t xml:space="preserve">4XM3TW50JULSLG8BNC79</t>
  </si>
  <si>
    <t xml:space="preserve">US29364G1031</t>
  </si>
  <si>
    <t xml:space="preserve">Evergy, Inc.</t>
  </si>
  <si>
    <t xml:space="preserve">549300PGTHDQY6PSUI61</t>
  </si>
  <si>
    <t xml:space="preserve">US30034W1062</t>
  </si>
  <si>
    <t xml:space="preserve">Eversource Energy</t>
  </si>
  <si>
    <t xml:space="preserve">SJ7XXD41SQU3ZNWUJ746</t>
  </si>
  <si>
    <t xml:space="preserve">US30040W1080</t>
  </si>
  <si>
    <t xml:space="preserve">Exelon Corp.</t>
  </si>
  <si>
    <t xml:space="preserve">3SOUA6IRML7435B56G12</t>
  </si>
  <si>
    <t xml:space="preserve">US30161N1019</t>
  </si>
  <si>
    <t xml:space="preserve">ExxonMobil</t>
  </si>
  <si>
    <t xml:space="preserve">J3WHBG0MTS7O8ZVMDC91</t>
  </si>
  <si>
    <t xml:space="preserve">US30231G1022</t>
  </si>
  <si>
    <t xml:space="preserve">FirstEnergy Corp.</t>
  </si>
  <si>
    <t xml:space="preserve">549300SVYJS666PQJH88</t>
  </si>
  <si>
    <t xml:space="preserve">US3379321074</t>
  </si>
  <si>
    <t xml:space="preserve">Fortis, Inc.</t>
  </si>
  <si>
    <t xml:space="preserve">549300MQYQ9Y065XPR71</t>
  </si>
  <si>
    <t xml:space="preserve">CA3495531079</t>
  </si>
  <si>
    <t xml:space="preserve">CA</t>
  </si>
  <si>
    <t xml:space="preserve">General Motors</t>
  </si>
  <si>
    <t xml:space="preserve">5493001871EE1F4JHK38</t>
  </si>
  <si>
    <t xml:space="preserve">US3704421052</t>
  </si>
  <si>
    <t xml:space="preserve">Autos</t>
  </si>
  <si>
    <t xml:space="preserve">GERDAU S.A.</t>
  </si>
  <si>
    <t xml:space="preserve">254900YDV6SEQQPZVG24</t>
  </si>
  <si>
    <t xml:space="preserve">US3737371050</t>
  </si>
  <si>
    <t xml:space="preserve">BR</t>
  </si>
  <si>
    <t xml:space="preserve">Hawaiian Electric Industries, Inc.</t>
  </si>
  <si>
    <t xml:space="preserve">JJ8FWOCWCV22X7GUPJ23</t>
  </si>
  <si>
    <t xml:space="preserve">US4198701009</t>
  </si>
  <si>
    <t xml:space="preserve">Iberdrola S.A.</t>
  </si>
  <si>
    <t xml:space="preserve">5QK37QC7NWOJ8D7WVQ45</t>
  </si>
  <si>
    <t xml:space="preserve">ES0144580Y14</t>
  </si>
  <si>
    <t xml:space="preserve">ES</t>
  </si>
  <si>
    <t xml:space="preserve">MarathonOil</t>
  </si>
  <si>
    <t xml:space="preserve">1FRVQX2CRLGC1XLP5727</t>
  </si>
  <si>
    <t xml:space="preserve">US5658491064</t>
  </si>
  <si>
    <t xml:space="preserve">mmboe</t>
  </si>
  <si>
    <t xml:space="preserve">MDU Resources Group</t>
  </si>
  <si>
    <t xml:space="preserve">0T6SBMK3JTBI1JR36794</t>
  </si>
  <si>
    <t xml:space="preserve">US5526901096</t>
  </si>
  <si>
    <t xml:space="preserve">NUCOR CORP</t>
  </si>
  <si>
    <t xml:space="preserve">549300GGJCRSI2TIEJ46</t>
  </si>
  <si>
    <t xml:space="preserve">US6703461052</t>
  </si>
  <si>
    <t xml:space="preserve">National Grid PLC</t>
  </si>
  <si>
    <t xml:space="preserve">8R95QZMKZLJX5Q2XR704</t>
  </si>
  <si>
    <t xml:space="preserve">US6362744095</t>
  </si>
  <si>
    <t xml:space="preserve">NextEra Energy, Inc.</t>
  </si>
  <si>
    <t xml:space="preserve">UMI46YPGBLUE4VGNNT48</t>
  </si>
  <si>
    <t xml:space="preserve">US65339F1012</t>
  </si>
  <si>
    <t xml:space="preserve">NIPPON STEEL CORP</t>
  </si>
  <si>
    <t xml:space="preserve">35380065QWQ4U2V3PA33</t>
  </si>
  <si>
    <t xml:space="preserve">JP3381000003</t>
  </si>
  <si>
    <t xml:space="preserve">JP</t>
  </si>
  <si>
    <t xml:space="preserve">Asia</t>
  </si>
  <si>
    <t xml:space="preserve">Nisource Inc.</t>
  </si>
  <si>
    <t xml:space="preserve">549300D8GOWWH0SJB189</t>
  </si>
  <si>
    <t xml:space="preserve">US65473P1057</t>
  </si>
  <si>
    <t xml:space="preserve">Northwestern Corp.</t>
  </si>
  <si>
    <t xml:space="preserve">3BPWMBHR1R9SHUN7J795</t>
  </si>
  <si>
    <t xml:space="preserve">US6680743050</t>
  </si>
  <si>
    <t xml:space="preserve">OG&amp;E Energy Corp.</t>
  </si>
  <si>
    <t xml:space="preserve">CE5OG6JPOZMDSA0LAQ19</t>
  </si>
  <si>
    <t xml:space="preserve">US6708371033</t>
  </si>
  <si>
    <t xml:space="preserve">PG&amp;E Corp.</t>
  </si>
  <si>
    <t xml:space="preserve">8YQ2GSDWYZXO2EDN3511</t>
  </si>
  <si>
    <t xml:space="preserve">US69331C1080</t>
  </si>
  <si>
    <t xml:space="preserve">PNM Resources, Inc.</t>
  </si>
  <si>
    <t xml:space="preserve">5493003JOBJGLZSDDQ28</t>
  </si>
  <si>
    <t xml:space="preserve">US69349H1077</t>
  </si>
  <si>
    <t xml:space="preserve">POSCO</t>
  </si>
  <si>
    <t xml:space="preserve">988400E5HRVX81AYLM04</t>
  </si>
  <si>
    <t xml:space="preserve">KR7005490008</t>
  </si>
  <si>
    <t xml:space="preserve">KR</t>
  </si>
  <si>
    <t xml:space="preserve">PPL Corp.</t>
  </si>
  <si>
    <t xml:space="preserve">9N3UAJSNOUXFKQLF3V18</t>
  </si>
  <si>
    <t xml:space="preserve">US69351T1060</t>
  </si>
  <si>
    <t xml:space="preserve">Pinnacle West Capital Corp.</t>
  </si>
  <si>
    <t xml:space="preserve">TWSEY0NEDUDCKS27AH81</t>
  </si>
  <si>
    <t xml:space="preserve">US7234841010</t>
  </si>
  <si>
    <t xml:space="preserve">Portland General Electric Co.</t>
  </si>
  <si>
    <t xml:space="preserve">GJOUP9M7C39GLSK9R870</t>
  </si>
  <si>
    <t xml:space="preserve">US7365088472</t>
  </si>
  <si>
    <t xml:space="preserve">Public Service Enterprise Group</t>
  </si>
  <si>
    <t xml:space="preserve">PUSS41EMO3E6XXNV3U28</t>
  </si>
  <si>
    <t xml:space="preserve">US7445731067</t>
  </si>
  <si>
    <t xml:space="preserve">Saudi Aramco</t>
  </si>
  <si>
    <t xml:space="preserve">5586006WD91QHB7J4X50</t>
  </si>
  <si>
    <t xml:space="preserve">2222.SR</t>
  </si>
  <si>
    <t xml:space="preserve">SA</t>
  </si>
  <si>
    <t xml:space="preserve">Sempra</t>
  </si>
  <si>
    <t xml:space="preserve">PBBKGKLRK5S5C0Y4T545</t>
  </si>
  <si>
    <t xml:space="preserve">US8168511090</t>
  </si>
  <si>
    <t xml:space="preserve">Shell PLC</t>
  </si>
  <si>
    <t xml:space="preserve">21380068P1DRHMJ8KU70</t>
  </si>
  <si>
    <t xml:space="preserve">GB00BP6MXD84</t>
  </si>
  <si>
    <t xml:space="preserve">EJ</t>
  </si>
  <si>
    <t xml:space="preserve">Southern Co.</t>
  </si>
  <si>
    <t xml:space="preserve">549300FC3G3YU2FBZD92</t>
  </si>
  <si>
    <t xml:space="preserve">US8425871071</t>
  </si>
  <si>
    <t xml:space="preserve">STEEL DYNAMICS INC</t>
  </si>
  <si>
    <t xml:space="preserve">549300HGGKEL4FYTTQ83</t>
  </si>
  <si>
    <t xml:space="preserve">US8581191009</t>
  </si>
  <si>
    <t xml:space="preserve">TC Energy Corp.</t>
  </si>
  <si>
    <t xml:space="preserve">549300UGKOFV2IWJJG27</t>
  </si>
  <si>
    <t xml:space="preserve">CA87807B1076</t>
  </si>
  <si>
    <t xml:space="preserve">TENARIS SA</t>
  </si>
  <si>
    <t xml:space="preserve">549300Y7C05BKC4HZB40</t>
  </si>
  <si>
    <t xml:space="preserve">US88031M1099</t>
  </si>
  <si>
    <t xml:space="preserve">LU</t>
  </si>
  <si>
    <t xml:space="preserve">TERNIUM S.A.</t>
  </si>
  <si>
    <t xml:space="preserve">529900QG4KU23TEI2E46</t>
  </si>
  <si>
    <t xml:space="preserve">US8808901081</t>
  </si>
  <si>
    <t xml:space="preserve">Tesla</t>
  </si>
  <si>
    <t xml:space="preserve">EVK05KS7XY1DEII3R011</t>
  </si>
  <si>
    <t xml:space="preserve">US88160R1014</t>
  </si>
  <si>
    <t xml:space="preserve">Mpassenger mile</t>
  </si>
  <si>
    <t xml:space="preserve">TIMKENSTEEL CORP</t>
  </si>
  <si>
    <t xml:space="preserve">549300QZTZWHDE9HJL14</t>
  </si>
  <si>
    <t xml:space="preserve">US8873991033</t>
  </si>
  <si>
    <t xml:space="preserve">UNITED STATES STEEL CORP</t>
  </si>
  <si>
    <t xml:space="preserve">JNLUVFYJT1OZSIQ24U47</t>
  </si>
  <si>
    <t xml:space="preserve">US9129091081</t>
  </si>
  <si>
    <t xml:space="preserve">Verbund AG</t>
  </si>
  <si>
    <t xml:space="preserve">5299006UDSEJCTTEJS30</t>
  </si>
  <si>
    <t xml:space="preserve">AT0000746409</t>
  </si>
  <si>
    <t xml:space="preserve">AT</t>
  </si>
  <si>
    <t xml:space="preserve">kWh</t>
  </si>
  <si>
    <t xml:space="preserve">Versant Power</t>
  </si>
  <si>
    <t xml:space="preserve">NQZVQT2P5IUF2PGA1Q48</t>
  </si>
  <si>
    <t xml:space="preserve">CA2908761018</t>
  </si>
  <si>
    <t xml:space="preserve">Vistra Corp.</t>
  </si>
  <si>
    <t xml:space="preserve">549300KP43CPCUJOOG15</t>
  </si>
  <si>
    <t xml:space="preserve">US92840M1027</t>
  </si>
  <si>
    <t xml:space="preserve">WEC Energy Group</t>
  </si>
  <si>
    <t xml:space="preserve">549300IGLYTZUK3PVP70</t>
  </si>
  <si>
    <t xml:space="preserve">US92939U1060</t>
  </si>
  <si>
    <t xml:space="preserve">WORTHINGTON INDUSTRIES INC</t>
  </si>
  <si>
    <t xml:space="preserve">1WRCIANKYOIK6KYE5E82</t>
  </si>
  <si>
    <t xml:space="preserve">US9818111026</t>
  </si>
  <si>
    <t xml:space="preserve">Xcel Energy, Inc.</t>
  </si>
  <si>
    <t xml:space="preserve">LGJNMI9GH8XIDG5RCM61</t>
  </si>
  <si>
    <t xml:space="preserve">US98389B1008</t>
  </si>
  <si>
    <t xml:space="preserve">netzero_year</t>
  </si>
  <si>
    <t xml:space="preserve">target_type</t>
  </si>
  <si>
    <t xml:space="preserve">target_scope</t>
  </si>
  <si>
    <t xml:space="preserve">target_start_year</t>
  </si>
  <si>
    <t xml:space="preserve">target_base_year</t>
  </si>
  <si>
    <t xml:space="preserve">target_base_year_qty</t>
  </si>
  <si>
    <t xml:space="preserve">target_base_year_unit</t>
  </si>
  <si>
    <t xml:space="preserve">target_year</t>
  </si>
  <si>
    <t xml:space="preserve">target_reduction_ambition</t>
  </si>
  <si>
    <t xml:space="preserve">intensity</t>
  </si>
  <si>
    <t xml:space="preserve">S1+S2</t>
  </si>
  <si>
    <t xml:space="preserve">t CO2/MWh</t>
  </si>
  <si>
    <t xml:space="preserve">absolute</t>
  </si>
  <si>
    <t xml:space="preserve">S1+S2+S3</t>
  </si>
  <si>
    <t xml:space="preserve">549300T12EZ1F6PWWU29</t>
  </si>
  <si>
    <t xml:space="preserve">S1</t>
  </si>
  <si>
    <t xml:space="preserve">t CO2/Fe_ton</t>
  </si>
  <si>
    <t xml:space="preserve">g CO2/MJ</t>
  </si>
  <si>
    <t xml:space="preserve">S3</t>
  </si>
  <si>
    <t xml:space="preserve">g CO2/kWh</t>
  </si>
  <si>
    <t xml:space="preserve">t CO2/mboe</t>
  </si>
  <si>
    <t xml:space="preserve">lb CO2/MWh</t>
  </si>
  <si>
    <t xml:space="preserve">kg CO2/boe</t>
  </si>
  <si>
    <t xml:space="preserve">g CO2/(passenger km)</t>
  </si>
  <si>
    <t xml:space="preserve">S2</t>
  </si>
  <si>
    <t xml:space="preserve">Data category</t>
  </si>
  <si>
    <t xml:space="preserve">Data field</t>
  </si>
  <si>
    <t xml:space="preserve">Input tab</t>
  </si>
  <si>
    <t xml:space="preserve">Description</t>
  </si>
  <si>
    <t xml:space="preserve">Expected value (type/unit)</t>
  </si>
  <si>
    <t xml:space="preserve">Mandatory/Optional</t>
  </si>
  <si>
    <t xml:space="preserve">Fundamental Data</t>
  </si>
  <si>
    <t xml:space="preserve">ITR input data</t>
  </si>
  <si>
    <t xml:space="preserve">Name of the company in your portfolio</t>
  </si>
  <si>
    <t xml:space="preserve">Text </t>
  </si>
  <si>
    <t xml:space="preserve">Mandatory</t>
  </si>
  <si>
    <t xml:space="preserve">Legal entity identifier</t>
  </si>
  <si>
    <t xml:space="preserve">Optional</t>
  </si>
  <si>
    <t xml:space="preserve">ISIN (Identifier for the company in your portfolio, used to map target and fundamental data to the company)</t>
  </si>
  <si>
    <t xml:space="preserve">Country where the company has its headquarter. Used for analysis purposes only.</t>
  </si>
  <si>
    <t xml:space="preserve">Region where the company has its headquarter. Used for analysis purposes only. The tool uses IPP AR6 regions: https://www.ipcc.ch/report/ar6/wg1/</t>
  </si>
  <si>
    <t xml:space="preserve">Options: Electricity Utilities, Steel, Oil &amp; Gas, Autos</t>
  </si>
  <si>
    <t xml:space="preserve">Electricity Utilities, Steel, Oil &amp; Gas, Autos</t>
  </si>
  <si>
    <t xml:space="preserve">Investment exposure (equity or bond)</t>
  </si>
  <si>
    <t xml:space="preserve">Equity, Bond</t>
  </si>
  <si>
    <t xml:space="preserve">Currency of the financial data. All entries should be converted into the SAME currency - EUR or USD</t>
  </si>
  <si>
    <t xml:space="preserve">Date of retrieving the financial data </t>
  </si>
  <si>
    <t xml:space="preserve">Date (DD.MM.YYYY)</t>
  </si>
  <si>
    <t xml:space="preserve">Value of public stock in single dollars/euros</t>
  </si>
  <si>
    <t xml:space="preserve">Monetary value</t>
  </si>
  <si>
    <t xml:space="preserve">Company revenues in single dollars/euros</t>
  </si>
  <si>
    <t xml:space="preserve">Enterprise value in single dollars / euros</t>
  </si>
  <si>
    <t xml:space="preserve">Enterprise value including cash in single dollars / euros</t>
  </si>
  <si>
    <t xml:space="preserve">Value of assets owned by company in single dollars/euros</t>
  </si>
  <si>
    <t xml:space="preserve">Emission Metrics</t>
  </si>
  <si>
    <t xml:space="preserve">emission_metric</t>
  </si>
  <si>
    <t xml:space="preserve">Emissions Metric (typically CO2)</t>
  </si>
  <si>
    <r>
      <rPr>
        <b val="true"/>
        <sz val="11"/>
        <color rgb="FF000000"/>
        <rFont val="Calibri"/>
        <family val="2"/>
        <charset val="1"/>
      </rPr>
      <t xml:space="preserve">CO2: </t>
    </r>
    <r>
      <rPr>
        <sz val="11"/>
        <color rgb="FF000000"/>
        <rFont val="Calibri"/>
        <family val="2"/>
        <charset val="1"/>
      </rPr>
      <t xml:space="preserve">kg CO2, t CO2, Mt CO2, Gt CO2, etc.</t>
    </r>
  </si>
  <si>
    <t xml:space="preserve">Production Metrics</t>
  </si>
  <si>
    <t xml:space="preserve">Intensity Metric (unit of output measured for sector)</t>
  </si>
  <si>
    <r>
      <rPr>
        <b val="true"/>
        <sz val="11"/>
        <color rgb="FF000000"/>
        <rFont val="Calibri"/>
        <family val="2"/>
        <charset val="1"/>
      </rPr>
      <t xml:space="preserve">Electricity</t>
    </r>
    <r>
      <rPr>
        <sz val="11"/>
        <color rgb="FF000000"/>
        <rFont val="Calibri"/>
        <family val="2"/>
        <charset val="1"/>
      </rPr>
      <t xml:space="preserve">:  MWh, TWh, GJ, PJ; 
</t>
    </r>
    <r>
      <rPr>
        <b val="true"/>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val="true"/>
        <sz val="11"/>
        <color rgb="FF000000"/>
        <rFont val="Calibri"/>
        <family val="2"/>
      </rPr>
      <t xml:space="preserve">Oil &amp; Gas: </t>
    </r>
    <r>
      <rPr>
        <sz val="11"/>
        <color rgb="FF000000"/>
        <rFont val="Calibri"/>
        <family val="2"/>
      </rPr>
      <t xml:space="preserve">mboe, PJ;  
</t>
    </r>
    <r>
      <rPr>
        <b val="true"/>
        <sz val="11"/>
        <color rgb="FF000000"/>
        <rFont val="Calibri"/>
        <family val="2"/>
      </rPr>
      <t xml:space="preserve">Autos:</t>
    </r>
    <r>
      <rPr>
        <sz val="11"/>
        <color rgb="FF000000"/>
        <rFont val="Calibri"/>
        <family val="2"/>
      </rPr>
      <t xml:space="preserve"> passenger km, passenger mi </t>
    </r>
  </si>
  <si>
    <t xml:space="preserve">Emission Data</t>
  </si>
  <si>
    <t xml:space="preserve">Intensity numerator: Scope 1 emissions timeseries for the past 5 years</t>
  </si>
  <si>
    <t xml:space="preserve">Number</t>
  </si>
  <si>
    <t xml:space="preserve">Intensity numerator: Scope 1 emissions timeseries for 2021</t>
  </si>
  <si>
    <t xml:space="preserve">Intensity numerator:  scope 1 emissions timeseries for 2022, only available in 2023. Do not input projected data. </t>
  </si>
  <si>
    <t xml:space="preserve">DO NOT FILL (data only available next year)</t>
  </si>
  <si>
    <t xml:space="preserve">Intensity numerator: Scope 2 emissions timeseries for the past 5 years</t>
  </si>
  <si>
    <t xml:space="preserve">Intensity numerator: Scope 2 emissions timeseries for 2021</t>
  </si>
  <si>
    <t xml:space="preserve">Intensity numerator:  scope 2 emissions timeseries for 2022, only available in 2023. Do not input projected data. </t>
  </si>
  <si>
    <t xml:space="preserve">Intensity numerator: Scope 1+2 emissions timeseries for the past 5 years</t>
  </si>
  <si>
    <t xml:space="preserve">Intensity numerator: Scope 1+2 emissions timeseries for 2021</t>
  </si>
  <si>
    <t xml:space="preserve">Intensity numerator:  scope 1+ 2 emissions timeseries for 2022, only available in 2023. Do not input projected data. </t>
  </si>
  <si>
    <t xml:space="preserve">Intensity numerator: Scope 3 emissions timeseries for the past 5 years</t>
  </si>
  <si>
    <t xml:space="preserve">Intensity numerator: Scope 3 emissions timeseries for 2021</t>
  </si>
  <si>
    <t xml:space="preserve">Intensity numerator:  scope 3 emissions timeseries for 2022, only available in 2023. Do not input projected data. </t>
  </si>
  <si>
    <t xml:space="preserve">Production data - Power or Steel </t>
  </si>
  <si>
    <t xml:space="preserve">Intensity denominator: annual steel or power production of the company for the past 5 years</t>
  </si>
  <si>
    <t xml:space="preserve">Target Data</t>
  </si>
  <si>
    <t xml:space="preserve">ITR target input data</t>
  </si>
  <si>
    <t xml:space="preserve">Type of target. Can be absolute or intensity based GHG emission reduction target. </t>
  </si>
  <si>
    <t xml:space="preserve">Absolute, Intensity</t>
  </si>
  <si>
    <t xml:space="preserve">Target scope (S3 will be taken into account later - however one can include it already to avoid having to refill the template in a few weeks )</t>
  </si>
  <si>
    <t xml:space="preserve">S1, S2, S1S2, S1S2S3</t>
  </si>
  <si>
    <t xml:space="preserve">year the target was announced</t>
  </si>
  <si>
    <t xml:space="preserve">Year (YYYY)</t>
  </si>
  <si>
    <t xml:space="preserve">Base year of the target</t>
  </si>
  <si>
    <t xml:space="preserve">Production or Intensity figures  (eg 12 if the target base year emission is 12 t CO2, or 0.98 if the base year intensity is 0.98 Mt CO2/MWh). Targets can be expressed in units as described below (see target_base_year_units field)</t>
  </si>
  <si>
    <t xml:space="preserve">decimal</t>
  </si>
  <si>
    <t xml:space="preserve">target intensity metric referring to emissions and production data. Units for the numerator (in CO2) and denominator (electricityutilities, steel production, oil &amp; gas, autos) are indicated in the following field. </t>
  </si>
  <si>
    <r>
      <rPr>
        <b val="true"/>
        <sz val="11"/>
        <color rgb="FF000000"/>
        <rFont val="Calibri"/>
        <family val="2"/>
        <charset val="1"/>
      </rPr>
      <t xml:space="preserve">CO2</t>
    </r>
    <r>
      <rPr>
        <sz val="11"/>
        <color rgb="FF000000"/>
        <rFont val="Calibri"/>
        <family val="2"/>
        <charset val="1"/>
      </rPr>
      <t xml:space="preserve">: kg CO2, t CO2, Mt CO2, Gt CO2, etc.; 
</t>
    </r>
    <r>
      <rPr>
        <b val="true"/>
        <sz val="11"/>
        <color rgb="FF000000"/>
        <rFont val="Calibri"/>
        <family val="2"/>
        <charset val="1"/>
      </rPr>
      <t xml:space="preserve">Electricity</t>
    </r>
    <r>
      <rPr>
        <sz val="11"/>
        <color rgb="FF000000"/>
        <rFont val="Calibri"/>
        <family val="2"/>
        <charset val="1"/>
      </rPr>
      <t xml:space="preserve">: MWh, TWh, GJ, PJ; 
</t>
    </r>
    <r>
      <rPr>
        <b val="true"/>
        <sz val="11"/>
        <color rgb="FF000000"/>
        <rFont val="Calibri"/>
        <family val="2"/>
        <charset val="1"/>
      </rPr>
      <t xml:space="preserve">Steel:</t>
    </r>
    <r>
      <rPr>
        <sz val="11"/>
        <color rgb="FF000000"/>
        <rFont val="Calibri"/>
        <family val="2"/>
        <charset val="1"/>
      </rPr>
      <t xml:space="preserve"> Fe_ton, M Fe_ton</t>
    </r>
    <r>
      <rPr>
        <sz val="11"/>
        <color rgb="FF000000"/>
        <rFont val="Calibri"/>
        <family val="2"/>
      </rPr>
      <t xml:space="preserve">; 
</t>
    </r>
    <r>
      <rPr>
        <b val="true"/>
        <sz val="11"/>
        <color rgb="FF000000"/>
        <rFont val="Calibri"/>
        <family val="2"/>
      </rPr>
      <t xml:space="preserve">Oil &amp; Gas:</t>
    </r>
    <r>
      <rPr>
        <sz val="11"/>
        <color rgb="FF000000"/>
        <rFont val="Calibri"/>
        <family val="2"/>
      </rPr>
      <t xml:space="preserve"> mboe, PJ; 
</t>
    </r>
    <r>
      <rPr>
        <b val="true"/>
        <sz val="11"/>
        <color rgb="FF000000"/>
        <rFont val="Calibri"/>
        <family val="2"/>
      </rPr>
      <t xml:space="preserve">Autos:</t>
    </r>
    <r>
      <rPr>
        <sz val="11"/>
        <color rgb="FF000000"/>
        <rFont val="Calibri"/>
        <family val="2"/>
      </rPr>
      <t xml:space="preserve"> passenger mi, M passenger km</t>
    </r>
  </si>
  <si>
    <t xml:space="preserve">year the target should be reached </t>
  </si>
  <si>
    <t xml:space="preserve">The emission reduction that is set as ambition in the target.</t>
  </si>
  <si>
    <t xml:space="preserve">percentage</t>
  </si>
  <si>
    <t xml:space="preserve">Net Zero Ambition</t>
  </si>
  <si>
    <t xml:space="preserve">netzero_date</t>
  </si>
  <si>
    <t xml:space="preserve">Target year of net-zero commitment. 0 means the company has not set a target year or that their target for 2050 is not zero.</t>
  </si>
  <si>
    <t xml:space="preserve">company_isin</t>
  </si>
  <si>
    <t xml:space="preserve">investment_value</t>
  </si>
</sst>
</file>

<file path=xl/styles.xml><?xml version="1.0" encoding="utf-8"?>
<styleSheet xmlns="http://schemas.openxmlformats.org/spreadsheetml/2006/main">
  <numFmts count="7">
    <numFmt numFmtId="164" formatCode="General"/>
    <numFmt numFmtId="165" formatCode="yyyy\-mm\-dd;@"/>
    <numFmt numFmtId="166" formatCode="General"/>
    <numFmt numFmtId="167" formatCode="#,##0"/>
    <numFmt numFmtId="168" formatCode="0.00E+00"/>
    <numFmt numFmtId="169" formatCode="0%"/>
    <numFmt numFmtId="170" formatCode="0.0000"/>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font>
    <font>
      <sz val="11"/>
      <name val="Times New Roman"/>
      <family val="0"/>
    </font>
    <font>
      <sz val="11"/>
      <color rgb="FF000000"/>
      <name val="Calibri"/>
      <family val="0"/>
    </font>
    <font>
      <i val="true"/>
      <sz val="11"/>
      <color rgb="FF000000"/>
      <name val="Calibri"/>
      <family val="0"/>
    </font>
    <font>
      <i val="true"/>
      <u val="single"/>
      <sz val="11"/>
      <color rgb="FF000000"/>
      <name val="Calibri"/>
      <family val="0"/>
    </font>
    <font>
      <sz val="11"/>
      <color rgb="FFA6A6A6"/>
      <name val="Calibri (Body)"/>
      <family val="0"/>
      <charset val="1"/>
    </font>
    <font>
      <sz val="11"/>
      <color rgb="FFA6A6A6"/>
      <name val="Calibri"/>
      <family val="2"/>
      <charset val="1"/>
    </font>
    <font>
      <i val="true"/>
      <sz val="11"/>
      <color rgb="FF808080"/>
      <name val="Calibri"/>
      <family val="2"/>
      <charset val="1"/>
    </font>
    <font>
      <b val="true"/>
      <sz val="11"/>
      <color rgb="FF000000"/>
      <name val="Calibri"/>
      <family val="2"/>
      <charset val="1"/>
    </font>
    <font>
      <b val="true"/>
      <sz val="11"/>
      <color rgb="FFA6A6A6"/>
      <name val="Calibri"/>
      <family val="2"/>
      <charset val="1"/>
    </font>
    <font>
      <b val="true"/>
      <i val="true"/>
      <sz val="11"/>
      <color rgb="FF808080"/>
      <name val="Calibri"/>
      <family val="2"/>
      <charset val="1"/>
    </font>
    <font>
      <i val="true"/>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val="true"/>
      <sz val="11"/>
      <name val="Calibri"/>
      <family val="2"/>
      <charset val="1"/>
    </font>
    <font>
      <b val="true"/>
      <sz val="11"/>
      <color rgb="FF808080"/>
      <name val="Calibri"/>
      <family val="2"/>
      <charset val="1"/>
    </font>
    <font>
      <i val="true"/>
      <sz val="11"/>
      <color rgb="FF000000"/>
      <name val="Calibri (Body)"/>
      <family val="0"/>
      <charset val="1"/>
    </font>
    <font>
      <i val="true"/>
      <sz val="11"/>
      <color rgb="FF000000"/>
      <name val="Calibri"/>
      <family val="2"/>
      <charset val="1"/>
    </font>
    <font>
      <sz val="10"/>
      <color rgb="FF000000"/>
      <name val="Arial"/>
      <family val="0"/>
      <charset val="1"/>
    </font>
    <font>
      <sz val="11"/>
      <color rgb="FF000000"/>
      <name val="Calibri"/>
      <family val="2"/>
    </font>
    <font>
      <sz val="10"/>
      <color rgb="FF000000"/>
      <name val="ArialMT"/>
      <family val="0"/>
      <charset val="1"/>
    </font>
    <font>
      <sz val="10"/>
      <color rgb="FF000000"/>
      <name val="Calibri"/>
      <family val="2"/>
      <charset val="1"/>
    </font>
    <font>
      <b val="true"/>
      <sz val="11"/>
      <color rgb="FF000000"/>
      <name val="Calibri"/>
      <family val="2"/>
    </font>
  </fonts>
  <fills count="1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FF00"/>
        <bgColor rgb="FFFFFF00"/>
      </patternFill>
    </fill>
    <fill>
      <patternFill patternType="solid">
        <fgColor rgb="FFFFD966"/>
        <bgColor rgb="FFFFFF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s>
  <borders count="4">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5" fontId="12" fillId="2"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general" vertical="bottom" textRotation="0" wrapText="true" indent="0" shrinkToFit="false"/>
      <protection locked="true" hidden="false"/>
    </xf>
    <xf numFmtId="164" fontId="14" fillId="5"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12" fillId="7"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0" fillId="8"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top" textRotation="0" wrapText="false" indent="0" shrinkToFit="false"/>
      <protection locked="true" hidden="false"/>
    </xf>
    <xf numFmtId="167" fontId="17" fillId="0" borderId="0" xfId="0" applyFont="true" applyBorder="false" applyAlignment="true" applyProtection="false">
      <alignment horizontal="right" vertical="top" textRotation="0" wrapText="false" indent="0" shrinkToFit="false"/>
      <protection locked="true" hidden="false"/>
    </xf>
    <xf numFmtId="167" fontId="0" fillId="0" borderId="0" xfId="0" applyFont="false" applyBorder="false" applyAlignment="true" applyProtection="false">
      <alignment horizontal="general" vertical="top"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7"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20" fillId="10" borderId="0" xfId="0" applyFont="true" applyBorder="false" applyAlignment="false" applyProtection="false">
      <alignment horizontal="general" vertical="bottom" textRotation="0" wrapText="false" indent="0" shrinkToFit="false"/>
      <protection locked="true" hidden="false"/>
    </xf>
    <xf numFmtId="164" fontId="20" fillId="11" borderId="0" xfId="0" applyFont="true" applyBorder="false" applyAlignment="false" applyProtection="false">
      <alignment horizontal="general" vertical="bottom" textRotation="0" wrapText="false" indent="0" shrinkToFit="false"/>
      <protection locked="true" hidden="false"/>
    </xf>
    <xf numFmtId="164" fontId="21" fillId="11" borderId="0" xfId="0" applyFont="true" applyBorder="false" applyAlignment="false" applyProtection="false">
      <alignment horizontal="general" vertical="bottom" textRotation="0" wrapText="false" indent="0" shrinkToFit="false"/>
      <protection locked="true" hidden="false"/>
    </xf>
    <xf numFmtId="164" fontId="12" fillId="11"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9" fontId="15" fillId="0"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right" vertical="center" textRotation="0" wrapText="false" indent="0" shrinkToFit="false"/>
      <protection locked="true" hidden="false"/>
    </xf>
    <xf numFmtId="167" fontId="26"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9" fontId="17"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2" fillId="13" borderId="1" xfId="0" applyFont="true" applyBorder="true" applyAlignment="true" applyProtection="false">
      <alignment horizontal="general" vertical="center" textRotation="0" wrapText="false" indent="0" shrinkToFit="false"/>
      <protection locked="true" hidden="false"/>
    </xf>
    <xf numFmtId="164" fontId="12" fillId="13" borderId="2" xfId="0" applyFont="true" applyBorder="true" applyAlignment="true" applyProtection="false">
      <alignment horizontal="general" vertical="center" textRotation="0" wrapText="true" indent="0" shrinkToFit="false"/>
      <protection locked="true" hidden="false"/>
    </xf>
    <xf numFmtId="164" fontId="12" fillId="13" borderId="2" xfId="0" applyFont="true" applyBorder="true" applyAlignment="true" applyProtection="false">
      <alignment horizontal="general" vertical="bottom" textRotation="0" wrapText="true" indent="0" shrinkToFit="false"/>
      <protection locked="true" hidden="false"/>
    </xf>
    <xf numFmtId="164" fontId="12" fillId="13" borderId="2" xfId="0" applyFont="true" applyBorder="true" applyAlignment="false" applyProtection="false">
      <alignment horizontal="general" vertical="bottom" textRotation="0" wrapText="false" indent="0" shrinkToFit="false"/>
      <protection locked="true" hidden="false"/>
    </xf>
    <xf numFmtId="164" fontId="12" fillId="13" borderId="3"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5" fontId="12" fillId="0" borderId="0" xfId="0" applyFont="true" applyBorder="true" applyAlignment="true" applyProtection="false">
      <alignment horizontal="left" vertical="center" textRotation="0" wrapText="tru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general" vertical="center" textRotation="0" wrapText="false" indent="0" shrinkToFit="false"/>
      <protection locked="true" hidden="false"/>
    </xf>
    <xf numFmtId="164" fontId="12" fillId="6"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general" vertical="center" textRotation="0" wrapText="true" indent="0" shrinkToFit="false"/>
      <protection locked="true" hidden="false"/>
    </xf>
    <xf numFmtId="164" fontId="12" fillId="14" borderId="0" xfId="0" applyFont="true" applyBorder="fals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general" vertical="center" textRotation="0" wrapText="tru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A9D18E"/>
      <rgbColor rgb="FFFF99CC"/>
      <rgbColor rgb="FFCC99FF"/>
      <rgbColor rgb="FFFFD966"/>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425520</xdr:colOff>
      <xdr:row>1</xdr:row>
      <xdr:rowOff>57240</xdr:rowOff>
    </xdr:from>
    <xdr:to>
      <xdr:col>10</xdr:col>
      <xdr:colOff>62280</xdr:colOff>
      <xdr:row>52</xdr:row>
      <xdr:rowOff>117360</xdr:rowOff>
    </xdr:to>
    <xdr:sp>
      <xdr:nvSpPr>
        <xdr:cNvPr id="0" name="TextBox 1"/>
        <xdr:cNvSpPr/>
      </xdr:nvSpPr>
      <xdr:spPr>
        <a:xfrm>
          <a:off x="425520" y="247680"/>
          <a:ext cx="5770800" cy="97758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US" sz="1100" spc="-1" strike="noStrike">
              <a:solidFill>
                <a:srgbClr val="000000"/>
              </a:solidFill>
              <a:latin typeface="Calibri"/>
            </a:rPr>
            <a:t>ITR Input data template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ITR tool can compute the temperature alignment equivalent for companies in four highest emitting sectors: Utilities, Steel, Oil and Gas and Automobiles.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To calculate  temperature alignment scores, the tool requires several types of data, in 2 separate tabs:</a:t>
          </a:r>
          <a:endParaRPr b="0" lang="en-US" sz="1100" spc="-1" strike="noStrike">
            <a:latin typeface="Times New Roman"/>
          </a:endParaRPr>
        </a:p>
        <a:p>
          <a:pPr>
            <a:lnSpc>
              <a:spcPct val="100000"/>
            </a:lnSpc>
          </a:pPr>
          <a:r>
            <a:rPr b="0" i="1" lang="en-US" sz="1100" spc="-1" strike="noStrike">
              <a:solidFill>
                <a:srgbClr val="000000"/>
              </a:solidFill>
              <a:latin typeface="Calibri"/>
            </a:rPr>
            <a:t>- </a:t>
          </a:r>
          <a:r>
            <a:rPr b="0" i="1" lang="en-US" sz="1100" spc="-1" strike="noStrike" u="sng">
              <a:solidFill>
                <a:srgbClr val="000000"/>
              </a:solidFill>
              <a:uFillTx/>
              <a:latin typeface="Calibri"/>
            </a:rPr>
            <a:t>ITR Input data</a:t>
          </a:r>
          <a:r>
            <a:rPr b="0" lang="en-US" sz="1100" spc="-1" strike="noStrike">
              <a:solidFill>
                <a:srgbClr val="000000"/>
              </a:solidFill>
              <a:latin typeface="Calibri"/>
            </a:rPr>
            <a:t>:</a:t>
          </a:r>
          <a:endParaRPr b="0" lang="en-US" sz="1100" spc="-1" strike="noStrike">
            <a:latin typeface="Times New Roman"/>
          </a:endParaRPr>
        </a:p>
        <a:p>
          <a:pPr>
            <a:lnSpc>
              <a:spcPct val="100000"/>
            </a:lnSpc>
          </a:pPr>
          <a:r>
            <a:rPr b="1" lang="en-US" sz="1100" spc="-1" strike="noStrike">
              <a:solidFill>
                <a:srgbClr val="000000"/>
              </a:solidFill>
              <a:latin typeface="Calibri"/>
            </a:rPr>
            <a:t>Fundamental data: </a:t>
          </a:r>
          <a:r>
            <a:rPr b="0" lang="en-US" sz="1100" spc="-1" strike="noStrike">
              <a:solidFill>
                <a:srgbClr val="000000"/>
              </a:solidFill>
              <a:latin typeface="Calibri"/>
            </a:rPr>
            <a:t>information on a security level about your investments such as name, identifiers, and investment values.</a:t>
          </a:r>
          <a:endParaRPr b="0" lang="en-US" sz="1100" spc="-1" strike="noStrike">
            <a:latin typeface="Times New Roman"/>
          </a:endParaRPr>
        </a:p>
        <a:p>
          <a:pPr>
            <a:lnSpc>
              <a:spcPct val="100000"/>
            </a:lnSpc>
          </a:pPr>
          <a:r>
            <a:rPr b="1" lang="en-US" sz="1100" spc="-1" strike="noStrike">
              <a:solidFill>
                <a:srgbClr val="000000"/>
              </a:solidFill>
              <a:latin typeface="Calibri"/>
            </a:rPr>
            <a:t>Emissions data: </a:t>
          </a:r>
          <a:r>
            <a:rPr b="0" lang="en-US" sz="1100" spc="-1" strike="noStrike">
              <a:solidFill>
                <a:srgbClr val="000000"/>
              </a:solidFill>
              <a:latin typeface="Calibri"/>
            </a:rPr>
            <a:t>Reported GHG emissions for the past 5 years (timeseries) for scope 1 and scope 2 of investee companies </a:t>
          </a:r>
          <a:endParaRPr b="0" lang="en-US" sz="1100" spc="-1" strike="noStrike">
            <a:latin typeface="Times New Roman"/>
          </a:endParaRPr>
        </a:p>
        <a:p>
          <a:pPr>
            <a:lnSpc>
              <a:spcPct val="100000"/>
            </a:lnSpc>
          </a:pPr>
          <a:r>
            <a:rPr b="1" lang="en-US" sz="1100" spc="-1" strike="noStrike">
              <a:solidFill>
                <a:srgbClr val="000000"/>
              </a:solidFill>
              <a:latin typeface="Calibri"/>
            </a:rPr>
            <a:t>Production data</a:t>
          </a:r>
          <a:r>
            <a:rPr b="0" lang="en-US" sz="1100" spc="-1" strike="noStrike">
              <a:solidFill>
                <a:srgbClr val="000000"/>
              </a:solidFill>
              <a:latin typeface="Calibri"/>
            </a:rPr>
            <a:t>: reported production data specific to each sector of investee companies, for the past 5 years</a:t>
          </a:r>
          <a:endParaRPr b="0" lang="en-US" sz="1100" spc="-1" strike="noStrike">
            <a:latin typeface="Times New Roman"/>
          </a:endParaRPr>
        </a:p>
        <a:p>
          <a:pPr>
            <a:lnSpc>
              <a:spcPct val="100000"/>
            </a:lnSpc>
          </a:pPr>
          <a:r>
            <a:rPr b="0" i="1" lang="en-US" sz="1100" spc="-1" strike="noStrike">
              <a:solidFill>
                <a:srgbClr val="000000"/>
              </a:solidFill>
              <a:latin typeface="Calibri"/>
            </a:rPr>
            <a:t>- </a:t>
          </a:r>
          <a:r>
            <a:rPr b="0" i="1" lang="en-US" sz="1100" spc="-1" strike="noStrike" u="sng">
              <a:solidFill>
                <a:srgbClr val="000000"/>
              </a:solidFill>
              <a:uFillTx/>
              <a:latin typeface="Calibri"/>
            </a:rPr>
            <a:t>ITR Target input data:</a:t>
          </a:r>
          <a:endParaRPr b="0" lang="en-US" sz="1100" spc="-1" strike="noStrike">
            <a:latin typeface="Times New Roman"/>
          </a:endParaRPr>
        </a:p>
        <a:p>
          <a:pPr>
            <a:lnSpc>
              <a:spcPct val="100000"/>
            </a:lnSpc>
          </a:pPr>
          <a:r>
            <a:rPr b="1" lang="en-US" sz="1100" spc="-1" strike="noStrike">
              <a:solidFill>
                <a:srgbClr val="000000"/>
              </a:solidFill>
              <a:latin typeface="Calibri"/>
            </a:rPr>
            <a:t>Target data: </a:t>
          </a:r>
          <a:r>
            <a:rPr b="0" lang="en-US" sz="1100" spc="-1" strike="noStrike">
              <a:solidFill>
                <a:srgbClr val="000000"/>
              </a:solidFill>
              <a:latin typeface="Calibri"/>
            </a:rPr>
            <a:t>Data about the scope &amp; characteristics of the target set by investee companies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As a user, you will need to supply information about the portfolio and all investee companies on a security level in the "</a:t>
          </a:r>
          <a:r>
            <a:rPr b="1" lang="en-US" sz="1100" spc="-1" strike="noStrike">
              <a:solidFill>
                <a:srgbClr val="000000"/>
              </a:solidFill>
              <a:latin typeface="Calibri"/>
            </a:rPr>
            <a:t>ITR input data</a:t>
          </a:r>
          <a:r>
            <a:rPr b="0" lang="en-US" sz="1100" spc="-1" strike="noStrike">
              <a:solidFill>
                <a:srgbClr val="000000"/>
              </a:solidFill>
              <a:latin typeface="Calibri"/>
            </a:rPr>
            <a:t>" tab and in the "</a:t>
          </a:r>
          <a:r>
            <a:rPr b="1" lang="en-US" sz="1100" spc="-1" strike="noStrike">
              <a:solidFill>
                <a:srgbClr val="000000"/>
              </a:solidFill>
              <a:latin typeface="Calibri"/>
            </a:rPr>
            <a:t>ITR target input data</a:t>
          </a:r>
          <a:r>
            <a:rPr b="0" lang="en-US" sz="1100" spc="-1" strike="noStrike">
              <a:solidFill>
                <a:srgbClr val="000000"/>
              </a:solidFill>
              <a:latin typeface="Calibri"/>
            </a:rPr>
            <a:t>" tab. The </a:t>
          </a:r>
          <a:r>
            <a:rPr b="1" lang="en-US" sz="1100" spc="-1" strike="noStrike">
              <a:solidFill>
                <a:srgbClr val="000000"/>
              </a:solidFill>
              <a:latin typeface="Calibri"/>
            </a:rPr>
            <a:t>input data </a:t>
          </a:r>
          <a:r>
            <a:rPr b="0" lang="en-US" sz="1100" spc="-1" strike="noStrike">
              <a:solidFill>
                <a:srgbClr val="000000"/>
              </a:solidFill>
              <a:latin typeface="Calibri"/>
            </a:rPr>
            <a:t>includes both fundamental data as well as historic information on emissions and production levels for the past 5 years that are required to compute ITR results. The target data includes </a:t>
          </a:r>
          <a:r>
            <a:rPr b="1" lang="en-US" sz="1100" spc="-1" strike="noStrike">
              <a:solidFill>
                <a:srgbClr val="000000"/>
              </a:solidFill>
              <a:latin typeface="Calibri"/>
            </a:rPr>
            <a:t>reduction ambition, scope, begin and end year of the target </a:t>
          </a:r>
          <a:r>
            <a:rPr b="0" lang="en-US" sz="1100" spc="-1" strike="noStrike">
              <a:solidFill>
                <a:srgbClr val="000000"/>
              </a:solidFill>
              <a:latin typeface="Calibri"/>
            </a:rPr>
            <a:t>also required to compute the ITR result.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Once you have filled the input and target templates...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b="0" lang="en-US" sz="1100" spc="-1" strike="noStrike">
            <a:latin typeface="Times New Roman"/>
          </a:endParaRPr>
        </a:p>
        <a:p>
          <a:pPr>
            <a:lnSpc>
              <a:spcPct val="100000"/>
            </a:lnSpc>
          </a:pPr>
          <a:r>
            <a:rPr b="0" lang="en-US" sz="1100" spc="-1" strike="noStrike">
              <a:solidFill>
                <a:srgbClr val="000000"/>
              </a:solidFill>
              <a:latin typeface="Calibri"/>
            </a:rPr>
            <a:t>Please contact the ITR tool team if you would like to add additional scenarios for testing or evaluation purposes.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b="0" lang="en-US" sz="1100" spc="-1" strike="noStrike">
            <a:latin typeface="Times New Roman"/>
          </a:endParaRPr>
        </a:p>
        <a:p>
          <a:pPr>
            <a:lnSpc>
              <a:spcPct val="100000"/>
            </a:lnSpc>
          </a:pPr>
          <a:r>
            <a:rPr b="0" lang="en-US" sz="1100" spc="-1" strike="noStrike">
              <a:solidFill>
                <a:srgbClr val="000000"/>
              </a:solidFill>
              <a:latin typeface="Calibri"/>
            </a:rPr>
            <a:t>* WATS = weighted average size of position in portfolio</a:t>
          </a:r>
          <a:endParaRPr b="0" lang="en-US" sz="1100" spc="-1" strike="noStrike">
            <a:latin typeface="Times New Roman"/>
          </a:endParaRPr>
        </a:p>
        <a:p>
          <a:pPr>
            <a:lnSpc>
              <a:spcPct val="100000"/>
            </a:lnSpc>
          </a:pPr>
          <a:r>
            <a:rPr b="0" lang="en-US" sz="1100" spc="-1" strike="noStrike">
              <a:solidFill>
                <a:srgbClr val="000000"/>
              </a:solidFill>
              <a:latin typeface="Calibri"/>
            </a:rPr>
            <a:t>* TETS = weighted based on total emissions</a:t>
          </a:r>
          <a:endParaRPr b="0" lang="en-US" sz="1100" spc="-1" strike="noStrike">
            <a:latin typeface="Times New Roman"/>
          </a:endParaRPr>
        </a:p>
        <a:p>
          <a:pPr>
            <a:lnSpc>
              <a:spcPct val="100000"/>
            </a:lnSpc>
          </a:pPr>
          <a:r>
            <a:rPr b="0" lang="en-US" sz="1100" spc="-1" strike="noStrike">
              <a:solidFill>
                <a:srgbClr val="000000"/>
              </a:solidFill>
              <a:latin typeface="Calibri"/>
            </a:rPr>
            <a:t>* MOTS = market cap weights</a:t>
          </a:r>
          <a:endParaRPr b="0" lang="en-US" sz="1100" spc="-1" strike="noStrike">
            <a:latin typeface="Times New Roman"/>
          </a:endParaRPr>
        </a:p>
        <a:p>
          <a:pPr>
            <a:lnSpc>
              <a:spcPct val="100000"/>
            </a:lnSpc>
          </a:pPr>
          <a:r>
            <a:rPr b="0" lang="en-US" sz="1100" spc="-1" strike="noStrike">
              <a:solidFill>
                <a:srgbClr val="000000"/>
              </a:solidFill>
              <a:latin typeface="Calibri"/>
            </a:rPr>
            <a:t>* EOTS = enterprise value weights</a:t>
          </a:r>
          <a:endParaRPr b="0" lang="en-US" sz="1100" spc="-1" strike="noStrike">
            <a:latin typeface="Times New Roman"/>
          </a:endParaRPr>
        </a:p>
        <a:p>
          <a:pPr>
            <a:lnSpc>
              <a:spcPct val="100000"/>
            </a:lnSpc>
          </a:pPr>
          <a:r>
            <a:rPr b="0" lang="en-US" sz="1100" spc="-1" strike="noStrike">
              <a:solidFill>
                <a:srgbClr val="000000"/>
              </a:solidFill>
              <a:latin typeface="Calibri"/>
            </a:rPr>
            <a:t>* ECOTS = EVIC weights</a:t>
          </a:r>
          <a:endParaRPr b="0" lang="en-US" sz="1100" spc="-1" strike="noStrike">
            <a:latin typeface="Times New Roman"/>
          </a:endParaRPr>
        </a:p>
        <a:p>
          <a:pPr>
            <a:lnSpc>
              <a:spcPct val="100000"/>
            </a:lnSpc>
          </a:pPr>
          <a:r>
            <a:rPr b="0" lang="en-US" sz="1100" spc="-1" strike="noStrike">
              <a:solidFill>
                <a:srgbClr val="000000"/>
              </a:solidFill>
              <a:latin typeface="Calibri"/>
            </a:rPr>
            <a:t>* AOTS = asset weights</a:t>
          </a:r>
          <a:endParaRPr b="0" lang="en-US" sz="1100" spc="-1" strike="noStrike">
            <a:latin typeface="Times New Roman"/>
          </a:endParaRPr>
        </a:p>
        <a:p>
          <a:pPr>
            <a:lnSpc>
              <a:spcPct val="100000"/>
            </a:lnSpc>
          </a:pPr>
          <a:r>
            <a:rPr b="0" lang="en-US" sz="1100" spc="-1" strike="noStrike">
              <a:solidFill>
                <a:srgbClr val="000000"/>
              </a:solidFill>
              <a:latin typeface="Calibri"/>
            </a:rPr>
            <a:t>* ROTS = revenue weights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i="1" lang="en-US" sz="1100" spc="-1" strike="noStrike">
              <a:solidFill>
                <a:srgbClr val="000000"/>
              </a:solidFill>
              <a:latin typeface="Calibri"/>
            </a:rPr>
            <a:t>If you have any questions, please reach out to: </a:t>
          </a:r>
          <a:endParaRPr b="0" lang="en-US" sz="1100" spc="-1" strike="noStrike">
            <a:latin typeface="Times New Roman"/>
          </a:endParaRPr>
        </a:p>
        <a:p>
          <a:pPr>
            <a:lnSpc>
              <a:spcPct val="100000"/>
            </a:lnSpc>
          </a:pPr>
          <a:r>
            <a:rPr b="0" lang="en-US" sz="1100" spc="-1" strike="noStrike">
              <a:solidFill>
                <a:srgbClr val="000000"/>
              </a:solidFill>
              <a:latin typeface="Calibri"/>
            </a:rPr>
            <a:t>Franz.Croonenbrock@metafinanz.de</a:t>
          </a:r>
          <a:endParaRPr b="0" lang="en-US" sz="1100" spc="-1" strike="noStrike">
            <a:latin typeface="Times New Roman"/>
          </a:endParaRPr>
        </a:p>
        <a:p>
          <a:pPr>
            <a:lnSpc>
              <a:spcPct val="100000"/>
            </a:lnSpc>
          </a:pPr>
          <a:r>
            <a:rPr b="0" lang="en-US" sz="1100" spc="-1" strike="noStrike">
              <a:solidFill>
                <a:srgbClr val="000000"/>
              </a:solidFill>
              <a:latin typeface="Calibri"/>
            </a:rPr>
            <a:t>roland.oehen-kanzow@metafinanz.de</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8" zoomScaleNormal="78" zoomScalePageLayoutView="100" workbookViewId="0">
      <selection pane="topLeft" activeCell="A1" activeCellId="0" sqref="A1"/>
    </sheetView>
  </sheetViews>
  <sheetFormatPr defaultColWidth="8.70703125" defaultRowHeight="15" zeroHeight="false" outlineLevelRow="0" outlineLevelCol="0"/>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Z73"/>
  <sheetViews>
    <sheetView showFormulas="false" showGridLines="true" showRowColHeaders="true" showZeros="true" rightToLeft="false" tabSelected="true" showOutlineSymbols="true" defaultGridColor="true" view="normal" topLeftCell="A1" colorId="64" zoomScale="78" zoomScaleNormal="78"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50" activeCellId="0" sqref="C50"/>
    </sheetView>
  </sheetViews>
  <sheetFormatPr defaultColWidth="16.55078125" defaultRowHeight="15" zeroHeight="false" outlineLevelRow="0" outlineLevelCol="0"/>
  <cols>
    <col collapsed="false" customWidth="true" hidden="false" outlineLevel="0" max="2" min="2" style="1" width="26.7"/>
    <col collapsed="false" customWidth="false" hidden="false" outlineLevel="0" max="5" min="5" style="2" width="16.48"/>
    <col collapsed="false" customWidth="false" hidden="false" outlineLevel="0" max="7" min="7" style="1" width="16.48"/>
    <col collapsed="false" customWidth="false" hidden="false" outlineLevel="0" max="9" min="9" style="3" width="16.48"/>
    <col collapsed="false" customWidth="true" hidden="false" outlineLevel="0" max="15" min="14" style="0" width="25.67"/>
    <col collapsed="false" customWidth="true" hidden="false" outlineLevel="0" max="16" min="16" style="0" width="22.16"/>
    <col collapsed="false" customWidth="false" hidden="false" outlineLevel="0" max="23" min="23" style="4" width="16.48"/>
    <col collapsed="false" customWidth="false" hidden="false" outlineLevel="0" max="30" min="30" style="4" width="16.48"/>
    <col collapsed="false" customWidth="true" hidden="false" outlineLevel="0" max="49" min="45" style="0" width="16.67"/>
  </cols>
  <sheetData>
    <row r="1" s="17" customFormat="true" ht="15.75" hidden="false" customHeight="false" outlineLevel="0" collapsed="false">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customFormat="false" ht="15" hidden="false" customHeight="false" outlineLevel="0" collapsed="false">
      <c r="A2" s="0" t="s">
        <v>51</v>
      </c>
      <c r="B2" s="1" t="s">
        <v>52</v>
      </c>
      <c r="C2" s="0" t="s">
        <v>53</v>
      </c>
      <c r="D2" s="0" t="s">
        <v>54</v>
      </c>
      <c r="E2" s="1"/>
      <c r="F2" s="0" t="s">
        <v>55</v>
      </c>
      <c r="G2" s="1" t="s">
        <v>56</v>
      </c>
      <c r="H2" s="0" t="s">
        <v>57</v>
      </c>
      <c r="I2" s="3" t="n">
        <v>44196</v>
      </c>
      <c r="J2" s="0" t="n">
        <v>9420000000</v>
      </c>
      <c r="K2" s="0" t="n">
        <v>10189000000</v>
      </c>
      <c r="L2" s="0" t="n">
        <v>8652000000</v>
      </c>
      <c r="M2" s="0" t="n">
        <v>9681000000</v>
      </c>
      <c r="N2" s="0" t="n">
        <v>33648000000</v>
      </c>
      <c r="O2" s="0" t="s">
        <v>58</v>
      </c>
      <c r="P2" s="0" t="s">
        <v>59</v>
      </c>
      <c r="Q2" s="18" t="n">
        <v>70457000</v>
      </c>
      <c r="R2" s="18" t="n">
        <v>59804000</v>
      </c>
      <c r="S2" s="18" t="n">
        <v>50291000</v>
      </c>
      <c r="T2" s="18" t="n">
        <v>45611000</v>
      </c>
      <c r="U2" s="18" t="n">
        <v>42961000</v>
      </c>
      <c r="V2" s="18" t="n">
        <v>41202392</v>
      </c>
      <c r="W2" s="18"/>
      <c r="X2" s="18" t="n">
        <v>306000</v>
      </c>
      <c r="Y2" s="18" t="n">
        <v>220000</v>
      </c>
      <c r="Z2" s="18" t="n">
        <v>314000</v>
      </c>
      <c r="AA2" s="18" t="n">
        <v>324000</v>
      </c>
      <c r="AB2" s="18" t="n">
        <v>254000</v>
      </c>
      <c r="AC2" s="18" t="n">
        <v>253302</v>
      </c>
      <c r="AD2" s="18"/>
      <c r="AE2" s="19" t="n">
        <f aca="false">IF(ISBLANK(Q2),IF(ISBLANK(X2),"",X2),Q2+X2)</f>
        <v>70763000</v>
      </c>
      <c r="AF2" s="19" t="n">
        <f aca="false">IF(ISBLANK(R2),IF(ISBLANK(Y2),"",Y2),R2+Y2)</f>
        <v>60024000</v>
      </c>
      <c r="AG2" s="19" t="n">
        <f aca="false">IF(ISBLANK(S2),IF(ISBLANK(Z2),"",Z2),S2+Z2)</f>
        <v>50605000</v>
      </c>
      <c r="AH2" s="19" t="n">
        <f aca="false">IF(ISBLANK(T2),IF(ISBLANK(AA2),"",AA2),T2+AA2)</f>
        <v>45935000</v>
      </c>
      <c r="AI2" s="19" t="n">
        <f aca="false">IF(ISBLANK(U2),IF(ISBLANK(AB2),"",AB2),U2+AB2)</f>
        <v>43215000</v>
      </c>
      <c r="AJ2" s="19" t="n">
        <f aca="false">IF(ISBLANK(V2),IF(ISBLANK(AC2),"",AC2),V2+AC2)</f>
        <v>41455694</v>
      </c>
      <c r="AK2" s="19" t="str">
        <f aca="false">IF(ISBLANK(W2),IF(ISBLANK(AD2),"",AD2),W2+AD2)</f>
        <v/>
      </c>
      <c r="AL2" s="18" t="n">
        <v>5864000</v>
      </c>
      <c r="AM2" s="18" t="n">
        <f aca="false">13871000+800</f>
        <v>13871800</v>
      </c>
      <c r="AN2" s="18" t="n">
        <f aca="false">10070000+1100</f>
        <v>10071100</v>
      </c>
      <c r="AO2" s="18" t="n">
        <f aca="false">9972000+1200</f>
        <v>9973200</v>
      </c>
      <c r="AP2" s="18" t="n">
        <f aca="false">7269000+200</f>
        <v>7269200</v>
      </c>
      <c r="AQ2" s="18" t="n">
        <f aca="false">7350511+527</f>
        <v>7351038</v>
      </c>
      <c r="AR2" s="18"/>
      <c r="AS2" s="0" t="n">
        <v>104312</v>
      </c>
      <c r="AT2" s="0" t="n">
        <f aca="false">(AS2+AU2)/2</f>
        <v>94148.97</v>
      </c>
      <c r="AU2" s="0" t="n">
        <v>83985.94</v>
      </c>
      <c r="AV2" s="0" t="n">
        <v>75904.355</v>
      </c>
      <c r="AW2" s="0" t="n">
        <v>75271.522</v>
      </c>
      <c r="AX2" s="18" t="n">
        <v>72506.148</v>
      </c>
      <c r="AY2" s="18"/>
      <c r="AZ2" s="18"/>
    </row>
    <row r="3" customFormat="false" ht="13.8" hidden="false" customHeight="false" outlineLevel="0" collapsed="false">
      <c r="A3" s="0" t="s">
        <v>60</v>
      </c>
      <c r="B3" s="1" t="s">
        <v>61</v>
      </c>
      <c r="C3" s="0" t="s">
        <v>62</v>
      </c>
      <c r="D3" s="0" t="s">
        <v>54</v>
      </c>
      <c r="E3" s="1" t="s">
        <v>63</v>
      </c>
      <c r="F3" s="0" t="s">
        <v>55</v>
      </c>
      <c r="G3" s="1" t="s">
        <v>56</v>
      </c>
      <c r="H3" s="0" t="s">
        <v>57</v>
      </c>
      <c r="I3" s="0" t="n">
        <v>2019</v>
      </c>
      <c r="J3" s="0" t="n">
        <v>4285299935</v>
      </c>
      <c r="K3" s="0" t="n">
        <v>1240500000</v>
      </c>
      <c r="L3" s="0" t="n">
        <v>5829799935</v>
      </c>
      <c r="M3" s="0" t="n">
        <v>5899099935</v>
      </c>
      <c r="N3" s="0" t="n">
        <v>5482800000</v>
      </c>
      <c r="O3" s="0" t="s">
        <v>64</v>
      </c>
      <c r="P3" s="0" t="s">
        <v>65</v>
      </c>
      <c r="Q3" s="0" t="n">
        <v>8.02879152463168</v>
      </c>
      <c r="R3" s="0" t="n">
        <v>6.56607016673572</v>
      </c>
      <c r="S3" s="0" t="n">
        <v>6.62201886746863</v>
      </c>
      <c r="T3" s="0" t="n">
        <v>4.22336614893355</v>
      </c>
      <c r="U3" s="0" t="n">
        <v>3.7507315607425</v>
      </c>
      <c r="V3" s="0" t="n">
        <v>4.22336614893355</v>
      </c>
      <c r="W3" s="0"/>
      <c r="X3" s="0" t="n">
        <v>0</v>
      </c>
      <c r="Y3" s="0" t="n">
        <v>0</v>
      </c>
      <c r="Z3" s="0" t="n">
        <v>0</v>
      </c>
      <c r="AA3" s="0" t="n">
        <v>0</v>
      </c>
      <c r="AB3" s="0" t="n">
        <v>0</v>
      </c>
      <c r="AC3" s="0" t="n">
        <v>0</v>
      </c>
      <c r="AD3" s="0"/>
      <c r="AE3" s="19" t="n">
        <f aca="false">IF(ISBLANK(Q3),IF(ISBLANK(X3),"",X3),Q3+X3)</f>
        <v>8.02879152463168</v>
      </c>
      <c r="AF3" s="19" t="n">
        <f aca="false">IF(ISBLANK(R3),IF(ISBLANK(Y3),"",Y3),R3+Y3)</f>
        <v>6.56607016673572</v>
      </c>
      <c r="AG3" s="19" t="n">
        <f aca="false">IF(ISBLANK(S3),IF(ISBLANK(Z3),"",Z3),S3+Z3)</f>
        <v>6.62201886746863</v>
      </c>
      <c r="AH3" s="19" t="n">
        <f aca="false">IF(ISBLANK(T3),IF(ISBLANK(AA3),"",AA3),T3+AA3)</f>
        <v>4.22336614893355</v>
      </c>
      <c r="AI3" s="19" t="n">
        <f aca="false">IF(ISBLANK(U3),IF(ISBLANK(AB3),"",AB3),U3+AB3)</f>
        <v>3.7507315607425</v>
      </c>
      <c r="AJ3" s="19" t="n">
        <f aca="false">IF(ISBLANK(V3),IF(ISBLANK(AC3),"",AC3),V3+AC3)</f>
        <v>4.22336614893355</v>
      </c>
      <c r="AK3" s="19" t="str">
        <f aca="false">IF(ISBLANK(W3),IF(ISBLANK(AD3),"",AD3),W3+AD3)</f>
        <v/>
      </c>
      <c r="AS3" s="0" t="n">
        <v>10.31112698</v>
      </c>
      <c r="AT3" s="0" t="n">
        <v>9.0333662</v>
      </c>
      <c r="AU3" s="0" t="n">
        <v>8.743458</v>
      </c>
      <c r="AV3" s="0" t="n">
        <v>6.4909062</v>
      </c>
      <c r="AW3" s="0" t="n">
        <v>6.0783424</v>
      </c>
      <c r="AX3" s="0" t="n">
        <v>6.4909062</v>
      </c>
    </row>
    <row r="4" customFormat="false" ht="15" hidden="false" customHeight="false" outlineLevel="0" collapsed="false">
      <c r="A4" s="0" t="s">
        <v>66</v>
      </c>
      <c r="B4" s="1" t="s">
        <v>67</v>
      </c>
      <c r="C4" s="0" t="s">
        <v>68</v>
      </c>
      <c r="D4" s="0" t="s">
        <v>54</v>
      </c>
      <c r="E4" s="1" t="s">
        <v>63</v>
      </c>
      <c r="F4" s="0" t="s">
        <v>55</v>
      </c>
      <c r="G4" s="1" t="s">
        <v>56</v>
      </c>
      <c r="H4" s="0" t="s">
        <v>57</v>
      </c>
      <c r="I4" s="0" t="n">
        <v>2019</v>
      </c>
      <c r="J4" s="0" t="n">
        <v>11600000000</v>
      </c>
      <c r="K4" s="0" t="n">
        <v>3647700000</v>
      </c>
      <c r="L4" s="0" t="n">
        <v>18503600000</v>
      </c>
      <c r="M4" s="0" t="n">
        <v>18519900000</v>
      </c>
      <c r="N4" s="0" t="n">
        <v>16700700000</v>
      </c>
      <c r="O4" s="0" t="s">
        <v>64</v>
      </c>
      <c r="P4" s="0" t="s">
        <v>65</v>
      </c>
      <c r="Q4" s="0" t="n">
        <v>12.2470838178921</v>
      </c>
      <c r="R4" s="0" t="n">
        <v>13.5958064794906</v>
      </c>
      <c r="S4" s="0" t="n">
        <v>14.5804238153298</v>
      </c>
      <c r="T4" s="0" t="n">
        <v>11.098764958614</v>
      </c>
      <c r="U4" s="0" t="n">
        <v>11.0377558529367</v>
      </c>
      <c r="W4" s="0"/>
      <c r="X4" s="0" t="n">
        <v>0</v>
      </c>
      <c r="Y4" s="0" t="n">
        <v>0</v>
      </c>
      <c r="Z4" s="0" t="n">
        <v>0</v>
      </c>
      <c r="AA4" s="0" t="n">
        <v>0</v>
      </c>
      <c r="AB4" s="0" t="n">
        <v>0</v>
      </c>
      <c r="AD4" s="0"/>
      <c r="AE4" s="19" t="n">
        <f aca="false">IF(ISBLANK(Q4),IF(ISBLANK(X4),"",X4),Q4+X4)</f>
        <v>12.2470838178921</v>
      </c>
      <c r="AF4" s="19" t="n">
        <f aca="false">IF(ISBLANK(R4),IF(ISBLANK(Y4),"",Y4),R4+Y4)</f>
        <v>13.5958064794906</v>
      </c>
      <c r="AG4" s="19" t="n">
        <f aca="false">IF(ISBLANK(S4),IF(ISBLANK(Z4),"",Z4),S4+Z4)</f>
        <v>14.5804238153298</v>
      </c>
      <c r="AH4" s="19" t="n">
        <f aca="false">IF(ISBLANK(T4),IF(ISBLANK(AA4),"",AA4),T4+AA4)</f>
        <v>11.098764958614</v>
      </c>
      <c r="AI4" s="19" t="n">
        <f aca="false">IF(ISBLANK(U4),IF(ISBLANK(AB4),"",AB4),U4+AB4)</f>
        <v>11.0377558529367</v>
      </c>
      <c r="AJ4" s="19" t="str">
        <f aca="false">IF(ISBLANK(V4),IF(ISBLANK(AC4),"",AC4),V4+AC4)</f>
        <v/>
      </c>
      <c r="AK4" s="19" t="str">
        <f aca="false">IF(ISBLANK(W4),IF(ISBLANK(AD4),"",AD4),W4+AD4)</f>
        <v/>
      </c>
      <c r="AS4" s="0" t="n">
        <v>16.476443515</v>
      </c>
      <c r="AT4" s="0" t="n">
        <v>18.56133809</v>
      </c>
      <c r="AU4" s="0" t="n">
        <v>21.667851863</v>
      </c>
      <c r="AV4" s="0" t="n">
        <v>20.5243372115</v>
      </c>
      <c r="AW4" s="0" t="n">
        <v>22.008184386</v>
      </c>
    </row>
    <row r="5" customFormat="false" ht="15" hidden="false" customHeight="false" outlineLevel="0" collapsed="false">
      <c r="A5" s="0" t="s">
        <v>69</v>
      </c>
      <c r="B5" s="1" t="s">
        <v>70</v>
      </c>
      <c r="C5" s="0" t="s">
        <v>71</v>
      </c>
      <c r="D5" s="0" t="s">
        <v>54</v>
      </c>
      <c r="E5" s="1" t="s">
        <v>63</v>
      </c>
      <c r="F5" s="0" t="s">
        <v>55</v>
      </c>
      <c r="G5" s="1" t="s">
        <v>56</v>
      </c>
      <c r="H5" s="0" t="s">
        <v>57</v>
      </c>
      <c r="I5" s="0" t="n">
        <v>2019</v>
      </c>
      <c r="J5" s="0" t="n">
        <v>18378774986</v>
      </c>
      <c r="K5" s="0" t="n">
        <v>5910000000</v>
      </c>
      <c r="L5" s="0" t="n">
        <v>27804774986</v>
      </c>
      <c r="M5" s="0" t="n">
        <v>27820774986</v>
      </c>
      <c r="N5" s="0" t="n">
        <v>28933000000</v>
      </c>
      <c r="O5" s="0" t="s">
        <v>64</v>
      </c>
      <c r="P5" s="0" t="s">
        <v>65</v>
      </c>
      <c r="Q5" s="0" t="n">
        <v>28.1469239747772</v>
      </c>
      <c r="R5" s="0" t="n">
        <v>31.1875095631154</v>
      </c>
      <c r="S5" s="0" t="n">
        <v>30.6720137556736</v>
      </c>
      <c r="T5" s="0" t="n">
        <v>23.4097082742065</v>
      </c>
      <c r="U5" s="0" t="n">
        <v>25.7994940984974</v>
      </c>
      <c r="W5" s="0"/>
      <c r="X5" s="0" t="n">
        <v>0</v>
      </c>
      <c r="Y5" s="0" t="n">
        <v>0</v>
      </c>
      <c r="Z5" s="0" t="n">
        <v>0</v>
      </c>
      <c r="AA5" s="0" t="n">
        <v>0</v>
      </c>
      <c r="AB5" s="0" t="n">
        <v>0</v>
      </c>
      <c r="AD5" s="0"/>
      <c r="AE5" s="19" t="n">
        <f aca="false">IF(ISBLANK(Q5),IF(ISBLANK(X5),"",X5),Q5+X5)</f>
        <v>28.1469239747772</v>
      </c>
      <c r="AF5" s="19" t="n">
        <f aca="false">IF(ISBLANK(R5),IF(ISBLANK(Y5),"",Y5),R5+Y5)</f>
        <v>31.1875095631154</v>
      </c>
      <c r="AG5" s="19" t="n">
        <f aca="false">IF(ISBLANK(S5),IF(ISBLANK(Z5),"",Z5),S5+Z5)</f>
        <v>30.6720137556736</v>
      </c>
      <c r="AH5" s="19" t="n">
        <f aca="false">IF(ISBLANK(T5),IF(ISBLANK(AA5),"",AA5),T5+AA5)</f>
        <v>23.4097082742065</v>
      </c>
      <c r="AI5" s="19" t="n">
        <f aca="false">IF(ISBLANK(U5),IF(ISBLANK(AB5),"",AB5),U5+AB5)</f>
        <v>25.7994940984974</v>
      </c>
      <c r="AJ5" s="19" t="str">
        <f aca="false">IF(ISBLANK(V5),IF(ISBLANK(AC5),"",AC5),V5+AC5)</f>
        <v/>
      </c>
      <c r="AK5" s="19" t="str">
        <f aca="false">IF(ISBLANK(W5),IF(ISBLANK(AD5),"",AD5),W5+AD5)</f>
        <v/>
      </c>
      <c r="AS5" s="0" t="n">
        <v>38.509235</v>
      </c>
      <c r="AT5" s="0" t="n">
        <v>40.953088</v>
      </c>
      <c r="AU5" s="0" t="n">
        <v>42.757388</v>
      </c>
      <c r="AV5" s="0" t="n">
        <v>35.416853</v>
      </c>
      <c r="AW5" s="0" t="n">
        <v>35.824987</v>
      </c>
    </row>
    <row r="6" customFormat="false" ht="15" hidden="false" customHeight="false" outlineLevel="0" collapsed="false">
      <c r="A6" s="0" t="s">
        <v>72</v>
      </c>
      <c r="B6" s="1" t="s">
        <v>73</v>
      </c>
      <c r="C6" s="0" t="s">
        <v>74</v>
      </c>
      <c r="D6" s="0" t="s">
        <v>54</v>
      </c>
      <c r="E6" s="1" t="s">
        <v>63</v>
      </c>
      <c r="F6" s="0" t="s">
        <v>55</v>
      </c>
      <c r="G6" s="1" t="s">
        <v>56</v>
      </c>
      <c r="H6" s="0" t="s">
        <v>57</v>
      </c>
      <c r="I6" s="0" t="n">
        <v>2019</v>
      </c>
      <c r="J6" s="0" t="n">
        <v>43491855142</v>
      </c>
      <c r="K6" s="0" t="n">
        <v>15561400000</v>
      </c>
      <c r="L6" s="0" t="n">
        <v>73417055142</v>
      </c>
      <c r="M6" s="0" t="n">
        <v>73663855142</v>
      </c>
      <c r="N6" s="0" t="n">
        <v>75892300000</v>
      </c>
      <c r="O6" s="0" t="s">
        <v>64</v>
      </c>
      <c r="P6" s="0" t="s">
        <v>65</v>
      </c>
      <c r="Q6" s="0" t="n">
        <v>91.8005937765702</v>
      </c>
      <c r="R6" s="0" t="n">
        <v>66.975500250346</v>
      </c>
      <c r="S6" s="0" t="n">
        <v>66.4416258768835</v>
      </c>
      <c r="T6" s="0" t="n">
        <v>58.1302823134665</v>
      </c>
      <c r="U6" s="0" t="n">
        <v>43.9616275947863</v>
      </c>
      <c r="W6" s="0"/>
      <c r="X6" s="0" t="n">
        <v>0</v>
      </c>
      <c r="Y6" s="0" t="n">
        <v>0</v>
      </c>
      <c r="Z6" s="0" t="n">
        <v>0</v>
      </c>
      <c r="AA6" s="0" t="n">
        <v>0</v>
      </c>
      <c r="AB6" s="0" t="n">
        <v>0</v>
      </c>
      <c r="AD6" s="0"/>
      <c r="AE6" s="19" t="n">
        <f aca="false">IF(ISBLANK(Q6),IF(ISBLANK(X6),"",X6),Q6+X6)</f>
        <v>91.8005937765702</v>
      </c>
      <c r="AF6" s="19" t="n">
        <f aca="false">IF(ISBLANK(R6),IF(ISBLANK(Y6),"",Y6),R6+Y6)</f>
        <v>66.975500250346</v>
      </c>
      <c r="AG6" s="19" t="n">
        <f aca="false">IF(ISBLANK(S6),IF(ISBLANK(Z6),"",Z6),S6+Z6)</f>
        <v>66.4416258768835</v>
      </c>
      <c r="AH6" s="19" t="n">
        <f aca="false">IF(ISBLANK(T6),IF(ISBLANK(AA6),"",AA6),T6+AA6)</f>
        <v>58.1302823134665</v>
      </c>
      <c r="AI6" s="19" t="n">
        <f aca="false">IF(ISBLANK(U6),IF(ISBLANK(AB6),"",AB6),U6+AB6)</f>
        <v>43.9616275947863</v>
      </c>
      <c r="AJ6" s="19" t="str">
        <f aca="false">IF(ISBLANK(V6),IF(ISBLANK(AC6),"",AC6),V6+AC6)</f>
        <v/>
      </c>
      <c r="AK6" s="19" t="str">
        <f aca="false">IF(ISBLANK(W6),IF(ISBLANK(AD6),"",AD6),W6+AD6)</f>
        <v/>
      </c>
      <c r="AS6" s="0" t="n">
        <v>127.7698075333</v>
      </c>
      <c r="AT6" s="0" t="n">
        <v>93.8273550388488</v>
      </c>
      <c r="AU6" s="0" t="n">
        <v>93.5412889494911</v>
      </c>
      <c r="AV6" s="0" t="n">
        <v>83.9624930964999</v>
      </c>
      <c r="AW6" s="0" t="n">
        <v>71.7325673733</v>
      </c>
    </row>
    <row r="7" customFormat="false" ht="15" hidden="false" customHeight="false" outlineLevel="0" collapsed="false">
      <c r="A7" s="0" t="s">
        <v>75</v>
      </c>
      <c r="B7" s="1" t="s">
        <v>76</v>
      </c>
      <c r="C7" s="0" t="s">
        <v>77</v>
      </c>
      <c r="D7" s="0" t="s">
        <v>54</v>
      </c>
      <c r="E7" s="1"/>
      <c r="F7" s="0" t="s">
        <v>55</v>
      </c>
      <c r="G7" s="1" t="s">
        <v>56</v>
      </c>
      <c r="H7" s="0" t="s">
        <v>57</v>
      </c>
      <c r="I7" s="3" t="n">
        <v>44196</v>
      </c>
      <c r="J7" s="0" t="n">
        <v>2374000000</v>
      </c>
      <c r="K7" s="0" t="n">
        <v>6336000000</v>
      </c>
      <c r="L7" s="0" t="n">
        <v>10364000000</v>
      </c>
      <c r="M7" s="0" t="n">
        <v>10542000000</v>
      </c>
      <c r="N7" s="0" t="n">
        <v>34394000000</v>
      </c>
      <c r="O7" s="0" t="s">
        <v>58</v>
      </c>
      <c r="P7" s="0" t="s">
        <v>59</v>
      </c>
      <c r="Q7" s="20" t="n">
        <v>1040335</v>
      </c>
      <c r="R7" s="20" t="n">
        <v>965570</v>
      </c>
      <c r="S7" s="0" t="n">
        <v>1363231</v>
      </c>
      <c r="T7" s="0" t="n">
        <v>1934393</v>
      </c>
      <c r="U7" s="0" t="n">
        <v>1416448</v>
      </c>
      <c r="X7" s="0" t="n">
        <v>0</v>
      </c>
      <c r="Y7" s="0" t="n">
        <v>0</v>
      </c>
      <c r="Z7" s="0" t="n">
        <v>381533</v>
      </c>
      <c r="AA7" s="0" t="n">
        <v>231192</v>
      </c>
      <c r="AB7" s="0" t="n">
        <v>297283</v>
      </c>
      <c r="AE7" s="19" t="n">
        <f aca="false">IF(ISBLANK(Q7),IF(ISBLANK(X7),"",X7),Q7+X7)</f>
        <v>1040335</v>
      </c>
      <c r="AF7" s="19" t="n">
        <f aca="false">IF(ISBLANK(R7),IF(ISBLANK(Y7),"",Y7),R7+Y7)</f>
        <v>965570</v>
      </c>
      <c r="AG7" s="19" t="n">
        <f aca="false">IF(ISBLANK(S7),IF(ISBLANK(Z7),"",Z7),S7+Z7)</f>
        <v>1744764</v>
      </c>
      <c r="AH7" s="19" t="n">
        <f aca="false">IF(ISBLANK(T7),IF(ISBLANK(AA7),"",AA7),T7+AA7)</f>
        <v>2165585</v>
      </c>
      <c r="AI7" s="19" t="n">
        <f aca="false">IF(ISBLANK(U7),IF(ISBLANK(AB7),"",AB7),U7+AB7)</f>
        <v>1713731</v>
      </c>
      <c r="AJ7" s="19" t="str">
        <f aca="false">IF(ISBLANK(V7),IF(ISBLANK(AC7),"",AC7),V7+AC7)</f>
        <v/>
      </c>
      <c r="AK7" s="19" t="str">
        <f aca="false">IF(ISBLANK(W7),IF(ISBLANK(AD7),"",AD7),W7+AD7)</f>
        <v/>
      </c>
      <c r="AN7" s="0" t="n">
        <v>21590220</v>
      </c>
      <c r="AO7" s="0" t="n">
        <v>19892852</v>
      </c>
      <c r="AP7" s="0" t="n">
        <v>24528246</v>
      </c>
      <c r="AS7" s="21" t="n">
        <v>17912</v>
      </c>
      <c r="AT7" s="21" t="n">
        <v>18104</v>
      </c>
      <c r="AU7" s="0" t="n">
        <v>20057</v>
      </c>
      <c r="AV7" s="0" t="n">
        <v>20960</v>
      </c>
      <c r="AW7" s="0" t="n">
        <v>22142</v>
      </c>
    </row>
    <row r="8" customFormat="false" ht="15" hidden="false" customHeight="false" outlineLevel="0" collapsed="false">
      <c r="A8" s="0" t="s">
        <v>78</v>
      </c>
      <c r="B8" s="1" t="s">
        <v>79</v>
      </c>
      <c r="C8" s="0" t="s">
        <v>80</v>
      </c>
      <c r="D8" s="0" t="s">
        <v>54</v>
      </c>
      <c r="E8" s="1"/>
      <c r="F8" s="0" t="s">
        <v>55</v>
      </c>
      <c r="G8" s="1" t="s">
        <v>56</v>
      </c>
      <c r="H8" s="0" t="s">
        <v>57</v>
      </c>
      <c r="I8" s="3" t="n">
        <v>44196</v>
      </c>
      <c r="J8" s="0" t="n">
        <v>3528768075</v>
      </c>
      <c r="K8" s="0" t="n">
        <v>1734900000</v>
      </c>
      <c r="L8" s="0" t="n">
        <v>6659087075</v>
      </c>
      <c r="M8" s="0" t="n">
        <v>6668864075</v>
      </c>
      <c r="N8" s="0" t="n">
        <v>7558457000</v>
      </c>
      <c r="O8" s="0" t="s">
        <v>58</v>
      </c>
      <c r="P8" s="0" t="s">
        <v>81</v>
      </c>
      <c r="S8" s="20" t="n">
        <v>4063143</v>
      </c>
      <c r="T8" s="20" t="n">
        <v>3963128</v>
      </c>
      <c r="U8" s="20" t="n">
        <v>4036591</v>
      </c>
      <c r="Z8" s="20" t="n">
        <v>1300042</v>
      </c>
      <c r="AA8" s="20" t="n">
        <v>1219954</v>
      </c>
      <c r="AB8" s="20" t="n">
        <v>1001588</v>
      </c>
      <c r="AE8" s="19" t="str">
        <f aca="false">IF(ISBLANK(Q8),IF(ISBLANK(X8),"",X8),Q8+X8)</f>
        <v/>
      </c>
      <c r="AF8" s="19" t="str">
        <f aca="false">IF(ISBLANK(R8),IF(ISBLANK(Y8),"",Y8),R8+Y8)</f>
        <v/>
      </c>
      <c r="AG8" s="19" t="n">
        <f aca="false">IF(ISBLANK(S8),IF(ISBLANK(Z8),"",Z8),S8+Z8)</f>
        <v>5363185</v>
      </c>
      <c r="AH8" s="19" t="n">
        <f aca="false">IF(ISBLANK(T8),IF(ISBLANK(AA8),"",AA8),T8+AA8)</f>
        <v>5183082</v>
      </c>
      <c r="AI8" s="19" t="n">
        <f aca="false">IF(ISBLANK(U8),IF(ISBLANK(AB8),"",AB8),U8+AB8)</f>
        <v>5038179</v>
      </c>
      <c r="AJ8" s="19" t="str">
        <f aca="false">IF(ISBLANK(V8),IF(ISBLANK(AC8),"",AC8),V8+AC8)</f>
        <v/>
      </c>
      <c r="AK8" s="19" t="str">
        <f aca="false">IF(ISBLANK(W8),IF(ISBLANK(AD8),"",AD8),W8+AD8)</f>
        <v/>
      </c>
      <c r="AU8" s="0" t="n">
        <v>7067031.093</v>
      </c>
      <c r="AV8" s="0" t="n">
        <v>7195251.49</v>
      </c>
      <c r="AW8" s="20" t="n">
        <v>7324609</v>
      </c>
    </row>
    <row r="9" customFormat="false" ht="13.8" hidden="false" customHeight="false" outlineLevel="0" collapsed="false">
      <c r="A9" s="0" t="s">
        <v>82</v>
      </c>
      <c r="B9" s="1" t="s">
        <v>83</v>
      </c>
      <c r="C9" s="0" t="s">
        <v>84</v>
      </c>
      <c r="D9" s="0" t="s">
        <v>85</v>
      </c>
      <c r="E9" s="1" t="s">
        <v>86</v>
      </c>
      <c r="F9" s="0" t="s">
        <v>87</v>
      </c>
      <c r="G9" s="1" t="s">
        <v>56</v>
      </c>
      <c r="H9" s="0" t="s">
        <v>57</v>
      </c>
      <c r="I9" s="3" t="n">
        <v>44561</v>
      </c>
      <c r="J9" s="22" t="n">
        <v>88050000000</v>
      </c>
      <c r="K9" s="22" t="n">
        <v>157730000000</v>
      </c>
      <c r="L9" s="22" t="n">
        <v>129010000000</v>
      </c>
      <c r="M9" s="0" t="n">
        <f aca="false">L9+33240000000</f>
        <v>162250000000</v>
      </c>
      <c r="N9" s="22" t="n">
        <v>287272000000</v>
      </c>
      <c r="O9" s="0" t="s">
        <v>64</v>
      </c>
      <c r="P9" s="0" t="s">
        <v>88</v>
      </c>
      <c r="R9" s="0" t="n">
        <v>50.5</v>
      </c>
      <c r="S9" s="20" t="n">
        <v>48.8</v>
      </c>
      <c r="T9" s="20" t="n">
        <v>49.2</v>
      </c>
      <c r="U9" s="20" t="n">
        <v>41.7</v>
      </c>
      <c r="V9" s="0" t="n">
        <v>33.2</v>
      </c>
      <c r="Y9" s="0" t="n">
        <v>6.1</v>
      </c>
      <c r="Z9" s="20" t="n">
        <v>5.4</v>
      </c>
      <c r="AA9" s="20" t="n">
        <v>5.2</v>
      </c>
      <c r="AB9" s="20" t="n">
        <v>3.8</v>
      </c>
      <c r="AC9" s="0" t="n">
        <v>2.4</v>
      </c>
      <c r="AE9" s="19" t="str">
        <f aca="false">IF(ISBLANK(Q9),IF(ISBLANK(X9),"",X9),Q9+X9)</f>
        <v/>
      </c>
      <c r="AF9" s="19" t="n">
        <f aca="false">IF(ISBLANK(R9),IF(ISBLANK(Y9),"",Y9),R9+Y9)</f>
        <v>56.6</v>
      </c>
      <c r="AG9" s="19" t="n">
        <f aca="false">IF(ISBLANK(S9),IF(ISBLANK(Z9),"",Z9),S9+Z9)</f>
        <v>54.2</v>
      </c>
      <c r="AH9" s="19" t="n">
        <f aca="false">IF(ISBLANK(T9),IF(ISBLANK(AA9),"",AA9),T9+AA9)</f>
        <v>54.4</v>
      </c>
      <c r="AI9" s="19" t="n">
        <f aca="false">IF(ISBLANK(U9),IF(ISBLANK(AB9),"",AB9),U9+AB9)</f>
        <v>45.5</v>
      </c>
      <c r="AJ9" s="19" t="n">
        <f aca="false">IF(ISBLANK(V9),IF(ISBLANK(AC9),"",AC9),V9+AC9)</f>
        <v>35.6</v>
      </c>
      <c r="AK9" s="19"/>
      <c r="AT9" s="23" t="n">
        <v>12570</v>
      </c>
      <c r="AU9" s="23" t="n">
        <v>12570</v>
      </c>
      <c r="AV9" s="0" t="n">
        <v>12570</v>
      </c>
      <c r="AW9" s="20" t="n">
        <v>10924</v>
      </c>
      <c r="AX9" s="0" t="n">
        <v>11086</v>
      </c>
    </row>
    <row r="10" customFormat="false" ht="15" hidden="false" customHeight="false" outlineLevel="0" collapsed="false">
      <c r="A10" s="0" t="s">
        <v>89</v>
      </c>
      <c r="B10" s="1" t="s">
        <v>90</v>
      </c>
      <c r="C10" s="0" t="s">
        <v>91</v>
      </c>
      <c r="D10" s="0" t="s">
        <v>54</v>
      </c>
      <c r="E10" s="1" t="s">
        <v>63</v>
      </c>
      <c r="F10" s="0" t="s">
        <v>92</v>
      </c>
      <c r="G10" s="1" t="s">
        <v>56</v>
      </c>
      <c r="H10" s="0" t="s">
        <v>57</v>
      </c>
      <c r="I10" s="0" t="n">
        <v>2019</v>
      </c>
      <c r="J10" s="0" t="n">
        <v>1687208892</v>
      </c>
      <c r="K10" s="0" t="n">
        <v>2380200000</v>
      </c>
      <c r="L10" s="0" t="n">
        <v>2210808892</v>
      </c>
      <c r="M10" s="0" t="n">
        <v>2237808892</v>
      </c>
      <c r="N10" s="0" t="n">
        <v>3187800000</v>
      </c>
      <c r="O10" s="24" t="s">
        <v>58</v>
      </c>
      <c r="P10" s="24" t="s">
        <v>93</v>
      </c>
      <c r="Q10" s="0" t="n">
        <v>298055</v>
      </c>
      <c r="R10" s="0" t="n">
        <v>298055</v>
      </c>
      <c r="S10" s="0" t="n">
        <v>298055</v>
      </c>
      <c r="T10" s="0" t="n">
        <v>298055</v>
      </c>
      <c r="U10" s="0" t="n">
        <v>292832.150987298</v>
      </c>
      <c r="W10" s="0"/>
      <c r="X10" s="0" t="n">
        <v>660000</v>
      </c>
      <c r="Y10" s="0" t="n">
        <v>660000</v>
      </c>
      <c r="Z10" s="0" t="n">
        <v>660000</v>
      </c>
      <c r="AA10" s="0" t="n">
        <v>660000</v>
      </c>
      <c r="AB10" s="0" t="n">
        <v>658435</v>
      </c>
      <c r="AD10" s="0"/>
      <c r="AE10" s="0" t="n">
        <v>958055</v>
      </c>
      <c r="AF10" s="0" t="n">
        <v>958055</v>
      </c>
      <c r="AG10" s="0" t="n">
        <v>958055</v>
      </c>
      <c r="AH10" s="0" t="n">
        <v>958055</v>
      </c>
      <c r="AI10" s="0" t="n">
        <v>951267.150987298</v>
      </c>
      <c r="AS10" s="0" t="n">
        <v>138831</v>
      </c>
      <c r="AT10" s="0" t="n">
        <v>138831</v>
      </c>
      <c r="AU10" s="0" t="n">
        <v>138831</v>
      </c>
      <c r="AV10" s="0" t="n">
        <v>138831</v>
      </c>
      <c r="AW10" s="0" t="n">
        <v>140944.858159875</v>
      </c>
    </row>
    <row r="11" customFormat="false" ht="13.8" hidden="false" customHeight="false" outlineLevel="0" collapsed="false">
      <c r="A11" s="0" t="s">
        <v>94</v>
      </c>
      <c r="B11" s="1" t="s">
        <v>95</v>
      </c>
      <c r="C11" s="0" t="s">
        <v>96</v>
      </c>
      <c r="D11" s="0" t="s">
        <v>54</v>
      </c>
      <c r="E11" s="1"/>
      <c r="F11" s="0" t="s">
        <v>87</v>
      </c>
      <c r="G11" s="1" t="s">
        <v>56</v>
      </c>
      <c r="H11" s="0" t="s">
        <v>57</v>
      </c>
      <c r="I11" s="3" t="n">
        <v>44561</v>
      </c>
      <c r="J11" s="22" t="n">
        <v>226210000000</v>
      </c>
      <c r="K11" s="22" t="n">
        <v>162465000000</v>
      </c>
      <c r="L11" s="22" t="n">
        <v>250506000000</v>
      </c>
      <c r="M11" s="0" t="n">
        <f aca="false">L11+5640000000</f>
        <v>256146000000</v>
      </c>
      <c r="N11" s="22" t="n">
        <v>239535000000</v>
      </c>
      <c r="O11" s="24" t="s">
        <v>64</v>
      </c>
      <c r="P11" s="24" t="s">
        <v>88</v>
      </c>
      <c r="R11" s="0" t="n">
        <v>63</v>
      </c>
      <c r="S11" s="0" t="n">
        <v>66</v>
      </c>
      <c r="T11" s="0" t="n">
        <v>62</v>
      </c>
      <c r="U11" s="0" t="n">
        <v>54</v>
      </c>
      <c r="V11" s="0" t="n">
        <v>57</v>
      </c>
      <c r="W11" s="0"/>
      <c r="Y11" s="0" t="n">
        <v>3</v>
      </c>
      <c r="Z11" s="0" t="n">
        <v>3</v>
      </c>
      <c r="AA11" s="0" t="n">
        <v>1</v>
      </c>
      <c r="AB11" s="0" t="n">
        <v>4</v>
      </c>
      <c r="AC11" s="0" t="n">
        <v>4</v>
      </c>
      <c r="AD11" s="0"/>
      <c r="AE11" s="19" t="str">
        <f aca="false">IF(ISBLANK(Q11),IF(ISBLANK(X11),"",X11),Q11+X11)</f>
        <v/>
      </c>
      <c r="AF11" s="19" t="n">
        <f aca="false">IF(ISBLANK(R11),IF(ISBLANK(Y11),"",Y11),R11+Y11)</f>
        <v>66</v>
      </c>
      <c r="AG11" s="19" t="n">
        <f aca="false">IF(ISBLANK(S11),IF(ISBLANK(Z11),"",Z11),S11+Z11)</f>
        <v>69</v>
      </c>
      <c r="AH11" s="19" t="n">
        <f aca="false">IF(ISBLANK(T11),IF(ISBLANK(AA11),"",AA11),T11+AA11)</f>
        <v>63</v>
      </c>
      <c r="AI11" s="19" t="n">
        <f aca="false">IF(ISBLANK(U11),IF(ISBLANK(AB11),"",AB11),U11+AB11)</f>
        <v>58</v>
      </c>
      <c r="AJ11" s="19" t="n">
        <f aca="false">IF(ISBLANK(V11),IF(ISBLANK(AC11),"",AC11),V11+AC11)</f>
        <v>61</v>
      </c>
      <c r="AM11" s="0" t="n">
        <f aca="false">377+365+613</f>
        <v>1355</v>
      </c>
      <c r="AN11" s="0" t="n">
        <f aca="false">396+380+628</f>
        <v>1404</v>
      </c>
      <c r="AO11" s="0" t="n">
        <f aca="false">412+382+639</f>
        <v>1433</v>
      </c>
      <c r="AP11" s="0" t="n">
        <f aca="false">412+372+583</f>
        <v>1367</v>
      </c>
      <c r="AQ11" s="0" t="n">
        <f aca="false">408+389+611</f>
        <v>1408</v>
      </c>
      <c r="AT11" s="0" t="n">
        <v>725</v>
      </c>
      <c r="AU11" s="0" t="n">
        <v>821</v>
      </c>
      <c r="AV11" s="0" t="n">
        <v>800</v>
      </c>
      <c r="AW11" s="0" t="n">
        <v>739</v>
      </c>
      <c r="AX11" s="0" t="n">
        <v>745</v>
      </c>
    </row>
    <row r="12" customFormat="false" ht="15" hidden="false" customHeight="false" outlineLevel="0" collapsed="false">
      <c r="A12" s="0" t="s">
        <v>97</v>
      </c>
      <c r="B12" s="1" t="s">
        <v>98</v>
      </c>
      <c r="C12" s="0" t="s">
        <v>99</v>
      </c>
      <c r="D12" s="0" t="s">
        <v>54</v>
      </c>
      <c r="E12" s="1" t="s">
        <v>63</v>
      </c>
      <c r="F12" s="0" t="s">
        <v>92</v>
      </c>
      <c r="G12" s="1" t="s">
        <v>56</v>
      </c>
      <c r="H12" s="0" t="s">
        <v>57</v>
      </c>
      <c r="I12" s="0" t="n">
        <v>2019</v>
      </c>
      <c r="J12" s="0" t="n">
        <v>2839987963</v>
      </c>
      <c r="K12" s="0" t="n">
        <v>1989900000</v>
      </c>
      <c r="L12" s="0" t="n">
        <v>4601187963</v>
      </c>
      <c r="M12" s="0" t="n">
        <v>4953787963</v>
      </c>
      <c r="N12" s="0" t="n">
        <v>3503800000</v>
      </c>
      <c r="O12" s="0" t="s">
        <v>58</v>
      </c>
      <c r="P12" s="0" t="s">
        <v>93</v>
      </c>
      <c r="Q12" s="0" t="n">
        <v>33209464.625</v>
      </c>
      <c r="R12" s="0" t="n">
        <v>32357763.7366</v>
      </c>
      <c r="S12" s="0" t="n">
        <v>31034981.66376</v>
      </c>
      <c r="T12" s="0" t="n">
        <v>30349904.4497999</v>
      </c>
      <c r="U12" s="0" t="n">
        <v>25607731.8795187</v>
      </c>
      <c r="W12" s="0"/>
      <c r="X12" s="0" t="n">
        <v>4431504.71564813</v>
      </c>
      <c r="Y12" s="0" t="n">
        <v>4473104.35658798</v>
      </c>
      <c r="Z12" s="0" t="n">
        <v>4413355.36969569</v>
      </c>
      <c r="AA12" s="0" t="n">
        <v>4426105.23596195</v>
      </c>
      <c r="AB12" s="0" t="n">
        <v>3671367</v>
      </c>
      <c r="AD12" s="0"/>
      <c r="AE12" s="0" t="n">
        <v>37640969.3406481</v>
      </c>
      <c r="AF12" s="0" t="n">
        <v>36830868.093188</v>
      </c>
      <c r="AG12" s="0" t="n">
        <v>35448337.0334557</v>
      </c>
      <c r="AH12" s="0" t="n">
        <v>34776009.6857618</v>
      </c>
      <c r="AI12" s="0" t="n">
        <v>29279098.8795187</v>
      </c>
      <c r="AL12" s="0" t="n">
        <v>1934075.55568</v>
      </c>
      <c r="AM12" s="0" t="n">
        <v>2449774.834</v>
      </c>
      <c r="AN12" s="0" t="n">
        <v>2449865.646</v>
      </c>
      <c r="AO12" s="0" t="n">
        <v>2194701.704</v>
      </c>
      <c r="AP12" s="0" t="n">
        <v>1851779.56275</v>
      </c>
      <c r="AS12" s="0" t="n">
        <v>89951800</v>
      </c>
      <c r="AT12" s="0" t="n">
        <v>90796200</v>
      </c>
      <c r="AU12" s="0" t="n">
        <v>89583400</v>
      </c>
      <c r="AV12" s="0" t="n">
        <v>89842200</v>
      </c>
      <c r="AW12" s="0" t="n">
        <v>74522333</v>
      </c>
    </row>
    <row r="13" customFormat="false" ht="15" hidden="false" customHeight="false" outlineLevel="0" collapsed="false">
      <c r="A13" s="0" t="s">
        <v>100</v>
      </c>
      <c r="B13" s="1" t="s">
        <v>101</v>
      </c>
      <c r="C13" s="0" t="s">
        <v>102</v>
      </c>
      <c r="D13" s="0" t="s">
        <v>54</v>
      </c>
      <c r="E13" s="1" t="s">
        <v>63</v>
      </c>
      <c r="F13" s="0" t="s">
        <v>55</v>
      </c>
      <c r="G13" s="1" t="s">
        <v>56</v>
      </c>
      <c r="H13" s="0" t="s">
        <v>57</v>
      </c>
      <c r="I13" s="0" t="n">
        <v>2019</v>
      </c>
      <c r="J13" s="0" t="n">
        <v>16352000000</v>
      </c>
      <c r="K13" s="0" t="n">
        <v>6845000000</v>
      </c>
      <c r="L13" s="0" t="n">
        <v>28163000000</v>
      </c>
      <c r="M13" s="0" t="n">
        <v>28303000000</v>
      </c>
      <c r="N13" s="0" t="n">
        <v>26837000000</v>
      </c>
      <c r="O13" s="0" t="s">
        <v>64</v>
      </c>
      <c r="P13" s="0" t="s">
        <v>65</v>
      </c>
      <c r="Q13" s="0" t="n">
        <v>12.6485763125094</v>
      </c>
      <c r="R13" s="0" t="n">
        <v>12.3810081237044</v>
      </c>
      <c r="S13" s="0" t="n">
        <v>12.2776147660451</v>
      </c>
      <c r="T13" s="0" t="n">
        <v>12.5129630568466</v>
      </c>
      <c r="U13" s="0" t="n">
        <v>10.7000607240442</v>
      </c>
      <c r="W13" s="0"/>
      <c r="X13" s="0" t="n">
        <v>0</v>
      </c>
      <c r="Y13" s="0" t="n">
        <v>0</v>
      </c>
      <c r="Z13" s="0" t="n">
        <v>0</v>
      </c>
      <c r="AA13" s="0" t="n">
        <v>0</v>
      </c>
      <c r="AB13" s="0" t="n">
        <v>0</v>
      </c>
      <c r="AD13" s="0"/>
      <c r="AE13" s="19" t="n">
        <f aca="false">IF(ISBLANK(Q13),IF(ISBLANK(X13),"",X13),Q13+X13)</f>
        <v>12.6485763125094</v>
      </c>
      <c r="AF13" s="19" t="n">
        <f aca="false">IF(ISBLANK(R13),IF(ISBLANK(Y13),"",Y13),R13+Y13)</f>
        <v>12.3810081237044</v>
      </c>
      <c r="AG13" s="19" t="n">
        <f aca="false">IF(ISBLANK(S13),IF(ISBLANK(Z13),"",Z13),S13+Z13)</f>
        <v>12.2776147660451</v>
      </c>
      <c r="AH13" s="19" t="n">
        <f aca="false">IF(ISBLANK(T13),IF(ISBLANK(AA13),"",AA13),T13+AA13)</f>
        <v>12.5129630568466</v>
      </c>
      <c r="AI13" s="19" t="n">
        <f aca="false">IF(ISBLANK(U13),IF(ISBLANK(AB13),"",AB13),U13+AB13)</f>
        <v>10.7000607240442</v>
      </c>
      <c r="AJ13" s="19" t="str">
        <f aca="false">IF(ISBLANK(V13),IF(ISBLANK(AC13),"",AC13),V13+AC13)</f>
        <v/>
      </c>
      <c r="AK13" s="19" t="str">
        <f aca="false">IF(ISBLANK(W13),IF(ISBLANK(AD13),"",AD13),W13+AD13)</f>
        <v/>
      </c>
      <c r="AS13" s="0" t="n">
        <v>16.6924518792268</v>
      </c>
      <c r="AT13" s="0" t="n">
        <v>16.1094990846277</v>
      </c>
      <c r="AU13" s="0" t="n">
        <v>15.767973619907</v>
      </c>
      <c r="AV13" s="0" t="n">
        <v>17.0235153303285</v>
      </c>
      <c r="AW13" s="0" t="n">
        <v>15.0148984595458</v>
      </c>
    </row>
    <row r="14" customFormat="false" ht="15" hidden="false" customHeight="false" outlineLevel="0" collapsed="false">
      <c r="A14" s="0" t="s">
        <v>103</v>
      </c>
      <c r="B14" s="1" t="s">
        <v>104</v>
      </c>
      <c r="C14" s="0" t="s">
        <v>105</v>
      </c>
      <c r="D14" s="0" t="s">
        <v>54</v>
      </c>
      <c r="E14" s="1" t="s">
        <v>63</v>
      </c>
      <c r="F14" s="0" t="s">
        <v>92</v>
      </c>
      <c r="G14" s="1" t="s">
        <v>56</v>
      </c>
      <c r="H14" s="0" t="s">
        <v>57</v>
      </c>
      <c r="I14" s="0" t="n">
        <v>2019</v>
      </c>
      <c r="J14" s="0" t="n">
        <v>1900000000</v>
      </c>
      <c r="K14" s="0" t="n">
        <v>5829002000</v>
      </c>
      <c r="L14" s="0" t="n">
        <v>1</v>
      </c>
      <c r="M14" s="0" t="n">
        <v>3154921000</v>
      </c>
      <c r="N14" s="0" t="n">
        <v>3758771000</v>
      </c>
      <c r="O14" s="24" t="s">
        <v>58</v>
      </c>
      <c r="P14" s="24" t="s">
        <v>93</v>
      </c>
      <c r="Q14" s="0" t="n">
        <v>1048006</v>
      </c>
      <c r="R14" s="0" t="n">
        <v>1048006</v>
      </c>
      <c r="S14" s="0" t="n">
        <v>1048006</v>
      </c>
      <c r="T14" s="0" t="n">
        <v>1048006</v>
      </c>
      <c r="U14" s="0" t="n">
        <v>1106156</v>
      </c>
      <c r="W14" s="0"/>
      <c r="X14" s="0" t="n">
        <v>2548437</v>
      </c>
      <c r="Y14" s="0" t="n">
        <v>2548437</v>
      </c>
      <c r="Z14" s="0" t="n">
        <v>2548437</v>
      </c>
      <c r="AA14" s="0" t="n">
        <v>1500431</v>
      </c>
      <c r="AB14" s="0" t="n">
        <v>1466830</v>
      </c>
      <c r="AD14" s="0"/>
      <c r="AE14" s="0" t="n">
        <v>3596443</v>
      </c>
      <c r="AF14" s="0" t="n">
        <v>3596443</v>
      </c>
      <c r="AG14" s="0" t="n">
        <v>3596443</v>
      </c>
      <c r="AH14" s="0" t="n">
        <v>2548437</v>
      </c>
      <c r="AI14" s="0" t="n">
        <v>2572986</v>
      </c>
      <c r="AS14" s="0" t="n">
        <v>5301216</v>
      </c>
      <c r="AT14" s="0" t="n">
        <v>5301216</v>
      </c>
      <c r="AU14" s="0" t="n">
        <v>5301216</v>
      </c>
      <c r="AV14" s="0" t="n">
        <v>5301216</v>
      </c>
      <c r="AW14" s="0" t="n">
        <v>5543677</v>
      </c>
    </row>
    <row r="15" customFormat="false" ht="15" hidden="false" customHeight="false" outlineLevel="0" collapsed="false">
      <c r="A15" s="0" t="s">
        <v>106</v>
      </c>
      <c r="B15" s="1" t="s">
        <v>107</v>
      </c>
      <c r="C15" s="0" t="s">
        <v>108</v>
      </c>
      <c r="D15" s="0" t="s">
        <v>54</v>
      </c>
      <c r="E15" s="1" t="s">
        <v>63</v>
      </c>
      <c r="F15" s="0" t="s">
        <v>55</v>
      </c>
      <c r="G15" s="1" t="s">
        <v>56</v>
      </c>
      <c r="H15" s="0" t="s">
        <v>57</v>
      </c>
      <c r="I15" s="0" t="n">
        <v>2019</v>
      </c>
      <c r="K15" s="0" t="n">
        <v>1639605000</v>
      </c>
      <c r="L15" s="0" t="n">
        <v>1</v>
      </c>
      <c r="M15" s="0" t="n">
        <v>1</v>
      </c>
      <c r="N15" s="0" t="n">
        <v>7476298000</v>
      </c>
      <c r="O15" s="0" t="s">
        <v>64</v>
      </c>
      <c r="P15" s="0" t="s">
        <v>65</v>
      </c>
      <c r="Q15" s="0" t="n">
        <v>9.98209123846366</v>
      </c>
      <c r="R15" s="0" t="n">
        <v>8.77918403163133</v>
      </c>
      <c r="S15" s="0" t="n">
        <v>9.30847178033761</v>
      </c>
      <c r="T15" s="0" t="n">
        <v>8.44801332815256</v>
      </c>
      <c r="U15" s="0" t="n">
        <v>8.05030324198624</v>
      </c>
      <c r="W15" s="0"/>
      <c r="X15" s="0" t="n">
        <v>0</v>
      </c>
      <c r="Y15" s="0" t="n">
        <v>0</v>
      </c>
      <c r="Z15" s="0" t="n">
        <v>0</v>
      </c>
      <c r="AA15" s="0" t="n">
        <v>0</v>
      </c>
      <c r="AB15" s="0" t="n">
        <v>0</v>
      </c>
      <c r="AD15" s="0"/>
      <c r="AE15" s="19" t="n">
        <f aca="false">IF(ISBLANK(Q15),IF(ISBLANK(X15),"",X15),Q15+X15)</f>
        <v>9.98209123846366</v>
      </c>
      <c r="AF15" s="19" t="n">
        <f aca="false">IF(ISBLANK(R15),IF(ISBLANK(Y15),"",Y15),R15+Y15)</f>
        <v>8.77918403163133</v>
      </c>
      <c r="AG15" s="19" t="n">
        <f aca="false">IF(ISBLANK(S15),IF(ISBLANK(Z15),"",Z15),S15+Z15)</f>
        <v>9.30847178033761</v>
      </c>
      <c r="AH15" s="19" t="n">
        <f aca="false">IF(ISBLANK(T15),IF(ISBLANK(AA15),"",AA15),T15+AA15)</f>
        <v>8.44801332815256</v>
      </c>
      <c r="AI15" s="19" t="n">
        <f aca="false">IF(ISBLANK(U15),IF(ISBLANK(AB15),"",AB15),U15+AB15)</f>
        <v>8.05030324198624</v>
      </c>
      <c r="AJ15" s="19" t="str">
        <f aca="false">IF(ISBLANK(V15),IF(ISBLANK(AC15),"",AC15),V15+AC15)</f>
        <v/>
      </c>
      <c r="AK15" s="19" t="str">
        <f aca="false">IF(ISBLANK(W15),IF(ISBLANK(AD15),"",AD15),W15+AD15)</f>
        <v/>
      </c>
      <c r="AS15" s="0" t="n">
        <v>13.5255815346925</v>
      </c>
      <c r="AT15" s="0" t="n">
        <v>11.5214877484265</v>
      </c>
      <c r="AU15" s="0" t="n">
        <v>12.1996466704801</v>
      </c>
      <c r="AV15" s="0" t="n">
        <v>12.8612387470939</v>
      </c>
      <c r="AW15" s="0" t="n">
        <v>12.0928293161312</v>
      </c>
    </row>
    <row r="16" customFormat="false" ht="15" hidden="false" customHeight="false" outlineLevel="0" collapsed="false">
      <c r="A16" s="0" t="s">
        <v>109</v>
      </c>
      <c r="B16" s="1" t="s">
        <v>110</v>
      </c>
      <c r="C16" s="0" t="s">
        <v>111</v>
      </c>
      <c r="D16" s="0" t="s">
        <v>54</v>
      </c>
      <c r="E16" s="1" t="s">
        <v>63</v>
      </c>
      <c r="F16" s="0" t="s">
        <v>55</v>
      </c>
      <c r="G16" s="1" t="s">
        <v>56</v>
      </c>
      <c r="H16" s="0" t="s">
        <v>57</v>
      </c>
      <c r="I16" s="0" t="n">
        <v>2019</v>
      </c>
      <c r="J16" s="0" t="n">
        <v>29100000000</v>
      </c>
      <c r="K16" s="0" t="n">
        <v>12574000000</v>
      </c>
      <c r="L16" s="0" t="n">
        <v>48092000000</v>
      </c>
      <c r="M16" s="0" t="n">
        <v>49073000000</v>
      </c>
      <c r="N16" s="0" t="n">
        <v>58079000000</v>
      </c>
      <c r="O16" s="0" t="s">
        <v>64</v>
      </c>
      <c r="P16" s="0" t="s">
        <v>65</v>
      </c>
      <c r="Q16" s="0" t="n">
        <v>1.32578662140228</v>
      </c>
      <c r="R16" s="0" t="n">
        <v>1.32373897794543</v>
      </c>
      <c r="S16" s="0" t="n">
        <v>1.26842981533704</v>
      </c>
      <c r="T16" s="0" t="n">
        <v>1.20269040495176</v>
      </c>
      <c r="U16" s="0" t="n">
        <v>1.32787923872953</v>
      </c>
      <c r="W16" s="0"/>
      <c r="X16" s="0" t="n">
        <v>0</v>
      </c>
      <c r="Y16" s="0" t="n">
        <v>0</v>
      </c>
      <c r="Z16" s="0" t="n">
        <v>0</v>
      </c>
      <c r="AA16" s="0" t="n">
        <v>0</v>
      </c>
      <c r="AB16" s="0" t="n">
        <v>0</v>
      </c>
      <c r="AD16" s="0"/>
      <c r="AE16" s="19" t="n">
        <f aca="false">IF(ISBLANK(Q16),IF(ISBLANK(X16),"",X16),Q16+X16)</f>
        <v>1.32578662140228</v>
      </c>
      <c r="AF16" s="19" t="n">
        <f aca="false">IF(ISBLANK(R16),IF(ISBLANK(Y16),"",Y16),R16+Y16)</f>
        <v>1.32373897794543</v>
      </c>
      <c r="AG16" s="19" t="n">
        <f aca="false">IF(ISBLANK(S16),IF(ISBLANK(Z16),"",Z16),S16+Z16)</f>
        <v>1.26842981533704</v>
      </c>
      <c r="AH16" s="19" t="n">
        <f aca="false">IF(ISBLANK(T16),IF(ISBLANK(AA16),"",AA16),T16+AA16)</f>
        <v>1.20269040495176</v>
      </c>
      <c r="AI16" s="19" t="n">
        <f aca="false">IF(ISBLANK(U16),IF(ISBLANK(AB16),"",AB16),U16+AB16)</f>
        <v>1.32787923872953</v>
      </c>
      <c r="AJ16" s="19" t="str">
        <f aca="false">IF(ISBLANK(V16),IF(ISBLANK(AC16),"",AC16),V16+AC16)</f>
        <v/>
      </c>
      <c r="AK16" s="19" t="str">
        <f aca="false">IF(ISBLANK(W16),IF(ISBLANK(AD16),"",AD16),W16+AD16)</f>
        <v/>
      </c>
      <c r="AS16" s="0" t="n">
        <v>3.082895</v>
      </c>
      <c r="AT16" s="0" t="n">
        <v>3.095761</v>
      </c>
      <c r="AU16" s="0" t="n">
        <v>2.956301</v>
      </c>
      <c r="AV16" s="0" t="n">
        <v>2.81985</v>
      </c>
      <c r="AW16" s="0" t="n">
        <v>3.122032</v>
      </c>
    </row>
    <row r="17" customFormat="false" ht="15" hidden="false" customHeight="false" outlineLevel="0" collapsed="false">
      <c r="A17" s="0" t="s">
        <v>112</v>
      </c>
      <c r="B17" s="1" t="s">
        <v>113</v>
      </c>
      <c r="C17" s="0" t="s">
        <v>114</v>
      </c>
      <c r="D17" s="0" t="s">
        <v>54</v>
      </c>
      <c r="E17" s="1" t="s">
        <v>63</v>
      </c>
      <c r="F17" s="0" t="s">
        <v>55</v>
      </c>
      <c r="G17" s="1" t="s">
        <v>56</v>
      </c>
      <c r="H17" s="0" t="s">
        <v>57</v>
      </c>
      <c r="I17" s="0" t="n">
        <v>2019</v>
      </c>
      <c r="J17" s="0" t="n">
        <v>23100000000</v>
      </c>
      <c r="K17" s="0" t="n">
        <v>12669000000</v>
      </c>
      <c r="L17" s="0" t="n">
        <v>39762000000</v>
      </c>
      <c r="M17" s="0" t="n">
        <v>39855000000</v>
      </c>
      <c r="N17" s="0" t="n">
        <v>41882000000</v>
      </c>
      <c r="O17" s="0" t="s">
        <v>64</v>
      </c>
      <c r="P17" s="0" t="s">
        <v>65</v>
      </c>
      <c r="Q17" s="0" t="n">
        <v>26.8009522198325</v>
      </c>
      <c r="R17" s="0" t="n">
        <v>27.9476969914387</v>
      </c>
      <c r="S17" s="0" t="n">
        <v>29.956332607559</v>
      </c>
      <c r="T17" s="0" t="n">
        <v>27.0002742462012</v>
      </c>
      <c r="U17" s="0" t="n">
        <v>21.3426059748503</v>
      </c>
      <c r="W17" s="0"/>
      <c r="X17" s="0" t="n">
        <v>0</v>
      </c>
      <c r="Y17" s="0" t="n">
        <v>0</v>
      </c>
      <c r="Z17" s="0" t="n">
        <v>0</v>
      </c>
      <c r="AA17" s="0" t="n">
        <v>0</v>
      </c>
      <c r="AB17" s="0" t="n">
        <v>0</v>
      </c>
      <c r="AD17" s="0"/>
      <c r="AE17" s="19" t="n">
        <f aca="false">IF(ISBLANK(Q17),IF(ISBLANK(X17),"",X17),Q17+X17)</f>
        <v>26.8009522198325</v>
      </c>
      <c r="AF17" s="19" t="n">
        <f aca="false">IF(ISBLANK(R17),IF(ISBLANK(Y17),"",Y17),R17+Y17)</f>
        <v>27.9476969914387</v>
      </c>
      <c r="AG17" s="19" t="n">
        <f aca="false">IF(ISBLANK(S17),IF(ISBLANK(Z17),"",Z17),S17+Z17)</f>
        <v>29.956332607559</v>
      </c>
      <c r="AH17" s="19" t="n">
        <f aca="false">IF(ISBLANK(T17),IF(ISBLANK(AA17),"",AA17),T17+AA17)</f>
        <v>27.0002742462012</v>
      </c>
      <c r="AI17" s="19" t="n">
        <f aca="false">IF(ISBLANK(U17),IF(ISBLANK(AB17),"",AB17),U17+AB17)</f>
        <v>21.3426059748503</v>
      </c>
      <c r="AJ17" s="19" t="str">
        <f aca="false">IF(ISBLANK(V17),IF(ISBLANK(AC17),"",AC17),V17+AC17)</f>
        <v/>
      </c>
      <c r="AK17" s="19" t="str">
        <f aca="false">IF(ISBLANK(W17),IF(ISBLANK(AD17),"",AD17),W17+AD17)</f>
        <v/>
      </c>
      <c r="AS17" s="0" t="n">
        <v>38.3389297118</v>
      </c>
      <c r="AT17" s="0" t="n">
        <v>38.4899392289</v>
      </c>
      <c r="AU17" s="0" t="n">
        <v>39.794065704</v>
      </c>
      <c r="AV17" s="0" t="n">
        <v>39.1964379914</v>
      </c>
      <c r="AW17" s="0" t="n">
        <v>30.0233845715</v>
      </c>
    </row>
    <row r="18" customFormat="false" ht="15" hidden="false" customHeight="false" outlineLevel="0" collapsed="false">
      <c r="A18" s="0" t="s">
        <v>115</v>
      </c>
      <c r="B18" s="1" t="s">
        <v>116</v>
      </c>
      <c r="C18" s="0" t="s">
        <v>117</v>
      </c>
      <c r="D18" s="0" t="s">
        <v>54</v>
      </c>
      <c r="E18" s="1" t="s">
        <v>63</v>
      </c>
      <c r="F18" s="0" t="s">
        <v>55</v>
      </c>
      <c r="G18" s="1" t="s">
        <v>56</v>
      </c>
      <c r="H18" s="0" t="s">
        <v>57</v>
      </c>
      <c r="I18" s="0" t="n">
        <v>2019</v>
      </c>
      <c r="J18" s="0" t="n">
        <v>62000000000</v>
      </c>
      <c r="K18" s="0" t="n">
        <v>16572000000</v>
      </c>
      <c r="L18" s="0" t="n">
        <v>95658000000</v>
      </c>
      <c r="M18" s="0" t="n">
        <v>95824000000</v>
      </c>
      <c r="N18" s="0" t="n">
        <v>103823000000</v>
      </c>
      <c r="O18" s="0" t="s">
        <v>64</v>
      </c>
      <c r="P18" s="0" t="s">
        <v>65</v>
      </c>
      <c r="Q18" s="0" t="n">
        <v>43.3466682522525</v>
      </c>
      <c r="R18" s="0" t="n">
        <v>36.8693615036822</v>
      </c>
      <c r="S18" s="0" t="n">
        <v>35.1200673417953</v>
      </c>
      <c r="T18" s="0" t="n">
        <v>31.4328035536096</v>
      </c>
      <c r="U18" s="0" t="n">
        <v>32.2468435183966</v>
      </c>
      <c r="W18" s="0"/>
      <c r="X18" s="0" t="n">
        <v>0</v>
      </c>
      <c r="Y18" s="0" t="n">
        <v>0</v>
      </c>
      <c r="Z18" s="0" t="n">
        <v>0</v>
      </c>
      <c r="AA18" s="0" t="n">
        <v>0</v>
      </c>
      <c r="AB18" s="0" t="n">
        <v>0</v>
      </c>
      <c r="AD18" s="0"/>
      <c r="AE18" s="19" t="n">
        <f aca="false">IF(ISBLANK(Q18),IF(ISBLANK(X18),"",X18),Q18+X18)</f>
        <v>43.3466682522525</v>
      </c>
      <c r="AF18" s="19" t="n">
        <f aca="false">IF(ISBLANK(R18),IF(ISBLANK(Y18),"",Y18),R18+Y18)</f>
        <v>36.8693615036822</v>
      </c>
      <c r="AG18" s="19" t="n">
        <f aca="false">IF(ISBLANK(S18),IF(ISBLANK(Z18),"",Z18),S18+Z18)</f>
        <v>35.1200673417953</v>
      </c>
      <c r="AH18" s="19" t="n">
        <f aca="false">IF(ISBLANK(T18),IF(ISBLANK(AA18),"",AA18),T18+AA18)</f>
        <v>31.4328035536096</v>
      </c>
      <c r="AI18" s="19" t="n">
        <f aca="false">IF(ISBLANK(U18),IF(ISBLANK(AB18),"",AB18),U18+AB18)</f>
        <v>32.2468435183966</v>
      </c>
      <c r="AJ18" s="19" t="str">
        <f aca="false">IF(ISBLANK(V18),IF(ISBLANK(AC18),"",AC18),V18+AC18)</f>
        <v/>
      </c>
      <c r="AK18" s="19" t="str">
        <f aca="false">IF(ISBLANK(W18),IF(ISBLANK(AD18),"",AD18),W18+AD18)</f>
        <v/>
      </c>
      <c r="AS18" s="0" t="n">
        <v>102.3781215467</v>
      </c>
      <c r="AT18" s="0" t="n">
        <v>95.3633616178</v>
      </c>
      <c r="AU18" s="0" t="n">
        <v>95.7236380837002</v>
      </c>
      <c r="AV18" s="0" t="n">
        <v>97.7682333572</v>
      </c>
      <c r="AW18" s="0" t="n">
        <v>101.0949584695</v>
      </c>
    </row>
    <row r="19" customFormat="false" ht="15" hidden="false" customHeight="false" outlineLevel="0" collapsed="false">
      <c r="A19" s="0" t="s">
        <v>118</v>
      </c>
      <c r="B19" s="1" t="s">
        <v>119</v>
      </c>
      <c r="C19" s="0" t="s">
        <v>120</v>
      </c>
      <c r="D19" s="0" t="s">
        <v>54</v>
      </c>
      <c r="E19" s="1" t="s">
        <v>63</v>
      </c>
      <c r="F19" s="0" t="s">
        <v>55</v>
      </c>
      <c r="G19" s="1" t="s">
        <v>56</v>
      </c>
      <c r="H19" s="0" t="s">
        <v>57</v>
      </c>
      <c r="I19" s="0" t="n">
        <v>2019</v>
      </c>
      <c r="J19" s="0" t="n">
        <v>64230558771</v>
      </c>
      <c r="K19" s="0" t="n">
        <v>25079000000</v>
      </c>
      <c r="L19" s="0" t="n">
        <v>126981558771</v>
      </c>
      <c r="M19" s="0" t="n">
        <v>127292558771</v>
      </c>
      <c r="N19" s="0" t="n">
        <v>158838000000</v>
      </c>
      <c r="O19" s="0" t="s">
        <v>64</v>
      </c>
      <c r="P19" s="0" t="s">
        <v>65</v>
      </c>
      <c r="Q19" s="0" t="n">
        <v>101.019277096862</v>
      </c>
      <c r="R19" s="0" t="n">
        <v>93.5304504740881</v>
      </c>
      <c r="S19" s="0" t="n">
        <v>95.0122376896854</v>
      </c>
      <c r="T19" s="0" t="n">
        <v>83.573620116699</v>
      </c>
      <c r="U19" s="0" t="n">
        <v>74.7712371872528</v>
      </c>
      <c r="W19" s="0"/>
      <c r="X19" s="0" t="n">
        <v>0</v>
      </c>
      <c r="Y19" s="0" t="n">
        <v>0</v>
      </c>
      <c r="Z19" s="0" t="n">
        <v>0</v>
      </c>
      <c r="AA19" s="0" t="n">
        <v>0</v>
      </c>
      <c r="AB19" s="0" t="n">
        <v>0</v>
      </c>
      <c r="AD19" s="0"/>
      <c r="AE19" s="19" t="n">
        <f aca="false">IF(ISBLANK(Q19),IF(ISBLANK(X19),"",X19),Q19+X19)</f>
        <v>101.019277096862</v>
      </c>
      <c r="AF19" s="19" t="n">
        <f aca="false">IF(ISBLANK(R19),IF(ISBLANK(Y19),"",Y19),R19+Y19)</f>
        <v>93.5304504740881</v>
      </c>
      <c r="AG19" s="19" t="n">
        <f aca="false">IF(ISBLANK(S19),IF(ISBLANK(Z19),"",Z19),S19+Z19)</f>
        <v>95.0122376896854</v>
      </c>
      <c r="AH19" s="19" t="n">
        <f aca="false">IF(ISBLANK(T19),IF(ISBLANK(AA19),"",AA19),T19+AA19)</f>
        <v>83.573620116699</v>
      </c>
      <c r="AI19" s="19" t="n">
        <f aca="false">IF(ISBLANK(U19),IF(ISBLANK(AB19),"",AB19),U19+AB19)</f>
        <v>74.7712371872528</v>
      </c>
      <c r="AJ19" s="19" t="str">
        <f aca="false">IF(ISBLANK(V19),IF(ISBLANK(AC19),"",AC19),V19+AC19)</f>
        <v/>
      </c>
      <c r="AK19" s="19" t="str">
        <f aca="false">IF(ISBLANK(W19),IF(ISBLANK(AD19),"",AD19),W19+AD19)</f>
        <v/>
      </c>
      <c r="AS19" s="0" t="n">
        <v>215.728917587978</v>
      </c>
      <c r="AT19" s="0" t="n">
        <v>209.732414023438</v>
      </c>
      <c r="AU19" s="0" t="n">
        <v>215.512044238328</v>
      </c>
      <c r="AV19" s="0" t="n">
        <v>206.167169888941</v>
      </c>
      <c r="AW19" s="0" t="n">
        <v>199.539517265318</v>
      </c>
    </row>
    <row r="20" customFormat="false" ht="15" hidden="false" customHeight="false" outlineLevel="0" collapsed="false">
      <c r="A20" s="0" t="s">
        <v>121</v>
      </c>
      <c r="B20" s="1" t="s">
        <v>122</v>
      </c>
      <c r="C20" s="0" t="s">
        <v>123</v>
      </c>
      <c r="D20" s="0" t="s">
        <v>124</v>
      </c>
      <c r="E20" s="1" t="s">
        <v>86</v>
      </c>
      <c r="F20" s="0" t="s">
        <v>55</v>
      </c>
      <c r="G20" s="1" t="s">
        <v>56</v>
      </c>
      <c r="H20" s="0" t="s">
        <v>57</v>
      </c>
      <c r="I20" s="3" t="n">
        <v>44561</v>
      </c>
      <c r="J20" s="0" t="n">
        <v>50211000000</v>
      </c>
      <c r="K20" s="0" t="n">
        <v>84461000000</v>
      </c>
      <c r="L20" s="0" t="n">
        <f aca="false">M20-9919000000</f>
        <v>83280000000</v>
      </c>
      <c r="M20" s="0" t="n">
        <f aca="false">$J20+42988000000</f>
        <v>93199000000</v>
      </c>
      <c r="N20" s="0" t="n">
        <v>360966000000</v>
      </c>
      <c r="O20" s="0" t="s">
        <v>64</v>
      </c>
      <c r="P20" s="0" t="s">
        <v>59</v>
      </c>
      <c r="S20" s="0" t="n">
        <v>35.7</v>
      </c>
      <c r="T20" s="0" t="n">
        <v>33</v>
      </c>
      <c r="U20" s="0" t="n">
        <v>28</v>
      </c>
      <c r="V20" s="0" t="n">
        <v>27</v>
      </c>
      <c r="W20" s="0"/>
      <c r="Z20" s="0" t="n">
        <v>0.47</v>
      </c>
      <c r="AA20" s="0" t="n">
        <v>0.3</v>
      </c>
      <c r="AB20" s="0" t="n">
        <v>0.3</v>
      </c>
      <c r="AC20" s="0" t="n">
        <v>0.3</v>
      </c>
      <c r="AD20" s="0"/>
      <c r="AE20" s="19"/>
      <c r="AF20" s="19"/>
      <c r="AG20" s="19" t="n">
        <f aca="false">IF(ISBLANK(S20),IF(ISBLANK(Z20),"",Z20),S20+Z20)</f>
        <v>36.17</v>
      </c>
      <c r="AH20" s="19" t="n">
        <f aca="false">IF(ISBLANK(T20),IF(ISBLANK(AA20),"",AA20),T20+AA20)</f>
        <v>33.3</v>
      </c>
      <c r="AI20" s="19" t="n">
        <f aca="false">IF(ISBLANK(U20),IF(ISBLANK(AB20),"",AB20),U20+AB20)</f>
        <v>28.3</v>
      </c>
      <c r="AJ20" s="19" t="n">
        <f aca="false">IF(ISBLANK(V20),IF(ISBLANK(AC20),"",AC20),V20+AC20)</f>
        <v>27.3</v>
      </c>
      <c r="AK20" s="19"/>
      <c r="AN20" s="0" t="n">
        <v>110.8</v>
      </c>
      <c r="AO20" s="0" t="n">
        <v>119</v>
      </c>
      <c r="AP20" s="0" t="n">
        <v>107</v>
      </c>
      <c r="AQ20" s="0" t="n">
        <v>102</v>
      </c>
      <c r="AT20" s="0" t="n">
        <v>580.8</v>
      </c>
      <c r="AU20" s="0" t="n">
        <v>584</v>
      </c>
      <c r="AV20" s="0" t="n">
        <f aca="false">1000*AH20/55</f>
        <v>605.454545454546</v>
      </c>
      <c r="AW20" s="0" t="n">
        <f aca="false">1000*AI20/51</f>
        <v>554.901960784314</v>
      </c>
      <c r="AX20" s="0" t="n">
        <f aca="false">1000*AJ20/48</f>
        <v>568.75</v>
      </c>
    </row>
    <row r="21" customFormat="false" ht="15" hidden="false" customHeight="false" outlineLevel="0" collapsed="false">
      <c r="A21" s="0" t="s">
        <v>125</v>
      </c>
      <c r="B21" s="1" t="s">
        <v>126</v>
      </c>
      <c r="C21" s="0" t="s">
        <v>127</v>
      </c>
      <c r="D21" s="0" t="s">
        <v>54</v>
      </c>
      <c r="E21" s="1" t="s">
        <v>63</v>
      </c>
      <c r="F21" s="0" t="s">
        <v>55</v>
      </c>
      <c r="G21" s="1" t="s">
        <v>56</v>
      </c>
      <c r="H21" s="0" t="s">
        <v>57</v>
      </c>
      <c r="I21" s="0" t="n">
        <v>2019</v>
      </c>
      <c r="J21" s="0" t="n">
        <v>22000000000</v>
      </c>
      <c r="K21" s="0" t="n">
        <v>12347000000</v>
      </c>
      <c r="L21" s="0" t="n">
        <v>42069000000</v>
      </c>
      <c r="M21" s="0" t="n">
        <v>42137000000</v>
      </c>
      <c r="N21" s="0" t="n">
        <v>64382000000</v>
      </c>
      <c r="O21" s="0" t="s">
        <v>64</v>
      </c>
      <c r="P21" s="0" t="s">
        <v>65</v>
      </c>
      <c r="Q21" s="0" t="n">
        <v>2.10229213039226</v>
      </c>
      <c r="R21" s="0" t="n">
        <v>1.78521414109194</v>
      </c>
      <c r="S21" s="0" t="n">
        <v>0.97111824551102</v>
      </c>
      <c r="T21" s="0" t="n">
        <v>1.31366464333349</v>
      </c>
      <c r="U21" s="0" t="n">
        <v>1.29392246561957</v>
      </c>
      <c r="W21" s="0"/>
      <c r="X21" s="0" t="n">
        <v>0</v>
      </c>
      <c r="Y21" s="0" t="n">
        <v>0</v>
      </c>
      <c r="Z21" s="0" t="n">
        <v>1.2</v>
      </c>
      <c r="AA21" s="0" t="n">
        <v>0.6</v>
      </c>
      <c r="AB21" s="0" t="n">
        <v>0.7</v>
      </c>
      <c r="AD21" s="0"/>
      <c r="AE21" s="19" t="n">
        <f aca="false">IF(ISBLANK(Q21),IF(ISBLANK(X21),"",X21),Q21+X21)</f>
        <v>2.10229213039226</v>
      </c>
      <c r="AF21" s="19" t="n">
        <f aca="false">IF(ISBLANK(R21),IF(ISBLANK(Y21),"",Y21),R21+Y21)</f>
        <v>1.78521414109194</v>
      </c>
      <c r="AG21" s="19" t="n">
        <f aca="false">IF(ISBLANK(S21),IF(ISBLANK(Z21),"",Z21),S21+Z21)</f>
        <v>2.17111824551102</v>
      </c>
      <c r="AH21" s="19" t="n">
        <f aca="false">IF(ISBLANK(T21),IF(ISBLANK(AA21),"",AA21),T21+AA21)</f>
        <v>1.91366464333349</v>
      </c>
      <c r="AI21" s="19" t="n">
        <f aca="false">IF(ISBLANK(U21),IF(ISBLANK(AB21),"",AB21),U21+AB21)</f>
        <v>1.99392246561957</v>
      </c>
      <c r="AJ21" s="19" t="str">
        <f aca="false">IF(ISBLANK(V21),IF(ISBLANK(AC21),"",AC21),V21+AC21)</f>
        <v/>
      </c>
      <c r="AK21" s="19" t="str">
        <f aca="false">IF(ISBLANK(W21),IF(ISBLANK(AD21),"",AD21),W21+AD21)</f>
        <v/>
      </c>
      <c r="AN21" s="0" t="n">
        <v>15.8</v>
      </c>
      <c r="AO21" s="0" t="n">
        <v>9.8</v>
      </c>
      <c r="AP21" s="0" t="n">
        <v>11.3</v>
      </c>
      <c r="AS21" s="0" t="n">
        <v>14.009789366</v>
      </c>
      <c r="AT21" s="0" t="n">
        <v>14.812107804</v>
      </c>
      <c r="AU21" s="0" t="n">
        <v>10.728513922</v>
      </c>
      <c r="AV21" s="0" t="n">
        <v>12.558661144</v>
      </c>
      <c r="AW21" s="0" t="n">
        <v>10.220820414</v>
      </c>
    </row>
    <row r="22" customFormat="false" ht="15" hidden="false" customHeight="false" outlineLevel="0" collapsed="false">
      <c r="A22" s="0" t="s">
        <v>128</v>
      </c>
      <c r="B22" s="1" t="s">
        <v>129</v>
      </c>
      <c r="C22" s="0" t="s">
        <v>130</v>
      </c>
      <c r="D22" s="0" t="s">
        <v>131</v>
      </c>
      <c r="E22" s="1" t="s">
        <v>132</v>
      </c>
      <c r="F22" s="0" t="s">
        <v>55</v>
      </c>
      <c r="G22" s="1" t="s">
        <v>56</v>
      </c>
      <c r="H22" s="0" t="s">
        <v>57</v>
      </c>
      <c r="I22" s="3" t="n">
        <v>44196</v>
      </c>
      <c r="J22" s="0" t="n">
        <v>8105859000</v>
      </c>
      <c r="K22" s="22" t="n">
        <v>12064489000</v>
      </c>
      <c r="L22" s="0" t="n">
        <v>11943556000</v>
      </c>
      <c r="M22" s="0" t="n">
        <f aca="false">L22+1649486000</f>
        <v>13593042000</v>
      </c>
      <c r="N22" s="22" t="n">
        <v>26933558000</v>
      </c>
      <c r="O22" s="0" t="s">
        <v>133</v>
      </c>
      <c r="P22" s="0" t="s">
        <v>59</v>
      </c>
      <c r="S22" s="0" t="n">
        <v>6817</v>
      </c>
      <c r="T22" s="0" t="n">
        <v>6964</v>
      </c>
      <c r="U22" s="0" t="n">
        <v>6896</v>
      </c>
      <c r="W22" s="0"/>
      <c r="Z22" s="0" t="n">
        <v>115</v>
      </c>
      <c r="AA22" s="0" t="n">
        <v>41</v>
      </c>
      <c r="AB22" s="0" t="n">
        <v>86</v>
      </c>
      <c r="AD22" s="0"/>
      <c r="AE22" s="19"/>
      <c r="AF22" s="19"/>
      <c r="AG22" s="19" t="n">
        <f aca="false">IF(ISBLANK(S22),IF(ISBLANK(Z22),"",Z22),S22+Z22)</f>
        <v>6932</v>
      </c>
      <c r="AH22" s="19" t="n">
        <f aca="false">IF(ISBLANK(T22),IF(ISBLANK(AA22),"",AA22),T22+AA22)</f>
        <v>7005</v>
      </c>
      <c r="AI22" s="19" t="n">
        <f aca="false">IF(ISBLANK(U22),IF(ISBLANK(AB22),"",AB22),U22+AB22)</f>
        <v>6982</v>
      </c>
      <c r="AJ22" s="19"/>
      <c r="AK22" s="19"/>
      <c r="AN22" s="0" t="n">
        <v>5261</v>
      </c>
      <c r="AO22" s="0" t="n">
        <v>5819</v>
      </c>
      <c r="AP22" s="0" t="n">
        <v>5315</v>
      </c>
      <c r="AU22" s="0" t="n">
        <v>39863</v>
      </c>
      <c r="AV22" s="0" t="n">
        <v>41760</v>
      </c>
      <c r="AW22" s="0" t="n">
        <v>40455</v>
      </c>
    </row>
    <row r="23" customFormat="false" ht="15" hidden="false" customHeight="false" outlineLevel="0" collapsed="false">
      <c r="A23" s="0" t="s">
        <v>134</v>
      </c>
      <c r="B23" s="1" t="s">
        <v>135</v>
      </c>
      <c r="C23" s="0" t="s">
        <v>136</v>
      </c>
      <c r="D23" s="0" t="s">
        <v>54</v>
      </c>
      <c r="E23" s="1" t="s">
        <v>63</v>
      </c>
      <c r="F23" s="0" t="s">
        <v>55</v>
      </c>
      <c r="G23" s="1" t="s">
        <v>56</v>
      </c>
      <c r="H23" s="0" t="s">
        <v>57</v>
      </c>
      <c r="I23" s="0" t="n">
        <v>2019</v>
      </c>
      <c r="J23" s="0" t="n">
        <v>20500000000</v>
      </c>
      <c r="K23" s="0" t="n">
        <v>10878673000</v>
      </c>
      <c r="L23" s="0" t="n">
        <v>39134228000</v>
      </c>
      <c r="M23" s="0" t="n">
        <v>39559950000</v>
      </c>
      <c r="N23" s="0" t="n">
        <v>51723912000</v>
      </c>
      <c r="O23" s="0" t="s">
        <v>64</v>
      </c>
      <c r="P23" s="0" t="s">
        <v>65</v>
      </c>
      <c r="Q23" s="0" t="n">
        <v>32.5342772767755</v>
      </c>
      <c r="R23" s="0" t="n">
        <v>31.4526159464882</v>
      </c>
      <c r="S23" s="0" t="n">
        <v>34.6324039531175</v>
      </c>
      <c r="T23" s="0" t="n">
        <v>33.2462291227136</v>
      </c>
      <c r="U23" s="0" t="n">
        <v>30.5431622515148</v>
      </c>
      <c r="W23" s="0"/>
      <c r="X23" s="0" t="n">
        <v>0</v>
      </c>
      <c r="Y23" s="0" t="n">
        <v>0</v>
      </c>
      <c r="Z23" s="0" t="n">
        <v>0</v>
      </c>
      <c r="AA23" s="0" t="n">
        <v>0</v>
      </c>
      <c r="AB23" s="0" t="n">
        <v>0</v>
      </c>
      <c r="AD23" s="0"/>
      <c r="AE23" s="19" t="n">
        <f aca="false">IF(ISBLANK(Q23),IF(ISBLANK(X23),"",X23),Q23+X23)</f>
        <v>32.5342772767755</v>
      </c>
      <c r="AF23" s="19" t="n">
        <f aca="false">IF(ISBLANK(R23),IF(ISBLANK(Y23),"",Y23),R23+Y23)</f>
        <v>31.4526159464882</v>
      </c>
      <c r="AG23" s="19" t="n">
        <f aca="false">IF(ISBLANK(S23),IF(ISBLANK(Z23),"",Z23),S23+Z23)</f>
        <v>34.6324039531175</v>
      </c>
      <c r="AH23" s="19" t="n">
        <f aca="false">IF(ISBLANK(T23),IF(ISBLANK(AA23),"",AA23),T23+AA23)</f>
        <v>33.2462291227136</v>
      </c>
      <c r="AI23" s="19" t="n">
        <f aca="false">IF(ISBLANK(U23),IF(ISBLANK(AB23),"",AB23),U23+AB23)</f>
        <v>30.5431622515148</v>
      </c>
      <c r="AJ23" s="19" t="str">
        <f aca="false">IF(ISBLANK(V23),IF(ISBLANK(AC23),"",AC23),V23+AC23)</f>
        <v/>
      </c>
      <c r="AK23" s="19" t="str">
        <f aca="false">IF(ISBLANK(W23),IF(ISBLANK(AD23),"",AD23),W23+AD23)</f>
        <v/>
      </c>
      <c r="AS23" s="0" t="n">
        <v>95.8113633969453</v>
      </c>
      <c r="AT23" s="0" t="n">
        <v>90.7737913534057</v>
      </c>
      <c r="AU23" s="0" t="n">
        <v>97.9689857895942</v>
      </c>
      <c r="AV23" s="0" t="n">
        <v>102.303442688214</v>
      </c>
      <c r="AW23" s="0" t="n">
        <v>102.664904189743</v>
      </c>
    </row>
    <row r="24" customFormat="false" ht="15" hidden="false" customHeight="false" outlineLevel="0" collapsed="false">
      <c r="A24" s="0" t="s">
        <v>137</v>
      </c>
      <c r="B24" s="1" t="s">
        <v>138</v>
      </c>
      <c r="C24" s="0" t="s">
        <v>139</v>
      </c>
      <c r="D24" s="0" t="s">
        <v>54</v>
      </c>
      <c r="E24" s="1" t="s">
        <v>63</v>
      </c>
      <c r="F24" s="0" t="s">
        <v>55</v>
      </c>
      <c r="G24" s="1" t="s">
        <v>56</v>
      </c>
      <c r="H24" s="0" t="s">
        <v>57</v>
      </c>
      <c r="I24" s="0" t="n">
        <v>2019</v>
      </c>
      <c r="J24" s="0" t="n">
        <v>14138041261</v>
      </c>
      <c r="K24" s="0" t="n">
        <v>5147800000</v>
      </c>
      <c r="L24" s="0" t="n">
        <v>22861541261</v>
      </c>
      <c r="M24" s="0" t="n">
        <v>22884741261</v>
      </c>
      <c r="N24" s="0" t="n">
        <v>25975900000</v>
      </c>
      <c r="O24" s="0" t="s">
        <v>64</v>
      </c>
      <c r="P24" s="0" t="s">
        <v>65</v>
      </c>
      <c r="Q24" s="0" t="n">
        <v>35.1433992757365</v>
      </c>
      <c r="R24" s="0" t="n">
        <v>32.2706033315659</v>
      </c>
      <c r="S24" s="0" t="n">
        <v>30.54866762295</v>
      </c>
      <c r="T24" s="0" t="n">
        <v>26.7494111501914</v>
      </c>
      <c r="U24" s="0" t="n">
        <v>24.4029432137096</v>
      </c>
      <c r="W24" s="0"/>
      <c r="X24" s="0" t="n">
        <v>0</v>
      </c>
      <c r="Y24" s="0" t="n">
        <v>0</v>
      </c>
      <c r="Z24" s="0" t="n">
        <v>0</v>
      </c>
      <c r="AA24" s="0" t="n">
        <v>0</v>
      </c>
      <c r="AB24" s="0" t="n">
        <v>0</v>
      </c>
      <c r="AD24" s="0"/>
      <c r="AE24" s="19" t="n">
        <f aca="false">IF(ISBLANK(Q24),IF(ISBLANK(X24),"",X24),Q24+X24)</f>
        <v>35.1433992757365</v>
      </c>
      <c r="AF24" s="19" t="n">
        <f aca="false">IF(ISBLANK(R24),IF(ISBLANK(Y24),"",Y24),R24+Y24)</f>
        <v>32.2706033315659</v>
      </c>
      <c r="AG24" s="19" t="n">
        <f aca="false">IF(ISBLANK(S24),IF(ISBLANK(Z24),"",Z24),S24+Z24)</f>
        <v>30.54866762295</v>
      </c>
      <c r="AH24" s="19" t="n">
        <f aca="false">IF(ISBLANK(T24),IF(ISBLANK(AA24),"",AA24),T24+AA24)</f>
        <v>26.7494111501914</v>
      </c>
      <c r="AI24" s="19" t="n">
        <f aca="false">IF(ISBLANK(U24),IF(ISBLANK(AB24),"",AB24),U24+AB24)</f>
        <v>24.4029432137096</v>
      </c>
      <c r="AJ24" s="19" t="str">
        <f aca="false">IF(ISBLANK(V24),IF(ISBLANK(AC24),"",AC24),V24+AC24)</f>
        <v/>
      </c>
      <c r="AK24" s="19" t="str">
        <f aca="false">IF(ISBLANK(W24),IF(ISBLANK(AD24),"",AD24),W24+AD24)</f>
        <v/>
      </c>
      <c r="AS24" s="0" t="n">
        <v>44.0260849806</v>
      </c>
      <c r="AT24" s="0" t="n">
        <v>43.6119186051</v>
      </c>
      <c r="AU24" s="0" t="n">
        <v>40.6256349257</v>
      </c>
      <c r="AV24" s="0" t="n">
        <v>37.6235164675</v>
      </c>
      <c r="AW24" s="0" t="n">
        <v>35.8926108335</v>
      </c>
    </row>
    <row r="25" customFormat="false" ht="15" hidden="false" customHeight="false" outlineLevel="0" collapsed="false">
      <c r="A25" s="0" t="s">
        <v>140</v>
      </c>
      <c r="B25" s="1" t="s">
        <v>141</v>
      </c>
      <c r="C25" s="0" t="s">
        <v>142</v>
      </c>
      <c r="D25" s="0" t="s">
        <v>54</v>
      </c>
      <c r="E25" s="1" t="s">
        <v>63</v>
      </c>
      <c r="F25" s="0" t="s">
        <v>55</v>
      </c>
      <c r="G25" s="1" t="s">
        <v>56</v>
      </c>
      <c r="H25" s="0" t="s">
        <v>57</v>
      </c>
      <c r="I25" s="0" t="n">
        <v>2019</v>
      </c>
      <c r="J25" s="0" t="n">
        <v>24486439602</v>
      </c>
      <c r="K25" s="0" t="n">
        <v>8526470000</v>
      </c>
      <c r="L25" s="0" t="n">
        <v>38241835602</v>
      </c>
      <c r="M25" s="0" t="n">
        <v>38257267602</v>
      </c>
      <c r="N25" s="0" t="n">
        <v>41123915000</v>
      </c>
      <c r="O25" s="0" t="s">
        <v>64</v>
      </c>
      <c r="P25" s="0" t="s">
        <v>65</v>
      </c>
      <c r="Q25" s="0" t="n">
        <v>0.541270689944737</v>
      </c>
      <c r="R25" s="0" t="n">
        <v>0.38852905220415</v>
      </c>
      <c r="S25" s="0" t="n">
        <v>0.0034941452190249</v>
      </c>
      <c r="T25" s="0" t="n">
        <v>0.0002212864871423</v>
      </c>
      <c r="U25" s="0" t="n">
        <v>0.0003685131450434</v>
      </c>
      <c r="W25" s="0"/>
      <c r="X25" s="0" t="n">
        <v>0</v>
      </c>
      <c r="Y25" s="0" t="n">
        <v>0</v>
      </c>
      <c r="Z25" s="0" t="n">
        <v>0</v>
      </c>
      <c r="AA25" s="0" t="n">
        <v>0</v>
      </c>
      <c r="AB25" s="0" t="n">
        <v>0</v>
      </c>
      <c r="AD25" s="0"/>
      <c r="AE25" s="19" t="n">
        <f aca="false">IF(ISBLANK(Q25),IF(ISBLANK(X25),"",X25),Q25+X25)</f>
        <v>0.541270689944737</v>
      </c>
      <c r="AF25" s="19" t="n">
        <f aca="false">IF(ISBLANK(R25),IF(ISBLANK(Y25),"",Y25),R25+Y25)</f>
        <v>0.38852905220415</v>
      </c>
      <c r="AG25" s="19" t="n">
        <f aca="false">IF(ISBLANK(S25),IF(ISBLANK(Z25),"",Z25),S25+Z25)</f>
        <v>0.0034941452190249</v>
      </c>
      <c r="AH25" s="19" t="n">
        <f aca="false">IF(ISBLANK(T25),IF(ISBLANK(AA25),"",AA25),T25+AA25)</f>
        <v>0.0002212864871423</v>
      </c>
      <c r="AI25" s="19" t="n">
        <f aca="false">IF(ISBLANK(U25),IF(ISBLANK(AB25),"",AB25),U25+AB25)</f>
        <v>0.0003685131450434</v>
      </c>
      <c r="AJ25" s="19" t="str">
        <f aca="false">IF(ISBLANK(V25),IF(ISBLANK(AC25),"",AC25),V25+AC25)</f>
        <v/>
      </c>
      <c r="AK25" s="19" t="str">
        <f aca="false">IF(ISBLANK(W25),IF(ISBLANK(AD25),"",AD25),W25+AD25)</f>
        <v/>
      </c>
      <c r="AS25" s="0" t="n">
        <v>1.0800586419062</v>
      </c>
      <c r="AT25" s="0" t="n">
        <v>0.993551188026824</v>
      </c>
      <c r="AU25" s="0" t="n">
        <v>0.0174436112</v>
      </c>
      <c r="AV25" s="0" t="n">
        <v>0.0607438418</v>
      </c>
      <c r="AW25" s="0" t="n">
        <v>0.081134557</v>
      </c>
    </row>
    <row r="26" customFormat="false" ht="15" hidden="false" customHeight="false" outlineLevel="0" collapsed="false">
      <c r="A26" s="0" t="s">
        <v>143</v>
      </c>
      <c r="B26" s="1" t="s">
        <v>144</v>
      </c>
      <c r="C26" s="0" t="s">
        <v>145</v>
      </c>
      <c r="D26" s="0" t="s">
        <v>54</v>
      </c>
      <c r="E26" s="1"/>
      <c r="F26" s="0" t="s">
        <v>55</v>
      </c>
      <c r="G26" s="1" t="s">
        <v>56</v>
      </c>
      <c r="H26" s="0" t="s">
        <v>57</v>
      </c>
      <c r="I26" s="3" t="n">
        <v>44196</v>
      </c>
      <c r="J26" s="0" t="n">
        <v>35402501369</v>
      </c>
      <c r="K26" s="0" t="n">
        <v>34438000000</v>
      </c>
      <c r="L26" s="0" t="n">
        <v>66144501369</v>
      </c>
      <c r="M26" s="0" t="n">
        <v>66731501369</v>
      </c>
      <c r="N26" s="0" t="n">
        <v>124977000000</v>
      </c>
      <c r="O26" s="24" t="s">
        <v>58</v>
      </c>
      <c r="P26" s="24" t="s">
        <v>81</v>
      </c>
      <c r="Q26" s="0" t="n">
        <v>9723000</v>
      </c>
      <c r="R26" s="25" t="n">
        <v>9532000</v>
      </c>
      <c r="S26" s="25" t="n">
        <v>8841000</v>
      </c>
      <c r="T26" s="25" t="n">
        <v>8566000</v>
      </c>
      <c r="U26" s="25" t="n">
        <v>8493000</v>
      </c>
      <c r="X26" s="0" t="n">
        <v>7061000</v>
      </c>
      <c r="Y26" s="25" t="n">
        <v>17693000</v>
      </c>
      <c r="Z26" s="25" t="n">
        <v>21022000</v>
      </c>
      <c r="AA26" s="25" t="n">
        <v>18864000</v>
      </c>
      <c r="AB26" s="25" t="n">
        <v>13720000</v>
      </c>
      <c r="AE26" s="19" t="n">
        <f aca="false">IF(ISBLANK(Q26),IF(ISBLANK(X26),"",X26),Q26+X26)</f>
        <v>16784000</v>
      </c>
      <c r="AF26" s="19" t="n">
        <f aca="false">IF(ISBLANK(R26),IF(ISBLANK(Y26),"",Y26),R26+Y26)</f>
        <v>27225000</v>
      </c>
      <c r="AG26" s="19" t="n">
        <f aca="false">IF(ISBLANK(S26),IF(ISBLANK(Z26),"",Z26),S26+Z26)</f>
        <v>29863000</v>
      </c>
      <c r="AH26" s="19" t="n">
        <f aca="false">IF(ISBLANK(T26),IF(ISBLANK(AA26),"",AA26),T26+AA26)</f>
        <v>27430000</v>
      </c>
      <c r="AI26" s="19" t="n">
        <f aca="false">IF(ISBLANK(U26),IF(ISBLANK(AB26),"",AB26),U26+AB26)</f>
        <v>22213000</v>
      </c>
      <c r="AJ26" s="19" t="str">
        <f aca="false">IF(ISBLANK(V26),IF(ISBLANK(AC26),"",AC26),V26+AC26)</f>
        <v/>
      </c>
      <c r="AK26" s="19" t="str">
        <f aca="false">IF(ISBLANK(W26),IF(ISBLANK(AD26),"",AD26),W26+AD26)</f>
        <v/>
      </c>
      <c r="AS26" s="20" t="n">
        <v>186212000</v>
      </c>
      <c r="AT26" s="26" t="n">
        <f aca="false">195307000+51595000</f>
        <v>246902000</v>
      </c>
      <c r="AU26" s="25" t="n">
        <f aca="false">194224000+59050000</f>
        <v>253274000</v>
      </c>
      <c r="AV26" s="27" t="n">
        <f aca="false">189463000+69708000</f>
        <v>259171000</v>
      </c>
      <c r="AW26" s="0" t="n">
        <v>181369000</v>
      </c>
    </row>
    <row r="27" customFormat="false" ht="13.8" hidden="false" customHeight="false" outlineLevel="0" collapsed="false">
      <c r="A27" s="0" t="s">
        <v>146</v>
      </c>
      <c r="B27" s="1" t="s">
        <v>147</v>
      </c>
      <c r="C27" s="0" t="s">
        <v>148</v>
      </c>
      <c r="D27" s="0" t="s">
        <v>54</v>
      </c>
      <c r="E27" s="1" t="s">
        <v>63</v>
      </c>
      <c r="F27" s="0" t="s">
        <v>87</v>
      </c>
      <c r="G27" s="1" t="s">
        <v>56</v>
      </c>
      <c r="H27" s="0" t="s">
        <v>57</v>
      </c>
      <c r="I27" s="3" t="n">
        <v>44196</v>
      </c>
      <c r="J27" s="22" t="n">
        <v>174280000000</v>
      </c>
      <c r="K27" s="22" t="n">
        <v>181502000000</v>
      </c>
      <c r="L27" s="22" t="n">
        <v>310294000000</v>
      </c>
      <c r="M27" s="0" t="n">
        <f aca="false">L27+4364000000</f>
        <v>314658000000</v>
      </c>
      <c r="N27" s="22" t="n">
        <v>332750000000</v>
      </c>
      <c r="O27" s="24" t="s">
        <v>64</v>
      </c>
      <c r="P27" s="28" t="s">
        <v>88</v>
      </c>
      <c r="Q27" s="0" t="n">
        <v>117</v>
      </c>
      <c r="R27" s="25" t="n">
        <v>115</v>
      </c>
      <c r="S27" s="25" t="n">
        <v>116</v>
      </c>
      <c r="T27" s="25" t="n">
        <v>111</v>
      </c>
      <c r="U27" s="25" t="n">
        <v>105</v>
      </c>
      <c r="X27" s="0" t="n">
        <v>8</v>
      </c>
      <c r="Y27" s="25" t="n">
        <v>8</v>
      </c>
      <c r="Z27" s="25" t="n">
        <v>8</v>
      </c>
      <c r="AA27" s="25" t="n">
        <v>8</v>
      </c>
      <c r="AB27" s="25" t="n">
        <v>7</v>
      </c>
      <c r="AE27" s="19" t="n">
        <f aca="false">IF(ISBLANK(Q27),IF(ISBLANK(X27),"",X27),Q27+X27)</f>
        <v>125</v>
      </c>
      <c r="AF27" s="19" t="n">
        <f aca="false">IF(ISBLANK(R27),IF(ISBLANK(Y27),"",Y27),R27+Y27)</f>
        <v>123</v>
      </c>
      <c r="AG27" s="19" t="n">
        <f aca="false">IF(ISBLANK(S27),IF(ISBLANK(Z27),"",Z27),S27+Z27)</f>
        <v>124</v>
      </c>
      <c r="AH27" s="19" t="n">
        <f aca="false">IF(ISBLANK(T27),IF(ISBLANK(AA27),"",AA27),T27+AA27)</f>
        <v>119</v>
      </c>
      <c r="AI27" s="19" t="n">
        <f aca="false">IF(ISBLANK(U27),IF(ISBLANK(AB27),"",AB27),U27+AB27)</f>
        <v>112</v>
      </c>
      <c r="AJ27" s="19" t="str">
        <f aca="false">IF(ISBLANK(V27),IF(ISBLANK(AC27),"",AC27),V27+AC27)</f>
        <v/>
      </c>
      <c r="AK27" s="19" t="str">
        <f aca="false">IF(ISBLANK(W27),IF(ISBLANK(AD27),"",AD27),W27+AD27)</f>
        <v/>
      </c>
      <c r="AS27" s="23" t="n">
        <v>725</v>
      </c>
      <c r="AT27" s="23" t="n">
        <v>725</v>
      </c>
      <c r="AU27" s="23" t="n">
        <v>821</v>
      </c>
      <c r="AV27" s="23" t="n">
        <v>800</v>
      </c>
      <c r="AW27" s="23" t="n">
        <v>739</v>
      </c>
    </row>
    <row r="28" customFormat="false" ht="15" hidden="false" customHeight="false" outlineLevel="0" collapsed="false">
      <c r="A28" s="0" t="s">
        <v>149</v>
      </c>
      <c r="B28" s="1" t="s">
        <v>150</v>
      </c>
      <c r="C28" s="0" t="s">
        <v>151</v>
      </c>
      <c r="D28" s="0" t="s">
        <v>54</v>
      </c>
      <c r="E28" s="1"/>
      <c r="F28" s="0" t="s">
        <v>55</v>
      </c>
      <c r="G28" s="1" t="s">
        <v>56</v>
      </c>
      <c r="H28" s="0" t="s">
        <v>57</v>
      </c>
      <c r="I28" s="3" t="n">
        <v>44196</v>
      </c>
      <c r="J28" s="0" t="n">
        <v>20967401361</v>
      </c>
      <c r="K28" s="0" t="n">
        <v>11035000000</v>
      </c>
      <c r="L28" s="0" t="n">
        <v>39958401361</v>
      </c>
      <c r="M28" s="0" t="n">
        <v>40585401361</v>
      </c>
      <c r="N28" s="0" t="n">
        <v>42301000000</v>
      </c>
      <c r="O28" s="24" t="s">
        <v>58</v>
      </c>
      <c r="P28" s="24" t="s">
        <v>81</v>
      </c>
      <c r="R28" s="20" t="n">
        <v>42354899</v>
      </c>
      <c r="S28" s="20" t="n">
        <v>32748805</v>
      </c>
      <c r="T28" s="20" t="n">
        <v>17935528</v>
      </c>
      <c r="U28" s="20" t="n">
        <v>14519279</v>
      </c>
      <c r="Y28" s="20" t="n">
        <v>18079772</v>
      </c>
      <c r="Z28" s="20" t="n">
        <v>20223892</v>
      </c>
      <c r="AA28" s="20" t="n">
        <v>31927583</v>
      </c>
      <c r="AB28" s="20" t="n">
        <v>28230946</v>
      </c>
      <c r="AE28" s="19" t="str">
        <f aca="false">IF(ISBLANK(Q28),IF(ISBLANK(X28),"",X28),Q28+X28)</f>
        <v/>
      </c>
      <c r="AF28" s="19" t="n">
        <f aca="false">IF(ISBLANK(R28),IF(ISBLANK(Y28),"",Y28),R28+Y28)</f>
        <v>60434671</v>
      </c>
      <c r="AG28" s="19" t="n">
        <f aca="false">IF(ISBLANK(S28),IF(ISBLANK(Z28),"",Z28),S28+Z28)</f>
        <v>52972697</v>
      </c>
      <c r="AH28" s="19" t="n">
        <f aca="false">IF(ISBLANK(T28),IF(ISBLANK(AA28),"",AA28),T28+AA28)</f>
        <v>49863111</v>
      </c>
      <c r="AI28" s="19" t="n">
        <f aca="false">IF(ISBLANK(U28),IF(ISBLANK(AB28),"",AB28),U28+AB28)</f>
        <v>42750225</v>
      </c>
      <c r="AJ28" s="19" t="str">
        <f aca="false">IF(ISBLANK(V28),IF(ISBLANK(AC28),"",AC28),V28+AC28)</f>
        <v/>
      </c>
      <c r="AK28" s="19" t="str">
        <f aca="false">IF(ISBLANK(W28),IF(ISBLANK(AD28),"",AD28),W28+AD28)</f>
        <v/>
      </c>
      <c r="AT28" s="20" t="n">
        <v>116315158</v>
      </c>
      <c r="AU28" s="20" t="n">
        <v>109322672</v>
      </c>
      <c r="AV28" s="20" t="n">
        <v>65313409</v>
      </c>
      <c r="AW28" s="20" t="n">
        <v>61496572</v>
      </c>
    </row>
    <row r="29" customFormat="false" ht="15" hidden="false" customHeight="false" outlineLevel="0" collapsed="false">
      <c r="A29" s="0" t="s">
        <v>152</v>
      </c>
      <c r="B29" s="1" t="s">
        <v>153</v>
      </c>
      <c r="C29" s="0" t="s">
        <v>154</v>
      </c>
      <c r="D29" s="0" t="s">
        <v>155</v>
      </c>
      <c r="E29" s="1"/>
      <c r="F29" s="0" t="s">
        <v>55</v>
      </c>
      <c r="G29" s="1" t="s">
        <v>56</v>
      </c>
      <c r="H29" s="0" t="s">
        <v>57</v>
      </c>
      <c r="I29" s="3" t="n">
        <v>44196</v>
      </c>
      <c r="J29" s="0" t="n">
        <f aca="false">474900000*45</f>
        <v>21370500000</v>
      </c>
      <c r="K29" s="0" t="n">
        <v>6736467578.20735</v>
      </c>
      <c r="L29" s="0" t="n">
        <v>1</v>
      </c>
      <c r="M29" s="0" t="n">
        <v>1</v>
      </c>
      <c r="N29" s="0" t="n">
        <v>40960299959.7615</v>
      </c>
      <c r="O29" s="24" t="s">
        <v>58</v>
      </c>
      <c r="P29" s="24" t="s">
        <v>81</v>
      </c>
      <c r="Q29" s="0" t="n">
        <v>10891000</v>
      </c>
      <c r="R29" s="20" t="n">
        <v>10010000</v>
      </c>
      <c r="S29" s="20" t="n">
        <v>10818000</v>
      </c>
      <c r="T29" s="20" t="n">
        <v>11925000</v>
      </c>
      <c r="U29" s="20" t="n">
        <v>10093000</v>
      </c>
      <c r="X29" s="20" t="n">
        <f aca="false">(191+3353)*1000</f>
        <v>3544000</v>
      </c>
      <c r="Y29" s="20" t="n">
        <f aca="false">(223+3625)*1000</f>
        <v>3848000</v>
      </c>
      <c r="Z29" s="20" t="n">
        <f aca="false">(222+2893)*1000</f>
        <v>3115000</v>
      </c>
      <c r="AA29" s="20" t="n">
        <v>2933000</v>
      </c>
      <c r="AB29" s="20" t="n">
        <v>2487000</v>
      </c>
      <c r="AE29" s="19" t="n">
        <f aca="false">IF(ISBLANK(Q29),IF(ISBLANK(X29),"",X29),Q29+X29)</f>
        <v>14435000</v>
      </c>
      <c r="AF29" s="19" t="n">
        <f aca="false">IF(ISBLANK(R29),IF(ISBLANK(Y29),"",Y29),R29+Y29)</f>
        <v>13858000</v>
      </c>
      <c r="AG29" s="19" t="n">
        <f aca="false">IF(ISBLANK(S29),IF(ISBLANK(Z29),"",Z29),S29+Z29)</f>
        <v>13933000</v>
      </c>
      <c r="AH29" s="19" t="n">
        <f aca="false">IF(ISBLANK(T29),IF(ISBLANK(AA29),"",AA29),T29+AA29)</f>
        <v>14858000</v>
      </c>
      <c r="AI29" s="19" t="n">
        <f aca="false">IF(ISBLANK(U29),IF(ISBLANK(AB29),"",AB29),U29+AB29)</f>
        <v>12580000</v>
      </c>
      <c r="AJ29" s="19" t="str">
        <f aca="false">IF(ISBLANK(V29),IF(ISBLANK(AC29),"",AC29),V29+AC29)</f>
        <v/>
      </c>
      <c r="AK29" s="19" t="str">
        <f aca="false">IF(ISBLANK(W29),IF(ISBLANK(AD29),"",AD29),W29+AD29)</f>
        <v/>
      </c>
      <c r="AS29" s="0" t="n">
        <f aca="false">(15818+18480)*1000</f>
        <v>34298000</v>
      </c>
      <c r="AT29" s="0" t="n">
        <f aca="false">(15369+19785)*1000</f>
        <v>35154000</v>
      </c>
      <c r="AU29" s="0" t="n">
        <f aca="false">(18776+19163)*1000</f>
        <v>37939000</v>
      </c>
      <c r="AV29" s="0" t="n">
        <f aca="false">18976000+19244000</f>
        <v>38220000</v>
      </c>
      <c r="AW29" s="0" t="n">
        <f aca="false">17694000+18255000</f>
        <v>35949000</v>
      </c>
    </row>
    <row r="30" customFormat="false" ht="13.8" hidden="false" customHeight="false" outlineLevel="0" collapsed="false">
      <c r="A30" s="0" t="s">
        <v>156</v>
      </c>
      <c r="B30" s="1" t="s">
        <v>157</v>
      </c>
      <c r="C30" s="0" t="s">
        <v>158</v>
      </c>
      <c r="D30" s="0" t="s">
        <v>54</v>
      </c>
      <c r="E30" s="1"/>
      <c r="F30" s="0" t="s">
        <v>159</v>
      </c>
      <c r="G30" s="1" t="s">
        <v>56</v>
      </c>
      <c r="H30" s="0" t="s">
        <v>57</v>
      </c>
      <c r="I30" s="3" t="n">
        <v>44196</v>
      </c>
      <c r="J30" s="22" t="n">
        <v>59590000000</v>
      </c>
      <c r="K30" s="22" t="n">
        <v>122000000000</v>
      </c>
      <c r="L30" s="22" t="n">
        <v>144100000000</v>
      </c>
      <c r="M30" s="22" t="n">
        <f aca="false">L30+19992000000</f>
        <v>164092000000</v>
      </c>
      <c r="N30" s="0" t="n">
        <v>235194000000</v>
      </c>
      <c r="O30" s="24"/>
      <c r="P30" s="24"/>
      <c r="R30" s="20"/>
      <c r="S30" s="20"/>
      <c r="T30" s="20"/>
      <c r="U30" s="20"/>
      <c r="X30" s="20"/>
      <c r="Y30" s="20"/>
      <c r="Z30" s="20"/>
      <c r="AA30" s="20"/>
      <c r="AB30" s="20"/>
      <c r="AE30" s="19"/>
      <c r="AF30" s="19"/>
      <c r="AG30" s="19"/>
      <c r="AH30" s="19"/>
      <c r="AI30" s="19"/>
      <c r="AJ30" s="19"/>
      <c r="AK30" s="19"/>
    </row>
    <row r="31" customFormat="false" ht="15" hidden="false" customHeight="false" outlineLevel="0" collapsed="false">
      <c r="A31" s="0" t="s">
        <v>160</v>
      </c>
      <c r="B31" s="1" t="s">
        <v>161</v>
      </c>
      <c r="C31" s="0" t="s">
        <v>162</v>
      </c>
      <c r="D31" s="0" t="s">
        <v>163</v>
      </c>
      <c r="E31" s="1" t="s">
        <v>132</v>
      </c>
      <c r="F31" s="0" t="s">
        <v>92</v>
      </c>
      <c r="G31" s="1" t="s">
        <v>56</v>
      </c>
      <c r="H31" s="0" t="s">
        <v>57</v>
      </c>
      <c r="I31" s="0" t="n">
        <v>2019</v>
      </c>
      <c r="J31" s="0" t="n">
        <f aca="false">571900000*16.72*0.2</f>
        <v>1912433600</v>
      </c>
      <c r="K31" s="0" t="n">
        <v>9835514922.96624</v>
      </c>
      <c r="L31" s="0" t="n">
        <v>1</v>
      </c>
      <c r="M31" s="0" t="n">
        <v>1</v>
      </c>
      <c r="N31" s="0" t="n">
        <v>13397913513.7817</v>
      </c>
      <c r="O31" s="24" t="s">
        <v>58</v>
      </c>
      <c r="P31" s="24" t="s">
        <v>93</v>
      </c>
      <c r="Q31" s="0" t="n">
        <v>12075000</v>
      </c>
      <c r="R31" s="0" t="n">
        <v>12075000</v>
      </c>
      <c r="S31" s="0" t="n">
        <v>10707412.125</v>
      </c>
      <c r="T31" s="0" t="n">
        <v>9056519</v>
      </c>
      <c r="U31" s="0" t="n">
        <v>9198407</v>
      </c>
      <c r="W31" s="0"/>
      <c r="X31" s="0" t="n">
        <v>4025000</v>
      </c>
      <c r="Y31" s="0" t="n">
        <v>4025000</v>
      </c>
      <c r="Z31" s="0" t="n">
        <v>3569137.375</v>
      </c>
      <c r="AA31" s="0" t="n">
        <v>2890986</v>
      </c>
      <c r="AB31" s="0" t="n">
        <v>2082515</v>
      </c>
      <c r="AD31" s="0"/>
      <c r="AE31" s="19" t="n">
        <f aca="false">IF(ISBLANK(Q31),IF(ISBLANK(X31),"",X31),Q31+X31)</f>
        <v>16100000</v>
      </c>
      <c r="AF31" s="19" t="n">
        <f aca="false">IF(ISBLANK(R31),IF(ISBLANK(Y31),"",Y31),R31+Y31)</f>
        <v>16100000</v>
      </c>
      <c r="AG31" s="19" t="n">
        <f aca="false">IF(ISBLANK(S31),IF(ISBLANK(Z31),"",Z31),S31+Z31)</f>
        <v>14276549.5</v>
      </c>
      <c r="AH31" s="19" t="n">
        <f aca="false">IF(ISBLANK(T31),IF(ISBLANK(AA31),"",AA31),T31+AA31)</f>
        <v>11947505</v>
      </c>
      <c r="AI31" s="19" t="n">
        <f aca="false">IF(ISBLANK(U31),IF(ISBLANK(AB31),"",AB31),U31+AB31)</f>
        <v>11280922</v>
      </c>
      <c r="AJ31" s="19" t="str">
        <f aca="false">IF(ISBLANK(V31),IF(ISBLANK(AC31),"",AC31),V31+AC31)</f>
        <v/>
      </c>
      <c r="AK31" s="19" t="str">
        <f aca="false">IF(ISBLANK(W31),IF(ISBLANK(AD31),"",AD31),W31+AD31)</f>
        <v/>
      </c>
      <c r="AS31" s="0" t="n">
        <v>16100000</v>
      </c>
      <c r="AT31" s="0" t="n">
        <v>16100000</v>
      </c>
      <c r="AU31" s="0" t="n">
        <v>14276549.5</v>
      </c>
      <c r="AV31" s="0" t="n">
        <v>12453099</v>
      </c>
      <c r="AW31" s="0" t="n">
        <v>13142354.3</v>
      </c>
    </row>
    <row r="32" customFormat="false" ht="15" hidden="false" customHeight="false" outlineLevel="0" collapsed="false">
      <c r="A32" s="0" t="s">
        <v>164</v>
      </c>
      <c r="B32" s="1" t="s">
        <v>165</v>
      </c>
      <c r="C32" s="0" t="s">
        <v>166</v>
      </c>
      <c r="D32" s="0" t="s">
        <v>54</v>
      </c>
      <c r="E32" s="1" t="s">
        <v>63</v>
      </c>
      <c r="F32" s="0" t="s">
        <v>55</v>
      </c>
      <c r="G32" s="1" t="s">
        <v>56</v>
      </c>
      <c r="H32" s="0" t="s">
        <v>57</v>
      </c>
      <c r="I32" s="0" t="n">
        <v>2019</v>
      </c>
      <c r="J32" s="0" t="n">
        <v>4745752027</v>
      </c>
      <c r="K32" s="0" t="n">
        <v>2874601000</v>
      </c>
      <c r="L32" s="0" t="n">
        <v>6513304027</v>
      </c>
      <c r="M32" s="0" t="n">
        <v>6710117027</v>
      </c>
      <c r="N32" s="0" t="n">
        <v>13745251000</v>
      </c>
      <c r="O32" s="0" t="s">
        <v>64</v>
      </c>
      <c r="P32" s="0" t="s">
        <v>65</v>
      </c>
      <c r="Q32" s="0" t="n">
        <v>3.88689418875878</v>
      </c>
      <c r="R32" s="0" t="n">
        <v>3.86631968031855</v>
      </c>
      <c r="S32" s="0" t="n">
        <v>3.93730166359715</v>
      </c>
      <c r="T32" s="0" t="n">
        <v>3.97901814395106</v>
      </c>
      <c r="U32" s="0" t="n">
        <v>3.71643905269806</v>
      </c>
      <c r="W32" s="0"/>
      <c r="X32" s="0" t="n">
        <v>0</v>
      </c>
      <c r="Y32" s="0" t="n">
        <v>0</v>
      </c>
      <c r="Z32" s="0" t="n">
        <v>0</v>
      </c>
      <c r="AA32" s="0" t="n">
        <v>0</v>
      </c>
      <c r="AB32" s="0" t="n">
        <v>0</v>
      </c>
      <c r="AD32" s="0"/>
      <c r="AE32" s="19" t="n">
        <f aca="false">IF(ISBLANK(Q32),IF(ISBLANK(X32),"",X32),Q32+X32)</f>
        <v>3.88689418875878</v>
      </c>
      <c r="AF32" s="19" t="n">
        <f aca="false">IF(ISBLANK(R32),IF(ISBLANK(Y32),"",Y32),R32+Y32)</f>
        <v>3.86631968031855</v>
      </c>
      <c r="AG32" s="19" t="n">
        <f aca="false">IF(ISBLANK(S32),IF(ISBLANK(Z32),"",Z32),S32+Z32)</f>
        <v>3.93730166359715</v>
      </c>
      <c r="AH32" s="19" t="n">
        <f aca="false">IF(ISBLANK(T32),IF(ISBLANK(AA32),"",AA32),T32+AA32)</f>
        <v>3.97901814395106</v>
      </c>
      <c r="AI32" s="19" t="n">
        <f aca="false">IF(ISBLANK(U32),IF(ISBLANK(AB32),"",AB32),U32+AB32)</f>
        <v>3.71643905269806</v>
      </c>
      <c r="AJ32" s="19" t="str">
        <f aca="false">IF(ISBLANK(V32),IF(ISBLANK(AC32),"",AC32),V32+AC32)</f>
        <v/>
      </c>
      <c r="AK32" s="19" t="str">
        <f aca="false">IF(ISBLANK(W32),IF(ISBLANK(AD32),"",AD32),W32+AD32)</f>
        <v/>
      </c>
      <c r="AS32" s="0" t="n">
        <v>4.942649</v>
      </c>
      <c r="AT32" s="0" t="n">
        <v>4.888105</v>
      </c>
      <c r="AU32" s="0" t="n">
        <v>4.956929</v>
      </c>
      <c r="AV32" s="0" t="n">
        <v>4.970204</v>
      </c>
      <c r="AW32" s="0" t="n">
        <v>4.629322</v>
      </c>
    </row>
    <row r="33" customFormat="false" ht="15" hidden="false" customHeight="false" outlineLevel="0" collapsed="false">
      <c r="A33" s="0" t="s">
        <v>167</v>
      </c>
      <c r="B33" s="1" t="s">
        <v>168</v>
      </c>
      <c r="C33" s="0" t="s">
        <v>169</v>
      </c>
      <c r="D33" s="0" t="s">
        <v>170</v>
      </c>
      <c r="E33" s="1" t="s">
        <v>86</v>
      </c>
      <c r="F33" s="0" t="s">
        <v>55</v>
      </c>
      <c r="G33" s="1" t="s">
        <v>56</v>
      </c>
      <c r="H33" s="0" t="s">
        <v>57</v>
      </c>
      <c r="I33" s="3" t="n">
        <v>44561</v>
      </c>
      <c r="J33" s="0" t="n">
        <v>66271000000</v>
      </c>
      <c r="K33" s="0" t="n">
        <v>39114000000</v>
      </c>
      <c r="L33" s="0" t="n">
        <f aca="false">J33-39119000000</f>
        <v>27152000000</v>
      </c>
      <c r="M33" s="0" t="n">
        <f aca="false">L33+4052000000</f>
        <v>31204000000</v>
      </c>
      <c r="N33" s="0" t="n">
        <v>141752000000</v>
      </c>
      <c r="O33" s="24" t="s">
        <v>133</v>
      </c>
      <c r="P33" s="24" t="s">
        <v>59</v>
      </c>
      <c r="R33" s="0" t="n">
        <v>15020</v>
      </c>
      <c r="S33" s="0" t="n">
        <v>13328</v>
      </c>
      <c r="T33" s="0" t="n">
        <v>13584</v>
      </c>
      <c r="U33" s="0" t="n">
        <v>13136</v>
      </c>
      <c r="V33" s="0" t="n">
        <v>13207</v>
      </c>
      <c r="W33" s="0"/>
      <c r="Y33" s="0" t="n">
        <v>3415</v>
      </c>
      <c r="Z33" s="0" t="n">
        <v>2544</v>
      </c>
      <c r="AA33" s="0" t="n">
        <v>2082</v>
      </c>
      <c r="AB33" s="0" t="n">
        <v>1883</v>
      </c>
      <c r="AC33" s="0" t="n">
        <v>2162</v>
      </c>
      <c r="AD33" s="0"/>
      <c r="AE33" s="19"/>
      <c r="AF33" s="19" t="n">
        <f aca="false">IF(ISBLANK(R33),IF(ISBLANK(Y33),"",Y33),R33+Y33)</f>
        <v>18435</v>
      </c>
      <c r="AG33" s="19" t="n">
        <f aca="false">IF(ISBLANK(S33),IF(ISBLANK(Z33),"",Z33),S33+Z33)</f>
        <v>15872</v>
      </c>
      <c r="AH33" s="19" t="n">
        <f aca="false">IF(ISBLANK(T33),IF(ISBLANK(AA33),"",AA33),T33+AA33)</f>
        <v>15666</v>
      </c>
      <c r="AI33" s="19" t="n">
        <f aca="false">IF(ISBLANK(U33),IF(ISBLANK(AB33),"",AB33),U33+AB33)</f>
        <v>15019</v>
      </c>
      <c r="AJ33" s="19" t="n">
        <f aca="false">IF(ISBLANK(V33),IF(ISBLANK(AC33),"",AC33),V33+AC33)</f>
        <v>15369</v>
      </c>
      <c r="AK33" s="19"/>
      <c r="AM33" s="0" t="n">
        <v>56212</v>
      </c>
      <c r="AN33" s="0" t="n">
        <v>51969</v>
      </c>
      <c r="AO33" s="0" t="n">
        <v>54278</v>
      </c>
      <c r="AP33" s="0" t="n">
        <v>57852</v>
      </c>
      <c r="AQ33" s="0" t="n">
        <v>53898</v>
      </c>
      <c r="AT33" s="0" t="n">
        <v>137549</v>
      </c>
      <c r="AU33" s="0" t="n">
        <v>145605</v>
      </c>
      <c r="AV33" s="0" t="n">
        <v>151758</v>
      </c>
      <c r="AW33" s="0" t="n">
        <v>162842</v>
      </c>
      <c r="AX33" s="0" t="n">
        <v>164266</v>
      </c>
    </row>
    <row r="34" customFormat="false" ht="13.8" hidden="false" customHeight="false" outlineLevel="0" collapsed="false">
      <c r="A34" s="0" t="s">
        <v>171</v>
      </c>
      <c r="B34" s="1" t="s">
        <v>172</v>
      </c>
      <c r="C34" s="0" t="s">
        <v>173</v>
      </c>
      <c r="D34" s="0" t="s">
        <v>54</v>
      </c>
      <c r="E34" s="1"/>
      <c r="F34" s="0" t="s">
        <v>87</v>
      </c>
      <c r="G34" s="1" t="s">
        <v>56</v>
      </c>
      <c r="H34" s="0" t="s">
        <v>57</v>
      </c>
      <c r="I34" s="3" t="n">
        <v>44196</v>
      </c>
      <c r="J34" s="22" t="n">
        <v>5260000000</v>
      </c>
      <c r="K34" s="22" t="n">
        <v>3097000000</v>
      </c>
      <c r="L34" s="22" t="n">
        <v>10150000000</v>
      </c>
      <c r="M34" s="22" t="n">
        <f aca="false">742000000+L34</f>
        <v>10892000000</v>
      </c>
      <c r="N34" s="22" t="n">
        <v>17956000000</v>
      </c>
      <c r="O34" s="24" t="s">
        <v>64</v>
      </c>
      <c r="P34" s="24" t="s">
        <v>174</v>
      </c>
      <c r="Q34" s="0" t="n">
        <v>3.07</v>
      </c>
      <c r="R34" s="0" t="n">
        <v>3.91</v>
      </c>
      <c r="S34" s="0" t="n">
        <v>5.2</v>
      </c>
      <c r="T34" s="0" t="n">
        <v>6.47</v>
      </c>
      <c r="U34" s="0" t="n">
        <v>4.24</v>
      </c>
      <c r="W34" s="0"/>
      <c r="X34" s="0" t="n">
        <v>0.19</v>
      </c>
      <c r="Y34" s="0" t="n">
        <v>0.16</v>
      </c>
      <c r="Z34" s="0" t="n">
        <v>0.16</v>
      </c>
      <c r="AA34" s="0" t="n">
        <v>0.16</v>
      </c>
      <c r="AB34" s="0" t="n">
        <v>0.18</v>
      </c>
      <c r="AD34" s="0"/>
      <c r="AE34" s="19"/>
      <c r="AF34" s="19" t="n">
        <f aca="false">IF(ISBLANK(R34),IF(ISBLANK(Y34),"",Y34),R34+Y34)</f>
        <v>4.07</v>
      </c>
      <c r="AG34" s="19" t="n">
        <f aca="false">IF(ISBLANK(S34),IF(ISBLANK(Z34),"",Z34),S34+Z34)</f>
        <v>5.36</v>
      </c>
      <c r="AH34" s="19" t="n">
        <f aca="false">IF(ISBLANK(T34),IF(ISBLANK(AA34),"",AA34),T34+AA34)</f>
        <v>6.63</v>
      </c>
      <c r="AI34" s="19" t="n">
        <f aca="false">IF(ISBLANK(U34),IF(ISBLANK(AB34),"",AB34),U34+AB34)</f>
        <v>4.42</v>
      </c>
      <c r="AJ34" s="19" t="str">
        <f aca="false">IF(ISBLANK(V34),IF(ISBLANK(AC34),"",AC34),V34+AC34)</f>
        <v/>
      </c>
      <c r="AK34" s="19"/>
      <c r="AS34" s="0" t="n">
        <f aca="false">3260/18.11</f>
        <v>180.011043622308</v>
      </c>
      <c r="AT34" s="0" t="n">
        <f aca="false">4060/22.06</f>
        <v>184.043517679057</v>
      </c>
      <c r="AU34" s="0" t="n">
        <f aca="false">5360/25.35</f>
        <v>211.439842209073</v>
      </c>
      <c r="AV34" s="0" t="n">
        <f aca="false">6650/30.76</f>
        <v>216.189856957087</v>
      </c>
      <c r="AW34" s="0" t="n">
        <v>194</v>
      </c>
    </row>
    <row r="35" customFormat="false" ht="15" hidden="false" customHeight="false" outlineLevel="0" collapsed="false">
      <c r="A35" s="0" t="s">
        <v>175</v>
      </c>
      <c r="B35" s="1" t="s">
        <v>176</v>
      </c>
      <c r="C35" s="0" t="s">
        <v>177</v>
      </c>
      <c r="D35" s="0" t="s">
        <v>54</v>
      </c>
      <c r="E35" s="1" t="s">
        <v>63</v>
      </c>
      <c r="F35" s="0" t="s">
        <v>55</v>
      </c>
      <c r="G35" s="1" t="s">
        <v>56</v>
      </c>
      <c r="H35" s="0" t="s">
        <v>57</v>
      </c>
      <c r="I35" s="0" t="n">
        <v>2019</v>
      </c>
      <c r="J35" s="0" t="n">
        <v>5134204876</v>
      </c>
      <c r="K35" s="0" t="n">
        <v>5336776000</v>
      </c>
      <c r="L35" s="0" t="n">
        <v>7310852876</v>
      </c>
      <c r="M35" s="0" t="n">
        <v>7377311876</v>
      </c>
      <c r="N35" s="0" t="n">
        <v>7683059000</v>
      </c>
      <c r="O35" s="0" t="s">
        <v>64</v>
      </c>
      <c r="P35" s="0" t="s">
        <v>65</v>
      </c>
      <c r="Q35" s="0" t="n">
        <v>1.87462187527987</v>
      </c>
      <c r="R35" s="0" t="n">
        <v>1.84435992735308</v>
      </c>
      <c r="S35" s="0" t="n">
        <v>2.05156864891355</v>
      </c>
      <c r="T35" s="0" t="n">
        <v>1.71049343073906</v>
      </c>
      <c r="U35" s="0" t="n">
        <v>1.82627463876947</v>
      </c>
      <c r="W35" s="0"/>
      <c r="X35" s="0" t="n">
        <v>0</v>
      </c>
      <c r="Y35" s="0" t="n">
        <v>0</v>
      </c>
      <c r="Z35" s="0" t="n">
        <v>0</v>
      </c>
      <c r="AA35" s="0" t="n">
        <v>0</v>
      </c>
      <c r="AB35" s="0" t="n">
        <v>0</v>
      </c>
      <c r="AD35" s="0"/>
      <c r="AE35" s="19" t="n">
        <f aca="false">IF(ISBLANK(Q35),IF(ISBLANK(X35),"",X35),Q35+X35)</f>
        <v>1.87462187527987</v>
      </c>
      <c r="AF35" s="19" t="n">
        <f aca="false">IF(ISBLANK(R35),IF(ISBLANK(Y35),"",Y35),R35+Y35)</f>
        <v>1.84435992735308</v>
      </c>
      <c r="AG35" s="19" t="n">
        <f aca="false">IF(ISBLANK(S35),IF(ISBLANK(Z35),"",Z35),S35+Z35)</f>
        <v>2.05156864891355</v>
      </c>
      <c r="AH35" s="19" t="n">
        <f aca="false">IF(ISBLANK(T35),IF(ISBLANK(AA35),"",AA35),T35+AA35)</f>
        <v>1.71049343073906</v>
      </c>
      <c r="AI35" s="19" t="n">
        <f aca="false">IF(ISBLANK(U35),IF(ISBLANK(AB35),"",AB35),U35+AB35)</f>
        <v>1.82627463876947</v>
      </c>
      <c r="AJ35" s="19" t="str">
        <f aca="false">IF(ISBLANK(V35),IF(ISBLANK(AC35),"",AC35),V35+AC35)</f>
        <v/>
      </c>
      <c r="AK35" s="19" t="str">
        <f aca="false">IF(ISBLANK(W35),IF(ISBLANK(AD35),"",AD35),W35+AD35)</f>
        <v/>
      </c>
      <c r="AS35" s="0" t="n">
        <v>2.18701775</v>
      </c>
      <c r="AT35" s="0" t="n">
        <v>2.165663</v>
      </c>
      <c r="AU35" s="0" t="n">
        <v>2.3207655</v>
      </c>
      <c r="AV35" s="0" t="n">
        <v>2.14712325</v>
      </c>
      <c r="AW35" s="0" t="n">
        <v>2.2935585</v>
      </c>
    </row>
    <row r="36" customFormat="false" ht="15" hidden="false" customHeight="false" outlineLevel="0" collapsed="false">
      <c r="A36" s="0" t="s">
        <v>178</v>
      </c>
      <c r="B36" s="1" t="s">
        <v>179</v>
      </c>
      <c r="C36" s="0" t="s">
        <v>180</v>
      </c>
      <c r="D36" s="0" t="s">
        <v>54</v>
      </c>
      <c r="E36" s="1" t="s">
        <v>63</v>
      </c>
      <c r="F36" s="0" t="s">
        <v>92</v>
      </c>
      <c r="G36" s="1" t="s">
        <v>56</v>
      </c>
      <c r="H36" s="0" t="s">
        <v>57</v>
      </c>
      <c r="I36" s="0" t="n">
        <v>2019</v>
      </c>
      <c r="J36" s="0" t="n">
        <v>16580000000</v>
      </c>
      <c r="K36" s="0" t="n">
        <v>22588858000</v>
      </c>
      <c r="L36" s="0" t="n">
        <v>19336696000</v>
      </c>
      <c r="M36" s="0" t="n">
        <v>20871301000</v>
      </c>
      <c r="N36" s="0" t="n">
        <v>18344666000</v>
      </c>
      <c r="O36" s="24" t="s">
        <v>58</v>
      </c>
      <c r="P36" s="24" t="s">
        <v>93</v>
      </c>
      <c r="Q36" s="0" t="n">
        <v>4800000</v>
      </c>
      <c r="R36" s="0" t="n">
        <v>4800000</v>
      </c>
      <c r="S36" s="0" t="n">
        <v>4800000</v>
      </c>
      <c r="T36" s="0" t="n">
        <v>4400000</v>
      </c>
      <c r="U36" s="0" t="n">
        <v>4700000</v>
      </c>
      <c r="W36" s="0"/>
      <c r="X36" s="0" t="n">
        <v>5785714.28571429</v>
      </c>
      <c r="Y36" s="0" t="n">
        <v>5785714.28571429</v>
      </c>
      <c r="Z36" s="0" t="n">
        <v>5785714.28571429</v>
      </c>
      <c r="AA36" s="0" t="n">
        <v>5400000</v>
      </c>
      <c r="AB36" s="0" t="n">
        <v>5400000</v>
      </c>
      <c r="AD36" s="0"/>
      <c r="AE36" s="19" t="n">
        <f aca="false">IF(ISBLANK(Q36),IF(ISBLANK(X36),"",X36),Q36+X36)</f>
        <v>10585714.2857143</v>
      </c>
      <c r="AF36" s="19" t="n">
        <f aca="false">IF(ISBLANK(R36),IF(ISBLANK(Y36),"",Y36),R36+Y36)</f>
        <v>10585714.2857143</v>
      </c>
      <c r="AG36" s="19" t="n">
        <f aca="false">IF(ISBLANK(S36),IF(ISBLANK(Z36),"",Z36),S36+Z36)</f>
        <v>10585714.2857143</v>
      </c>
      <c r="AH36" s="19" t="n">
        <f aca="false">IF(ISBLANK(T36),IF(ISBLANK(AA36),"",AA36),T36+AA36)</f>
        <v>9800000</v>
      </c>
      <c r="AI36" s="19" t="n">
        <f aca="false">IF(ISBLANK(U36),IF(ISBLANK(AB36),"",AB36),U36+AB36)</f>
        <v>10100000</v>
      </c>
      <c r="AJ36" s="19" t="str">
        <f aca="false">IF(ISBLANK(V36),IF(ISBLANK(AC36),"",AC36),V36+AC36)</f>
        <v/>
      </c>
      <c r="AK36" s="19" t="str">
        <f aca="false">IF(ISBLANK(W36),IF(ISBLANK(AD36),"",AD36),W36+AD36)</f>
        <v/>
      </c>
      <c r="AL36" s="0" t="n">
        <v>7557446.80851064</v>
      </c>
      <c r="AM36" s="0" t="n">
        <v>7557446.80851064</v>
      </c>
      <c r="AN36" s="0" t="n">
        <v>7557446.80851064</v>
      </c>
      <c r="AO36" s="0" t="n">
        <v>6927659.57446809</v>
      </c>
      <c r="AP36" s="0" t="n">
        <v>7400000</v>
      </c>
      <c r="AS36" s="0" t="n">
        <v>22500000</v>
      </c>
      <c r="AT36" s="0" t="n">
        <v>22500000</v>
      </c>
      <c r="AU36" s="0" t="n">
        <v>22500000</v>
      </c>
      <c r="AV36" s="0" t="n">
        <v>20700000</v>
      </c>
      <c r="AW36" s="0" t="n">
        <v>20300000</v>
      </c>
    </row>
    <row r="37" customFormat="false" ht="15" hidden="false" customHeight="false" outlineLevel="0" collapsed="false">
      <c r="A37" s="0" t="s">
        <v>181</v>
      </c>
      <c r="B37" s="1" t="s">
        <v>182</v>
      </c>
      <c r="C37" s="0" t="s">
        <v>183</v>
      </c>
      <c r="D37" s="0" t="s">
        <v>85</v>
      </c>
      <c r="E37" s="1" t="s">
        <v>86</v>
      </c>
      <c r="F37" s="0" t="s">
        <v>55</v>
      </c>
      <c r="G37" s="1" t="s">
        <v>56</v>
      </c>
      <c r="H37" s="0" t="s">
        <v>57</v>
      </c>
      <c r="I37" s="0" t="n">
        <v>2019</v>
      </c>
      <c r="J37" s="0" t="n">
        <v>40783780623.597</v>
      </c>
      <c r="K37" s="0" t="n">
        <v>19393506493.5065</v>
      </c>
      <c r="L37" s="0" t="n">
        <v>1</v>
      </c>
      <c r="M37" s="0" t="n">
        <v>1</v>
      </c>
      <c r="N37" s="0" t="n">
        <v>81770129870.1299</v>
      </c>
      <c r="O37" s="0" t="s">
        <v>64</v>
      </c>
      <c r="P37" s="0" t="s">
        <v>65</v>
      </c>
      <c r="Q37" s="0" t="n">
        <v>5.83042491237064</v>
      </c>
      <c r="R37" s="0" t="n">
        <v>4.10597813225817</v>
      </c>
      <c r="S37" s="0" t="n">
        <v>5.75632595190089</v>
      </c>
      <c r="T37" s="0" t="n">
        <v>4.72569117340203</v>
      </c>
      <c r="U37" s="0" t="n">
        <v>6.07854526951468</v>
      </c>
      <c r="W37" s="0"/>
      <c r="X37" s="0" t="n">
        <v>0</v>
      </c>
      <c r="Y37" s="0" t="n">
        <v>0</v>
      </c>
      <c r="Z37" s="0" t="n">
        <v>0</v>
      </c>
      <c r="AA37" s="0" t="n">
        <v>0</v>
      </c>
      <c r="AB37" s="0" t="n">
        <v>0</v>
      </c>
      <c r="AD37" s="0"/>
      <c r="AE37" s="19" t="n">
        <f aca="false">IF(ISBLANK(Q37),IF(ISBLANK(X37),"",X37),Q37+X37)</f>
        <v>5.83042491237064</v>
      </c>
      <c r="AF37" s="19" t="n">
        <f aca="false">IF(ISBLANK(R37),IF(ISBLANK(Y37),"",Y37),R37+Y37)</f>
        <v>4.10597813225817</v>
      </c>
      <c r="AG37" s="19" t="n">
        <f aca="false">IF(ISBLANK(S37),IF(ISBLANK(Z37),"",Z37),S37+Z37)</f>
        <v>5.75632595190089</v>
      </c>
      <c r="AH37" s="19" t="n">
        <f aca="false">IF(ISBLANK(T37),IF(ISBLANK(AA37),"",AA37),T37+AA37)</f>
        <v>4.72569117340203</v>
      </c>
      <c r="AI37" s="19" t="n">
        <f aca="false">IF(ISBLANK(U37),IF(ISBLANK(AB37),"",AB37),U37+AB37)</f>
        <v>6.07854526951468</v>
      </c>
      <c r="AJ37" s="19" t="str">
        <f aca="false">IF(ISBLANK(V37),IF(ISBLANK(AC37),"",AC37),V37+AC37)</f>
        <v/>
      </c>
      <c r="AK37" s="19" t="str">
        <f aca="false">IF(ISBLANK(W37),IF(ISBLANK(AD37),"",AD37),W37+AD37)</f>
        <v/>
      </c>
      <c r="AS37" s="0" t="n">
        <v>9.66815799999999</v>
      </c>
      <c r="AT37" s="0" t="n">
        <v>6.717726</v>
      </c>
      <c r="AU37" s="0" t="n">
        <v>9.34886399999999</v>
      </c>
      <c r="AV37" s="0" t="n">
        <v>7.777019</v>
      </c>
      <c r="AW37" s="0" t="n">
        <v>10.203676</v>
      </c>
    </row>
    <row r="38" customFormat="false" ht="15" hidden="false" customHeight="false" outlineLevel="0" collapsed="false">
      <c r="A38" s="0" t="s">
        <v>184</v>
      </c>
      <c r="B38" s="1" t="s">
        <v>185</v>
      </c>
      <c r="C38" s="0" t="s">
        <v>186</v>
      </c>
      <c r="D38" s="0" t="s">
        <v>54</v>
      </c>
      <c r="E38" s="1" t="s">
        <v>63</v>
      </c>
      <c r="F38" s="0" t="s">
        <v>55</v>
      </c>
      <c r="G38" s="1" t="s">
        <v>56</v>
      </c>
      <c r="H38" s="0" t="s">
        <v>57</v>
      </c>
      <c r="I38" s="0" t="n">
        <v>2019</v>
      </c>
      <c r="J38" s="0" t="n">
        <v>97905404884</v>
      </c>
      <c r="K38" s="0" t="n">
        <v>19204000000</v>
      </c>
      <c r="L38" s="0" t="n">
        <v>134848404884</v>
      </c>
      <c r="M38" s="0" t="n">
        <v>135448404884</v>
      </c>
      <c r="N38" s="0" t="n">
        <v>117691000000</v>
      </c>
      <c r="O38" s="0" t="s">
        <v>64</v>
      </c>
      <c r="P38" s="0" t="s">
        <v>65</v>
      </c>
      <c r="Q38" s="0" t="n">
        <v>44.467669531404</v>
      </c>
      <c r="R38" s="0" t="n">
        <v>45.1565166858493</v>
      </c>
      <c r="S38" s="0" t="n">
        <v>45.3626011007061</v>
      </c>
      <c r="T38" s="0" t="n">
        <v>44.5791494701334</v>
      </c>
      <c r="U38" s="0" t="n">
        <v>42.2574619661106</v>
      </c>
      <c r="W38" s="0"/>
      <c r="X38" s="0" t="n">
        <v>0</v>
      </c>
      <c r="Y38" s="0" t="n">
        <v>0</v>
      </c>
      <c r="Z38" s="0" t="n">
        <v>0</v>
      </c>
      <c r="AA38" s="0" t="n">
        <v>0</v>
      </c>
      <c r="AB38" s="0" t="n">
        <v>0</v>
      </c>
      <c r="AD38" s="0"/>
      <c r="AE38" s="19" t="n">
        <f aca="false">IF(ISBLANK(Q38),IF(ISBLANK(X38),"",X38),Q38+X38)</f>
        <v>44.467669531404</v>
      </c>
      <c r="AF38" s="19" t="n">
        <f aca="false">IF(ISBLANK(R38),IF(ISBLANK(Y38),"",Y38),R38+Y38)</f>
        <v>45.1565166858493</v>
      </c>
      <c r="AG38" s="19" t="n">
        <f aca="false">IF(ISBLANK(S38),IF(ISBLANK(Z38),"",Z38),S38+Z38)</f>
        <v>45.3626011007061</v>
      </c>
      <c r="AH38" s="19" t="n">
        <f aca="false">IF(ISBLANK(T38),IF(ISBLANK(AA38),"",AA38),T38+AA38)</f>
        <v>44.5791494701334</v>
      </c>
      <c r="AI38" s="19" t="n">
        <f aca="false">IF(ISBLANK(U38),IF(ISBLANK(AB38),"",AB38),U38+AB38)</f>
        <v>42.2574619661106</v>
      </c>
      <c r="AJ38" s="19" t="str">
        <f aca="false">IF(ISBLANK(V38),IF(ISBLANK(AC38),"",AC38),V38+AC38)</f>
        <v/>
      </c>
      <c r="AK38" s="19" t="str">
        <f aca="false">IF(ISBLANK(W38),IF(ISBLANK(AD38),"",AD38),W38+AD38)</f>
        <v/>
      </c>
      <c r="AS38" s="0" t="n">
        <v>127.7370073831</v>
      </c>
      <c r="AT38" s="0" t="n">
        <v>129.144311972</v>
      </c>
      <c r="AU38" s="0" t="n">
        <v>133.74937911255</v>
      </c>
      <c r="AV38" s="0" t="n">
        <v>135.7181876574</v>
      </c>
      <c r="AW38" s="0" t="n">
        <v>137.2781434015</v>
      </c>
    </row>
    <row r="39" customFormat="false" ht="15" hidden="false" customHeight="false" outlineLevel="0" collapsed="false">
      <c r="A39" s="0" t="s">
        <v>187</v>
      </c>
      <c r="B39" s="1" t="s">
        <v>188</v>
      </c>
      <c r="C39" s="0" t="s">
        <v>189</v>
      </c>
      <c r="D39" s="0" t="s">
        <v>190</v>
      </c>
      <c r="E39" s="29" t="s">
        <v>191</v>
      </c>
      <c r="F39" s="0" t="s">
        <v>92</v>
      </c>
      <c r="G39" s="1" t="s">
        <v>56</v>
      </c>
      <c r="H39" s="0" t="s">
        <v>57</v>
      </c>
      <c r="I39" s="0" t="n">
        <v>2019</v>
      </c>
      <c r="J39" s="0" t="n">
        <f aca="false">879400*1000000/107.92</f>
        <v>8148628613.78799</v>
      </c>
      <c r="K39" s="0" t="n">
        <f aca="false">5921500*1000000/107.92</f>
        <v>54869347664.937</v>
      </c>
      <c r="L39" s="0" t="n">
        <f aca="false">M39+289549*1000000/107.92</f>
        <v>33892605633.8028</v>
      </c>
      <c r="M39" s="0" t="n">
        <f aca="false">J39+2488741*1000000/107.92</f>
        <v>31209608969.6071</v>
      </c>
      <c r="N39" s="0" t="n">
        <f aca="false">7444965*1000000/107.92</f>
        <v>68985961823.573</v>
      </c>
      <c r="O39" s="0" t="s">
        <v>58</v>
      </c>
      <c r="P39" s="0" t="s">
        <v>93</v>
      </c>
      <c r="Q39" s="0" t="n">
        <v>80501000</v>
      </c>
      <c r="R39" s="0" t="n">
        <v>80501000</v>
      </c>
      <c r="S39" s="0" t="n">
        <v>81099000</v>
      </c>
      <c r="T39" s="0" t="n">
        <v>78384000</v>
      </c>
      <c r="U39" s="0" t="n">
        <v>62860000</v>
      </c>
      <c r="W39" s="0"/>
      <c r="X39" s="0" t="n">
        <v>12478000</v>
      </c>
      <c r="Y39" s="0" t="n">
        <v>12478000</v>
      </c>
      <c r="Z39" s="0" t="n">
        <v>12563000</v>
      </c>
      <c r="AA39" s="0" t="n">
        <v>11878000</v>
      </c>
      <c r="AB39" s="0" t="n">
        <v>10846000</v>
      </c>
      <c r="AD39" s="0"/>
      <c r="AE39" s="0" t="n">
        <v>92979000</v>
      </c>
      <c r="AF39" s="0" t="n">
        <v>92979000</v>
      </c>
      <c r="AG39" s="0" t="n">
        <v>93662000</v>
      </c>
      <c r="AH39" s="0" t="n">
        <v>90262000</v>
      </c>
      <c r="AI39" s="0" t="n">
        <v>73706000</v>
      </c>
      <c r="AL39" s="0" t="n">
        <v>20957000</v>
      </c>
      <c r="AM39" s="0" t="n">
        <v>20957000</v>
      </c>
      <c r="AN39" s="0" t="n">
        <v>21191000</v>
      </c>
      <c r="AO39" s="0" t="n">
        <v>20937000</v>
      </c>
      <c r="AP39" s="0" t="n">
        <v>18078000</v>
      </c>
      <c r="AS39" s="0" t="n">
        <v>49580000</v>
      </c>
      <c r="AT39" s="0" t="n">
        <v>49580000</v>
      </c>
      <c r="AU39" s="0" t="n">
        <v>48500000</v>
      </c>
      <c r="AV39" s="0" t="n">
        <v>45890000</v>
      </c>
      <c r="AW39" s="0" t="n">
        <v>36630000</v>
      </c>
    </row>
    <row r="40" customFormat="false" ht="15" hidden="false" customHeight="false" outlineLevel="0" collapsed="false">
      <c r="A40" s="0" t="s">
        <v>192</v>
      </c>
      <c r="B40" s="1" t="s">
        <v>193</v>
      </c>
      <c r="C40" s="0" t="s">
        <v>194</v>
      </c>
      <c r="D40" s="0" t="s">
        <v>54</v>
      </c>
      <c r="E40" s="1" t="s">
        <v>63</v>
      </c>
      <c r="F40" s="0" t="s">
        <v>55</v>
      </c>
      <c r="G40" s="1" t="s">
        <v>56</v>
      </c>
      <c r="H40" s="0" t="s">
        <v>57</v>
      </c>
      <c r="I40" s="0" t="n">
        <v>2019</v>
      </c>
      <c r="J40" s="0" t="n">
        <v>10713311150</v>
      </c>
      <c r="K40" s="0" t="n">
        <v>5053400000</v>
      </c>
      <c r="L40" s="0" t="n">
        <v>19338411150</v>
      </c>
      <c r="M40" s="0" t="n">
        <v>19477711150</v>
      </c>
      <c r="N40" s="0" t="n">
        <v>22659800000</v>
      </c>
      <c r="O40" s="0" t="s">
        <v>64</v>
      </c>
      <c r="P40" s="0" t="s">
        <v>65</v>
      </c>
      <c r="Q40" s="0" t="n">
        <v>9.96010147643316</v>
      </c>
      <c r="R40" s="0" t="n">
        <v>9.69609353921103</v>
      </c>
      <c r="S40" s="0" t="n">
        <v>10.8006060749735</v>
      </c>
      <c r="T40" s="0" t="n">
        <v>8.57140918766944</v>
      </c>
      <c r="U40" s="0" t="n">
        <v>5.95690341212622</v>
      </c>
      <c r="W40" s="0"/>
      <c r="X40" s="0" t="n">
        <v>0</v>
      </c>
      <c r="Y40" s="0" t="n">
        <v>0</v>
      </c>
      <c r="Z40" s="0" t="n">
        <v>0</v>
      </c>
      <c r="AA40" s="0" t="n">
        <v>0</v>
      </c>
      <c r="AB40" s="0" t="n">
        <v>0</v>
      </c>
      <c r="AD40" s="0"/>
      <c r="AE40" s="19" t="n">
        <f aca="false">IF(ISBLANK(Q40),IF(ISBLANK(X40),"",X40),Q40+X40)</f>
        <v>9.96010147643316</v>
      </c>
      <c r="AF40" s="19" t="n">
        <f aca="false">IF(ISBLANK(R40),IF(ISBLANK(Y40),"",Y40),R40+Y40)</f>
        <v>9.69609353921103</v>
      </c>
      <c r="AG40" s="19" t="n">
        <f aca="false">IF(ISBLANK(S40),IF(ISBLANK(Z40),"",Z40),S40+Z40)</f>
        <v>10.8006060749735</v>
      </c>
      <c r="AH40" s="19" t="n">
        <f aca="false">IF(ISBLANK(T40),IF(ISBLANK(AA40),"",AA40),T40+AA40)</f>
        <v>8.57140918766944</v>
      </c>
      <c r="AI40" s="19" t="n">
        <f aca="false">IF(ISBLANK(U40),IF(ISBLANK(AB40),"",AB40),U40+AB40)</f>
        <v>5.95690341212622</v>
      </c>
      <c r="AJ40" s="19" t="str">
        <f aca="false">IF(ISBLANK(V40),IF(ISBLANK(AC40),"",AC40),V40+AC40)</f>
        <v/>
      </c>
      <c r="AK40" s="19" t="str">
        <f aca="false">IF(ISBLANK(W40),IF(ISBLANK(AD40),"",AD40),W40+AD40)</f>
        <v/>
      </c>
      <c r="AS40" s="0" t="n">
        <v>11.781155</v>
      </c>
      <c r="AT40" s="0" t="n">
        <v>11.451045</v>
      </c>
      <c r="AU40" s="0" t="n">
        <v>11.979273</v>
      </c>
      <c r="AV40" s="0" t="n">
        <v>10.329416</v>
      </c>
      <c r="AW40" s="0" t="n">
        <v>7.610326</v>
      </c>
    </row>
    <row r="41" customFormat="false" ht="15" hidden="false" customHeight="false" outlineLevel="0" collapsed="false">
      <c r="A41" s="0" t="s">
        <v>195</v>
      </c>
      <c r="B41" s="1" t="s">
        <v>196</v>
      </c>
      <c r="C41" s="0" t="s">
        <v>197</v>
      </c>
      <c r="D41" s="0" t="s">
        <v>54</v>
      </c>
      <c r="E41" s="1" t="s">
        <v>63</v>
      </c>
      <c r="F41" s="0" t="s">
        <v>55</v>
      </c>
      <c r="G41" s="1" t="s">
        <v>56</v>
      </c>
      <c r="H41" s="0" t="s">
        <v>57</v>
      </c>
      <c r="I41" s="0" t="n">
        <v>2019</v>
      </c>
      <c r="J41" s="0" t="n">
        <v>3639448000</v>
      </c>
      <c r="K41" s="0" t="n">
        <v>1257910000</v>
      </c>
      <c r="L41" s="0" t="n">
        <v>6051117000</v>
      </c>
      <c r="M41" s="0" t="n">
        <v>6056262000</v>
      </c>
      <c r="N41" s="0" t="n">
        <v>5910702000</v>
      </c>
      <c r="O41" s="0" t="s">
        <v>64</v>
      </c>
      <c r="P41" s="0" t="s">
        <v>65</v>
      </c>
      <c r="Q41" s="0" t="n">
        <v>10.5828883047778</v>
      </c>
      <c r="R41" s="0" t="n">
        <v>11.13029797975</v>
      </c>
      <c r="S41" s="0" t="n">
        <v>10.9934962219328</v>
      </c>
      <c r="T41" s="0" t="n">
        <v>10.7429245489505</v>
      </c>
      <c r="U41" s="0" t="n">
        <v>7.66149256558951</v>
      </c>
      <c r="W41" s="0"/>
      <c r="X41" s="0" t="n">
        <v>0</v>
      </c>
      <c r="Y41" s="0" t="n">
        <v>0</v>
      </c>
      <c r="Z41" s="0" t="n">
        <v>0</v>
      </c>
      <c r="AA41" s="0" t="n">
        <v>0</v>
      </c>
      <c r="AB41" s="0" t="n">
        <v>0</v>
      </c>
      <c r="AD41" s="0"/>
      <c r="AE41" s="19" t="n">
        <f aca="false">IF(ISBLANK(Q41),IF(ISBLANK(X41),"",X41),Q41+X41)</f>
        <v>10.5828883047778</v>
      </c>
      <c r="AF41" s="19" t="n">
        <f aca="false">IF(ISBLANK(R41),IF(ISBLANK(Y41),"",Y41),R41+Y41)</f>
        <v>11.13029797975</v>
      </c>
      <c r="AG41" s="19" t="n">
        <f aca="false">IF(ISBLANK(S41),IF(ISBLANK(Z41),"",Z41),S41+Z41)</f>
        <v>10.9934962219328</v>
      </c>
      <c r="AH41" s="19" t="n">
        <f aca="false">IF(ISBLANK(T41),IF(ISBLANK(AA41),"",AA41),T41+AA41)</f>
        <v>10.7429245489505</v>
      </c>
      <c r="AI41" s="19" t="n">
        <f aca="false">IF(ISBLANK(U41),IF(ISBLANK(AB41),"",AB41),U41+AB41)</f>
        <v>7.66149256558951</v>
      </c>
      <c r="AJ41" s="19" t="str">
        <f aca="false">IF(ISBLANK(V41),IF(ISBLANK(AC41),"",AC41),V41+AC41)</f>
        <v/>
      </c>
      <c r="AK41" s="19" t="str">
        <f aca="false">IF(ISBLANK(W41),IF(ISBLANK(AD41),"",AD41),W41+AD41)</f>
        <v/>
      </c>
      <c r="AS41" s="0" t="n">
        <v>21.8214176496</v>
      </c>
      <c r="AT41" s="0" t="n">
        <v>23.0839531696</v>
      </c>
      <c r="AU41" s="0" t="n">
        <v>23.5860756366988</v>
      </c>
      <c r="AV41" s="0" t="n">
        <v>23.4806243232</v>
      </c>
      <c r="AW41" s="0" t="n">
        <v>19.634134128</v>
      </c>
    </row>
    <row r="42" customFormat="false" ht="15" hidden="false" customHeight="false" outlineLevel="0" collapsed="false">
      <c r="A42" s="0" t="s">
        <v>198</v>
      </c>
      <c r="B42" s="1" t="s">
        <v>199</v>
      </c>
      <c r="C42" s="0" t="s">
        <v>200</v>
      </c>
      <c r="D42" s="0" t="s">
        <v>54</v>
      </c>
      <c r="E42" s="1"/>
      <c r="F42" s="0" t="s">
        <v>55</v>
      </c>
      <c r="G42" s="1" t="s">
        <v>56</v>
      </c>
      <c r="H42" s="0" t="s">
        <v>57</v>
      </c>
      <c r="I42" s="3" t="n">
        <v>44196</v>
      </c>
      <c r="J42" s="0" t="n">
        <v>6077156282</v>
      </c>
      <c r="K42" s="0" t="n">
        <v>2231600000</v>
      </c>
      <c r="L42" s="0" t="n">
        <v>1</v>
      </c>
      <c r="M42" s="0" t="n">
        <v>1</v>
      </c>
      <c r="N42" s="0" t="n">
        <v>11024300000</v>
      </c>
      <c r="O42" s="24" t="s">
        <v>58</v>
      </c>
      <c r="P42" s="24" t="s">
        <v>81</v>
      </c>
      <c r="Q42" s="20" t="n">
        <v>26596742</v>
      </c>
      <c r="R42" s="20" t="n">
        <v>29995758</v>
      </c>
      <c r="S42" s="20" t="n">
        <v>29344948</v>
      </c>
      <c r="T42" s="20" t="n">
        <v>24205850</v>
      </c>
      <c r="U42" s="20" t="n">
        <v>25759240</v>
      </c>
      <c r="X42" s="20" t="n">
        <v>6570582</v>
      </c>
      <c r="Y42" s="20" t="n">
        <v>6366492</v>
      </c>
      <c r="Z42" s="20" t="n">
        <v>6552023</v>
      </c>
      <c r="AA42" s="20" t="n">
        <v>6121318</v>
      </c>
      <c r="AB42" s="20" t="n">
        <v>6063090</v>
      </c>
      <c r="AE42" s="19" t="n">
        <f aca="false">IF(ISBLANK(Q42),IF(ISBLANK(X42),"",X42),Q42+X42)</f>
        <v>33167324</v>
      </c>
      <c r="AF42" s="19" t="n">
        <f aca="false">IF(ISBLANK(R42),IF(ISBLANK(Y42),"",Y42),R42+Y42)</f>
        <v>36362250</v>
      </c>
      <c r="AG42" s="19" t="n">
        <f aca="false">IF(ISBLANK(S42),IF(ISBLANK(Z42),"",Z42),S42+Z42)</f>
        <v>35896971</v>
      </c>
      <c r="AH42" s="19" t="n">
        <f aca="false">IF(ISBLANK(T42),IF(ISBLANK(AA42),"",AA42),T42+AA42)</f>
        <v>30327168</v>
      </c>
      <c r="AI42" s="19" t="n">
        <f aca="false">IF(ISBLANK(U42),IF(ISBLANK(AB42),"",AB42),U42+AB42)</f>
        <v>31822330</v>
      </c>
      <c r="AJ42" s="19" t="str">
        <f aca="false">IF(ISBLANK(V42),IF(ISBLANK(AC42),"",AC42),V42+AC42)</f>
        <v/>
      </c>
      <c r="AK42" s="19" t="str">
        <f aca="false">IF(ISBLANK(W42),IF(ISBLANK(AD42),"",AD42),W42+AD42)</f>
        <v/>
      </c>
      <c r="AS42" s="30" t="n">
        <f aca="false">27386150+337284+9430179+1135+58481+1356185+7487+317670+11610944</f>
        <v>50505515</v>
      </c>
      <c r="AT42" s="30" t="n">
        <f aca="false">31026112+283323+8304127+777+39306+1494512+5994+322935+11280342</f>
        <v>52757428</v>
      </c>
      <c r="AU42" s="30" t="n">
        <f aca="false">30506684+465026+10655278+4344+34495+1129399+5996+277653+11385085</f>
        <v>54463960</v>
      </c>
      <c r="AV42" s="30" t="n">
        <f aca="false">25067412+190452+9189864+4488+52483+1978567+7145+276564+11751484</f>
        <v>48518459</v>
      </c>
      <c r="AW42" s="30" t="n">
        <f aca="false">26746679+224926+7717598+760+62669+1795659+9332+269579+11586013</f>
        <v>48413215</v>
      </c>
    </row>
    <row r="43" customFormat="false" ht="15" hidden="false" customHeight="false" outlineLevel="0" collapsed="false">
      <c r="A43" s="0" t="s">
        <v>201</v>
      </c>
      <c r="B43" s="1" t="s">
        <v>202</v>
      </c>
      <c r="C43" s="0" t="s">
        <v>203</v>
      </c>
      <c r="D43" s="0" t="s">
        <v>54</v>
      </c>
      <c r="E43" s="1" t="s">
        <v>63</v>
      </c>
      <c r="F43" s="0" t="s">
        <v>55</v>
      </c>
      <c r="G43" s="1" t="s">
        <v>56</v>
      </c>
      <c r="H43" s="0" t="s">
        <v>57</v>
      </c>
      <c r="I43" s="0" t="n">
        <v>2019</v>
      </c>
      <c r="J43" s="0" t="n">
        <v>12130000000</v>
      </c>
      <c r="K43" s="0" t="n">
        <v>17129000000</v>
      </c>
      <c r="L43" s="0" t="n">
        <v>32736000000</v>
      </c>
      <c r="M43" s="0" t="n">
        <v>34306000000</v>
      </c>
      <c r="N43" s="0" t="n">
        <v>85196000000</v>
      </c>
      <c r="O43" s="0" t="s">
        <v>64</v>
      </c>
      <c r="P43" s="0" t="s">
        <v>65</v>
      </c>
      <c r="Q43" s="0" t="n">
        <v>2.21654399278684</v>
      </c>
      <c r="R43" s="0" t="n">
        <v>2.25119156640157</v>
      </c>
      <c r="S43" s="0" t="n">
        <v>2.45114977234485</v>
      </c>
      <c r="T43" s="0" t="n">
        <v>2.44177319483276</v>
      </c>
      <c r="U43" s="0" t="n">
        <v>2.49294959025129</v>
      </c>
      <c r="W43" s="0"/>
      <c r="X43" s="0" t="n">
        <v>0</v>
      </c>
      <c r="Y43" s="0" t="n">
        <v>0</v>
      </c>
      <c r="Z43" s="0" t="n">
        <v>0</v>
      </c>
      <c r="AA43" s="0" t="n">
        <v>0</v>
      </c>
      <c r="AB43" s="0" t="n">
        <v>0</v>
      </c>
      <c r="AD43" s="0"/>
      <c r="AE43" s="19" t="n">
        <f aca="false">IF(ISBLANK(Q43),IF(ISBLANK(X43),"",X43),Q43+X43)</f>
        <v>2.21654399278684</v>
      </c>
      <c r="AF43" s="19" t="n">
        <f aca="false">IF(ISBLANK(R43),IF(ISBLANK(Y43),"",Y43),R43+Y43)</f>
        <v>2.25119156640157</v>
      </c>
      <c r="AG43" s="19" t="n">
        <f aca="false">IF(ISBLANK(S43),IF(ISBLANK(Z43),"",Z43),S43+Z43)</f>
        <v>2.45114977234485</v>
      </c>
      <c r="AH43" s="19" t="n">
        <f aca="false">IF(ISBLANK(T43),IF(ISBLANK(AA43),"",AA43),T43+AA43)</f>
        <v>2.44177319483276</v>
      </c>
      <c r="AI43" s="19" t="n">
        <f aca="false">IF(ISBLANK(U43),IF(ISBLANK(AB43),"",AB43),U43+AB43)</f>
        <v>2.49294959025129</v>
      </c>
      <c r="AJ43" s="19" t="str">
        <f aca="false">IF(ISBLANK(V43),IF(ISBLANK(AC43),"",AC43),V43+AC43)</f>
        <v/>
      </c>
      <c r="AK43" s="19" t="str">
        <f aca="false">IF(ISBLANK(W43),IF(ISBLANK(AD43),"",AD43),W43+AD43)</f>
        <v/>
      </c>
      <c r="AS43" s="0" t="n">
        <v>32.993292</v>
      </c>
      <c r="AT43" s="0" t="n">
        <v>34.490224</v>
      </c>
      <c r="AU43" s="0" t="n">
        <v>32.28122</v>
      </c>
      <c r="AV43" s="0" t="n">
        <v>33.513361</v>
      </c>
      <c r="AW43" s="0" t="n">
        <v>28.915494</v>
      </c>
    </row>
    <row r="44" customFormat="false" ht="15" hidden="false" customHeight="false" outlineLevel="0" collapsed="false">
      <c r="A44" s="0" t="s">
        <v>204</v>
      </c>
      <c r="B44" s="1" t="s">
        <v>205</v>
      </c>
      <c r="C44" s="0" t="s">
        <v>206</v>
      </c>
      <c r="D44" s="0" t="s">
        <v>54</v>
      </c>
      <c r="E44" s="1" t="s">
        <v>63</v>
      </c>
      <c r="F44" s="0" t="s">
        <v>55</v>
      </c>
      <c r="G44" s="1" t="s">
        <v>56</v>
      </c>
      <c r="H44" s="0" t="s">
        <v>57</v>
      </c>
      <c r="I44" s="0" t="n">
        <v>2019</v>
      </c>
      <c r="J44" s="0" t="n">
        <v>4055165998</v>
      </c>
      <c r="K44" s="0" t="n">
        <v>1457603000</v>
      </c>
      <c r="L44" s="0" t="n">
        <v>6568781998</v>
      </c>
      <c r="M44" s="0" t="n">
        <v>6572614998</v>
      </c>
      <c r="N44" s="0" t="n">
        <v>7298774000</v>
      </c>
      <c r="O44" s="0" t="s">
        <v>64</v>
      </c>
      <c r="P44" s="0" t="s">
        <v>65</v>
      </c>
      <c r="Q44" s="0" t="n">
        <v>6.33725078581738</v>
      </c>
      <c r="R44" s="0" t="n">
        <v>6.48876870188822</v>
      </c>
      <c r="S44" s="0" t="n">
        <v>5.21789575814882</v>
      </c>
      <c r="T44" s="0" t="n">
        <v>5.36782798889096</v>
      </c>
      <c r="U44" s="0" t="n">
        <v>5.2994389016205</v>
      </c>
      <c r="W44" s="0"/>
      <c r="X44" s="0" t="n">
        <v>0</v>
      </c>
      <c r="Y44" s="0" t="n">
        <v>0</v>
      </c>
      <c r="Z44" s="0" t="n">
        <v>0</v>
      </c>
      <c r="AA44" s="0" t="n">
        <v>0</v>
      </c>
      <c r="AB44" s="0" t="n">
        <v>0</v>
      </c>
      <c r="AD44" s="0"/>
      <c r="AE44" s="19" t="n">
        <f aca="false">IF(ISBLANK(Q44),IF(ISBLANK(X44),"",X44),Q44+X44)</f>
        <v>6.33725078581738</v>
      </c>
      <c r="AF44" s="19" t="n">
        <f aca="false">IF(ISBLANK(R44),IF(ISBLANK(Y44),"",Y44),R44+Y44)</f>
        <v>6.48876870188822</v>
      </c>
      <c r="AG44" s="19" t="n">
        <f aca="false">IF(ISBLANK(S44),IF(ISBLANK(Z44),"",Z44),S44+Z44)</f>
        <v>5.21789575814882</v>
      </c>
      <c r="AH44" s="19" t="n">
        <f aca="false">IF(ISBLANK(T44),IF(ISBLANK(AA44),"",AA44),T44+AA44)</f>
        <v>5.36782798889096</v>
      </c>
      <c r="AI44" s="19" t="n">
        <f aca="false">IF(ISBLANK(U44),IF(ISBLANK(AB44),"",AB44),U44+AB44)</f>
        <v>5.2994389016205</v>
      </c>
      <c r="AJ44" s="19" t="str">
        <f aca="false">IF(ISBLANK(V44),IF(ISBLANK(AC44),"",AC44),V44+AC44)</f>
        <v/>
      </c>
      <c r="AK44" s="19" t="str">
        <f aca="false">IF(ISBLANK(W44),IF(ISBLANK(AD44),"",AD44),W44+AD44)</f>
        <v/>
      </c>
      <c r="AS44" s="0" t="n">
        <v>10.2316756958</v>
      </c>
      <c r="AT44" s="0" t="n">
        <v>10.1709745005</v>
      </c>
      <c r="AU44" s="0" t="n">
        <v>9.3077880988</v>
      </c>
      <c r="AV44" s="0" t="n">
        <v>9.9073846085</v>
      </c>
      <c r="AW44" s="0" t="n">
        <v>9.7428489772</v>
      </c>
    </row>
    <row r="45" customFormat="false" ht="15" hidden="false" customHeight="false" outlineLevel="0" collapsed="false">
      <c r="A45" s="0" t="s">
        <v>207</v>
      </c>
      <c r="B45" s="1" t="s">
        <v>208</v>
      </c>
      <c r="C45" s="0" t="s">
        <v>209</v>
      </c>
      <c r="D45" s="0" t="s">
        <v>210</v>
      </c>
      <c r="E45" s="1" t="s">
        <v>191</v>
      </c>
      <c r="F45" s="0" t="s">
        <v>92</v>
      </c>
      <c r="G45" s="1" t="s">
        <v>56</v>
      </c>
      <c r="H45" s="0" t="s">
        <v>57</v>
      </c>
      <c r="I45" s="0" t="n">
        <v>2019</v>
      </c>
      <c r="J45" s="0" t="n">
        <v>20260000000</v>
      </c>
      <c r="K45" s="0" t="n">
        <v>55955872344.1009</v>
      </c>
      <c r="L45" s="0" t="n">
        <v>1</v>
      </c>
      <c r="M45" s="0" t="n">
        <v>1</v>
      </c>
      <c r="N45" s="0" t="n">
        <v>68553124892.0366</v>
      </c>
      <c r="O45" s="24" t="s">
        <v>58</v>
      </c>
      <c r="P45" s="24" t="s">
        <v>93</v>
      </c>
      <c r="Q45" s="0" t="n">
        <v>81309800</v>
      </c>
      <c r="R45" s="0" t="n">
        <v>75633360</v>
      </c>
      <c r="S45" s="0" t="n">
        <v>77391479</v>
      </c>
      <c r="T45" s="0" t="n">
        <v>79447924</v>
      </c>
      <c r="U45" s="0" t="n">
        <v>75069656</v>
      </c>
      <c r="W45" s="0"/>
      <c r="X45" s="0" t="n">
        <v>3715700</v>
      </c>
      <c r="Y45" s="0" t="n">
        <v>1107681</v>
      </c>
      <c r="Z45" s="0" t="n">
        <v>1106964</v>
      </c>
      <c r="AA45" s="0" t="n">
        <v>815966</v>
      </c>
      <c r="AB45" s="0" t="n">
        <v>580226</v>
      </c>
      <c r="AD45" s="0"/>
      <c r="AE45" s="0" t="n">
        <v>85025500</v>
      </c>
      <c r="AF45" s="0" t="n">
        <v>76741041</v>
      </c>
      <c r="AG45" s="0" t="n">
        <v>78498443</v>
      </c>
      <c r="AH45" s="0" t="n">
        <v>80263890</v>
      </c>
      <c r="AI45" s="0" t="n">
        <v>75649882</v>
      </c>
      <c r="AL45" s="0" t="n">
        <v>18044000</v>
      </c>
      <c r="AM45" s="0" t="n">
        <v>18044000</v>
      </c>
      <c r="AN45" s="0" t="n">
        <v>18903000</v>
      </c>
      <c r="AO45" s="0" t="n">
        <v>13139000</v>
      </c>
      <c r="AP45" s="0" t="n">
        <v>11951000</v>
      </c>
      <c r="AS45" s="0" t="n">
        <v>42199000</v>
      </c>
      <c r="AT45" s="0" t="n">
        <v>37207000</v>
      </c>
      <c r="AU45" s="0" t="n">
        <v>37735000</v>
      </c>
      <c r="AV45" s="0" t="n">
        <v>38007000</v>
      </c>
      <c r="AW45" s="0" t="n">
        <v>35935000</v>
      </c>
    </row>
    <row r="46" customFormat="false" ht="15" hidden="false" customHeight="false" outlineLevel="0" collapsed="false">
      <c r="A46" s="0" t="s">
        <v>211</v>
      </c>
      <c r="B46" s="1" t="s">
        <v>212</v>
      </c>
      <c r="C46" s="0" t="s">
        <v>213</v>
      </c>
      <c r="D46" s="0" t="s">
        <v>54</v>
      </c>
      <c r="E46" s="1" t="s">
        <v>63</v>
      </c>
      <c r="F46" s="0" t="s">
        <v>55</v>
      </c>
      <c r="G46" s="1" t="s">
        <v>56</v>
      </c>
      <c r="H46" s="0" t="s">
        <v>57</v>
      </c>
      <c r="I46" s="0" t="n">
        <v>2019</v>
      </c>
      <c r="J46" s="0" t="n">
        <v>22384264788</v>
      </c>
      <c r="K46" s="0" t="n">
        <v>7769000000</v>
      </c>
      <c r="L46" s="0" t="n">
        <v>43462264788</v>
      </c>
      <c r="M46" s="0" t="n">
        <v>44277264788</v>
      </c>
      <c r="N46" s="0" t="n">
        <v>45680000000</v>
      </c>
      <c r="O46" s="0" t="s">
        <v>64</v>
      </c>
      <c r="P46" s="0" t="s">
        <v>65</v>
      </c>
      <c r="Q46" s="0" t="n">
        <v>30.0884872251346</v>
      </c>
      <c r="R46" s="0" t="n">
        <v>30.2483714573959</v>
      </c>
      <c r="S46" s="0" t="n">
        <v>31.6114690424515</v>
      </c>
      <c r="T46" s="0" t="n">
        <v>28.7789153183409</v>
      </c>
      <c r="U46" s="0" t="n">
        <v>26.3563363375832</v>
      </c>
      <c r="W46" s="0"/>
      <c r="X46" s="0" t="n">
        <v>0</v>
      </c>
      <c r="Y46" s="0" t="n">
        <v>0</v>
      </c>
      <c r="Z46" s="0" t="n">
        <v>0</v>
      </c>
      <c r="AA46" s="0" t="n">
        <v>0</v>
      </c>
      <c r="AB46" s="0" t="n">
        <v>0</v>
      </c>
      <c r="AD46" s="0"/>
      <c r="AE46" s="19" t="n">
        <f aca="false">IF(ISBLANK(Q46),IF(ISBLANK(X46),"",X46),Q46+X46)</f>
        <v>30.0884872251346</v>
      </c>
      <c r="AF46" s="19" t="n">
        <f aca="false">IF(ISBLANK(R46),IF(ISBLANK(Y46),"",Y46),R46+Y46)</f>
        <v>30.2483714573959</v>
      </c>
      <c r="AG46" s="19" t="n">
        <f aca="false">IF(ISBLANK(S46),IF(ISBLANK(Z46),"",Z46),S46+Z46)</f>
        <v>31.6114690424515</v>
      </c>
      <c r="AH46" s="19" t="n">
        <f aca="false">IF(ISBLANK(T46),IF(ISBLANK(AA46),"",AA46),T46+AA46)</f>
        <v>28.7789153183409</v>
      </c>
      <c r="AI46" s="19" t="n">
        <f aca="false">IF(ISBLANK(U46),IF(ISBLANK(AB46),"",AB46),U46+AB46)</f>
        <v>26.3563363375832</v>
      </c>
      <c r="AJ46" s="19" t="str">
        <f aca="false">IF(ISBLANK(V46),IF(ISBLANK(AC46),"",AC46),V46+AC46)</f>
        <v/>
      </c>
      <c r="AK46" s="19" t="str">
        <f aca="false">IF(ISBLANK(W46),IF(ISBLANK(AD46),"",AD46),W46+AD46)</f>
        <v/>
      </c>
      <c r="AS46" s="0" t="n">
        <v>34.6132211708955</v>
      </c>
      <c r="AT46" s="0" t="n">
        <v>33.5328684843283</v>
      </c>
      <c r="AU46" s="0" t="n">
        <v>35.5719700402985</v>
      </c>
      <c r="AV46" s="0" t="n">
        <v>33.1529317231343</v>
      </c>
      <c r="AW46" s="0" t="n">
        <v>30.552479561194</v>
      </c>
    </row>
    <row r="47" customFormat="false" ht="15" hidden="false" customHeight="false" outlineLevel="0" collapsed="false">
      <c r="A47" s="0" t="s">
        <v>214</v>
      </c>
      <c r="B47" s="1" t="s">
        <v>215</v>
      </c>
      <c r="C47" s="0" t="s">
        <v>216</v>
      </c>
      <c r="D47" s="0" t="s">
        <v>54</v>
      </c>
      <c r="E47" s="1" t="s">
        <v>63</v>
      </c>
      <c r="F47" s="0" t="s">
        <v>55</v>
      </c>
      <c r="G47" s="1" t="s">
        <v>56</v>
      </c>
      <c r="H47" s="0" t="s">
        <v>57</v>
      </c>
      <c r="I47" s="0" t="n">
        <v>2019</v>
      </c>
      <c r="J47" s="0" t="n">
        <v>10536165750</v>
      </c>
      <c r="K47" s="0" t="n">
        <v>3471209000</v>
      </c>
      <c r="L47" s="0" t="n">
        <v>16720274750</v>
      </c>
      <c r="M47" s="0" t="n">
        <v>16730557750</v>
      </c>
      <c r="N47" s="0" t="n">
        <v>18479247000</v>
      </c>
      <c r="O47" s="0" t="s">
        <v>64</v>
      </c>
      <c r="P47" s="0" t="s">
        <v>65</v>
      </c>
      <c r="Q47" s="0" t="n">
        <v>10.1264200928455</v>
      </c>
      <c r="R47" s="0" t="n">
        <v>11.1203926606529</v>
      </c>
      <c r="S47" s="0" t="n">
        <v>11.1870425101908</v>
      </c>
      <c r="T47" s="0" t="n">
        <v>10.5495715304442</v>
      </c>
      <c r="U47" s="0" t="n">
        <v>10.8314725495023</v>
      </c>
      <c r="W47" s="0"/>
      <c r="X47" s="0" t="n">
        <v>0</v>
      </c>
      <c r="Y47" s="0" t="n">
        <v>0</v>
      </c>
      <c r="Z47" s="0" t="n">
        <v>0</v>
      </c>
      <c r="AA47" s="0" t="n">
        <v>0</v>
      </c>
      <c r="AB47" s="0" t="n">
        <v>0</v>
      </c>
      <c r="AD47" s="0"/>
      <c r="AE47" s="19" t="n">
        <f aca="false">IF(ISBLANK(Q47),IF(ISBLANK(X47),"",X47),Q47+X47)</f>
        <v>10.1264200928455</v>
      </c>
      <c r="AF47" s="19" t="n">
        <f aca="false">IF(ISBLANK(R47),IF(ISBLANK(Y47),"",Y47),R47+Y47)</f>
        <v>11.1203926606529</v>
      </c>
      <c r="AG47" s="19" t="n">
        <f aca="false">IF(ISBLANK(S47),IF(ISBLANK(Z47),"",Z47),S47+Z47)</f>
        <v>11.1870425101908</v>
      </c>
      <c r="AH47" s="19" t="n">
        <f aca="false">IF(ISBLANK(T47),IF(ISBLANK(AA47),"",AA47),T47+AA47)</f>
        <v>10.5495715304442</v>
      </c>
      <c r="AI47" s="19" t="n">
        <f aca="false">IF(ISBLANK(U47),IF(ISBLANK(AB47),"",AB47),U47+AB47)</f>
        <v>10.8314725495023</v>
      </c>
      <c r="AJ47" s="19" t="str">
        <f aca="false">IF(ISBLANK(V47),IF(ISBLANK(AC47),"",AC47),V47+AC47)</f>
        <v/>
      </c>
      <c r="AK47" s="19" t="str">
        <f aca="false">IF(ISBLANK(W47),IF(ISBLANK(AD47),"",AD47),W47+AD47)</f>
        <v/>
      </c>
      <c r="AS47" s="0" t="n">
        <v>24.8167090936175</v>
      </c>
      <c r="AT47" s="0" t="n">
        <v>25.5432862242768</v>
      </c>
      <c r="AU47" s="0" t="n">
        <v>25.3295254644724</v>
      </c>
      <c r="AV47" s="0" t="n">
        <v>25.6144668764736</v>
      </c>
      <c r="AW47" s="0" t="n">
        <v>26.617025473167</v>
      </c>
    </row>
    <row r="48" customFormat="false" ht="15" hidden="false" customHeight="false" outlineLevel="0" collapsed="false">
      <c r="A48" s="0" t="s">
        <v>217</v>
      </c>
      <c r="B48" s="1" t="s">
        <v>218</v>
      </c>
      <c r="C48" s="0" t="s">
        <v>219</v>
      </c>
      <c r="D48" s="0" t="s">
        <v>54</v>
      </c>
      <c r="E48" s="1" t="s">
        <v>63</v>
      </c>
      <c r="F48" s="0" t="s">
        <v>55</v>
      </c>
      <c r="G48" s="1" t="s">
        <v>56</v>
      </c>
      <c r="H48" s="0" t="s">
        <v>57</v>
      </c>
      <c r="I48" s="0" t="n">
        <v>2019</v>
      </c>
      <c r="J48" s="0" t="n">
        <v>4823580272</v>
      </c>
      <c r="K48" s="0" t="n">
        <v>2123000000</v>
      </c>
      <c r="L48" s="0" t="n">
        <v>7832580272</v>
      </c>
      <c r="M48" s="0" t="n">
        <v>7862580272</v>
      </c>
      <c r="N48" s="0" t="n">
        <v>8394000000</v>
      </c>
      <c r="O48" s="0" t="s">
        <v>64</v>
      </c>
      <c r="P48" s="0" t="s">
        <v>65</v>
      </c>
      <c r="Q48" s="0" t="n">
        <v>5.9896601061834</v>
      </c>
      <c r="R48" s="0" t="n">
        <v>5.98392687284766</v>
      </c>
      <c r="S48" s="0" t="n">
        <v>6.03554013203217</v>
      </c>
      <c r="T48" s="0" t="n">
        <v>7.62192758664741</v>
      </c>
      <c r="U48" s="0" t="n">
        <v>6.24955783985098</v>
      </c>
      <c r="W48" s="0"/>
      <c r="X48" s="0" t="n">
        <v>0</v>
      </c>
      <c r="Y48" s="0" t="n">
        <v>0</v>
      </c>
      <c r="Z48" s="0" t="n">
        <v>0</v>
      </c>
      <c r="AA48" s="0" t="n">
        <v>0</v>
      </c>
      <c r="AB48" s="0" t="n">
        <v>0</v>
      </c>
      <c r="AD48" s="0"/>
      <c r="AE48" s="19" t="n">
        <f aca="false">IF(ISBLANK(Q48),IF(ISBLANK(X48),"",X48),Q48+X48)</f>
        <v>5.9896601061834</v>
      </c>
      <c r="AF48" s="19" t="n">
        <f aca="false">IF(ISBLANK(R48),IF(ISBLANK(Y48),"",Y48),R48+Y48)</f>
        <v>5.98392687284766</v>
      </c>
      <c r="AG48" s="19" t="n">
        <f aca="false">IF(ISBLANK(S48),IF(ISBLANK(Z48),"",Z48),S48+Z48)</f>
        <v>6.03554013203217</v>
      </c>
      <c r="AH48" s="19" t="n">
        <f aca="false">IF(ISBLANK(T48),IF(ISBLANK(AA48),"",AA48),T48+AA48)</f>
        <v>7.62192758664741</v>
      </c>
      <c r="AI48" s="19" t="n">
        <f aca="false">IF(ISBLANK(U48),IF(ISBLANK(AB48),"",AB48),U48+AB48)</f>
        <v>6.24955783985098</v>
      </c>
      <c r="AJ48" s="19" t="str">
        <f aca="false">IF(ISBLANK(V48),IF(ISBLANK(AC48),"",AC48),V48+AC48)</f>
        <v/>
      </c>
      <c r="AK48" s="19" t="str">
        <f aca="false">IF(ISBLANK(W48),IF(ISBLANK(AD48),"",AD48),W48+AD48)</f>
        <v/>
      </c>
      <c r="AS48" s="0" t="n">
        <v>13.0388771586</v>
      </c>
      <c r="AT48" s="0" t="n">
        <v>13.1581340554</v>
      </c>
      <c r="AU48" s="0" t="n">
        <v>13.925387108697</v>
      </c>
      <c r="AV48" s="0" t="n">
        <v>15.8006907885</v>
      </c>
      <c r="AW48" s="0" t="n">
        <v>14.4241320008</v>
      </c>
    </row>
    <row r="49" customFormat="false" ht="15" hidden="false" customHeight="false" outlineLevel="0" collapsed="false">
      <c r="A49" s="0" t="s">
        <v>220</v>
      </c>
      <c r="B49" s="1" t="s">
        <v>221</v>
      </c>
      <c r="C49" s="0" t="s">
        <v>222</v>
      </c>
      <c r="D49" s="0" t="s">
        <v>54</v>
      </c>
      <c r="E49" s="1" t="s">
        <v>63</v>
      </c>
      <c r="F49" s="0" t="s">
        <v>55</v>
      </c>
      <c r="G49" s="1" t="s">
        <v>56</v>
      </c>
      <c r="H49" s="0" t="s">
        <v>57</v>
      </c>
      <c r="I49" s="0" t="n">
        <v>2019</v>
      </c>
      <c r="J49" s="0" t="n">
        <v>29513402185</v>
      </c>
      <c r="K49" s="0" t="n">
        <v>10076000000</v>
      </c>
      <c r="L49" s="0" t="n">
        <v>46089402185</v>
      </c>
      <c r="M49" s="0" t="n">
        <v>46236402185</v>
      </c>
      <c r="N49" s="0" t="n">
        <v>47730000000</v>
      </c>
      <c r="O49" s="0" t="s">
        <v>64</v>
      </c>
      <c r="P49" s="0" t="s">
        <v>65</v>
      </c>
      <c r="Q49" s="0" t="n">
        <v>11.7569055157382</v>
      </c>
      <c r="R49" s="0" t="n">
        <v>10.4970033632159</v>
      </c>
      <c r="S49" s="0" t="n">
        <v>11.8664996455886</v>
      </c>
      <c r="T49" s="0" t="n">
        <v>11.5717537423113</v>
      </c>
      <c r="U49" s="0" t="n">
        <v>8.2013432159028</v>
      </c>
      <c r="W49" s="0"/>
      <c r="X49" s="0" t="n">
        <v>0</v>
      </c>
      <c r="Y49" s="0" t="n">
        <v>0</v>
      </c>
      <c r="Z49" s="0" t="n">
        <v>0</v>
      </c>
      <c r="AA49" s="0" t="n">
        <v>0</v>
      </c>
      <c r="AB49" s="0" t="n">
        <v>0</v>
      </c>
      <c r="AD49" s="0"/>
      <c r="AE49" s="19" t="n">
        <f aca="false">IF(ISBLANK(Q49),IF(ISBLANK(X49),"",X49),Q49+X49)</f>
        <v>11.7569055157382</v>
      </c>
      <c r="AF49" s="19" t="n">
        <f aca="false">IF(ISBLANK(R49),IF(ISBLANK(Y49),"",Y49),R49+Y49)</f>
        <v>10.4970033632159</v>
      </c>
      <c r="AG49" s="19" t="n">
        <f aca="false">IF(ISBLANK(S49),IF(ISBLANK(Z49),"",Z49),S49+Z49)</f>
        <v>11.8664996455886</v>
      </c>
      <c r="AH49" s="19" t="n">
        <f aca="false">IF(ISBLANK(T49),IF(ISBLANK(AA49),"",AA49),T49+AA49)</f>
        <v>11.5717537423113</v>
      </c>
      <c r="AI49" s="19" t="n">
        <f aca="false">IF(ISBLANK(U49),IF(ISBLANK(AB49),"",AB49),U49+AB49)</f>
        <v>8.2013432159028</v>
      </c>
      <c r="AJ49" s="19" t="str">
        <f aca="false">IF(ISBLANK(V49),IF(ISBLANK(AC49),"",AC49),V49+AC49)</f>
        <v/>
      </c>
      <c r="AK49" s="19" t="str">
        <f aca="false">IF(ISBLANK(W49),IF(ISBLANK(AD49),"",AD49),W49+AD49)</f>
        <v/>
      </c>
      <c r="AS49" s="0" t="n">
        <v>51.6385146096</v>
      </c>
      <c r="AT49" s="0" t="n">
        <v>51.1960171376</v>
      </c>
      <c r="AU49" s="0" t="n">
        <v>53.823207085</v>
      </c>
      <c r="AV49" s="0" t="n">
        <v>53.4572160069999</v>
      </c>
      <c r="AW49" s="0" t="n">
        <v>49.8093304860838</v>
      </c>
    </row>
    <row r="50" customFormat="false" ht="13.8" hidden="false" customHeight="false" outlineLevel="0" collapsed="false">
      <c r="A50" s="0" t="s">
        <v>223</v>
      </c>
      <c r="B50" s="1" t="s">
        <v>224</v>
      </c>
      <c r="C50" s="0" t="s">
        <v>225</v>
      </c>
      <c r="D50" s="0" t="s">
        <v>226</v>
      </c>
      <c r="E50" s="1"/>
      <c r="F50" s="0" t="s">
        <v>87</v>
      </c>
      <c r="G50" s="1" t="s">
        <v>56</v>
      </c>
      <c r="H50" s="0" t="s">
        <v>57</v>
      </c>
      <c r="I50" s="3" t="n">
        <v>44561</v>
      </c>
      <c r="J50" s="22" t="n">
        <v>1908000000000</v>
      </c>
      <c r="K50" s="22" t="n">
        <v>359460000000</v>
      </c>
      <c r="L50" s="22" t="n">
        <v>7400000000000</v>
      </c>
      <c r="M50" s="0" t="n">
        <f aca="false">L50+356460000000</f>
        <v>7756460000000</v>
      </c>
      <c r="N50" s="22" t="n">
        <v>576700000000</v>
      </c>
      <c r="O50" s="0" t="s">
        <v>64</v>
      </c>
      <c r="P50" s="0" t="s">
        <v>174</v>
      </c>
      <c r="S50" s="0" t="n">
        <f aca="false">46.6*(52/44.7)</f>
        <v>54.2102908277405</v>
      </c>
      <c r="T50" s="0" t="n">
        <v>52</v>
      </c>
      <c r="U50" s="0" t="n">
        <v>50.2</v>
      </c>
      <c r="V50" s="0" t="n">
        <v>52.3</v>
      </c>
      <c r="W50" s="0"/>
      <c r="Z50" s="0" t="n">
        <f aca="false">14.7*(19/14.7)</f>
        <v>19</v>
      </c>
      <c r="AA50" s="0" t="n">
        <v>19</v>
      </c>
      <c r="AB50" s="0" t="n">
        <v>18.1</v>
      </c>
      <c r="AC50" s="0" t="n">
        <v>15.5</v>
      </c>
      <c r="AD50" s="0"/>
      <c r="AE50" s="19" t="str">
        <f aca="false">IF(ISBLANK(Q50),IF(ISBLANK(X50),"",X50),Q50+X50)</f>
        <v/>
      </c>
      <c r="AF50" s="19" t="str">
        <f aca="false">IF(ISBLANK(R50),IF(ISBLANK(Y50),"",Y50),R50+Y50)</f>
        <v/>
      </c>
      <c r="AG50" s="19" t="n">
        <f aca="false">IF(ISBLANK(S50),IF(ISBLANK(Z50),"",Z50),S50+Z50)</f>
        <v>73.2102908277405</v>
      </c>
      <c r="AH50" s="19" t="n">
        <f aca="false">IF(ISBLANK(T50),IF(ISBLANK(AA50),"",AA50),T50+AA50)</f>
        <v>71</v>
      </c>
      <c r="AI50" s="19" t="n">
        <f aca="false">IF(ISBLANK(U50),IF(ISBLANK(AB50),"",AB50),U50+AB50)</f>
        <v>68.3</v>
      </c>
      <c r="AJ50" s="19" t="n">
        <f aca="false">IF(ISBLANK(V50),IF(ISBLANK(AC50),"",AC50),V50+AC50)</f>
        <v>67.8</v>
      </c>
      <c r="AK50" s="19" t="str">
        <f aca="false">IF(ISBLANK(W50),IF(ISBLANK(AD50),"",AD50),W50+AD50)</f>
        <v/>
      </c>
      <c r="AU50" s="0" t="n">
        <f aca="false">(13.6+10.3)*365</f>
        <v>8723.5</v>
      </c>
      <c r="AV50" s="0" t="n">
        <f aca="false">(13.2+9.9)*365</f>
        <v>8431.5</v>
      </c>
      <c r="AW50" s="0" t="n">
        <f aca="false">(12.4+9.2)*365</f>
        <v>7884</v>
      </c>
      <c r="AX50" s="0" t="n">
        <f aca="false">(12.3+9.2)*365</f>
        <v>7847.5</v>
      </c>
    </row>
    <row r="51" customFormat="false" ht="15" hidden="false" customHeight="false" outlineLevel="0" collapsed="false">
      <c r="A51" s="0" t="s">
        <v>227</v>
      </c>
      <c r="B51" s="1" t="s">
        <v>228</v>
      </c>
      <c r="C51" s="0" t="s">
        <v>229</v>
      </c>
      <c r="D51" s="0" t="s">
        <v>54</v>
      </c>
      <c r="E51" s="1" t="s">
        <v>63</v>
      </c>
      <c r="F51" s="0" t="s">
        <v>55</v>
      </c>
      <c r="G51" s="1" t="s">
        <v>56</v>
      </c>
      <c r="H51" s="0" t="s">
        <v>57</v>
      </c>
      <c r="I51" s="0" t="n">
        <v>2019</v>
      </c>
      <c r="J51" s="0" t="n">
        <v>37700000000</v>
      </c>
      <c r="K51" s="0" t="n">
        <v>10829000000</v>
      </c>
      <c r="L51" s="0" t="n">
        <v>58377000000</v>
      </c>
      <c r="M51" s="0" t="n">
        <v>58485000000</v>
      </c>
      <c r="N51" s="0" t="n">
        <v>65665000000</v>
      </c>
      <c r="O51" s="0" t="s">
        <v>64</v>
      </c>
      <c r="P51" s="0" t="s">
        <v>65</v>
      </c>
      <c r="Q51" s="0" t="n">
        <v>0.933256310305055</v>
      </c>
      <c r="R51" s="0" t="n">
        <v>1.01457335421151</v>
      </c>
      <c r="S51" s="0" t="n">
        <v>0.787124234750554</v>
      </c>
      <c r="T51" s="0" t="n">
        <v>0.495357536188732</v>
      </c>
      <c r="U51" s="0" t="n">
        <v>0.81038145236855</v>
      </c>
      <c r="W51" s="0"/>
      <c r="X51" s="0" t="n">
        <v>0</v>
      </c>
      <c r="Y51" s="0" t="n">
        <v>0</v>
      </c>
      <c r="Z51" s="0" t="n">
        <v>0</v>
      </c>
      <c r="AA51" s="0" t="n">
        <v>0</v>
      </c>
      <c r="AB51" s="0" t="n">
        <v>0</v>
      </c>
      <c r="AD51" s="0"/>
      <c r="AE51" s="19" t="n">
        <f aca="false">IF(ISBLANK(Q51),IF(ISBLANK(X51),"",X51),Q51+X51)</f>
        <v>0.933256310305055</v>
      </c>
      <c r="AF51" s="19" t="n">
        <f aca="false">IF(ISBLANK(R51),IF(ISBLANK(Y51),"",Y51),R51+Y51)</f>
        <v>1.01457335421151</v>
      </c>
      <c r="AG51" s="19" t="n">
        <f aca="false">IF(ISBLANK(S51),IF(ISBLANK(Z51),"",Z51),S51+Z51)</f>
        <v>0.787124234750554</v>
      </c>
      <c r="AH51" s="19" t="n">
        <f aca="false">IF(ISBLANK(T51),IF(ISBLANK(AA51),"",AA51),T51+AA51)</f>
        <v>0.495357536188732</v>
      </c>
      <c r="AI51" s="19" t="n">
        <f aca="false">IF(ISBLANK(U51),IF(ISBLANK(AB51),"",AB51),U51+AB51)</f>
        <v>0.81038145236855</v>
      </c>
      <c r="AJ51" s="19" t="str">
        <f aca="false">IF(ISBLANK(V51),IF(ISBLANK(AC51),"",AC51),V51+AC51)</f>
        <v/>
      </c>
      <c r="AK51" s="19" t="str">
        <f aca="false">IF(ISBLANK(W51),IF(ISBLANK(AD51),"",AD51),W51+AD51)</f>
        <v/>
      </c>
      <c r="AS51" s="0" t="n">
        <v>2.430041</v>
      </c>
      <c r="AT51" s="0" t="n">
        <v>2.648957</v>
      </c>
      <c r="AU51" s="0" t="n">
        <v>2.03335</v>
      </c>
      <c r="AV51" s="0" t="n">
        <v>1.263015</v>
      </c>
      <c r="AW51" s="0" t="n">
        <v>2.117011</v>
      </c>
    </row>
    <row r="52" customFormat="false" ht="13.8" hidden="false" customHeight="false" outlineLevel="0" collapsed="false">
      <c r="A52" s="0" t="s">
        <v>230</v>
      </c>
      <c r="B52" s="1" t="s">
        <v>231</v>
      </c>
      <c r="C52" s="0" t="s">
        <v>232</v>
      </c>
      <c r="D52" s="0" t="s">
        <v>85</v>
      </c>
      <c r="E52" s="1" t="s">
        <v>86</v>
      </c>
      <c r="F52" s="0" t="s">
        <v>87</v>
      </c>
      <c r="G52" s="1" t="s">
        <v>56</v>
      </c>
      <c r="H52" s="0" t="s">
        <v>57</v>
      </c>
      <c r="I52" s="3" t="n">
        <v>44561</v>
      </c>
      <c r="J52" s="22" t="n">
        <v>89760000000</v>
      </c>
      <c r="K52" s="22" t="n">
        <v>261500000000</v>
      </c>
      <c r="L52" s="22" t="n">
        <v>147090000000</v>
      </c>
      <c r="M52" s="0" t="n">
        <f aca="false">L52+38970000000</f>
        <v>186060000000</v>
      </c>
      <c r="N52" s="22" t="n">
        <v>404379000000</v>
      </c>
      <c r="O52" s="0" t="s">
        <v>64</v>
      </c>
      <c r="P52" s="0" t="s">
        <v>233</v>
      </c>
      <c r="Q52" s="0" t="n">
        <v>68</v>
      </c>
      <c r="R52" s="0" t="n">
        <v>73</v>
      </c>
      <c r="S52" s="0" t="n">
        <v>71</v>
      </c>
      <c r="T52" s="0" t="n">
        <v>70</v>
      </c>
      <c r="U52" s="0" t="n">
        <v>63</v>
      </c>
      <c r="V52" s="0" t="n">
        <v>60</v>
      </c>
      <c r="W52" s="0"/>
      <c r="Y52" s="0" t="n">
        <v>12</v>
      </c>
      <c r="Z52" s="0" t="n">
        <v>11</v>
      </c>
      <c r="AA52" s="0" t="n">
        <v>10</v>
      </c>
      <c r="AB52" s="0" t="n">
        <v>8</v>
      </c>
      <c r="AC52" s="0" t="n">
        <v>8</v>
      </c>
      <c r="AD52" s="0"/>
      <c r="AE52" s="19" t="n">
        <f aca="false">IF(ISBLANK(Q52),IF(ISBLANK(X52),"",X52),Q52+X52)</f>
        <v>68</v>
      </c>
      <c r="AF52" s="19" t="n">
        <f aca="false">IF(ISBLANK(R52),IF(ISBLANK(Y52),"",Y52),R52+Y52)</f>
        <v>85</v>
      </c>
      <c r="AG52" s="19" t="n">
        <f aca="false">IF(ISBLANK(S52),IF(ISBLANK(Z52),"",Z52),S52+Z52)</f>
        <v>82</v>
      </c>
      <c r="AH52" s="19" t="n">
        <f aca="false">IF(ISBLANK(T52),IF(ISBLANK(AA52),"",AA52),T52+AA52)</f>
        <v>80</v>
      </c>
      <c r="AI52" s="19" t="n">
        <f aca="false">IF(ISBLANK(U52),IF(ISBLANK(AB52),"",AB52),U52+AB52)</f>
        <v>71</v>
      </c>
      <c r="AJ52" s="19" t="n">
        <f aca="false">IF(ISBLANK(V52),IF(ISBLANK(AC52),"",AC52),V52+AC52)</f>
        <v>68</v>
      </c>
      <c r="AK52" s="19"/>
      <c r="AM52" s="0" t="n">
        <f aca="false">186+87+1318+582+736</f>
        <v>2909</v>
      </c>
      <c r="AN52" s="0" t="n">
        <f aca="false">190+96+1351+594+757</f>
        <v>2988</v>
      </c>
      <c r="AO52" s="0" t="n">
        <f aca="false">178+102+1271+564+708</f>
        <v>2823</v>
      </c>
      <c r="AP52" s="0" t="n">
        <f aca="false">147+103+1054+452+602</f>
        <v>2358</v>
      </c>
      <c r="AQ52" s="0" t="n">
        <f aca="false">147+136+6+1010+380+630</f>
        <v>2309</v>
      </c>
      <c r="AT52" s="0" t="n">
        <v>21.44</v>
      </c>
      <c r="AU52" s="0" t="n">
        <v>22</v>
      </c>
      <c r="AV52" s="0" t="n">
        <v>21.05</v>
      </c>
      <c r="AW52" s="0" t="n">
        <v>18.4</v>
      </c>
      <c r="AX52" s="0" t="n">
        <v>17.89</v>
      </c>
    </row>
    <row r="53" customFormat="false" ht="15" hidden="false" customHeight="false" outlineLevel="0" collapsed="false">
      <c r="A53" s="0" t="s">
        <v>234</v>
      </c>
      <c r="B53" s="1" t="s">
        <v>235</v>
      </c>
      <c r="C53" s="0" t="s">
        <v>236</v>
      </c>
      <c r="D53" s="0" t="s">
        <v>54</v>
      </c>
      <c r="E53" s="1" t="s">
        <v>63</v>
      </c>
      <c r="F53" s="0" t="s">
        <v>55</v>
      </c>
      <c r="G53" s="1" t="s">
        <v>56</v>
      </c>
      <c r="H53" s="0" t="s">
        <v>57</v>
      </c>
      <c r="I53" s="0" t="n">
        <v>2019</v>
      </c>
      <c r="J53" s="0" t="n">
        <v>57800000000</v>
      </c>
      <c r="K53" s="0" t="n">
        <v>21419000000</v>
      </c>
      <c r="L53" s="0" t="n">
        <v>97623000000</v>
      </c>
      <c r="M53" s="0" t="n">
        <v>99598000000</v>
      </c>
      <c r="N53" s="0" t="n">
        <v>118700000000</v>
      </c>
      <c r="O53" s="0" t="s">
        <v>64</v>
      </c>
      <c r="P53" s="0" t="s">
        <v>65</v>
      </c>
      <c r="Q53" s="0" t="n">
        <v>73.1580601391005</v>
      </c>
      <c r="R53" s="0" t="n">
        <v>68.7017623092618</v>
      </c>
      <c r="S53" s="0" t="n">
        <v>70.0651152667546</v>
      </c>
      <c r="T53" s="0" t="n">
        <v>63.4367340296781</v>
      </c>
      <c r="U53" s="0" t="n">
        <v>55.2684001323955</v>
      </c>
      <c r="W53" s="0"/>
      <c r="X53" s="0" t="n">
        <v>0</v>
      </c>
      <c r="Y53" s="0" t="n">
        <v>0</v>
      </c>
      <c r="Z53" s="0" t="n">
        <v>0</v>
      </c>
      <c r="AA53" s="0" t="n">
        <v>0</v>
      </c>
      <c r="AB53" s="0" t="n">
        <v>0</v>
      </c>
      <c r="AD53" s="0"/>
      <c r="AE53" s="19" t="n">
        <f aca="false">IF(ISBLANK(Q53),IF(ISBLANK(X53),"",X53),Q53+X53)</f>
        <v>73.1580601391005</v>
      </c>
      <c r="AF53" s="19" t="n">
        <f aca="false">IF(ISBLANK(R53),IF(ISBLANK(Y53),"",Y53),R53+Y53)</f>
        <v>68.7017623092618</v>
      </c>
      <c r="AG53" s="19" t="n">
        <f aca="false">IF(ISBLANK(S53),IF(ISBLANK(Z53),"",Z53),S53+Z53)</f>
        <v>70.0651152667546</v>
      </c>
      <c r="AH53" s="19" t="n">
        <f aca="false">IF(ISBLANK(T53),IF(ISBLANK(AA53),"",AA53),T53+AA53)</f>
        <v>63.4367340296781</v>
      </c>
      <c r="AI53" s="19" t="n">
        <f aca="false">IF(ISBLANK(U53),IF(ISBLANK(AB53),"",AB53),U53+AB53)</f>
        <v>55.2684001323955</v>
      </c>
      <c r="AJ53" s="19" t="str">
        <f aca="false">IF(ISBLANK(V53),IF(ISBLANK(AC53),"",AC53),V53+AC53)</f>
        <v/>
      </c>
      <c r="AK53" s="19" t="str">
        <f aca="false">IF(ISBLANK(W53),IF(ISBLANK(AD53),"",AD53),W53+AD53)</f>
        <v/>
      </c>
      <c r="AS53" s="0" t="n">
        <v>142.170798416672</v>
      </c>
      <c r="AT53" s="0" t="n">
        <v>139.134164092411</v>
      </c>
      <c r="AU53" s="0" t="n">
        <v>143.254520605722</v>
      </c>
      <c r="AV53" s="0" t="n">
        <v>139.142471613559</v>
      </c>
      <c r="AW53" s="0" t="n">
        <v>133.669924277781</v>
      </c>
    </row>
    <row r="54" customFormat="false" ht="15" hidden="false" customHeight="false" outlineLevel="0" collapsed="false">
      <c r="A54" s="0" t="s">
        <v>237</v>
      </c>
      <c r="B54" s="1" t="s">
        <v>238</v>
      </c>
      <c r="C54" s="0" t="s">
        <v>239</v>
      </c>
      <c r="D54" s="0" t="s">
        <v>54</v>
      </c>
      <c r="E54" s="1" t="s">
        <v>63</v>
      </c>
      <c r="F54" s="0" t="s">
        <v>92</v>
      </c>
      <c r="G54" s="1" t="s">
        <v>56</v>
      </c>
      <c r="H54" s="0" t="s">
        <v>57</v>
      </c>
      <c r="I54" s="0" t="n">
        <v>2019</v>
      </c>
      <c r="J54" s="0" t="n">
        <v>5000000000</v>
      </c>
      <c r="K54" s="0" t="n">
        <v>10464991000</v>
      </c>
      <c r="L54" s="0" t="n">
        <v>6352884000</v>
      </c>
      <c r="M54" s="0" t="n">
        <v>7734344000</v>
      </c>
      <c r="N54" s="0" t="n">
        <v>8275765000</v>
      </c>
      <c r="O54" s="24" t="s">
        <v>58</v>
      </c>
      <c r="P54" s="24" t="s">
        <v>93</v>
      </c>
      <c r="Q54" s="0" t="n">
        <v>3215942</v>
      </c>
      <c r="R54" s="0" t="n">
        <v>3215942</v>
      </c>
      <c r="S54" s="0" t="n">
        <v>3299883</v>
      </c>
      <c r="T54" s="0" t="n">
        <v>3145097</v>
      </c>
      <c r="U54" s="0" t="n">
        <v>3063829.94545454</v>
      </c>
      <c r="W54" s="0"/>
      <c r="X54" s="0" t="n">
        <v>1700245</v>
      </c>
      <c r="Y54" s="0" t="n">
        <v>1700245</v>
      </c>
      <c r="Z54" s="0" t="n">
        <v>1863045</v>
      </c>
      <c r="AA54" s="0" t="n">
        <v>1744669</v>
      </c>
      <c r="AB54" s="0" t="n">
        <v>1694260.13636364</v>
      </c>
      <c r="AD54" s="0"/>
      <c r="AE54" s="0" t="n">
        <v>4916187</v>
      </c>
      <c r="AF54" s="0" t="n">
        <v>4916187</v>
      </c>
      <c r="AG54" s="0" t="n">
        <v>5162928</v>
      </c>
      <c r="AH54" s="0" t="n">
        <v>4889766</v>
      </c>
      <c r="AI54" s="0" t="n">
        <v>4758090.08181818</v>
      </c>
      <c r="AS54" s="0" t="n">
        <v>8529969</v>
      </c>
      <c r="AT54" s="0" t="n">
        <v>8529969</v>
      </c>
      <c r="AU54" s="0" t="n">
        <v>9074135</v>
      </c>
      <c r="AV54" s="0" t="n">
        <v>8793160</v>
      </c>
      <c r="AW54" s="0" t="n">
        <v>8925057.4</v>
      </c>
    </row>
    <row r="55" customFormat="false" ht="15" hidden="false" customHeight="false" outlineLevel="0" collapsed="false">
      <c r="A55" s="0" t="s">
        <v>240</v>
      </c>
      <c r="B55" s="1" t="s">
        <v>241</v>
      </c>
      <c r="C55" s="0" t="s">
        <v>242</v>
      </c>
      <c r="D55" s="0" t="s">
        <v>155</v>
      </c>
      <c r="E55" s="1" t="s">
        <v>63</v>
      </c>
      <c r="F55" s="0" t="s">
        <v>55</v>
      </c>
      <c r="G55" s="1" t="s">
        <v>56</v>
      </c>
      <c r="H55" s="0" t="s">
        <v>57</v>
      </c>
      <c r="I55" s="0" t="n">
        <v>2019</v>
      </c>
      <c r="J55" s="31" t="n">
        <v>50030000000</v>
      </c>
      <c r="K55" s="0" t="n">
        <v>10175225448.5598</v>
      </c>
      <c r="L55" s="0" t="n">
        <v>1</v>
      </c>
      <c r="M55" s="0" t="n">
        <v>1</v>
      </c>
      <c r="N55" s="0" t="n">
        <v>76211709340.4429</v>
      </c>
      <c r="O55" s="0" t="s">
        <v>64</v>
      </c>
      <c r="P55" s="0" t="s">
        <v>65</v>
      </c>
      <c r="Q55" s="0" t="n">
        <v>0.376086646397781</v>
      </c>
      <c r="R55" s="0" t="n">
        <v>0.47113547279974</v>
      </c>
      <c r="S55" s="0" t="n">
        <v>0.716643638493997</v>
      </c>
      <c r="T55" s="0" t="n">
        <v>0.583710243162231</v>
      </c>
      <c r="U55" s="0" t="n">
        <v>0.542036484771806</v>
      </c>
      <c r="W55" s="0"/>
      <c r="X55" s="0" t="n">
        <v>0</v>
      </c>
      <c r="Y55" s="0" t="n">
        <v>0</v>
      </c>
      <c r="Z55" s="0" t="n">
        <v>0</v>
      </c>
      <c r="AA55" s="0" t="n">
        <v>0</v>
      </c>
      <c r="AB55" s="0" t="n">
        <v>0</v>
      </c>
      <c r="AD55" s="0"/>
      <c r="AE55" s="19" t="n">
        <f aca="false">IF(ISBLANK(Q55),IF(ISBLANK(X55),"",X55),Q55+X55)</f>
        <v>0.376086646397781</v>
      </c>
      <c r="AF55" s="19" t="n">
        <f aca="false">IF(ISBLANK(R55),IF(ISBLANK(Y55),"",Y55),R55+Y55)</f>
        <v>0.47113547279974</v>
      </c>
      <c r="AG55" s="19" t="n">
        <f aca="false">IF(ISBLANK(S55),IF(ISBLANK(Z55),"",Z55),S55+Z55)</f>
        <v>0.716643638493997</v>
      </c>
      <c r="AH55" s="19" t="n">
        <f aca="false">IF(ISBLANK(T55),IF(ISBLANK(AA55),"",AA55),T55+AA55)</f>
        <v>0.583710243162231</v>
      </c>
      <c r="AI55" s="19" t="n">
        <f aca="false">IF(ISBLANK(U55),IF(ISBLANK(AB55),"",AB55),U55+AB55)</f>
        <v>0.542036484771806</v>
      </c>
      <c r="AJ55" s="19" t="str">
        <f aca="false">IF(ISBLANK(V55),IF(ISBLANK(AC55),"",AC55),V55+AC55)</f>
        <v/>
      </c>
      <c r="AK55" s="19" t="str">
        <f aca="false">IF(ISBLANK(W55),IF(ISBLANK(AD55),"",AD55),W55+AD55)</f>
        <v/>
      </c>
      <c r="AS55" s="0" t="n">
        <v>2.003309</v>
      </c>
      <c r="AT55" s="0" t="n">
        <v>1.056714</v>
      </c>
      <c r="AU55" s="0" t="n">
        <v>1.51502</v>
      </c>
      <c r="AV55" s="0" t="n">
        <v>1.248303</v>
      </c>
      <c r="AW55" s="0" t="n">
        <v>1.296325</v>
      </c>
    </row>
    <row r="56" customFormat="false" ht="15" hidden="false" customHeight="false" outlineLevel="0" collapsed="false">
      <c r="A56" s="0" t="s">
        <v>243</v>
      </c>
      <c r="B56" s="1" t="s">
        <v>244</v>
      </c>
      <c r="C56" s="0" t="s">
        <v>245</v>
      </c>
      <c r="D56" s="0" t="s">
        <v>246</v>
      </c>
      <c r="E56" s="1" t="s">
        <v>86</v>
      </c>
      <c r="F56" s="0" t="s">
        <v>92</v>
      </c>
      <c r="G56" s="1" t="s">
        <v>56</v>
      </c>
      <c r="H56" s="0" t="s">
        <v>57</v>
      </c>
      <c r="I56" s="0" t="n">
        <v>2019</v>
      </c>
      <c r="J56" s="32" t="n">
        <v>590000000</v>
      </c>
      <c r="K56" s="0" t="n">
        <v>7294055000</v>
      </c>
      <c r="L56" s="0" t="n">
        <v>1</v>
      </c>
      <c r="M56" s="0" t="n">
        <v>1</v>
      </c>
      <c r="N56" s="0" t="n">
        <v>14842991000</v>
      </c>
      <c r="O56" s="24" t="s">
        <v>58</v>
      </c>
      <c r="P56" s="24" t="s">
        <v>93</v>
      </c>
      <c r="Q56" s="0" t="n">
        <v>2000000</v>
      </c>
      <c r="R56" s="0" t="n">
        <v>2000000</v>
      </c>
      <c r="S56" s="0" t="n">
        <v>2000000</v>
      </c>
      <c r="T56" s="0" t="n">
        <v>1800000</v>
      </c>
      <c r="U56" s="0" t="n">
        <v>1100000</v>
      </c>
      <c r="W56" s="0"/>
      <c r="X56" s="0" t="n">
        <v>1000000</v>
      </c>
      <c r="Y56" s="0" t="n">
        <v>1000000</v>
      </c>
      <c r="Z56" s="0" t="n">
        <v>1000000</v>
      </c>
      <c r="AA56" s="0" t="n">
        <v>800000</v>
      </c>
      <c r="AB56" s="0" t="n">
        <v>400000</v>
      </c>
      <c r="AD56" s="0"/>
      <c r="AE56" s="0" t="n">
        <v>3000000</v>
      </c>
      <c r="AF56" s="0" t="n">
        <v>3000000</v>
      </c>
      <c r="AG56" s="0" t="n">
        <v>3000000</v>
      </c>
      <c r="AH56" s="0" t="n">
        <v>2600000</v>
      </c>
      <c r="AI56" s="0" t="n">
        <v>1500000</v>
      </c>
      <c r="AL56" s="0" t="n">
        <v>3200000</v>
      </c>
      <c r="AM56" s="0" t="n">
        <v>3200000</v>
      </c>
      <c r="AN56" s="0" t="n">
        <v>3200000</v>
      </c>
      <c r="AO56" s="0" t="n">
        <v>2300000</v>
      </c>
      <c r="AP56" s="0" t="n">
        <v>1300000</v>
      </c>
      <c r="AS56" s="0" t="n">
        <v>2900000</v>
      </c>
      <c r="AT56" s="0" t="n">
        <v>2900000</v>
      </c>
      <c r="AU56" s="0" t="n">
        <v>2900000</v>
      </c>
      <c r="AV56" s="0" t="n">
        <v>2900000</v>
      </c>
      <c r="AW56" s="0" t="n">
        <v>1800000</v>
      </c>
    </row>
    <row r="57" customFormat="false" ht="15" hidden="false" customHeight="false" outlineLevel="0" collapsed="false">
      <c r="A57" s="0" t="s">
        <v>247</v>
      </c>
      <c r="B57" s="1" t="s">
        <v>248</v>
      </c>
      <c r="C57" s="0" t="s">
        <v>249</v>
      </c>
      <c r="D57" s="0" t="s">
        <v>246</v>
      </c>
      <c r="E57" s="1" t="s">
        <v>86</v>
      </c>
      <c r="F57" s="0" t="s">
        <v>92</v>
      </c>
      <c r="G57" s="1" t="s">
        <v>56</v>
      </c>
      <c r="H57" s="0" t="s">
        <v>57</v>
      </c>
      <c r="I57" s="0" t="n">
        <v>2019</v>
      </c>
      <c r="J57" s="32" t="n">
        <v>352130000</v>
      </c>
      <c r="K57" s="0" t="n">
        <v>10192818000</v>
      </c>
      <c r="L57" s="0" t="n">
        <v>1</v>
      </c>
      <c r="M57" s="0" t="n">
        <v>1</v>
      </c>
      <c r="N57" s="0" t="n">
        <v>12935533000</v>
      </c>
      <c r="O57" s="24" t="s">
        <v>58</v>
      </c>
      <c r="P57" s="24" t="s">
        <v>93</v>
      </c>
      <c r="Q57" s="0" t="n">
        <v>17744560</v>
      </c>
      <c r="R57" s="0" t="n">
        <v>17744560</v>
      </c>
      <c r="S57" s="0" t="n">
        <v>17744560</v>
      </c>
      <c r="T57" s="0" t="n">
        <v>16682357</v>
      </c>
      <c r="U57" s="0" t="n">
        <v>15257923</v>
      </c>
      <c r="W57" s="0"/>
      <c r="X57" s="0" t="n">
        <v>858941</v>
      </c>
      <c r="Y57" s="0" t="n">
        <v>858941</v>
      </c>
      <c r="Z57" s="0" t="n">
        <v>858941</v>
      </c>
      <c r="AA57" s="0" t="n">
        <v>1141024</v>
      </c>
      <c r="AB57" s="0" t="n">
        <v>1154111</v>
      </c>
      <c r="AD57" s="0"/>
      <c r="AE57" s="0" t="n">
        <v>18603501</v>
      </c>
      <c r="AF57" s="0" t="n">
        <v>18603501</v>
      </c>
      <c r="AG57" s="0" t="n">
        <v>18603501</v>
      </c>
      <c r="AH57" s="0" t="n">
        <v>17823381</v>
      </c>
      <c r="AI57" s="0" t="n">
        <v>16412034</v>
      </c>
      <c r="AL57" s="0" t="n">
        <v>1056210</v>
      </c>
      <c r="AM57" s="0" t="n">
        <v>1056210</v>
      </c>
      <c r="AN57" s="0" t="n">
        <v>1056210</v>
      </c>
      <c r="AO57" s="0" t="n">
        <v>910292</v>
      </c>
      <c r="AP57" s="0" t="n">
        <v>767666</v>
      </c>
      <c r="AS57" s="0" t="n">
        <v>10953432.0987654</v>
      </c>
      <c r="AT57" s="0" t="n">
        <v>10953432.0987654</v>
      </c>
      <c r="AU57" s="0" t="n">
        <v>10953432.0987654</v>
      </c>
      <c r="AV57" s="0" t="n">
        <v>10297751.2345679</v>
      </c>
      <c r="AW57" s="0" t="n">
        <v>9418470.98765432</v>
      </c>
    </row>
    <row r="58" customFormat="false" ht="13.8" hidden="false" customHeight="false" outlineLevel="0" collapsed="false">
      <c r="A58" s="0" t="s">
        <v>250</v>
      </c>
      <c r="B58" s="1" t="s">
        <v>251</v>
      </c>
      <c r="C58" s="0" t="s">
        <v>252</v>
      </c>
      <c r="D58" s="0" t="s">
        <v>54</v>
      </c>
      <c r="E58" s="1" t="s">
        <v>63</v>
      </c>
      <c r="F58" s="0" t="s">
        <v>159</v>
      </c>
      <c r="G58" s="1" t="s">
        <v>56</v>
      </c>
      <c r="H58" s="0" t="s">
        <v>57</v>
      </c>
      <c r="I58" s="3" t="n">
        <v>44561</v>
      </c>
      <c r="J58" s="33" t="n">
        <v>1061000000000</v>
      </c>
      <c r="K58" s="22" t="n">
        <v>53820000000</v>
      </c>
      <c r="L58" s="22" t="n">
        <v>1090000000000</v>
      </c>
      <c r="M58" s="22" t="n">
        <f aca="false">L58+18920000000</f>
        <v>1108920000000</v>
      </c>
      <c r="N58" s="22" t="n">
        <v>62131000000</v>
      </c>
      <c r="O58" s="24" t="s">
        <v>133</v>
      </c>
      <c r="P58" s="24" t="s">
        <v>253</v>
      </c>
      <c r="R58" s="0" t="n">
        <f aca="false">185*100/900</f>
        <v>20.5555555555556</v>
      </c>
      <c r="S58" s="0" t="n">
        <f aca="false">185*250/900</f>
        <v>51.3888888888889</v>
      </c>
      <c r="T58" s="0" t="n">
        <f aca="false">185*350/900</f>
        <v>71.9444444444444</v>
      </c>
      <c r="U58" s="0" t="n">
        <f aca="false">185*500/900</f>
        <v>102.777777777778</v>
      </c>
      <c r="V58" s="0" t="n">
        <f aca="false">185*900/900</f>
        <v>185</v>
      </c>
      <c r="W58" s="0"/>
      <c r="Y58" s="0" t="n">
        <f aca="false">403*100/900</f>
        <v>44.7777777777778</v>
      </c>
      <c r="Z58" s="0" t="n">
        <f aca="false">403*250/900</f>
        <v>111.944444444444</v>
      </c>
      <c r="AA58" s="0" t="n">
        <f aca="false">403*350/900</f>
        <v>156.722222222222</v>
      </c>
      <c r="AB58" s="0" t="n">
        <f aca="false">403*500/900</f>
        <v>223.888888888889</v>
      </c>
      <c r="AC58" s="0" t="n">
        <f aca="false">403*900/900</f>
        <v>403</v>
      </c>
      <c r="AD58" s="0"/>
      <c r="AE58" s="19" t="str">
        <f aca="false">IF(ISBLANK(Q58),IF(ISBLANK(X58),"",X58),Q58+X58)</f>
        <v/>
      </c>
      <c r="AF58" s="19" t="n">
        <f aca="false">IF(ISBLANK(R58),IF(ISBLANK(Y58),"",Y58),R58+Y58)</f>
        <v>65.3333333333333</v>
      </c>
      <c r="AG58" s="19" t="n">
        <f aca="false">IF(ISBLANK(S58),IF(ISBLANK(Z58),"",Z58),S58+Z58)</f>
        <v>163.333333333333</v>
      </c>
      <c r="AH58" s="19" t="n">
        <f aca="false">IF(ISBLANK(T58),IF(ISBLANK(AA58),"",AA58),T58+AA58)</f>
        <v>228.666666666667</v>
      </c>
      <c r="AI58" s="19" t="n">
        <f aca="false">IF(ISBLANK(U58),IF(ISBLANK(AB58),"",AB58),U58+AB58)</f>
        <v>326.666666666667</v>
      </c>
      <c r="AJ58" s="19" t="n">
        <f aca="false">IF(ISBLANK(V58),IF(ISBLANK(AC58),"",AC58),V58+AC58)</f>
        <v>588</v>
      </c>
      <c r="AK58" s="19" t="str">
        <f aca="false">IF(ISBLANK(W58),IF(ISBLANK(AD58),"",AD58),W58+AD58)</f>
        <v/>
      </c>
      <c r="AM58" s="0" t="n">
        <f aca="false">1954*100/900</f>
        <v>217.111111111111</v>
      </c>
      <c r="AN58" s="0" t="n">
        <f aca="false">1954*250/900</f>
        <v>542.777777777778</v>
      </c>
      <c r="AO58" s="0" t="n">
        <f aca="false">1954*350/900</f>
        <v>759.888888888889</v>
      </c>
      <c r="AP58" s="0" t="n">
        <f aca="false">1954*500/900</f>
        <v>1085.55555555556</v>
      </c>
      <c r="AQ58" s="0" t="n">
        <f aca="false">1954*900/900</f>
        <v>1954</v>
      </c>
      <c r="AT58" s="0" t="n">
        <f aca="false">12*100</f>
        <v>1200</v>
      </c>
      <c r="AU58" s="0" t="n">
        <f aca="false">12*250+AT58</f>
        <v>4200</v>
      </c>
      <c r="AV58" s="0" t="n">
        <f aca="false">12*350+AU58</f>
        <v>8400</v>
      </c>
      <c r="AW58" s="0" t="n">
        <f aca="false">12*500+AV58</f>
        <v>14400</v>
      </c>
      <c r="AX58" s="0" t="n">
        <f aca="false">12*900+AW58</f>
        <v>25200</v>
      </c>
    </row>
    <row r="59" customFormat="false" ht="15" hidden="false" customHeight="false" outlineLevel="0" collapsed="false">
      <c r="A59" s="0" t="s">
        <v>254</v>
      </c>
      <c r="B59" s="1" t="s">
        <v>255</v>
      </c>
      <c r="C59" s="0" t="s">
        <v>256</v>
      </c>
      <c r="D59" s="0" t="s">
        <v>54</v>
      </c>
      <c r="E59" s="1" t="s">
        <v>63</v>
      </c>
      <c r="F59" s="0" t="s">
        <v>92</v>
      </c>
      <c r="G59" s="1" t="s">
        <v>56</v>
      </c>
      <c r="H59" s="0" t="s">
        <v>57</v>
      </c>
      <c r="I59" s="0" t="n">
        <v>2019</v>
      </c>
      <c r="J59" s="0" t="n">
        <v>337525844</v>
      </c>
      <c r="K59" s="0" t="n">
        <v>1208800000</v>
      </c>
      <c r="L59" s="0" t="n">
        <v>400425844</v>
      </c>
      <c r="M59" s="0" t="n">
        <v>427525844</v>
      </c>
      <c r="N59" s="0" t="n">
        <v>1085200000</v>
      </c>
      <c r="O59" s="24" t="s">
        <v>58</v>
      </c>
      <c r="P59" s="24" t="s">
        <v>93</v>
      </c>
      <c r="Q59" s="0" t="n">
        <v>99660</v>
      </c>
      <c r="R59" s="0" t="n">
        <v>99660</v>
      </c>
      <c r="S59" s="0" t="n">
        <v>99660</v>
      </c>
      <c r="T59" s="0" t="n">
        <v>94460</v>
      </c>
      <c r="U59" s="0" t="n">
        <v>91490</v>
      </c>
      <c r="W59" s="0"/>
      <c r="X59" s="0" t="n">
        <v>371530</v>
      </c>
      <c r="Y59" s="0" t="n">
        <v>371530</v>
      </c>
      <c r="Z59" s="0" t="n">
        <v>371530</v>
      </c>
      <c r="AA59" s="0" t="n">
        <v>336550</v>
      </c>
      <c r="AB59" s="0" t="n">
        <v>316640</v>
      </c>
      <c r="AD59" s="0"/>
      <c r="AE59" s="0" t="n">
        <v>471190</v>
      </c>
      <c r="AF59" s="0" t="n">
        <v>471190</v>
      </c>
      <c r="AG59" s="0" t="n">
        <v>471190</v>
      </c>
      <c r="AH59" s="0" t="n">
        <v>431010</v>
      </c>
      <c r="AI59" s="0" t="n">
        <v>408130</v>
      </c>
      <c r="AL59" s="0" t="n">
        <v>421722</v>
      </c>
      <c r="AM59" s="0" t="n">
        <v>421722</v>
      </c>
      <c r="AN59" s="0" t="n">
        <v>421722</v>
      </c>
      <c r="AO59" s="0" t="n">
        <v>298526</v>
      </c>
      <c r="AP59" s="0" t="n">
        <v>197605</v>
      </c>
      <c r="AS59" s="0" t="n">
        <v>1472468.75</v>
      </c>
      <c r="AT59" s="0" t="n">
        <v>1472468.75</v>
      </c>
      <c r="AU59" s="0" t="n">
        <v>1472468.75</v>
      </c>
      <c r="AV59" s="0" t="n">
        <v>1346906.25</v>
      </c>
      <c r="AW59" s="0" t="n">
        <v>1360433.33333333</v>
      </c>
    </row>
    <row r="60" customFormat="false" ht="15" hidden="false" customHeight="false" outlineLevel="0" collapsed="false">
      <c r="A60" s="0" t="s">
        <v>257</v>
      </c>
      <c r="B60" s="1" t="s">
        <v>258</v>
      </c>
      <c r="C60" s="0" t="s">
        <v>259</v>
      </c>
      <c r="D60" s="0" t="s">
        <v>54</v>
      </c>
      <c r="E60" s="1" t="s">
        <v>63</v>
      </c>
      <c r="F60" s="0" t="s">
        <v>92</v>
      </c>
      <c r="G60" s="1" t="s">
        <v>56</v>
      </c>
      <c r="H60" s="0" t="s">
        <v>57</v>
      </c>
      <c r="I60" s="0" t="n">
        <v>2019</v>
      </c>
      <c r="J60" s="0" t="n">
        <v>2600000000</v>
      </c>
      <c r="K60" s="0" t="n">
        <v>12937000000</v>
      </c>
      <c r="L60" s="0" t="n">
        <v>5630000000</v>
      </c>
      <c r="M60" s="0" t="n">
        <v>6379000000</v>
      </c>
      <c r="N60" s="0" t="n">
        <v>11608000000</v>
      </c>
      <c r="O60" s="24" t="s">
        <v>58</v>
      </c>
      <c r="P60" s="24" t="s">
        <v>93</v>
      </c>
      <c r="Q60" s="0" t="n">
        <v>29000000</v>
      </c>
      <c r="R60" s="0" t="n">
        <v>30000000</v>
      </c>
      <c r="S60" s="0" t="n">
        <v>32500000</v>
      </c>
      <c r="T60" s="0" t="n">
        <v>29500000</v>
      </c>
      <c r="U60" s="0" t="n">
        <v>24500000</v>
      </c>
      <c r="W60" s="0"/>
      <c r="X60" s="0" t="n">
        <v>3200000</v>
      </c>
      <c r="Y60" s="0" t="n">
        <v>3300000</v>
      </c>
      <c r="Z60" s="0" t="n">
        <v>3300000</v>
      </c>
      <c r="AA60" s="0" t="n">
        <v>3200000</v>
      </c>
      <c r="AB60" s="0" t="n">
        <v>2000000</v>
      </c>
      <c r="AD60" s="0"/>
      <c r="AE60" s="0" t="n">
        <v>32200000</v>
      </c>
      <c r="AF60" s="0" t="n">
        <v>33300000</v>
      </c>
      <c r="AG60" s="0" t="n">
        <v>35800000</v>
      </c>
      <c r="AH60" s="0" t="n">
        <v>32700000</v>
      </c>
      <c r="AI60" s="0" t="n">
        <v>26500000</v>
      </c>
      <c r="AS60" s="0" t="n">
        <v>14220000</v>
      </c>
      <c r="AT60" s="0" t="n">
        <v>14440000</v>
      </c>
      <c r="AU60" s="0" t="n">
        <v>15350000</v>
      </c>
      <c r="AV60" s="0" t="n">
        <v>13890000</v>
      </c>
      <c r="AW60" s="0" t="n">
        <v>11540000</v>
      </c>
    </row>
    <row r="61" customFormat="false" ht="15" hidden="false" customHeight="false" outlineLevel="0" collapsed="false">
      <c r="A61" s="0" t="s">
        <v>260</v>
      </c>
      <c r="B61" s="1" t="s">
        <v>261</v>
      </c>
      <c r="C61" s="0" t="s">
        <v>262</v>
      </c>
      <c r="D61" s="0" t="s">
        <v>263</v>
      </c>
      <c r="E61" s="1" t="s">
        <v>86</v>
      </c>
      <c r="F61" s="0" t="s">
        <v>55</v>
      </c>
      <c r="G61" s="1" t="s">
        <v>56</v>
      </c>
      <c r="H61" s="0" t="s">
        <v>57</v>
      </c>
      <c r="I61" s="3" t="n">
        <v>44561</v>
      </c>
      <c r="J61" s="0" t="n">
        <v>34359400000</v>
      </c>
      <c r="K61" s="0" t="n">
        <v>4776600000</v>
      </c>
      <c r="L61" s="0" t="n">
        <f aca="false">M61-318600000</f>
        <v>37551600000</v>
      </c>
      <c r="M61" s="0" t="n">
        <f aca="false">J61+3510800000</f>
        <v>37870200000</v>
      </c>
      <c r="N61" s="0" t="n">
        <v>17111600000</v>
      </c>
      <c r="O61" s="24" t="s">
        <v>133</v>
      </c>
      <c r="P61" s="24" t="s">
        <v>264</v>
      </c>
      <c r="T61" s="0" t="n">
        <v>1073</v>
      </c>
      <c r="U61" s="0" t="n">
        <v>654</v>
      </c>
      <c r="V61" s="0" t="n">
        <v>454</v>
      </c>
      <c r="W61" s="0"/>
      <c r="AA61" s="0" t="n">
        <v>272</v>
      </c>
      <c r="AB61" s="0" t="n">
        <v>265</v>
      </c>
      <c r="AC61" s="0" t="n">
        <v>255</v>
      </c>
      <c r="AD61" s="0"/>
      <c r="AE61" s="19" t="str">
        <f aca="false">IF(ISBLANK(Q61),IF(ISBLANK(X61),"",X61),Q61+X61)</f>
        <v/>
      </c>
      <c r="AF61" s="19" t="str">
        <f aca="false">IF(ISBLANK(R61),IF(ISBLANK(Y61),"",Y61),R61+Y61)</f>
        <v/>
      </c>
      <c r="AG61" s="19" t="str">
        <f aca="false">IF(ISBLANK(S61),IF(ISBLANK(Z61),"",Z61),S61+Z61)</f>
        <v/>
      </c>
      <c r="AH61" s="19" t="n">
        <f aca="false">IF(ISBLANK(T61),IF(ISBLANK(AA61),"",AA61),T61+AA61)</f>
        <v>1345</v>
      </c>
      <c r="AI61" s="19" t="n">
        <f aca="false">IF(ISBLANK(U61),IF(ISBLANK(AB61),"",AB61),U61+AB61)</f>
        <v>919</v>
      </c>
      <c r="AJ61" s="19" t="n">
        <f aca="false">IF(ISBLANK(V61),IF(ISBLANK(AC61),"",AC61),V61+AC61)</f>
        <v>709</v>
      </c>
      <c r="AK61" s="19" t="str">
        <f aca="false">IF(ISBLANK(W61),IF(ISBLANK(AD61),"",AD61),W61+AD61)</f>
        <v/>
      </c>
      <c r="AO61" s="0" t="n">
        <v>198</v>
      </c>
      <c r="AP61" s="0" t="n">
        <v>221</v>
      </c>
      <c r="AQ61" s="0" t="n">
        <v>249</v>
      </c>
      <c r="AT61" s="0" t="n">
        <v>58518</v>
      </c>
      <c r="AU61" s="0" t="n">
        <v>58908</v>
      </c>
      <c r="AV61" s="0" t="n">
        <v>62179</v>
      </c>
      <c r="AW61" s="0" t="n">
        <v>62741</v>
      </c>
      <c r="AX61" s="0" t="n">
        <v>58896</v>
      </c>
    </row>
    <row r="62" customFormat="false" ht="15" hidden="false" customHeight="false" outlineLevel="0" collapsed="false">
      <c r="A62" s="0" t="s">
        <v>265</v>
      </c>
      <c r="B62" s="1" t="s">
        <v>266</v>
      </c>
      <c r="C62" s="0" t="s">
        <v>267</v>
      </c>
      <c r="D62" s="0" t="s">
        <v>155</v>
      </c>
      <c r="E62" s="1" t="s">
        <v>63</v>
      </c>
      <c r="F62" s="0" t="s">
        <v>55</v>
      </c>
      <c r="G62" s="1" t="s">
        <v>56</v>
      </c>
      <c r="H62" s="0" t="s">
        <v>57</v>
      </c>
      <c r="I62" s="0" t="n">
        <v>2019</v>
      </c>
      <c r="K62" s="0" t="n">
        <v>4691120536.86526</v>
      </c>
      <c r="L62" s="0" t="n">
        <v>1</v>
      </c>
      <c r="M62" s="0" t="n">
        <v>1</v>
      </c>
      <c r="N62" s="0" t="n">
        <v>24443570632.4437</v>
      </c>
      <c r="O62" s="0" t="s">
        <v>64</v>
      </c>
      <c r="P62" s="0" t="s">
        <v>65</v>
      </c>
      <c r="Q62" s="0" t="n">
        <v>11.6416389602593</v>
      </c>
      <c r="R62" s="0" t="n">
        <v>9.41263241795032</v>
      </c>
      <c r="S62" s="0" t="n">
        <v>10.1279024835251</v>
      </c>
      <c r="T62" s="0" t="n">
        <v>8.70469896661811</v>
      </c>
      <c r="U62" s="0" t="n">
        <v>7.8127186930359</v>
      </c>
      <c r="W62" s="0"/>
      <c r="X62" s="0" t="n">
        <v>0</v>
      </c>
      <c r="Y62" s="0" t="n">
        <v>0</v>
      </c>
      <c r="Z62" s="0" t="n">
        <v>0</v>
      </c>
      <c r="AA62" s="0" t="n">
        <v>0</v>
      </c>
      <c r="AB62" s="0" t="n">
        <v>0</v>
      </c>
      <c r="AD62" s="0"/>
      <c r="AE62" s="19" t="n">
        <f aca="false">IF(ISBLANK(Q62),IF(ISBLANK(X62),"",X62),Q62+X62)</f>
        <v>11.6416389602593</v>
      </c>
      <c r="AF62" s="19" t="n">
        <f aca="false">IF(ISBLANK(R62),IF(ISBLANK(Y62),"",Y62),R62+Y62)</f>
        <v>9.41263241795032</v>
      </c>
      <c r="AG62" s="19" t="n">
        <f aca="false">IF(ISBLANK(S62),IF(ISBLANK(Z62),"",Z62),S62+Z62)</f>
        <v>10.1279024835251</v>
      </c>
      <c r="AH62" s="19" t="n">
        <f aca="false">IF(ISBLANK(T62),IF(ISBLANK(AA62),"",AA62),T62+AA62)</f>
        <v>8.70469896661811</v>
      </c>
      <c r="AI62" s="19" t="n">
        <f aca="false">IF(ISBLANK(U62),IF(ISBLANK(AB62),"",AB62),U62+AB62)</f>
        <v>7.8127186930359</v>
      </c>
      <c r="AJ62" s="19" t="str">
        <f aca="false">IF(ISBLANK(V62),IF(ISBLANK(AC62),"",AC62),V62+AC62)</f>
        <v/>
      </c>
      <c r="AK62" s="19" t="str">
        <f aca="false">IF(ISBLANK(W62),IF(ISBLANK(AD62),"",AD62),W62+AD62)</f>
        <v/>
      </c>
      <c r="AS62" s="0" t="n">
        <v>17.41289</v>
      </c>
      <c r="AT62" s="0" t="n">
        <v>13.2565779694781</v>
      </c>
      <c r="AU62" s="0" t="n">
        <v>19.8232059620228</v>
      </c>
      <c r="AV62" s="0" t="n">
        <v>19.4268650530346</v>
      </c>
      <c r="AW62" s="0" t="n">
        <v>18.5517652927645</v>
      </c>
    </row>
    <row r="63" customFormat="false" ht="15" hidden="false" customHeight="false" outlineLevel="0" collapsed="false">
      <c r="A63" s="0" t="s">
        <v>268</v>
      </c>
      <c r="B63" s="1" t="s">
        <v>269</v>
      </c>
      <c r="C63" s="0" t="s">
        <v>270</v>
      </c>
      <c r="D63" s="0" t="s">
        <v>54</v>
      </c>
      <c r="E63" s="1" t="s">
        <v>63</v>
      </c>
      <c r="F63" s="0" t="s">
        <v>55</v>
      </c>
      <c r="G63" s="1" t="s">
        <v>56</v>
      </c>
      <c r="H63" s="0" t="s">
        <v>57</v>
      </c>
      <c r="I63" s="0" t="n">
        <v>2019</v>
      </c>
      <c r="J63" s="0" t="n">
        <v>8654325784</v>
      </c>
      <c r="K63" s="0" t="n">
        <v>11809000000</v>
      </c>
      <c r="L63" s="0" t="n">
        <v>18456325784</v>
      </c>
      <c r="M63" s="0" t="n">
        <v>18756325784</v>
      </c>
      <c r="N63" s="0" t="n">
        <v>26616000000</v>
      </c>
      <c r="O63" s="0" t="s">
        <v>64</v>
      </c>
      <c r="P63" s="0" t="s">
        <v>65</v>
      </c>
      <c r="Q63" s="0" t="n">
        <v>10.7124930998791</v>
      </c>
      <c r="R63" s="0" t="n">
        <v>12.320930744122</v>
      </c>
      <c r="S63" s="0" t="n">
        <v>12.7779198066784</v>
      </c>
      <c r="T63" s="0" t="n">
        <v>6.84113539097881</v>
      </c>
      <c r="U63" s="0" t="n">
        <v>5.91945423717422</v>
      </c>
      <c r="W63" s="0"/>
      <c r="X63" s="0" t="n">
        <v>0</v>
      </c>
      <c r="Y63" s="0" t="n">
        <v>0</v>
      </c>
      <c r="Z63" s="0" t="n">
        <v>0</v>
      </c>
      <c r="AA63" s="0" t="n">
        <v>0</v>
      </c>
      <c r="AB63" s="0" t="n">
        <v>0</v>
      </c>
      <c r="AD63" s="0"/>
      <c r="AE63" s="19" t="n">
        <f aca="false">IF(ISBLANK(Q63),IF(ISBLANK(X63),"",X63),Q63+X63)</f>
        <v>10.7124930998791</v>
      </c>
      <c r="AF63" s="19" t="n">
        <f aca="false">IF(ISBLANK(R63),IF(ISBLANK(Y63),"",Y63),R63+Y63)</f>
        <v>12.320930744122</v>
      </c>
      <c r="AG63" s="19" t="n">
        <f aca="false">IF(ISBLANK(S63),IF(ISBLANK(Z63),"",Z63),S63+Z63)</f>
        <v>12.7779198066784</v>
      </c>
      <c r="AH63" s="19" t="n">
        <f aca="false">IF(ISBLANK(T63),IF(ISBLANK(AA63),"",AA63),T63+AA63)</f>
        <v>6.84113539097881</v>
      </c>
      <c r="AI63" s="19" t="n">
        <f aca="false">IF(ISBLANK(U63),IF(ISBLANK(AB63),"",AB63),U63+AB63)</f>
        <v>5.91945423717422</v>
      </c>
      <c r="AJ63" s="19" t="str">
        <f aca="false">IF(ISBLANK(V63),IF(ISBLANK(AC63),"",AC63),V63+AC63)</f>
        <v/>
      </c>
      <c r="AK63" s="19" t="str">
        <f aca="false">IF(ISBLANK(W63),IF(ISBLANK(AD63),"",AD63),W63+AD63)</f>
        <v/>
      </c>
      <c r="AS63" s="0" t="n">
        <v>10.4677615791045</v>
      </c>
      <c r="AT63" s="0" t="n">
        <v>11.9837212656716</v>
      </c>
      <c r="AU63" s="0" t="n">
        <v>12.3924164597015</v>
      </c>
      <c r="AV63" s="0" t="n">
        <v>6.73842402686567</v>
      </c>
      <c r="AW63" s="0" t="n">
        <v>5.93715043880597</v>
      </c>
    </row>
    <row r="64" customFormat="false" ht="15" hidden="false" customHeight="false" outlineLevel="0" collapsed="false">
      <c r="A64" s="0" t="s">
        <v>271</v>
      </c>
      <c r="B64" s="1" t="s">
        <v>272</v>
      </c>
      <c r="C64" s="0" t="s">
        <v>273</v>
      </c>
      <c r="D64" s="0" t="s">
        <v>54</v>
      </c>
      <c r="E64" s="1" t="s">
        <v>63</v>
      </c>
      <c r="F64" s="0" t="s">
        <v>55</v>
      </c>
      <c r="G64" s="1" t="s">
        <v>56</v>
      </c>
      <c r="H64" s="0" t="s">
        <v>57</v>
      </c>
      <c r="I64" s="0" t="n">
        <v>2019</v>
      </c>
      <c r="J64" s="0" t="n">
        <v>26300000000</v>
      </c>
      <c r="K64" s="0" t="n">
        <v>7523100000</v>
      </c>
      <c r="L64" s="0" t="n">
        <v>38120800000</v>
      </c>
      <c r="M64" s="0" t="n">
        <v>38158300000</v>
      </c>
      <c r="N64" s="0" t="n">
        <v>34951800000</v>
      </c>
      <c r="O64" s="0" t="s">
        <v>64</v>
      </c>
      <c r="P64" s="0" t="s">
        <v>65</v>
      </c>
      <c r="Q64" s="0" t="n">
        <v>19.0203714477306</v>
      </c>
      <c r="R64" s="0" t="n">
        <v>19.6272318151656</v>
      </c>
      <c r="S64" s="0" t="n">
        <v>16.4784341732572</v>
      </c>
      <c r="T64" s="0" t="n">
        <v>9.87457658494922</v>
      </c>
      <c r="U64" s="0" t="n">
        <v>9.66729778816505</v>
      </c>
      <c r="W64" s="0"/>
      <c r="X64" s="0" t="n">
        <v>0</v>
      </c>
      <c r="Y64" s="0" t="n">
        <v>0</v>
      </c>
      <c r="Z64" s="0" t="n">
        <v>0</v>
      </c>
      <c r="AA64" s="0" t="n">
        <v>0</v>
      </c>
      <c r="AB64" s="0" t="n">
        <v>0</v>
      </c>
      <c r="AD64" s="0"/>
      <c r="AE64" s="19" t="n">
        <f aca="false">IF(ISBLANK(Q64),IF(ISBLANK(X64),"",X64),Q64+X64)</f>
        <v>19.0203714477306</v>
      </c>
      <c r="AF64" s="19" t="n">
        <f aca="false">IF(ISBLANK(R64),IF(ISBLANK(Y64),"",Y64),R64+Y64)</f>
        <v>19.6272318151656</v>
      </c>
      <c r="AG64" s="19" t="n">
        <f aca="false">IF(ISBLANK(S64),IF(ISBLANK(Z64),"",Z64),S64+Z64)</f>
        <v>16.4784341732572</v>
      </c>
      <c r="AH64" s="19" t="n">
        <f aca="false">IF(ISBLANK(T64),IF(ISBLANK(AA64),"",AA64),T64+AA64)</f>
        <v>9.87457658494922</v>
      </c>
      <c r="AI64" s="19" t="n">
        <f aca="false">IF(ISBLANK(U64),IF(ISBLANK(AB64),"",AB64),U64+AB64)</f>
        <v>9.66729778816505</v>
      </c>
      <c r="AJ64" s="19" t="str">
        <f aca="false">IF(ISBLANK(V64),IF(ISBLANK(AC64),"",AC64),V64+AC64)</f>
        <v/>
      </c>
      <c r="AK64" s="19" t="str">
        <f aca="false">IF(ISBLANK(W64),IF(ISBLANK(AD64),"",AD64),W64+AD64)</f>
        <v/>
      </c>
      <c r="AS64" s="0" t="n">
        <v>23.3673241056539</v>
      </c>
      <c r="AT64" s="0" t="n">
        <v>23.8646354286689</v>
      </c>
      <c r="AU64" s="0" t="n">
        <v>21.139317438</v>
      </c>
      <c r="AV64" s="0" t="n">
        <v>15.874233994</v>
      </c>
      <c r="AW64" s="0" t="n">
        <v>15.8652856885</v>
      </c>
    </row>
    <row r="65" customFormat="false" ht="15" hidden="false" customHeight="false" outlineLevel="0" collapsed="false">
      <c r="A65" s="0" t="s">
        <v>274</v>
      </c>
      <c r="B65" s="1" t="s">
        <v>275</v>
      </c>
      <c r="C65" s="0" t="s">
        <v>276</v>
      </c>
      <c r="D65" s="0" t="s">
        <v>54</v>
      </c>
      <c r="E65" s="1" t="s">
        <v>63</v>
      </c>
      <c r="F65" s="0" t="s">
        <v>92</v>
      </c>
      <c r="G65" s="1" t="s">
        <v>56</v>
      </c>
      <c r="H65" s="0" t="s">
        <v>57</v>
      </c>
      <c r="I65" s="0" t="n">
        <v>2019</v>
      </c>
      <c r="J65" s="0" t="n">
        <v>1633376617</v>
      </c>
      <c r="K65" s="0" t="n">
        <v>3759556000</v>
      </c>
      <c r="L65" s="0" t="n">
        <v>2294113617</v>
      </c>
      <c r="M65" s="0" t="n">
        <v>2386476617</v>
      </c>
      <c r="N65" s="0" t="n">
        <v>2510796000</v>
      </c>
      <c r="O65" s="0" t="s">
        <v>58</v>
      </c>
      <c r="P65" s="0" t="s">
        <v>93</v>
      </c>
      <c r="Q65" s="0" t="n">
        <v>126399</v>
      </c>
      <c r="R65" s="0" t="n">
        <v>132944</v>
      </c>
      <c r="S65" s="0" t="n">
        <v>139953</v>
      </c>
      <c r="T65" s="0" t="n">
        <v>134257</v>
      </c>
      <c r="U65" s="0" t="n">
        <v>130506</v>
      </c>
      <c r="W65" s="0"/>
      <c r="X65" s="0" t="n">
        <v>191840</v>
      </c>
      <c r="Y65" s="0" t="n">
        <v>176617</v>
      </c>
      <c r="Z65" s="0" t="n">
        <v>175958</v>
      </c>
      <c r="AA65" s="0" t="n">
        <v>160799</v>
      </c>
      <c r="AB65" s="0" t="n">
        <v>139201</v>
      </c>
      <c r="AD65" s="0"/>
      <c r="AE65" s="0" t="n">
        <v>318239</v>
      </c>
      <c r="AF65" s="0" t="n">
        <v>309561</v>
      </c>
      <c r="AG65" s="0" t="n">
        <v>315911</v>
      </c>
      <c r="AH65" s="0" t="n">
        <v>295056</v>
      </c>
      <c r="AI65" s="0" t="n">
        <v>269707</v>
      </c>
      <c r="AS65" s="0" t="n">
        <v>3523000</v>
      </c>
      <c r="AT65" s="0" t="n">
        <v>4070000</v>
      </c>
      <c r="AU65" s="0" t="n">
        <v>3820000</v>
      </c>
      <c r="AV65" s="0" t="n">
        <v>3715000</v>
      </c>
      <c r="AW65" s="0" t="n">
        <v>3830000</v>
      </c>
    </row>
    <row r="66" customFormat="false" ht="15" hidden="false" customHeight="false" outlineLevel="0" collapsed="false">
      <c r="A66" s="0" t="s">
        <v>277</v>
      </c>
      <c r="B66" s="1" t="s">
        <v>278</v>
      </c>
      <c r="C66" s="0" t="s">
        <v>279</v>
      </c>
      <c r="D66" s="0" t="s">
        <v>54</v>
      </c>
      <c r="E66" s="1" t="s">
        <v>63</v>
      </c>
      <c r="F66" s="0" t="s">
        <v>55</v>
      </c>
      <c r="G66" s="1" t="s">
        <v>56</v>
      </c>
      <c r="H66" s="0" t="s">
        <v>57</v>
      </c>
      <c r="I66" s="0" t="n">
        <v>2019</v>
      </c>
      <c r="J66" s="0" t="n">
        <v>30629347167</v>
      </c>
      <c r="K66" s="0" t="n">
        <v>11529000000</v>
      </c>
      <c r="L66" s="0" t="n">
        <v>50608347167</v>
      </c>
      <c r="M66" s="0" t="n">
        <v>50856347167</v>
      </c>
      <c r="N66" s="0" t="n">
        <v>50448000000</v>
      </c>
      <c r="O66" s="0" t="s">
        <v>64</v>
      </c>
      <c r="P66" s="0" t="s">
        <v>65</v>
      </c>
      <c r="Q66" s="0" t="n">
        <v>46.128179096556</v>
      </c>
      <c r="R66" s="0" t="n">
        <v>45.010998633486</v>
      </c>
      <c r="S66" s="0" t="n">
        <v>45.3585163947325</v>
      </c>
      <c r="T66" s="0" t="n">
        <v>41.4484047740635</v>
      </c>
      <c r="U66" s="0" t="n">
        <v>34.8794800473854</v>
      </c>
      <c r="W66" s="0"/>
      <c r="X66" s="0" t="n">
        <v>0</v>
      </c>
      <c r="Y66" s="0" t="n">
        <v>0</v>
      </c>
      <c r="Z66" s="0" t="n">
        <v>0</v>
      </c>
      <c r="AA66" s="0" t="n">
        <v>0</v>
      </c>
      <c r="AB66" s="0" t="n">
        <v>0</v>
      </c>
      <c r="AD66" s="0"/>
      <c r="AE66" s="19" t="n">
        <f aca="false">IF(ISBLANK(Q66),IF(ISBLANK(X66),"",X66),Q66+X66)</f>
        <v>46.128179096556</v>
      </c>
      <c r="AF66" s="19" t="n">
        <f aca="false">IF(ISBLANK(R66),IF(ISBLANK(Y66),"",Y66),R66+Y66)</f>
        <v>45.010998633486</v>
      </c>
      <c r="AG66" s="19" t="n">
        <f aca="false">IF(ISBLANK(S66),IF(ISBLANK(Z66),"",Z66),S66+Z66)</f>
        <v>45.3585163947325</v>
      </c>
      <c r="AH66" s="19" t="n">
        <f aca="false">IF(ISBLANK(T66),IF(ISBLANK(AA66),"",AA66),T66+AA66)</f>
        <v>41.4484047740635</v>
      </c>
      <c r="AI66" s="19" t="n">
        <f aca="false">IF(ISBLANK(U66),IF(ISBLANK(AB66),"",AB66),U66+AB66)</f>
        <v>34.8794800473854</v>
      </c>
      <c r="AJ66" s="19" t="str">
        <f aca="false">IF(ISBLANK(V66),IF(ISBLANK(AC66),"",AC66),V66+AC66)</f>
        <v/>
      </c>
      <c r="AK66" s="19" t="str">
        <f aca="false">IF(ISBLANK(W66),IF(ISBLANK(AD66),"",AD66),W66+AD66)</f>
        <v/>
      </c>
      <c r="AS66" s="0" t="n">
        <v>73.8309678279009</v>
      </c>
      <c r="AT66" s="0" t="n">
        <v>72.0285426990376</v>
      </c>
      <c r="AU66" s="0" t="n">
        <v>76.0069295254924</v>
      </c>
      <c r="AV66" s="0" t="n">
        <v>75.7314069053477</v>
      </c>
      <c r="AW66" s="0" t="n">
        <v>69.4934035200783</v>
      </c>
    </row>
    <row r="67" customFormat="false" ht="15" hidden="false" customHeight="false" outlineLevel="0" collapsed="false">
      <c r="E67" s="0"/>
    </row>
    <row r="68" customFormat="false" ht="15" hidden="false" customHeight="false" outlineLevel="0" collapsed="false">
      <c r="E68" s="0"/>
    </row>
    <row r="69" customFormat="false" ht="15" hidden="false" customHeight="false" outlineLevel="0" collapsed="false">
      <c r="E69" s="0"/>
      <c r="O69" s="24"/>
      <c r="P69" s="24"/>
    </row>
    <row r="70" customFormat="false" ht="15" hidden="false" customHeight="false" outlineLevel="0" collapsed="false">
      <c r="E70" s="0"/>
      <c r="O70" s="24"/>
      <c r="P70" s="24"/>
    </row>
    <row r="71" customFormat="false" ht="15" hidden="false" customHeight="false" outlineLevel="0" collapsed="false">
      <c r="E71" s="0"/>
      <c r="O71" s="24"/>
      <c r="P71" s="24"/>
    </row>
    <row r="72" customFormat="false" ht="15" hidden="false" customHeight="false" outlineLevel="0" collapsed="false">
      <c r="E72" s="0"/>
    </row>
    <row r="73" customFormat="false" ht="15" hidden="false" customHeight="false" outlineLevel="0" collapsed="false">
      <c r="E73" s="0"/>
      <c r="O73" s="24"/>
      <c r="P73" s="24"/>
    </row>
  </sheetData>
  <printOptions headings="false" gridLines="false" gridLinesSet="true" horizontalCentered="false" verticalCentered="false"/>
  <pageMargins left="0.7" right="0.7" top="0.75" bottom="0.75" header="0.3" footer="0.511811023622047"/>
  <pageSetup paperSize="9" scale="100" fitToWidth="4" fitToHeight="1" pageOrder="downThenOver" orientation="landscape" blackAndWhite="false" draft="false" cellComments="none" horizontalDpi="300" verticalDpi="300" copies="1"/>
  <headerFooter differentFirst="false" differentOddEven="false">
    <oddHeader>&amp;C&amp;10Confidential&amp;1#</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81"/>
  <sheetViews>
    <sheetView showFormulas="false" showGridLines="true" showRowColHeaders="true" showZeros="true" rightToLeft="false" tabSelected="false" showOutlineSymbols="true" defaultGridColor="true" view="normal" topLeftCell="A1" colorId="64" zoomScale="78" zoomScaleNormal="78" zoomScalePageLayoutView="100" workbookViewId="0">
      <pane xSplit="1" ySplit="1" topLeftCell="D30" activePane="bottomRight" state="frozen"/>
      <selection pane="topLeft" activeCell="A1" activeCellId="0" sqref="A1"/>
      <selection pane="topRight" activeCell="D1" activeCellId="0" sqref="D1"/>
      <selection pane="bottomLeft" activeCell="A30" activeCellId="0" sqref="A30"/>
      <selection pane="bottomRight" activeCell="D62" activeCellId="0" sqref="D62"/>
    </sheetView>
  </sheetViews>
  <sheetFormatPr defaultColWidth="8.70703125" defaultRowHeight="15" zeroHeight="false" outlineLevelRow="0" outlineLevelCol="0"/>
  <cols>
    <col collapsed="false" customWidth="true" hidden="false" outlineLevel="0" max="1" min="1" style="0" width="29.33"/>
    <col collapsed="false" customWidth="true" hidden="false" outlineLevel="0" max="2" min="2" style="1" width="25.52"/>
    <col collapsed="false" customWidth="true" hidden="false" outlineLevel="0" max="3" min="3" style="0" width="16.48"/>
    <col collapsed="false" customWidth="true" hidden="false" outlineLevel="0" max="4" min="4" style="29" width="16.48"/>
    <col collapsed="false" customWidth="true" hidden="false" outlineLevel="0" max="5" min="5" style="29" width="17.52"/>
    <col collapsed="false" customWidth="true" hidden="false" outlineLevel="0" max="7" min="6" style="0" width="24"/>
    <col collapsed="false" customWidth="true" hidden="false" outlineLevel="0" max="8" min="8" style="32" width="22.5"/>
    <col collapsed="false" customWidth="true" hidden="false" outlineLevel="0" max="9" min="9" style="0" width="23.35"/>
    <col collapsed="false" customWidth="true" hidden="false" outlineLevel="0" max="10" min="10" style="0" width="24"/>
    <col collapsed="false" customWidth="true" hidden="false" outlineLevel="0" max="11" min="11" style="0" width="19.33"/>
    <col collapsed="false" customWidth="true" hidden="false" outlineLevel="0" max="12" min="12" style="0" width="21.5"/>
  </cols>
  <sheetData>
    <row r="1" customFormat="false" ht="15" hidden="false" customHeight="false" outlineLevel="0" collapsed="false">
      <c r="A1" s="5" t="s">
        <v>0</v>
      </c>
      <c r="B1" s="5" t="s">
        <v>1</v>
      </c>
      <c r="C1" s="5" t="s">
        <v>2</v>
      </c>
      <c r="D1" s="34" t="s">
        <v>280</v>
      </c>
      <c r="E1" s="35" t="s">
        <v>281</v>
      </c>
      <c r="F1" s="35" t="s">
        <v>282</v>
      </c>
      <c r="G1" s="36" t="s">
        <v>283</v>
      </c>
      <c r="H1" s="35" t="s">
        <v>284</v>
      </c>
      <c r="I1" s="35" t="s">
        <v>285</v>
      </c>
      <c r="J1" s="35" t="s">
        <v>286</v>
      </c>
      <c r="K1" s="37" t="s">
        <v>287</v>
      </c>
      <c r="L1" s="37" t="s">
        <v>288</v>
      </c>
    </row>
    <row r="2" customFormat="false" ht="15" hidden="false" customHeight="false" outlineLevel="0" collapsed="false">
      <c r="A2" s="0" t="s">
        <v>51</v>
      </c>
      <c r="B2" s="38" t="s">
        <v>52</v>
      </c>
      <c r="C2" s="39" t="s">
        <v>53</v>
      </c>
      <c r="D2" s="39" t="n">
        <v>2050</v>
      </c>
      <c r="E2" s="39" t="s">
        <v>289</v>
      </c>
      <c r="F2" s="39" t="s">
        <v>290</v>
      </c>
      <c r="G2" s="39" t="n">
        <v>2019</v>
      </c>
      <c r="H2" s="0" t="n">
        <v>2016</v>
      </c>
      <c r="I2" s="40" t="n">
        <v>0.674</v>
      </c>
      <c r="J2" s="39" t="s">
        <v>291</v>
      </c>
      <c r="K2" s="39" t="n">
        <v>2040</v>
      </c>
      <c r="L2" s="41" t="n">
        <v>1</v>
      </c>
    </row>
    <row r="3" customFormat="false" ht="15" hidden="false" customHeight="false" outlineLevel="0" collapsed="false">
      <c r="A3" s="0" t="s">
        <v>51</v>
      </c>
      <c r="B3" s="1" t="s">
        <v>52</v>
      </c>
      <c r="C3" s="0" t="s">
        <v>53</v>
      </c>
      <c r="D3" s="39" t="n">
        <v>2050</v>
      </c>
      <c r="E3" s="0" t="s">
        <v>292</v>
      </c>
      <c r="F3" s="0" t="s">
        <v>293</v>
      </c>
      <c r="G3" s="39" t="n">
        <v>2019</v>
      </c>
      <c r="H3" s="0" t="n">
        <v>2016</v>
      </c>
      <c r="I3" s="20" t="n">
        <v>70457</v>
      </c>
      <c r="J3" s="0" t="s">
        <v>64</v>
      </c>
      <c r="K3" s="0" t="n">
        <v>2050</v>
      </c>
      <c r="L3" s="42" t="n">
        <v>1</v>
      </c>
    </row>
    <row r="4" customFormat="false" ht="15" hidden="false" customHeight="false" outlineLevel="0" collapsed="false">
      <c r="A4" s="0" t="s">
        <v>51</v>
      </c>
      <c r="B4" s="1" t="s">
        <v>52</v>
      </c>
      <c r="C4" s="0" t="s">
        <v>53</v>
      </c>
      <c r="D4" s="39" t="n">
        <v>2050</v>
      </c>
      <c r="E4" s="43" t="s">
        <v>289</v>
      </c>
      <c r="F4" s="0" t="s">
        <v>290</v>
      </c>
      <c r="G4" s="39" t="n">
        <v>2019</v>
      </c>
      <c r="H4" s="0" t="n">
        <v>2016</v>
      </c>
      <c r="I4" s="0" t="n">
        <v>0.67</v>
      </c>
      <c r="J4" s="0" t="s">
        <v>291</v>
      </c>
      <c r="K4" s="0" t="n">
        <v>2030</v>
      </c>
      <c r="L4" s="42" t="n">
        <v>0.7</v>
      </c>
    </row>
    <row r="5" customFormat="false" ht="15" hidden="false" customHeight="false" outlineLevel="0" collapsed="false">
      <c r="A5" s="0" t="s">
        <v>60</v>
      </c>
      <c r="B5" s="1" t="s">
        <v>61</v>
      </c>
      <c r="C5" s="0" t="s">
        <v>62</v>
      </c>
      <c r="D5" s="18" t="n">
        <v>2050</v>
      </c>
      <c r="E5" s="39" t="s">
        <v>292</v>
      </c>
      <c r="F5" s="39" t="s">
        <v>290</v>
      </c>
      <c r="G5" s="18"/>
      <c r="H5" s="18" t="n">
        <v>2005</v>
      </c>
      <c r="I5" s="40" t="n">
        <v>10178945</v>
      </c>
      <c r="J5" s="39" t="s">
        <v>58</v>
      </c>
      <c r="K5" s="18" t="n">
        <v>2050</v>
      </c>
      <c r="L5" s="44" t="n">
        <v>1</v>
      </c>
    </row>
    <row r="6" customFormat="false" ht="15" hidden="false" customHeight="false" outlineLevel="0" collapsed="false">
      <c r="A6" s="0" t="s">
        <v>66</v>
      </c>
      <c r="B6" s="1" t="s">
        <v>294</v>
      </c>
      <c r="C6" s="0" t="s">
        <v>68</v>
      </c>
      <c r="D6" s="29" t="n">
        <v>2050</v>
      </c>
      <c r="E6" s="39" t="s">
        <v>289</v>
      </c>
      <c r="F6" s="0" t="s">
        <v>290</v>
      </c>
      <c r="H6" s="32" t="n">
        <v>2005</v>
      </c>
      <c r="I6" s="0" t="n">
        <f aca="false">(16*0.4+9*0.5)/(16+9)</f>
        <v>0.436</v>
      </c>
      <c r="J6" s="0" t="s">
        <v>291</v>
      </c>
      <c r="K6" s="0" t="n">
        <v>2030</v>
      </c>
      <c r="L6" s="42" t="n">
        <v>0.5</v>
      </c>
    </row>
    <row r="7" customFormat="false" ht="15" hidden="false" customHeight="false" outlineLevel="0" collapsed="false">
      <c r="A7" s="0" t="s">
        <v>69</v>
      </c>
      <c r="B7" s="1" t="s">
        <v>70</v>
      </c>
      <c r="C7" s="0" t="s">
        <v>71</v>
      </c>
      <c r="D7" s="29" t="n">
        <v>2050</v>
      </c>
      <c r="E7" s="39" t="s">
        <v>292</v>
      </c>
      <c r="F7" s="0" t="s">
        <v>290</v>
      </c>
      <c r="H7" s="32" t="n">
        <v>2005</v>
      </c>
      <c r="I7" s="20" t="n">
        <v>38113792</v>
      </c>
      <c r="J7" s="39" t="s">
        <v>58</v>
      </c>
      <c r="K7" s="0" t="n">
        <v>2030</v>
      </c>
      <c r="L7" s="42" t="n">
        <v>0.5</v>
      </c>
    </row>
    <row r="8" customFormat="false" ht="15" hidden="false" customHeight="false" outlineLevel="0" collapsed="false">
      <c r="A8" s="0" t="s">
        <v>69</v>
      </c>
      <c r="B8" s="1" t="s">
        <v>70</v>
      </c>
      <c r="C8" s="0" t="s">
        <v>71</v>
      </c>
      <c r="D8" s="29" t="n">
        <v>2050</v>
      </c>
      <c r="E8" s="39" t="s">
        <v>292</v>
      </c>
      <c r="F8" s="0" t="s">
        <v>290</v>
      </c>
      <c r="H8" s="32" t="n">
        <v>2005</v>
      </c>
      <c r="I8" s="20" t="n">
        <v>38113792</v>
      </c>
      <c r="J8" s="39" t="s">
        <v>58</v>
      </c>
      <c r="K8" s="0" t="n">
        <v>2040</v>
      </c>
      <c r="L8" s="42" t="n">
        <v>0.85</v>
      </c>
    </row>
    <row r="9" customFormat="false" ht="15" hidden="false" customHeight="false" outlineLevel="0" collapsed="false">
      <c r="A9" s="0" t="s">
        <v>72</v>
      </c>
      <c r="B9" s="1" t="s">
        <v>73</v>
      </c>
      <c r="C9" s="0" t="s">
        <v>74</v>
      </c>
      <c r="D9" s="29" t="n">
        <v>2050</v>
      </c>
      <c r="E9" s="29" t="s">
        <v>292</v>
      </c>
      <c r="F9" s="0" t="s">
        <v>295</v>
      </c>
      <c r="H9" s="32" t="n">
        <v>2000</v>
      </c>
      <c r="I9" s="29" t="n">
        <v>167000000</v>
      </c>
      <c r="J9" s="39" t="s">
        <v>58</v>
      </c>
      <c r="K9" s="0" t="n">
        <v>2030</v>
      </c>
      <c r="L9" s="42" t="n">
        <v>0.8</v>
      </c>
    </row>
    <row r="10" customFormat="false" ht="15" hidden="false" customHeight="false" outlineLevel="0" collapsed="false">
      <c r="A10" s="0" t="s">
        <v>75</v>
      </c>
      <c r="B10" s="1" t="s">
        <v>76</v>
      </c>
      <c r="C10" s="0" t="s">
        <v>77</v>
      </c>
      <c r="D10" s="29" t="n">
        <v>2035</v>
      </c>
      <c r="E10" s="29" t="s">
        <v>292</v>
      </c>
      <c r="F10" s="0" t="s">
        <v>295</v>
      </c>
      <c r="H10" s="32" t="n">
        <v>2015</v>
      </c>
      <c r="I10" s="40" t="n">
        <v>0.013146552</v>
      </c>
      <c r="J10" s="39" t="s">
        <v>64</v>
      </c>
      <c r="K10" s="0" t="n">
        <v>2025</v>
      </c>
      <c r="L10" s="42" t="n">
        <v>0.35</v>
      </c>
    </row>
    <row r="11" customFormat="false" ht="15" hidden="false" customHeight="false" outlineLevel="0" collapsed="false">
      <c r="A11" s="0" t="s">
        <v>78</v>
      </c>
      <c r="B11" s="1" t="s">
        <v>79</v>
      </c>
      <c r="C11" s="0" t="s">
        <v>80</v>
      </c>
      <c r="E11" s="29" t="s">
        <v>289</v>
      </c>
      <c r="F11" s="0" t="s">
        <v>295</v>
      </c>
      <c r="H11" s="32" t="n">
        <v>2005</v>
      </c>
      <c r="I11" s="0" t="n">
        <v>1</v>
      </c>
      <c r="J11" s="39" t="s">
        <v>291</v>
      </c>
      <c r="K11" s="0" t="n">
        <v>2030</v>
      </c>
      <c r="L11" s="42" t="n">
        <v>0.4</v>
      </c>
    </row>
    <row r="12" customFormat="false" ht="15" hidden="false" customHeight="false" outlineLevel="0" collapsed="false">
      <c r="A12" s="0" t="s">
        <v>78</v>
      </c>
      <c r="B12" s="1" t="s">
        <v>79</v>
      </c>
      <c r="C12" s="0" t="s">
        <v>80</v>
      </c>
      <c r="E12" s="29" t="s">
        <v>289</v>
      </c>
      <c r="F12" s="0" t="s">
        <v>295</v>
      </c>
      <c r="H12" s="32" t="n">
        <v>2005</v>
      </c>
      <c r="I12" s="0" t="n">
        <v>1</v>
      </c>
      <c r="J12" s="39" t="s">
        <v>291</v>
      </c>
      <c r="K12" s="0" t="n">
        <v>2040</v>
      </c>
      <c r="L12" s="42" t="n">
        <v>0.7</v>
      </c>
    </row>
    <row r="13" customFormat="false" ht="13.8" hidden="false" customHeight="false" outlineLevel="0" collapsed="false">
      <c r="A13" s="0" t="s">
        <v>82</v>
      </c>
      <c r="B13" s="1" t="s">
        <v>83</v>
      </c>
      <c r="C13" s="0" t="s">
        <v>84</v>
      </c>
      <c r="D13" s="29" t="n">
        <v>2050</v>
      </c>
      <c r="E13" s="29" t="s">
        <v>292</v>
      </c>
      <c r="F13" s="0" t="s">
        <v>290</v>
      </c>
      <c r="G13" s="0" t="n">
        <v>2021</v>
      </c>
      <c r="H13" s="32" t="n">
        <v>2019</v>
      </c>
      <c r="I13" s="0" t="n">
        <v>54.4</v>
      </c>
      <c r="J13" s="39" t="s">
        <v>64</v>
      </c>
      <c r="K13" s="0" t="n">
        <v>2030</v>
      </c>
      <c r="L13" s="42" t="n">
        <v>0.5</v>
      </c>
    </row>
    <row r="14" customFormat="false" ht="15" hidden="false" customHeight="false" outlineLevel="0" collapsed="false">
      <c r="A14" s="0" t="s">
        <v>89</v>
      </c>
      <c r="B14" s="1" t="s">
        <v>90</v>
      </c>
      <c r="C14" s="0" t="s">
        <v>91</v>
      </c>
      <c r="E14" s="29" t="s">
        <v>289</v>
      </c>
      <c r="F14" s="0" t="s">
        <v>290</v>
      </c>
      <c r="H14" s="32" t="n">
        <v>2020</v>
      </c>
      <c r="I14" s="0" t="n">
        <f aca="false">0.292832151/0.141</f>
        <v>2.07682376595745</v>
      </c>
      <c r="J14" s="39" t="s">
        <v>296</v>
      </c>
      <c r="K14" s="0" t="n">
        <v>2050</v>
      </c>
      <c r="L14" s="42" t="n">
        <v>0.1</v>
      </c>
    </row>
    <row r="15" customFormat="false" ht="13.8" hidden="false" customHeight="false" outlineLevel="0" collapsed="false">
      <c r="A15" s="0" t="s">
        <v>94</v>
      </c>
      <c r="B15" s="1" t="s">
        <v>95</v>
      </c>
      <c r="C15" s="0" t="s">
        <v>96</v>
      </c>
      <c r="E15" s="29" t="s">
        <v>289</v>
      </c>
      <c r="F15" s="0" t="s">
        <v>290</v>
      </c>
      <c r="G15" s="0" t="n">
        <v>2021</v>
      </c>
      <c r="H15" s="32" t="n">
        <v>2017</v>
      </c>
      <c r="I15" s="0" t="n">
        <v>73.8</v>
      </c>
      <c r="J15" s="39" t="s">
        <v>297</v>
      </c>
      <c r="K15" s="0" t="n">
        <v>2028</v>
      </c>
      <c r="L15" s="42" t="n">
        <f aca="false">73.8/71-1</f>
        <v>0.0394366197183098</v>
      </c>
    </row>
    <row r="16" customFormat="false" ht="15" hidden="false" customHeight="false" outlineLevel="0" collapsed="false">
      <c r="A16" s="0" t="s">
        <v>97</v>
      </c>
      <c r="B16" s="1" t="s">
        <v>98</v>
      </c>
      <c r="C16" s="0" t="s">
        <v>99</v>
      </c>
      <c r="E16" s="29" t="s">
        <v>289</v>
      </c>
      <c r="F16" s="0" t="s">
        <v>290</v>
      </c>
      <c r="G16" s="0" t="n">
        <v>2021</v>
      </c>
      <c r="H16" s="32" t="n">
        <v>2017</v>
      </c>
      <c r="I16" s="0" t="n">
        <f aca="false">36830868.09/90796200</f>
        <v>0.405643276811144</v>
      </c>
      <c r="J16" s="39" t="s">
        <v>296</v>
      </c>
      <c r="K16" s="0" t="n">
        <v>2030</v>
      </c>
      <c r="L16" s="42" t="n">
        <v>0.25</v>
      </c>
    </row>
    <row r="17" customFormat="false" ht="15" hidden="false" customHeight="false" outlineLevel="0" collapsed="false">
      <c r="A17" s="0" t="s">
        <v>100</v>
      </c>
      <c r="B17" s="1" t="s">
        <v>101</v>
      </c>
      <c r="C17" s="0" t="s">
        <v>102</v>
      </c>
      <c r="E17" s="0" t="s">
        <v>292</v>
      </c>
      <c r="F17" s="0" t="s">
        <v>290</v>
      </c>
      <c r="G17" s="0" t="n">
        <v>2020</v>
      </c>
      <c r="H17" s="32" t="n">
        <v>2005</v>
      </c>
      <c r="I17" s="0" t="n">
        <v>25218000</v>
      </c>
      <c r="J17" s="0" t="s">
        <v>58</v>
      </c>
      <c r="K17" s="0" t="n">
        <v>2040</v>
      </c>
      <c r="L17" s="42" t="n">
        <v>1</v>
      </c>
    </row>
    <row r="18" customFormat="false" ht="15" hidden="false" customHeight="false" outlineLevel="0" collapsed="false">
      <c r="A18" s="0" t="s">
        <v>103</v>
      </c>
      <c r="B18" s="1" t="s">
        <v>104</v>
      </c>
      <c r="C18" s="0" t="s">
        <v>105</v>
      </c>
      <c r="E18" s="29" t="s">
        <v>289</v>
      </c>
      <c r="F18" s="0" t="s">
        <v>290</v>
      </c>
      <c r="G18" s="0" t="n">
        <v>2021</v>
      </c>
      <c r="H18" s="32" t="n">
        <v>2019</v>
      </c>
      <c r="I18" s="0" t="n">
        <v>0.481</v>
      </c>
      <c r="J18" s="39" t="s">
        <v>296</v>
      </c>
      <c r="K18" s="0" t="n">
        <v>2030</v>
      </c>
      <c r="L18" s="42" t="n">
        <v>0.2</v>
      </c>
    </row>
    <row r="19" customFormat="false" ht="15" hidden="false" customHeight="false" outlineLevel="0" collapsed="false">
      <c r="A19" s="0" t="s">
        <v>106</v>
      </c>
      <c r="B19" s="1" t="s">
        <v>107</v>
      </c>
      <c r="C19" s="0" t="s">
        <v>108</v>
      </c>
      <c r="D19" s="29" t="n">
        <v>2050</v>
      </c>
      <c r="E19" s="29" t="s">
        <v>292</v>
      </c>
      <c r="F19" s="0" t="s">
        <v>290</v>
      </c>
      <c r="H19" s="32" t="n">
        <v>2011</v>
      </c>
      <c r="I19" s="0" t="n">
        <v>24000000</v>
      </c>
      <c r="J19" s="39" t="s">
        <v>58</v>
      </c>
      <c r="K19" s="0" t="n">
        <v>2030</v>
      </c>
      <c r="L19" s="42" t="n">
        <v>0.6</v>
      </c>
    </row>
    <row r="20" customFormat="false" ht="15" hidden="false" customHeight="false" outlineLevel="0" collapsed="false">
      <c r="A20" s="0" t="s">
        <v>109</v>
      </c>
      <c r="B20" s="1" t="s">
        <v>110</v>
      </c>
      <c r="C20" s="0" t="s">
        <v>111</v>
      </c>
      <c r="D20" s="29" t="n">
        <v>2040</v>
      </c>
      <c r="E20" s="29" t="s">
        <v>292</v>
      </c>
      <c r="F20" s="0" t="s">
        <v>295</v>
      </c>
      <c r="G20" s="0" t="n">
        <v>2021</v>
      </c>
      <c r="H20" s="32" t="n">
        <v>2020</v>
      </c>
      <c r="I20" s="0" t="n">
        <v>1.32787923872953</v>
      </c>
      <c r="J20" s="0" t="s">
        <v>64</v>
      </c>
      <c r="K20" s="0" t="n">
        <v>2040</v>
      </c>
      <c r="L20" s="42" t="n">
        <v>1</v>
      </c>
    </row>
    <row r="21" customFormat="false" ht="15" hidden="false" customHeight="false" outlineLevel="0" collapsed="false">
      <c r="A21" s="0" t="s">
        <v>112</v>
      </c>
      <c r="B21" s="1" t="s">
        <v>113</v>
      </c>
      <c r="C21" s="0" t="s">
        <v>114</v>
      </c>
      <c r="D21" s="29" t="n">
        <v>2050</v>
      </c>
      <c r="E21" s="29" t="s">
        <v>292</v>
      </c>
      <c r="F21" s="0" t="s">
        <v>295</v>
      </c>
      <c r="G21" s="0" t="n">
        <v>2017</v>
      </c>
      <c r="H21" s="32" t="n">
        <v>2005</v>
      </c>
      <c r="I21" s="0" t="n">
        <v>37700000</v>
      </c>
      <c r="J21" s="39" t="s">
        <v>58</v>
      </c>
      <c r="K21" s="0" t="n">
        <v>2030</v>
      </c>
      <c r="L21" s="42" t="n">
        <v>0.5</v>
      </c>
    </row>
    <row r="22" customFormat="false" ht="15" hidden="false" customHeight="false" outlineLevel="0" collapsed="false">
      <c r="A22" s="0" t="s">
        <v>112</v>
      </c>
      <c r="B22" s="1" t="s">
        <v>113</v>
      </c>
      <c r="C22" s="0" t="s">
        <v>114</v>
      </c>
      <c r="D22" s="29" t="n">
        <v>2050</v>
      </c>
      <c r="E22" s="29" t="s">
        <v>292</v>
      </c>
      <c r="F22" s="0" t="s">
        <v>295</v>
      </c>
      <c r="G22" s="0" t="n">
        <v>2017</v>
      </c>
      <c r="H22" s="32" t="n">
        <v>2005</v>
      </c>
      <c r="I22" s="0" t="n">
        <v>37700000</v>
      </c>
      <c r="J22" s="39" t="s">
        <v>58</v>
      </c>
      <c r="K22" s="0" t="n">
        <v>2040</v>
      </c>
      <c r="L22" s="42" t="n">
        <v>0.8</v>
      </c>
    </row>
    <row r="23" customFormat="false" ht="15" hidden="false" customHeight="false" outlineLevel="0" collapsed="false">
      <c r="A23" s="0" t="s">
        <v>115</v>
      </c>
      <c r="B23" s="1" t="s">
        <v>116</v>
      </c>
      <c r="C23" s="0" t="s">
        <v>117</v>
      </c>
      <c r="D23" s="29" t="n">
        <v>2050</v>
      </c>
      <c r="E23" s="29" t="s">
        <v>292</v>
      </c>
      <c r="F23" s="0" t="s">
        <v>295</v>
      </c>
      <c r="H23" s="32" t="n">
        <v>2005</v>
      </c>
      <c r="I23" s="0" t="n">
        <v>59.348</v>
      </c>
      <c r="J23" s="39" t="s">
        <v>64</v>
      </c>
      <c r="K23" s="0" t="n">
        <v>2030</v>
      </c>
      <c r="L23" s="42" t="n">
        <v>0.55</v>
      </c>
    </row>
    <row r="24" customFormat="false" ht="15" hidden="false" customHeight="false" outlineLevel="0" collapsed="false">
      <c r="A24" s="0" t="s">
        <v>118</v>
      </c>
      <c r="B24" s="1" t="s">
        <v>119</v>
      </c>
      <c r="C24" s="0" t="s">
        <v>120</v>
      </c>
      <c r="D24" s="29" t="n">
        <v>2050</v>
      </c>
      <c r="E24" s="29" t="s">
        <v>292</v>
      </c>
      <c r="F24" s="0" t="s">
        <v>295</v>
      </c>
      <c r="H24" s="32" t="n">
        <v>2005</v>
      </c>
      <c r="I24" s="0" t="n">
        <v>153000000</v>
      </c>
      <c r="J24" s="39" t="s">
        <v>58</v>
      </c>
      <c r="K24" s="0" t="n">
        <v>2030</v>
      </c>
      <c r="L24" s="42" t="n">
        <v>0.5</v>
      </c>
    </row>
    <row r="25" customFormat="false" ht="15" hidden="false" customHeight="false" outlineLevel="0" collapsed="false">
      <c r="A25" s="0" t="s">
        <v>121</v>
      </c>
      <c r="B25" s="1" t="s">
        <v>122</v>
      </c>
      <c r="C25" s="0" t="s">
        <v>123</v>
      </c>
      <c r="D25" s="29" t="n">
        <v>2050</v>
      </c>
      <c r="E25" s="29" t="s">
        <v>292</v>
      </c>
      <c r="F25" s="0" t="s">
        <v>290</v>
      </c>
      <c r="G25" s="0" t="n">
        <v>2020</v>
      </c>
      <c r="H25" s="32" t="n">
        <v>2017</v>
      </c>
      <c r="I25" s="0" t="n">
        <v>51</v>
      </c>
      <c r="J25" s="39" t="s">
        <v>64</v>
      </c>
      <c r="K25" s="0" t="n">
        <v>2023</v>
      </c>
      <c r="L25" s="42" t="n">
        <v>0.4</v>
      </c>
    </row>
    <row r="26" customFormat="false" ht="13.8" hidden="false" customHeight="false" outlineLevel="0" collapsed="false">
      <c r="A26" s="0" t="s">
        <v>121</v>
      </c>
      <c r="B26" s="1" t="s">
        <v>122</v>
      </c>
      <c r="C26" s="0" t="s">
        <v>123</v>
      </c>
      <c r="D26" s="29" t="n">
        <v>2050</v>
      </c>
      <c r="E26" s="29" t="s">
        <v>292</v>
      </c>
      <c r="F26" s="0" t="s">
        <v>298</v>
      </c>
      <c r="G26" s="0" t="n">
        <v>2020</v>
      </c>
      <c r="H26" s="32" t="n">
        <v>2019</v>
      </c>
      <c r="I26" s="0" t="n">
        <v>119</v>
      </c>
      <c r="J26" s="39" t="s">
        <v>64</v>
      </c>
      <c r="K26" s="0" t="n">
        <v>2023</v>
      </c>
      <c r="L26" s="42" t="n">
        <v>0.08</v>
      </c>
    </row>
    <row r="27" customFormat="false" ht="13.8" hidden="false" customHeight="false" outlineLevel="0" collapsed="false">
      <c r="A27" s="0" t="s">
        <v>121</v>
      </c>
      <c r="B27" s="1" t="s">
        <v>122</v>
      </c>
      <c r="C27" s="0" t="s">
        <v>123</v>
      </c>
      <c r="D27" s="29" t="n">
        <v>2050</v>
      </c>
      <c r="E27" s="29" t="s">
        <v>292</v>
      </c>
      <c r="F27" s="0" t="s">
        <v>290</v>
      </c>
      <c r="G27" s="0" t="n">
        <v>2020</v>
      </c>
      <c r="H27" s="32" t="n">
        <v>2017</v>
      </c>
      <c r="I27" s="0" t="n">
        <v>51</v>
      </c>
      <c r="J27" s="39" t="s">
        <v>64</v>
      </c>
      <c r="K27" s="0" t="n">
        <v>2030</v>
      </c>
      <c r="L27" s="42" t="n">
        <v>0.5</v>
      </c>
    </row>
    <row r="28" customFormat="false" ht="13.8" hidden="false" customHeight="false" outlineLevel="0" collapsed="false">
      <c r="A28" s="0" t="s">
        <v>121</v>
      </c>
      <c r="B28" s="1" t="s">
        <v>122</v>
      </c>
      <c r="C28" s="0" t="s">
        <v>123</v>
      </c>
      <c r="D28" s="29" t="n">
        <v>2050</v>
      </c>
      <c r="E28" s="29" t="s">
        <v>292</v>
      </c>
      <c r="F28" s="0" t="s">
        <v>298</v>
      </c>
      <c r="G28" s="0" t="n">
        <v>2020</v>
      </c>
      <c r="H28" s="32" t="n">
        <v>2019</v>
      </c>
      <c r="I28" s="0" t="n">
        <v>119</v>
      </c>
      <c r="J28" s="39" t="s">
        <v>64</v>
      </c>
      <c r="K28" s="0" t="n">
        <v>2030</v>
      </c>
      <c r="L28" s="42" t="n">
        <v>0.28</v>
      </c>
    </row>
    <row r="29" customFormat="false" ht="15" hidden="false" customHeight="false" outlineLevel="0" collapsed="false">
      <c r="A29" s="0" t="s">
        <v>125</v>
      </c>
      <c r="B29" s="0" t="s">
        <v>126</v>
      </c>
      <c r="C29" s="0" t="s">
        <v>127</v>
      </c>
      <c r="D29" s="29" t="n">
        <v>2045</v>
      </c>
      <c r="E29" s="29" t="s">
        <v>292</v>
      </c>
      <c r="F29" s="0" t="s">
        <v>290</v>
      </c>
      <c r="G29" s="0" t="n">
        <v>2021</v>
      </c>
      <c r="H29" s="32" t="n">
        <v>2018</v>
      </c>
      <c r="I29" s="45" t="n">
        <f aca="false">1.1+1.2+0*15.8</f>
        <v>2.3</v>
      </c>
      <c r="J29" s="0" t="s">
        <v>64</v>
      </c>
      <c r="K29" s="0" t="n">
        <v>2045</v>
      </c>
      <c r="L29" s="42" t="n">
        <v>1</v>
      </c>
    </row>
    <row r="30" customFormat="false" ht="15" hidden="false" customHeight="false" outlineLevel="0" collapsed="false">
      <c r="A30" s="0" t="s">
        <v>128</v>
      </c>
      <c r="B30" s="1" t="s">
        <v>129</v>
      </c>
      <c r="C30" s="0" t="s">
        <v>130</v>
      </c>
      <c r="D30" s="29" t="n">
        <v>2030</v>
      </c>
      <c r="E30" s="29" t="s">
        <v>289</v>
      </c>
      <c r="F30" s="0" t="s">
        <v>295</v>
      </c>
      <c r="G30" s="0" t="n">
        <v>2020</v>
      </c>
      <c r="H30" s="32" t="n">
        <v>2017</v>
      </c>
      <c r="I30" s="0" t="n">
        <v>125</v>
      </c>
      <c r="J30" s="39" t="s">
        <v>299</v>
      </c>
      <c r="K30" s="0" t="n">
        <v>2030</v>
      </c>
      <c r="L30" s="42" t="n">
        <v>0.8</v>
      </c>
    </row>
    <row r="31" customFormat="false" ht="15" hidden="false" customHeight="false" outlineLevel="0" collapsed="false">
      <c r="A31" s="0" t="s">
        <v>134</v>
      </c>
      <c r="B31" s="1" t="s">
        <v>135</v>
      </c>
      <c r="C31" s="0" t="s">
        <v>136</v>
      </c>
      <c r="D31" s="29" t="n">
        <v>2050</v>
      </c>
      <c r="E31" s="29" t="s">
        <v>292</v>
      </c>
      <c r="F31" s="0" t="s">
        <v>290</v>
      </c>
      <c r="G31" s="0" t="n">
        <v>2020</v>
      </c>
      <c r="H31" s="32" t="n">
        <v>2000</v>
      </c>
      <c r="I31" s="0" t="n">
        <v>49960899</v>
      </c>
      <c r="J31" s="39" t="s">
        <v>58</v>
      </c>
      <c r="K31" s="0" t="n">
        <v>2050</v>
      </c>
      <c r="L31" s="42" t="n">
        <v>1</v>
      </c>
    </row>
    <row r="32" customFormat="false" ht="15" hidden="false" customHeight="false" outlineLevel="0" collapsed="false">
      <c r="A32" s="0" t="s">
        <v>134</v>
      </c>
      <c r="B32" s="1" t="s">
        <v>135</v>
      </c>
      <c r="C32" s="0" t="s">
        <v>136</v>
      </c>
      <c r="D32" s="29" t="n">
        <v>2050</v>
      </c>
      <c r="E32" s="29" t="s">
        <v>289</v>
      </c>
      <c r="F32" s="0" t="s">
        <v>295</v>
      </c>
      <c r="G32" s="0" t="n">
        <v>2030</v>
      </c>
      <c r="H32" s="32" t="n">
        <v>2000</v>
      </c>
      <c r="I32" s="0" t="n">
        <v>0.4826223</v>
      </c>
      <c r="J32" s="39" t="s">
        <v>291</v>
      </c>
      <c r="K32" s="0" t="n">
        <v>2030</v>
      </c>
      <c r="L32" s="42" t="n">
        <v>0.5</v>
      </c>
    </row>
    <row r="33" customFormat="false" ht="15" hidden="false" customHeight="false" outlineLevel="0" collapsed="false">
      <c r="A33" s="0" t="s">
        <v>137</v>
      </c>
      <c r="B33" s="1" t="s">
        <v>138</v>
      </c>
      <c r="C33" s="0" t="s">
        <v>139</v>
      </c>
      <c r="D33" s="29" t="n">
        <v>2045</v>
      </c>
      <c r="E33" s="29" t="s">
        <v>292</v>
      </c>
      <c r="F33" s="0" t="s">
        <v>295</v>
      </c>
      <c r="H33" s="32" t="n">
        <v>2005</v>
      </c>
      <c r="I33" s="20" t="n">
        <v>48455198</v>
      </c>
      <c r="J33" s="39" t="s">
        <v>58</v>
      </c>
      <c r="K33" s="0" t="n">
        <v>2030</v>
      </c>
      <c r="L33" s="42" t="n">
        <v>0.7</v>
      </c>
    </row>
    <row r="34" customFormat="false" ht="15" hidden="false" customHeight="false" outlineLevel="0" collapsed="false">
      <c r="A34" s="0" t="s">
        <v>140</v>
      </c>
      <c r="B34" s="1" t="s">
        <v>141</v>
      </c>
      <c r="C34" s="0" t="s">
        <v>142</v>
      </c>
      <c r="D34" s="29" t="n">
        <v>2030</v>
      </c>
      <c r="E34" s="29" t="s">
        <v>292</v>
      </c>
      <c r="F34" s="0" t="s">
        <v>290</v>
      </c>
      <c r="G34" s="0" t="n">
        <v>2019</v>
      </c>
      <c r="H34" s="32" t="n">
        <v>2018</v>
      </c>
      <c r="I34" s="0" t="n">
        <v>828107</v>
      </c>
      <c r="J34" s="39" t="s">
        <v>58</v>
      </c>
      <c r="K34" s="0" t="n">
        <v>2030</v>
      </c>
      <c r="L34" s="42" t="n">
        <v>1</v>
      </c>
    </row>
    <row r="35" customFormat="false" ht="13.8" hidden="false" customHeight="false" outlineLevel="0" collapsed="false">
      <c r="A35" s="0" t="s">
        <v>143</v>
      </c>
      <c r="B35" s="1" t="s">
        <v>144</v>
      </c>
      <c r="C35" s="0" t="s">
        <v>145</v>
      </c>
      <c r="D35" s="29" t="n">
        <v>2050</v>
      </c>
      <c r="E35" s="29" t="s">
        <v>292</v>
      </c>
      <c r="F35" s="0" t="s">
        <v>290</v>
      </c>
      <c r="G35" s="0" t="n">
        <v>2021</v>
      </c>
      <c r="H35" s="32" t="n">
        <v>2015</v>
      </c>
      <c r="I35" s="0" t="n">
        <v>1100</v>
      </c>
      <c r="J35" s="39" t="s">
        <v>133</v>
      </c>
      <c r="K35" s="0" t="n">
        <v>2030</v>
      </c>
      <c r="L35" s="42" t="n">
        <v>0.5</v>
      </c>
    </row>
    <row r="36" customFormat="false" ht="13.8" hidden="false" customHeight="false" outlineLevel="0" collapsed="false">
      <c r="A36" s="0" t="s">
        <v>146</v>
      </c>
      <c r="B36" s="1" t="s">
        <v>147</v>
      </c>
      <c r="C36" s="0" t="s">
        <v>148</v>
      </c>
      <c r="D36" s="29" t="n">
        <v>2050</v>
      </c>
      <c r="E36" s="29" t="s">
        <v>292</v>
      </c>
      <c r="F36" s="0" t="s">
        <v>290</v>
      </c>
      <c r="G36" s="0" t="n">
        <v>2021</v>
      </c>
      <c r="H36" s="32" t="n">
        <v>2016</v>
      </c>
      <c r="I36" s="0" t="n">
        <v>125</v>
      </c>
      <c r="J36" s="39" t="s">
        <v>64</v>
      </c>
      <c r="K36" s="0" t="n">
        <v>2025</v>
      </c>
      <c r="L36" s="42" t="n">
        <v>0.2</v>
      </c>
    </row>
    <row r="37" customFormat="false" ht="15" hidden="false" customHeight="false" outlineLevel="0" collapsed="false">
      <c r="A37" s="0" t="s">
        <v>149</v>
      </c>
      <c r="B37" s="1" t="s">
        <v>150</v>
      </c>
      <c r="C37" s="0" t="s">
        <v>151</v>
      </c>
      <c r="E37" s="29" t="s">
        <v>292</v>
      </c>
      <c r="F37" s="0" t="s">
        <v>295</v>
      </c>
      <c r="G37" s="0" t="n">
        <v>2015</v>
      </c>
      <c r="H37" s="32" t="n">
        <v>2005</v>
      </c>
      <c r="I37" s="0" t="n">
        <v>86403130</v>
      </c>
      <c r="J37" s="39" t="s">
        <v>58</v>
      </c>
      <c r="K37" s="0" t="n">
        <v>2045</v>
      </c>
      <c r="L37" s="42" t="n">
        <v>0.62</v>
      </c>
    </row>
    <row r="38" customFormat="false" ht="15" hidden="false" customHeight="false" outlineLevel="0" collapsed="false">
      <c r="A38" s="0" t="s">
        <v>152</v>
      </c>
      <c r="B38" s="1" t="s">
        <v>153</v>
      </c>
      <c r="C38" s="0" t="s">
        <v>154</v>
      </c>
      <c r="E38" s="29" t="s">
        <v>292</v>
      </c>
      <c r="F38" s="0" t="s">
        <v>295</v>
      </c>
      <c r="G38" s="0" t="n">
        <v>2020</v>
      </c>
      <c r="H38" s="32" t="n">
        <v>2019</v>
      </c>
      <c r="I38" s="20" t="n">
        <v>11925000</v>
      </c>
      <c r="J38" s="39" t="s">
        <v>58</v>
      </c>
      <c r="K38" s="0" t="n">
        <v>2035</v>
      </c>
      <c r="L38" s="42" t="n">
        <v>0.75</v>
      </c>
    </row>
    <row r="39" customFormat="false" ht="15" hidden="false" customHeight="false" outlineLevel="0" collapsed="false">
      <c r="A39" s="0" t="s">
        <v>160</v>
      </c>
      <c r="B39" s="1" t="s">
        <v>161</v>
      </c>
      <c r="C39" s="0" t="s">
        <v>162</v>
      </c>
      <c r="D39" s="29" t="n">
        <v>2050</v>
      </c>
      <c r="E39" s="29" t="s">
        <v>289</v>
      </c>
      <c r="F39" s="0" t="s">
        <v>290</v>
      </c>
      <c r="G39" s="0" t="n">
        <v>2022</v>
      </c>
      <c r="H39" s="32" t="n">
        <v>2020</v>
      </c>
      <c r="I39" s="0" t="n">
        <v>0.93</v>
      </c>
      <c r="J39" s="39" t="s">
        <v>296</v>
      </c>
      <c r="K39" s="0" t="n">
        <v>2031</v>
      </c>
      <c r="L39" s="42" t="n">
        <v>0.108</v>
      </c>
    </row>
    <row r="40" customFormat="false" ht="15" hidden="false" customHeight="false" outlineLevel="0" collapsed="false">
      <c r="A40" s="0" t="s">
        <v>164</v>
      </c>
      <c r="B40" s="1" t="s">
        <v>165</v>
      </c>
      <c r="C40" s="0" t="s">
        <v>166</v>
      </c>
      <c r="E40" s="29" t="s">
        <v>289</v>
      </c>
      <c r="F40" s="0" t="s">
        <v>295</v>
      </c>
      <c r="G40" s="0" t="n">
        <v>2020</v>
      </c>
      <c r="H40" s="32" t="n">
        <v>2010</v>
      </c>
      <c r="I40" s="0" t="n">
        <v>0.763</v>
      </c>
      <c r="J40" s="39" t="s">
        <v>291</v>
      </c>
      <c r="K40" s="0" t="n">
        <v>2030</v>
      </c>
      <c r="L40" s="42" t="n">
        <v>0.1</v>
      </c>
    </row>
    <row r="41" customFormat="false" ht="15" hidden="false" customHeight="false" outlineLevel="0" collapsed="false">
      <c r="A41" s="0" t="s">
        <v>167</v>
      </c>
      <c r="B41" s="1" t="s">
        <v>168</v>
      </c>
      <c r="C41" s="0" t="s">
        <v>169</v>
      </c>
      <c r="D41" s="29" t="n">
        <v>2050</v>
      </c>
      <c r="E41" s="29" t="s">
        <v>289</v>
      </c>
      <c r="F41" s="0" t="s">
        <v>295</v>
      </c>
      <c r="G41" s="0" t="n">
        <v>2022</v>
      </c>
      <c r="H41" s="32" t="n">
        <v>2021</v>
      </c>
      <c r="I41" s="0" t="n">
        <v>96</v>
      </c>
      <c r="J41" s="39" t="s">
        <v>299</v>
      </c>
      <c r="K41" s="0" t="n">
        <v>2030</v>
      </c>
      <c r="L41" s="42" t="n">
        <f aca="false">50/96</f>
        <v>0.520833333333333</v>
      </c>
    </row>
    <row r="42" customFormat="false" ht="13.8" hidden="false" customHeight="false" outlineLevel="0" collapsed="false">
      <c r="A42" s="0" t="s">
        <v>171</v>
      </c>
      <c r="B42" s="1" t="s">
        <v>172</v>
      </c>
      <c r="C42" s="0" t="s">
        <v>173</v>
      </c>
      <c r="D42" s="29" t="n">
        <v>2050</v>
      </c>
      <c r="E42" s="29" t="s">
        <v>289</v>
      </c>
      <c r="F42" s="0" t="s">
        <v>290</v>
      </c>
      <c r="G42" s="0" t="n">
        <v>2020</v>
      </c>
      <c r="H42" s="32" t="n">
        <v>2019</v>
      </c>
      <c r="I42" s="46" t="n">
        <v>30.76</v>
      </c>
      <c r="J42" s="39" t="s">
        <v>300</v>
      </c>
      <c r="K42" s="0" t="n">
        <v>2025</v>
      </c>
      <c r="L42" s="42" t="n">
        <v>0.5</v>
      </c>
    </row>
    <row r="43" customFormat="false" ht="15" hidden="false" customHeight="false" outlineLevel="0" collapsed="false">
      <c r="A43" s="0" t="s">
        <v>175</v>
      </c>
      <c r="B43" s="1" t="s">
        <v>176</v>
      </c>
      <c r="C43" s="0" t="s">
        <v>177</v>
      </c>
      <c r="E43" s="29" t="s">
        <v>289</v>
      </c>
      <c r="F43" s="0" t="s">
        <v>290</v>
      </c>
      <c r="H43" s="32" t="n">
        <v>2000</v>
      </c>
      <c r="I43" s="0" t="n">
        <f aca="false">2650/2000</f>
        <v>1.325</v>
      </c>
      <c r="J43" s="39" t="s">
        <v>291</v>
      </c>
      <c r="K43" s="0" t="n">
        <v>2030</v>
      </c>
      <c r="L43" s="42" t="n">
        <v>0.5</v>
      </c>
    </row>
    <row r="44" customFormat="false" ht="15" hidden="false" customHeight="false" outlineLevel="0" collapsed="false">
      <c r="A44" s="0" t="s">
        <v>181</v>
      </c>
      <c r="B44" s="1" t="s">
        <v>182</v>
      </c>
      <c r="C44" s="0" t="s">
        <v>183</v>
      </c>
      <c r="D44" s="29" t="n">
        <v>2050</v>
      </c>
      <c r="E44" s="0" t="s">
        <v>292</v>
      </c>
      <c r="F44" s="0" t="s">
        <v>290</v>
      </c>
      <c r="G44" s="0" t="n">
        <v>2020</v>
      </c>
      <c r="H44" s="0" t="n">
        <v>1990</v>
      </c>
      <c r="I44" s="0" t="n">
        <f aca="false">7000000/(1-0.68)</f>
        <v>21875000</v>
      </c>
      <c r="J44" s="0" t="s">
        <v>58</v>
      </c>
      <c r="K44" s="0" t="n">
        <v>2030</v>
      </c>
      <c r="L44" s="42" t="n">
        <v>0.8</v>
      </c>
    </row>
    <row r="45" customFormat="false" ht="15" hidden="false" customHeight="false" outlineLevel="0" collapsed="false">
      <c r="A45" s="0" t="s">
        <v>181</v>
      </c>
      <c r="B45" s="1" t="s">
        <v>182</v>
      </c>
      <c r="C45" s="0" t="s">
        <v>183</v>
      </c>
      <c r="D45" s="29" t="n">
        <v>2050</v>
      </c>
      <c r="E45" s="0" t="s">
        <v>292</v>
      </c>
      <c r="F45" s="0" t="s">
        <v>290</v>
      </c>
      <c r="G45" s="0" t="n">
        <v>2020</v>
      </c>
      <c r="H45" s="0" t="n">
        <v>1990</v>
      </c>
      <c r="I45" s="0" t="n">
        <f aca="false">7000000/(1-0.68)</f>
        <v>21875000</v>
      </c>
      <c r="J45" s="0" t="s">
        <v>58</v>
      </c>
      <c r="K45" s="0" t="n">
        <v>2040</v>
      </c>
      <c r="L45" s="42" t="n">
        <v>0.9</v>
      </c>
    </row>
    <row r="46" customFormat="false" ht="15" hidden="false" customHeight="false" outlineLevel="0" collapsed="false">
      <c r="A46" s="0" t="s">
        <v>184</v>
      </c>
      <c r="B46" s="0" t="s">
        <v>185</v>
      </c>
      <c r="C46" s="0" t="s">
        <v>186</v>
      </c>
      <c r="D46" s="29" t="n">
        <v>2050</v>
      </c>
      <c r="E46" s="29" t="s">
        <v>289</v>
      </c>
      <c r="F46" s="0" t="s">
        <v>290</v>
      </c>
      <c r="G46" s="0" t="n">
        <v>2020</v>
      </c>
      <c r="H46" s="0" t="n">
        <v>2005</v>
      </c>
      <c r="I46" s="0" t="n">
        <v>843</v>
      </c>
      <c r="J46" s="39" t="s">
        <v>301</v>
      </c>
      <c r="K46" s="0" t="n">
        <v>2025</v>
      </c>
      <c r="L46" s="42" t="n">
        <v>0.67</v>
      </c>
    </row>
    <row r="47" customFormat="false" ht="15" hidden="false" customHeight="false" outlineLevel="0" collapsed="false">
      <c r="A47" s="0" t="s">
        <v>192</v>
      </c>
      <c r="B47" s="0" t="s">
        <v>193</v>
      </c>
      <c r="C47" s="0" t="s">
        <v>194</v>
      </c>
      <c r="D47" s="29" t="n">
        <v>2050</v>
      </c>
      <c r="E47" s="0" t="s">
        <v>292</v>
      </c>
      <c r="F47" s="0" t="s">
        <v>290</v>
      </c>
      <c r="G47" s="0" t="n">
        <v>2020</v>
      </c>
      <c r="H47" s="0" t="n">
        <v>2005</v>
      </c>
      <c r="I47" s="0" t="n">
        <f aca="false">6332981/(1-0.63)</f>
        <v>17116164.8648649</v>
      </c>
      <c r="J47" s="0" t="s">
        <v>58</v>
      </c>
      <c r="K47" s="0" t="n">
        <v>2030</v>
      </c>
      <c r="L47" s="42" t="n">
        <v>0.9</v>
      </c>
    </row>
    <row r="48" customFormat="false" ht="15" hidden="false" customHeight="false" outlineLevel="0" collapsed="false">
      <c r="A48" s="0" t="s">
        <v>195</v>
      </c>
      <c r="B48" s="1" t="s">
        <v>196</v>
      </c>
      <c r="C48" s="0" t="s">
        <v>197</v>
      </c>
      <c r="D48" s="29" t="n">
        <v>2050</v>
      </c>
      <c r="E48" s="29" t="s">
        <v>292</v>
      </c>
      <c r="F48" s="0" t="s">
        <v>295</v>
      </c>
      <c r="G48" s="0" t="n">
        <v>2019</v>
      </c>
      <c r="H48" s="32" t="n">
        <v>2010</v>
      </c>
      <c r="I48" s="20" t="n">
        <v>3734024</v>
      </c>
      <c r="J48" s="0" t="s">
        <v>58</v>
      </c>
      <c r="K48" s="0" t="n">
        <v>2045</v>
      </c>
      <c r="L48" s="42" t="n">
        <v>0.9</v>
      </c>
    </row>
    <row r="49" customFormat="false" ht="15" hidden="false" customHeight="false" outlineLevel="0" collapsed="false">
      <c r="A49" s="24" t="s">
        <v>187</v>
      </c>
      <c r="B49" s="24" t="s">
        <v>188</v>
      </c>
      <c r="C49" s="24" t="s">
        <v>189</v>
      </c>
      <c r="D49" s="29" t="n">
        <v>2050</v>
      </c>
      <c r="E49" s="0" t="s">
        <v>292</v>
      </c>
      <c r="F49" s="0" t="s">
        <v>290</v>
      </c>
      <c r="G49" s="0" t="n">
        <v>2021</v>
      </c>
      <c r="H49" s="0" t="n">
        <v>2013</v>
      </c>
      <c r="I49" s="0" t="n">
        <v>102</v>
      </c>
      <c r="J49" s="0" t="s">
        <v>64</v>
      </c>
      <c r="K49" s="0" t="n">
        <v>2030</v>
      </c>
      <c r="L49" s="42" t="n">
        <v>0.3</v>
      </c>
    </row>
    <row r="50" customFormat="false" ht="15" hidden="false" customHeight="false" outlineLevel="0" collapsed="false">
      <c r="A50" s="0" t="s">
        <v>178</v>
      </c>
      <c r="B50" s="1" t="s">
        <v>179</v>
      </c>
      <c r="C50" s="0" t="s">
        <v>180</v>
      </c>
      <c r="E50" s="0" t="s">
        <v>289</v>
      </c>
      <c r="F50" s="0" t="s">
        <v>290</v>
      </c>
      <c r="G50" s="0" t="n">
        <v>2020</v>
      </c>
      <c r="H50" s="0" t="n">
        <v>2015</v>
      </c>
      <c r="I50" s="0" t="n">
        <v>0.82</v>
      </c>
      <c r="J50" s="0" t="s">
        <v>296</v>
      </c>
      <c r="K50" s="0" t="n">
        <v>2030</v>
      </c>
      <c r="L50" s="42" t="n">
        <v>0.35</v>
      </c>
    </row>
    <row r="51" customFormat="false" ht="15" hidden="false" customHeight="false" outlineLevel="0" collapsed="false">
      <c r="A51" s="0" t="s">
        <v>198</v>
      </c>
      <c r="B51" s="1" t="s">
        <v>199</v>
      </c>
      <c r="C51" s="0" t="s">
        <v>200</v>
      </c>
      <c r="E51" s="29" t="s">
        <v>292</v>
      </c>
      <c r="F51" s="0" t="s">
        <v>295</v>
      </c>
      <c r="G51" s="0" t="n">
        <v>2018</v>
      </c>
      <c r="H51" s="32" t="n">
        <v>2005</v>
      </c>
      <c r="I51" s="20" t="n">
        <v>21445571</v>
      </c>
      <c r="J51" s="0" t="s">
        <v>58</v>
      </c>
      <c r="K51" s="0" t="n">
        <v>2030</v>
      </c>
      <c r="L51" s="42" t="n">
        <v>0.5</v>
      </c>
    </row>
    <row r="52" customFormat="false" ht="15" hidden="false" customHeight="false" outlineLevel="0" collapsed="false">
      <c r="A52" s="0" t="s">
        <v>198</v>
      </c>
      <c r="B52" s="1" t="s">
        <v>199</v>
      </c>
      <c r="C52" s="0" t="s">
        <v>200</v>
      </c>
      <c r="E52" s="29" t="s">
        <v>292</v>
      </c>
      <c r="F52" s="0" t="s">
        <v>295</v>
      </c>
      <c r="G52" s="0" t="n">
        <v>2018</v>
      </c>
      <c r="H52" s="32" t="n">
        <v>2005</v>
      </c>
      <c r="I52" s="20" t="n">
        <v>21445571</v>
      </c>
      <c r="J52" s="0" t="s">
        <v>58</v>
      </c>
      <c r="K52" s="0" t="n">
        <v>2050</v>
      </c>
      <c r="L52" s="42" t="n">
        <v>0.95</v>
      </c>
    </row>
    <row r="53" customFormat="false" ht="15" hidden="false" customHeight="false" outlineLevel="0" collapsed="false">
      <c r="A53" s="0" t="s">
        <v>201</v>
      </c>
      <c r="B53" s="1" t="s">
        <v>202</v>
      </c>
      <c r="C53" s="0" t="s">
        <v>203</v>
      </c>
      <c r="D53" s="29" t="n">
        <v>2045</v>
      </c>
      <c r="E53" s="29" t="s">
        <v>292</v>
      </c>
      <c r="F53" s="0" t="s">
        <v>290</v>
      </c>
      <c r="G53" s="0" t="n">
        <v>2021</v>
      </c>
      <c r="H53" s="32" t="n">
        <v>2016</v>
      </c>
      <c r="I53" s="0" t="n">
        <v>2.216543993</v>
      </c>
      <c r="J53" s="0" t="s">
        <v>64</v>
      </c>
      <c r="K53" s="0" t="n">
        <v>2045</v>
      </c>
      <c r="L53" s="42" t="n">
        <v>1</v>
      </c>
    </row>
    <row r="54" customFormat="false" ht="15" hidden="false" customHeight="false" outlineLevel="0" collapsed="false">
      <c r="A54" s="0" t="s">
        <v>204</v>
      </c>
      <c r="B54" s="1" t="s">
        <v>205</v>
      </c>
      <c r="C54" s="0" t="s">
        <v>206</v>
      </c>
      <c r="D54" s="29" t="n">
        <v>2040</v>
      </c>
      <c r="E54" s="29" t="s">
        <v>292</v>
      </c>
      <c r="F54" s="0" t="s">
        <v>295</v>
      </c>
      <c r="G54" s="0" t="n">
        <v>2019</v>
      </c>
      <c r="H54" s="32" t="n">
        <v>2005</v>
      </c>
      <c r="I54" s="47" t="n">
        <v>6976930.13197026</v>
      </c>
      <c r="J54" s="0" t="s">
        <v>58</v>
      </c>
      <c r="K54" s="0" t="n">
        <v>2040</v>
      </c>
      <c r="L54" s="42" t="n">
        <v>1</v>
      </c>
    </row>
    <row r="55" customFormat="false" ht="15" hidden="false" customHeight="false" outlineLevel="0" collapsed="false">
      <c r="A55" s="0" t="s">
        <v>207</v>
      </c>
      <c r="B55" s="1" t="s">
        <v>208</v>
      </c>
      <c r="C55" s="0" t="s">
        <v>209</v>
      </c>
      <c r="D55" s="29" t="n">
        <v>2050</v>
      </c>
      <c r="E55" s="29" t="s">
        <v>289</v>
      </c>
      <c r="F55" s="0" t="s">
        <v>290</v>
      </c>
      <c r="G55" s="0" t="n">
        <v>2020</v>
      </c>
      <c r="H55" s="32" t="n">
        <v>2017</v>
      </c>
      <c r="I55" s="0" t="n">
        <v>2.06</v>
      </c>
      <c r="J55" s="0" t="s">
        <v>296</v>
      </c>
      <c r="K55" s="0" t="n">
        <v>2030</v>
      </c>
      <c r="L55" s="42" t="n">
        <v>0.2</v>
      </c>
    </row>
    <row r="56" customFormat="false" ht="15" hidden="false" customHeight="false" outlineLevel="0" collapsed="false">
      <c r="A56" s="0" t="s">
        <v>207</v>
      </c>
      <c r="B56" s="1" t="s">
        <v>208</v>
      </c>
      <c r="C56" s="0" t="s">
        <v>209</v>
      </c>
      <c r="D56" s="29" t="n">
        <v>2050</v>
      </c>
      <c r="E56" s="29" t="s">
        <v>289</v>
      </c>
      <c r="F56" s="0" t="s">
        <v>290</v>
      </c>
      <c r="G56" s="0" t="n">
        <v>2020</v>
      </c>
      <c r="H56" s="32" t="n">
        <v>2017</v>
      </c>
      <c r="I56" s="0" t="n">
        <v>2.06</v>
      </c>
      <c r="J56" s="0" t="s">
        <v>296</v>
      </c>
      <c r="K56" s="0" t="n">
        <v>2040</v>
      </c>
      <c r="L56" s="42" t="n">
        <v>0.5</v>
      </c>
    </row>
    <row r="57" customFormat="false" ht="15" hidden="false" customHeight="false" outlineLevel="0" collapsed="false">
      <c r="A57" s="0" t="s">
        <v>211</v>
      </c>
      <c r="B57" s="1" t="s">
        <v>212</v>
      </c>
      <c r="C57" s="0" t="s">
        <v>213</v>
      </c>
      <c r="D57" s="29" t="n">
        <v>2050</v>
      </c>
      <c r="E57" s="29" t="s">
        <v>292</v>
      </c>
      <c r="F57" s="0" t="s">
        <v>290</v>
      </c>
      <c r="G57" s="0" t="n">
        <v>2021</v>
      </c>
      <c r="H57" s="32" t="n">
        <v>2010</v>
      </c>
      <c r="I57" s="20" t="n">
        <f aca="false">60736086+1597157</f>
        <v>62333243</v>
      </c>
      <c r="J57" s="0" t="s">
        <v>58</v>
      </c>
      <c r="K57" s="0" t="n">
        <v>2035</v>
      </c>
      <c r="L57" s="42" t="n">
        <v>0.7</v>
      </c>
    </row>
    <row r="58" customFormat="false" ht="15" hidden="false" customHeight="false" outlineLevel="0" collapsed="false">
      <c r="A58" s="0" t="s">
        <v>211</v>
      </c>
      <c r="B58" s="1" t="s">
        <v>212</v>
      </c>
      <c r="C58" s="0" t="s">
        <v>213</v>
      </c>
      <c r="D58" s="29" t="n">
        <v>2050</v>
      </c>
      <c r="E58" s="29" t="s">
        <v>292</v>
      </c>
      <c r="F58" s="0" t="s">
        <v>290</v>
      </c>
      <c r="G58" s="0" t="n">
        <v>2021</v>
      </c>
      <c r="H58" s="32" t="n">
        <v>2010</v>
      </c>
      <c r="I58" s="20" t="n">
        <f aca="false">60736086+1597157</f>
        <v>62333243</v>
      </c>
      <c r="J58" s="0" t="s">
        <v>58</v>
      </c>
      <c r="K58" s="0" t="n">
        <v>2040</v>
      </c>
      <c r="L58" s="42" t="n">
        <v>0.8</v>
      </c>
    </row>
    <row r="59" customFormat="false" ht="15" hidden="false" customHeight="false" outlineLevel="0" collapsed="false">
      <c r="A59" s="0" t="s">
        <v>214</v>
      </c>
      <c r="B59" s="1" t="s">
        <v>215</v>
      </c>
      <c r="C59" s="0" t="s">
        <v>216</v>
      </c>
      <c r="D59" s="29" t="n">
        <v>2050</v>
      </c>
      <c r="E59" s="29" t="s">
        <v>292</v>
      </c>
      <c r="F59" s="0" t="s">
        <v>290</v>
      </c>
      <c r="G59" s="0" t="n">
        <v>2020</v>
      </c>
      <c r="H59" s="32" t="n">
        <v>2005</v>
      </c>
      <c r="I59" s="48" t="n">
        <v>16557441</v>
      </c>
      <c r="J59" s="0" t="s">
        <v>58</v>
      </c>
      <c r="K59" s="0" t="n">
        <v>2030</v>
      </c>
      <c r="L59" s="42" t="n">
        <v>0.7</v>
      </c>
    </row>
    <row r="60" customFormat="false" ht="15" hidden="false" customHeight="false" outlineLevel="0" collapsed="false">
      <c r="A60" s="0" t="s">
        <v>217</v>
      </c>
      <c r="B60" s="1" t="s">
        <v>218</v>
      </c>
      <c r="C60" s="0" t="s">
        <v>219</v>
      </c>
      <c r="D60" s="29" t="n">
        <v>2040</v>
      </c>
      <c r="E60" s="29" t="s">
        <v>289</v>
      </c>
      <c r="F60" s="0" t="s">
        <v>290</v>
      </c>
      <c r="G60" s="0" t="n">
        <v>2020</v>
      </c>
      <c r="H60" s="32" t="n">
        <v>2010</v>
      </c>
      <c r="I60" s="0" t="n">
        <v>0.47</v>
      </c>
      <c r="J60" s="0" t="s">
        <v>291</v>
      </c>
      <c r="K60" s="0" t="n">
        <v>2030</v>
      </c>
      <c r="L60" s="42" t="n">
        <v>0.8</v>
      </c>
    </row>
    <row r="61" customFormat="false" ht="15" hidden="false" customHeight="false" outlineLevel="0" collapsed="false">
      <c r="A61" s="0" t="s">
        <v>220</v>
      </c>
      <c r="B61" s="1" t="s">
        <v>221</v>
      </c>
      <c r="C61" s="0" t="s">
        <v>222</v>
      </c>
      <c r="D61" s="29" t="n">
        <v>2030</v>
      </c>
      <c r="E61" s="29" t="s">
        <v>292</v>
      </c>
      <c r="F61" s="0" t="s">
        <v>290</v>
      </c>
      <c r="G61" s="0" t="n">
        <v>2021</v>
      </c>
      <c r="H61" s="32" t="n">
        <v>2005</v>
      </c>
      <c r="I61" s="20" t="n">
        <v>26566330</v>
      </c>
      <c r="J61" s="0" t="s">
        <v>58</v>
      </c>
      <c r="K61" s="0" t="n">
        <v>2030</v>
      </c>
      <c r="L61" s="42" t="n">
        <v>1</v>
      </c>
    </row>
    <row r="62" customFormat="false" ht="13.8" hidden="false" customHeight="false" outlineLevel="0" collapsed="false">
      <c r="A62" s="0" t="s">
        <v>223</v>
      </c>
      <c r="B62" s="1" t="s">
        <v>224</v>
      </c>
      <c r="C62" s="0" t="s">
        <v>225</v>
      </c>
      <c r="E62" s="29" t="s">
        <v>289</v>
      </c>
      <c r="F62" s="0" t="s">
        <v>290</v>
      </c>
      <c r="G62" s="0" t="n">
        <v>2021</v>
      </c>
      <c r="H62" s="32" t="n">
        <v>2018</v>
      </c>
      <c r="I62" s="20" t="n">
        <v>10.2</v>
      </c>
      <c r="J62" s="0" t="s">
        <v>302</v>
      </c>
      <c r="K62" s="0" t="n">
        <v>2035</v>
      </c>
      <c r="L62" s="42" t="n">
        <v>0.15</v>
      </c>
    </row>
    <row r="63" customFormat="false" ht="15" hidden="false" customHeight="false" outlineLevel="0" collapsed="false">
      <c r="A63" s="0" t="s">
        <v>227</v>
      </c>
      <c r="B63" s="1" t="s">
        <v>228</v>
      </c>
      <c r="C63" s="0" t="s">
        <v>229</v>
      </c>
      <c r="D63" s="29" t="n">
        <v>2050</v>
      </c>
      <c r="E63" s="29" t="s">
        <v>289</v>
      </c>
      <c r="F63" s="0" t="s">
        <v>290</v>
      </c>
      <c r="G63" s="0" t="n">
        <v>2020</v>
      </c>
      <c r="H63" s="32" t="n">
        <v>2019</v>
      </c>
      <c r="I63" s="49" t="n">
        <v>0.802431306142299</v>
      </c>
      <c r="J63" s="0" t="s">
        <v>291</v>
      </c>
      <c r="K63" s="0" t="n">
        <v>2030</v>
      </c>
      <c r="L63" s="42" t="n">
        <v>0.5</v>
      </c>
    </row>
    <row r="64" customFormat="false" ht="13.8" hidden="false" customHeight="false" outlineLevel="0" collapsed="false">
      <c r="A64" s="0" t="s">
        <v>230</v>
      </c>
      <c r="B64" s="1" t="s">
        <v>231</v>
      </c>
      <c r="C64" s="0" t="s">
        <v>232</v>
      </c>
      <c r="D64" s="29" t="n">
        <v>2050</v>
      </c>
      <c r="E64" s="29" t="s">
        <v>292</v>
      </c>
      <c r="F64" s="0" t="s">
        <v>290</v>
      </c>
      <c r="G64" s="0" t="n">
        <v>2021</v>
      </c>
      <c r="H64" s="32" t="n">
        <v>2016</v>
      </c>
      <c r="I64" s="49" t="n">
        <v>68</v>
      </c>
      <c r="J64" s="0" t="s">
        <v>64</v>
      </c>
      <c r="K64" s="0" t="n">
        <v>2030</v>
      </c>
      <c r="L64" s="42" t="n">
        <v>0.5</v>
      </c>
    </row>
    <row r="65" customFormat="false" ht="15" hidden="false" customHeight="false" outlineLevel="0" collapsed="false">
      <c r="A65" s="0" t="s">
        <v>234</v>
      </c>
      <c r="B65" s="1" t="s">
        <v>235</v>
      </c>
      <c r="C65" s="0" t="s">
        <v>236</v>
      </c>
      <c r="D65" s="29" t="n">
        <v>2050</v>
      </c>
      <c r="E65" s="29" t="s">
        <v>289</v>
      </c>
      <c r="F65" s="0" t="s">
        <v>290</v>
      </c>
      <c r="G65" s="0" t="n">
        <v>2020</v>
      </c>
      <c r="H65" s="32" t="n">
        <v>2007</v>
      </c>
      <c r="I65" s="49" t="n">
        <v>0.984205535388378</v>
      </c>
      <c r="J65" s="0" t="s">
        <v>291</v>
      </c>
      <c r="K65" s="0" t="n">
        <v>2030</v>
      </c>
      <c r="L65" s="42" t="n">
        <v>0.5</v>
      </c>
    </row>
    <row r="66" customFormat="false" ht="15" hidden="false" customHeight="false" outlineLevel="0" collapsed="false">
      <c r="A66" s="0" t="s">
        <v>237</v>
      </c>
      <c r="B66" s="1" t="s">
        <v>238</v>
      </c>
      <c r="C66" s="0" t="s">
        <v>239</v>
      </c>
      <c r="D66" s="29" t="n">
        <v>2050</v>
      </c>
      <c r="E66" s="29" t="s">
        <v>289</v>
      </c>
      <c r="F66" s="0" t="s">
        <v>290</v>
      </c>
      <c r="G66" s="0" t="n">
        <v>2021</v>
      </c>
      <c r="H66" s="32" t="n">
        <v>2018</v>
      </c>
      <c r="I66" s="0" t="n">
        <v>5.162928</v>
      </c>
      <c r="J66" s="0" t="s">
        <v>296</v>
      </c>
      <c r="K66" s="0" t="n">
        <v>2025</v>
      </c>
      <c r="L66" s="42" t="n">
        <v>0.2</v>
      </c>
    </row>
    <row r="67" customFormat="false" ht="15" hidden="false" customHeight="false" outlineLevel="0" collapsed="false">
      <c r="A67" s="0" t="s">
        <v>237</v>
      </c>
      <c r="B67" s="1" t="s">
        <v>238</v>
      </c>
      <c r="C67" s="0" t="s">
        <v>239</v>
      </c>
      <c r="D67" s="29" t="n">
        <v>2050</v>
      </c>
      <c r="E67" s="29" t="s">
        <v>289</v>
      </c>
      <c r="F67" s="0" t="s">
        <v>290</v>
      </c>
      <c r="G67" s="0" t="n">
        <v>2021</v>
      </c>
      <c r="H67" s="32" t="n">
        <v>2018</v>
      </c>
      <c r="I67" s="0" t="n">
        <v>5.162928</v>
      </c>
      <c r="J67" s="0" t="s">
        <v>296</v>
      </c>
      <c r="K67" s="0" t="n">
        <v>2030</v>
      </c>
      <c r="L67" s="42" t="n">
        <v>0.3</v>
      </c>
    </row>
    <row r="68" customFormat="false" ht="15" hidden="false" customHeight="false" outlineLevel="0" collapsed="false">
      <c r="A68" s="0" t="s">
        <v>240</v>
      </c>
      <c r="B68" s="1" t="s">
        <v>241</v>
      </c>
      <c r="C68" s="0" t="s">
        <v>242</v>
      </c>
      <c r="D68" s="29" t="n">
        <v>2050</v>
      </c>
      <c r="E68" s="29" t="s">
        <v>289</v>
      </c>
      <c r="F68" s="0" t="s">
        <v>290</v>
      </c>
      <c r="G68" s="0" t="n">
        <v>2020</v>
      </c>
      <c r="H68" s="32" t="n">
        <v>2019</v>
      </c>
      <c r="I68" s="49" t="n">
        <v>0.46760301224943</v>
      </c>
      <c r="J68" s="0" t="s">
        <v>291</v>
      </c>
      <c r="K68" s="0" t="n">
        <v>2030</v>
      </c>
      <c r="L68" s="42" t="n">
        <v>0.3</v>
      </c>
    </row>
    <row r="69" customFormat="false" ht="15" hidden="false" customHeight="false" outlineLevel="0" collapsed="false">
      <c r="A69" s="0" t="s">
        <v>243</v>
      </c>
      <c r="B69" s="1" t="s">
        <v>244</v>
      </c>
      <c r="C69" s="0" t="s">
        <v>245</v>
      </c>
      <c r="E69" s="29" t="s">
        <v>289</v>
      </c>
      <c r="F69" s="0" t="s">
        <v>290</v>
      </c>
      <c r="G69" s="0" t="n">
        <v>2021</v>
      </c>
      <c r="H69" s="32" t="n">
        <v>2018</v>
      </c>
      <c r="I69" s="49" t="n">
        <v>2.9</v>
      </c>
      <c r="J69" s="0" t="s">
        <v>296</v>
      </c>
      <c r="K69" s="0" t="n">
        <v>2030</v>
      </c>
      <c r="L69" s="42" t="n">
        <v>0.3</v>
      </c>
    </row>
    <row r="70" customFormat="false" ht="15" hidden="false" customHeight="false" outlineLevel="0" collapsed="false">
      <c r="A70" s="0" t="s">
        <v>247</v>
      </c>
      <c r="B70" s="0" t="s">
        <v>248</v>
      </c>
      <c r="C70" s="0" t="s">
        <v>249</v>
      </c>
      <c r="E70" s="29" t="s">
        <v>289</v>
      </c>
      <c r="F70" s="0" t="s">
        <v>290</v>
      </c>
      <c r="G70" s="0" t="n">
        <v>2021</v>
      </c>
      <c r="H70" s="32" t="n">
        <v>2018</v>
      </c>
      <c r="I70" s="49" t="n">
        <v>1.69</v>
      </c>
      <c r="J70" s="0" t="s">
        <v>296</v>
      </c>
      <c r="K70" s="0" t="n">
        <v>2030</v>
      </c>
      <c r="L70" s="42" t="n">
        <v>0.2</v>
      </c>
    </row>
    <row r="71" customFormat="false" ht="13.8" hidden="false" customHeight="false" outlineLevel="0" collapsed="false">
      <c r="A71" s="0" t="s">
        <v>250</v>
      </c>
      <c r="B71" s="1" t="s">
        <v>251</v>
      </c>
      <c r="C71" s="0" t="s">
        <v>252</v>
      </c>
      <c r="D71" s="29" t="n">
        <v>2050</v>
      </c>
      <c r="E71" s="29" t="s">
        <v>289</v>
      </c>
      <c r="F71" s="0" t="s">
        <v>290</v>
      </c>
      <c r="G71" s="0" t="n">
        <v>2021</v>
      </c>
      <c r="H71" s="32" t="n">
        <v>2017</v>
      </c>
      <c r="I71" s="49" t="n">
        <f aca="false">(185000+403000)/(25200*1.6)</f>
        <v>14.5833333333333</v>
      </c>
      <c r="J71" s="0" t="s">
        <v>303</v>
      </c>
      <c r="K71" s="0" t="n">
        <v>2030</v>
      </c>
      <c r="L71" s="42" t="n">
        <v>0</v>
      </c>
    </row>
    <row r="72" customFormat="false" ht="15" hidden="false" customHeight="false" outlineLevel="0" collapsed="false">
      <c r="A72" s="0" t="s">
        <v>254</v>
      </c>
      <c r="B72" s="1" t="s">
        <v>255</v>
      </c>
      <c r="C72" s="0" t="s">
        <v>256</v>
      </c>
      <c r="E72" s="29" t="s">
        <v>289</v>
      </c>
      <c r="F72" s="0" t="s">
        <v>290</v>
      </c>
      <c r="G72" s="0" t="n">
        <v>2021</v>
      </c>
      <c r="H72" s="32" t="n">
        <v>2018</v>
      </c>
      <c r="I72" s="49" t="n">
        <v>0.421722</v>
      </c>
      <c r="J72" s="0" t="s">
        <v>296</v>
      </c>
      <c r="K72" s="0" t="n">
        <v>2030</v>
      </c>
      <c r="L72" s="42" t="n">
        <v>0.4</v>
      </c>
    </row>
    <row r="73" customFormat="false" ht="15" hidden="false" customHeight="false" outlineLevel="0" collapsed="false">
      <c r="A73" s="0" t="s">
        <v>257</v>
      </c>
      <c r="B73" s="1" t="s">
        <v>258</v>
      </c>
      <c r="C73" s="0" t="s">
        <v>259</v>
      </c>
      <c r="E73" s="29" t="s">
        <v>289</v>
      </c>
      <c r="F73" s="0" t="s">
        <v>290</v>
      </c>
      <c r="G73" s="0" t="n">
        <v>2020</v>
      </c>
      <c r="H73" s="32" t="n">
        <v>2018</v>
      </c>
      <c r="I73" s="49" t="n">
        <v>0.315911</v>
      </c>
      <c r="J73" s="0" t="s">
        <v>296</v>
      </c>
      <c r="K73" s="0" t="n">
        <v>2030</v>
      </c>
      <c r="L73" s="42" t="n">
        <v>0.2</v>
      </c>
    </row>
    <row r="74" customFormat="false" ht="15" hidden="false" customHeight="false" outlineLevel="0" collapsed="false">
      <c r="A74" s="0" t="s">
        <v>260</v>
      </c>
      <c r="B74" s="1" t="s">
        <v>261</v>
      </c>
      <c r="C74" s="0" t="s">
        <v>262</v>
      </c>
      <c r="D74" s="29" t="n">
        <v>2050</v>
      </c>
      <c r="E74" s="29" t="s">
        <v>292</v>
      </c>
      <c r="F74" s="0" t="s">
        <v>295</v>
      </c>
      <c r="G74" s="0" t="n">
        <v>2021</v>
      </c>
      <c r="H74" s="32" t="n">
        <v>2015</v>
      </c>
      <c r="I74" s="49" t="n">
        <v>1.8</v>
      </c>
      <c r="J74" s="0" t="s">
        <v>64</v>
      </c>
      <c r="K74" s="0" t="n">
        <v>2030</v>
      </c>
      <c r="L74" s="42" t="n">
        <v>0.16</v>
      </c>
    </row>
    <row r="75" customFormat="false" ht="15" hidden="false" customHeight="false" outlineLevel="0" collapsed="false">
      <c r="A75" s="0" t="s">
        <v>260</v>
      </c>
      <c r="B75" s="1" t="s">
        <v>261</v>
      </c>
      <c r="C75" s="0" t="s">
        <v>262</v>
      </c>
      <c r="D75" s="29" t="n">
        <v>2050</v>
      </c>
      <c r="E75" s="29" t="s">
        <v>292</v>
      </c>
      <c r="F75" s="0" t="s">
        <v>304</v>
      </c>
      <c r="G75" s="0" t="n">
        <v>2021</v>
      </c>
      <c r="H75" s="32" t="n">
        <v>2015</v>
      </c>
      <c r="I75" s="49" t="n">
        <v>3.7</v>
      </c>
      <c r="J75" s="0" t="s">
        <v>64</v>
      </c>
      <c r="K75" s="0" t="n">
        <v>2030</v>
      </c>
      <c r="L75" s="42" t="n">
        <f aca="false">3.7/3.5-1</f>
        <v>0.0571428571428572</v>
      </c>
    </row>
    <row r="76" customFormat="false" ht="15" hidden="false" customHeight="false" outlineLevel="0" collapsed="false">
      <c r="A76" s="50" t="s">
        <v>265</v>
      </c>
      <c r="B76" s="50" t="s">
        <v>266</v>
      </c>
      <c r="C76" s="50" t="s">
        <v>267</v>
      </c>
      <c r="D76" s="50" t="n">
        <v>2050</v>
      </c>
      <c r="E76" s="50" t="s">
        <v>292</v>
      </c>
      <c r="F76" s="50" t="s">
        <v>295</v>
      </c>
      <c r="G76" s="50" t="n">
        <v>2020</v>
      </c>
      <c r="H76" s="50" t="n">
        <v>2005</v>
      </c>
      <c r="I76" s="50" t="n">
        <v>11.6416389602593</v>
      </c>
      <c r="J76" s="50" t="s">
        <v>64</v>
      </c>
      <c r="K76" s="50" t="n">
        <v>2050</v>
      </c>
      <c r="L76" s="51" t="n">
        <v>1</v>
      </c>
    </row>
    <row r="77" customFormat="false" ht="15" hidden="false" customHeight="false" outlineLevel="0" collapsed="false">
      <c r="A77" s="0" t="s">
        <v>268</v>
      </c>
      <c r="B77" s="0" t="s">
        <v>269</v>
      </c>
      <c r="C77" s="0" t="s">
        <v>270</v>
      </c>
      <c r="D77" s="29" t="n">
        <v>2050</v>
      </c>
      <c r="E77" s="29" t="s">
        <v>292</v>
      </c>
      <c r="F77" s="0" t="s">
        <v>290</v>
      </c>
      <c r="G77" s="0" t="n">
        <v>2020</v>
      </c>
      <c r="H77" s="32" t="n">
        <v>2010</v>
      </c>
      <c r="I77" s="0" t="n">
        <v>69124235.2</v>
      </c>
      <c r="J77" s="0" t="s">
        <v>58</v>
      </c>
      <c r="K77" s="0" t="n">
        <v>2030</v>
      </c>
      <c r="L77" s="42" t="n">
        <v>0.6</v>
      </c>
    </row>
    <row r="78" customFormat="false" ht="15" hidden="false" customHeight="false" outlineLevel="0" collapsed="false">
      <c r="A78" s="0" t="s">
        <v>271</v>
      </c>
      <c r="B78" s="1" t="s">
        <v>272</v>
      </c>
      <c r="C78" s="0" t="s">
        <v>273</v>
      </c>
      <c r="D78" s="29" t="n">
        <v>2050</v>
      </c>
      <c r="E78" s="29" t="s">
        <v>289</v>
      </c>
      <c r="F78" s="0" t="s">
        <v>290</v>
      </c>
      <c r="G78" s="0" t="n">
        <v>2020</v>
      </c>
      <c r="H78" s="32" t="n">
        <v>2005</v>
      </c>
      <c r="I78" s="0" t="n">
        <v>0.78</v>
      </c>
      <c r="J78" s="0" t="s">
        <v>291</v>
      </c>
      <c r="K78" s="0" t="n">
        <v>2025</v>
      </c>
      <c r="L78" s="42" t="n">
        <v>0.6</v>
      </c>
    </row>
    <row r="79" customFormat="false" ht="15" hidden="false" customHeight="false" outlineLevel="0" collapsed="false">
      <c r="A79" s="0" t="s">
        <v>271</v>
      </c>
      <c r="B79" s="1" t="s">
        <v>272</v>
      </c>
      <c r="C79" s="0" t="s">
        <v>273</v>
      </c>
      <c r="D79" s="29" t="n">
        <v>2050</v>
      </c>
      <c r="E79" s="29" t="s">
        <v>289</v>
      </c>
      <c r="F79" s="0" t="s">
        <v>290</v>
      </c>
      <c r="G79" s="0" t="n">
        <v>2020</v>
      </c>
      <c r="H79" s="32" t="n">
        <v>2005</v>
      </c>
      <c r="I79" s="0" t="n">
        <v>0.78</v>
      </c>
      <c r="J79" s="0" t="s">
        <v>291</v>
      </c>
      <c r="K79" s="0" t="n">
        <v>2030</v>
      </c>
      <c r="L79" s="42" t="n">
        <v>0.8</v>
      </c>
    </row>
    <row r="80" customFormat="false" ht="15" hidden="false" customHeight="false" outlineLevel="0" collapsed="false">
      <c r="A80" s="0" t="s">
        <v>274</v>
      </c>
      <c r="B80" s="0" t="s">
        <v>275</v>
      </c>
      <c r="C80" s="0" t="s">
        <v>276</v>
      </c>
      <c r="D80" s="29" t="n">
        <v>2050</v>
      </c>
      <c r="E80" s="29" t="s">
        <v>289</v>
      </c>
      <c r="F80" s="0" t="s">
        <v>290</v>
      </c>
      <c r="G80" s="0" t="n">
        <v>2020</v>
      </c>
      <c r="H80" s="32" t="n">
        <v>2018</v>
      </c>
      <c r="I80" s="49" t="n">
        <v>0.315911</v>
      </c>
      <c r="J80" s="0" t="s">
        <v>296</v>
      </c>
      <c r="K80" s="0" t="n">
        <v>2030</v>
      </c>
      <c r="L80" s="42" t="n">
        <v>0.3</v>
      </c>
    </row>
    <row r="81" customFormat="false" ht="15" hidden="false" customHeight="false" outlineLevel="0" collapsed="false">
      <c r="A81" s="0" t="s">
        <v>277</v>
      </c>
      <c r="B81" s="1" t="s">
        <v>278</v>
      </c>
      <c r="C81" s="0" t="s">
        <v>279</v>
      </c>
      <c r="D81" s="29" t="n">
        <v>2050</v>
      </c>
      <c r="E81" s="29" t="s">
        <v>289</v>
      </c>
      <c r="F81" s="0" t="s">
        <v>290</v>
      </c>
      <c r="G81" s="0" t="n">
        <v>2020</v>
      </c>
      <c r="H81" s="32" t="n">
        <v>2005</v>
      </c>
      <c r="I81" s="49" t="n">
        <v>0.880862059235847</v>
      </c>
      <c r="J81" s="0" t="s">
        <v>291</v>
      </c>
      <c r="K81" s="0" t="n">
        <v>2030</v>
      </c>
      <c r="L81" s="42" t="n">
        <v>0.8</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0"/>
  <sheetViews>
    <sheetView showFormulas="false" showGridLines="true" showRowColHeaders="true" showZeros="true" rightToLeft="false" tabSelected="false" showOutlineSymbols="true" defaultGridColor="true" view="normal" topLeftCell="A49" colorId="64" zoomScale="78" zoomScaleNormal="78" zoomScalePageLayoutView="100" workbookViewId="0">
      <selection pane="topLeft" activeCell="D58" activeCellId="0" sqref="D58"/>
    </sheetView>
  </sheetViews>
  <sheetFormatPr defaultColWidth="8.70703125" defaultRowHeight="15" zeroHeight="false" outlineLevelRow="0" outlineLevelCol="0"/>
  <cols>
    <col collapsed="false" customWidth="true" hidden="false" outlineLevel="0" max="1" min="1" style="52" width="17.52"/>
    <col collapsed="false" customWidth="true" hidden="false" outlineLevel="0" max="2" min="2" style="53" width="22.62"/>
    <col collapsed="false" customWidth="true" hidden="false" outlineLevel="0" max="3" min="3" style="53" width="21.66"/>
    <col collapsed="false" customWidth="true" hidden="false" outlineLevel="0" max="4" min="4" style="0" width="44"/>
    <col collapsed="false" customWidth="true" hidden="false" outlineLevel="0" max="5" min="5" style="0" width="25.16"/>
    <col collapsed="false" customWidth="true" hidden="false" outlineLevel="0" max="6" min="6" style="0" width="26.66"/>
    <col collapsed="false" customWidth="true" hidden="false" outlineLevel="0" max="8" min="8" style="0" width="87.65"/>
  </cols>
  <sheetData>
    <row r="1" customFormat="false" ht="16.5" hidden="false" customHeight="false" outlineLevel="0" collapsed="false">
      <c r="A1" s="54" t="s">
        <v>305</v>
      </c>
      <c r="B1" s="55" t="s">
        <v>306</v>
      </c>
      <c r="C1" s="55" t="s">
        <v>307</v>
      </c>
      <c r="D1" s="56" t="s">
        <v>308</v>
      </c>
      <c r="E1" s="57" t="s">
        <v>309</v>
      </c>
      <c r="F1" s="58" t="s">
        <v>310</v>
      </c>
    </row>
    <row r="2" customFormat="false" ht="15.75" hidden="false" customHeight="false" outlineLevel="0" collapsed="false">
      <c r="A2" s="59" t="s">
        <v>311</v>
      </c>
      <c r="B2" s="60" t="s">
        <v>0</v>
      </c>
      <c r="C2" s="61" t="s">
        <v>312</v>
      </c>
      <c r="D2" s="62" t="s">
        <v>313</v>
      </c>
      <c r="E2" s="63" t="s">
        <v>314</v>
      </c>
      <c r="F2" s="63" t="s">
        <v>315</v>
      </c>
    </row>
    <row r="3" customFormat="false" ht="15.75" hidden="false" customHeight="false" outlineLevel="0" collapsed="false">
      <c r="A3" s="59" t="s">
        <v>311</v>
      </c>
      <c r="B3" s="64" t="s">
        <v>1</v>
      </c>
      <c r="C3" s="61" t="s">
        <v>312</v>
      </c>
      <c r="D3" s="65" t="s">
        <v>316</v>
      </c>
      <c r="E3" s="66" t="s">
        <v>314</v>
      </c>
      <c r="F3" s="66" t="s">
        <v>317</v>
      </c>
    </row>
    <row r="4" customFormat="false" ht="31.5" hidden="false" customHeight="false" outlineLevel="0" collapsed="false">
      <c r="A4" s="59" t="s">
        <v>311</v>
      </c>
      <c r="B4" s="60" t="s">
        <v>2</v>
      </c>
      <c r="C4" s="61" t="s">
        <v>312</v>
      </c>
      <c r="D4" s="62" t="s">
        <v>318</v>
      </c>
      <c r="E4" s="63" t="s">
        <v>314</v>
      </c>
      <c r="F4" s="63" t="s">
        <v>315</v>
      </c>
    </row>
    <row r="5" customFormat="false" ht="31.5" hidden="false" customHeight="false" outlineLevel="0" collapsed="false">
      <c r="A5" s="59" t="s">
        <v>311</v>
      </c>
      <c r="B5" s="60" t="s">
        <v>3</v>
      </c>
      <c r="C5" s="61" t="s">
        <v>312</v>
      </c>
      <c r="D5" s="62" t="s">
        <v>319</v>
      </c>
      <c r="E5" s="63" t="s">
        <v>314</v>
      </c>
      <c r="F5" s="63" t="s">
        <v>315</v>
      </c>
    </row>
    <row r="6" customFormat="false" ht="48" hidden="false" customHeight="false" outlineLevel="0" collapsed="false">
      <c r="A6" s="59" t="s">
        <v>311</v>
      </c>
      <c r="B6" s="64" t="s">
        <v>4</v>
      </c>
      <c r="C6" s="61" t="s">
        <v>312</v>
      </c>
      <c r="D6" s="65" t="s">
        <v>320</v>
      </c>
      <c r="E6" s="66" t="s">
        <v>314</v>
      </c>
      <c r="F6" s="66" t="s">
        <v>317</v>
      </c>
    </row>
    <row r="7" customFormat="false" ht="23.95" hidden="false" customHeight="false" outlineLevel="0" collapsed="false">
      <c r="A7" s="59" t="s">
        <v>311</v>
      </c>
      <c r="B7" s="60" t="s">
        <v>5</v>
      </c>
      <c r="C7" s="61" t="s">
        <v>312</v>
      </c>
      <c r="D7" s="67" t="s">
        <v>321</v>
      </c>
      <c r="E7" s="68" t="s">
        <v>322</v>
      </c>
      <c r="F7" s="63" t="s">
        <v>315</v>
      </c>
    </row>
    <row r="8" customFormat="false" ht="15.75" hidden="false" customHeight="false" outlineLevel="0" collapsed="false">
      <c r="A8" s="59" t="s">
        <v>311</v>
      </c>
      <c r="B8" s="60" t="s">
        <v>6</v>
      </c>
      <c r="C8" s="61" t="s">
        <v>312</v>
      </c>
      <c r="D8" s="67" t="s">
        <v>323</v>
      </c>
      <c r="E8" s="63" t="s">
        <v>324</v>
      </c>
      <c r="F8" s="63" t="s">
        <v>315</v>
      </c>
    </row>
    <row r="9" customFormat="false" ht="31.5" hidden="false" customHeight="false" outlineLevel="0" collapsed="false">
      <c r="A9" s="59" t="s">
        <v>311</v>
      </c>
      <c r="B9" s="60" t="s">
        <v>7</v>
      </c>
      <c r="C9" s="61" t="s">
        <v>312</v>
      </c>
      <c r="D9" s="62" t="s">
        <v>325</v>
      </c>
      <c r="E9" s="63" t="s">
        <v>314</v>
      </c>
      <c r="F9" s="63" t="s">
        <v>315</v>
      </c>
    </row>
    <row r="10" customFormat="false" ht="15.75" hidden="false" customHeight="false" outlineLevel="0" collapsed="false">
      <c r="A10" s="59" t="s">
        <v>311</v>
      </c>
      <c r="B10" s="69" t="s">
        <v>8</v>
      </c>
      <c r="C10" s="61" t="s">
        <v>312</v>
      </c>
      <c r="D10" s="62" t="s">
        <v>326</v>
      </c>
      <c r="E10" s="63" t="s">
        <v>327</v>
      </c>
      <c r="F10" s="63" t="s">
        <v>315</v>
      </c>
    </row>
    <row r="11" customFormat="false" ht="15.75" hidden="false" customHeight="false" outlineLevel="0" collapsed="false">
      <c r="A11" s="59" t="s">
        <v>311</v>
      </c>
      <c r="B11" s="60" t="s">
        <v>9</v>
      </c>
      <c r="C11" s="61" t="s">
        <v>312</v>
      </c>
      <c r="D11" s="30" t="s">
        <v>328</v>
      </c>
      <c r="E11" s="63" t="s">
        <v>329</v>
      </c>
      <c r="F11" s="63" t="s">
        <v>315</v>
      </c>
    </row>
    <row r="12" customFormat="false" ht="15.75" hidden="false" customHeight="false" outlineLevel="0" collapsed="false">
      <c r="A12" s="59" t="s">
        <v>311</v>
      </c>
      <c r="B12" s="60" t="s">
        <v>10</v>
      </c>
      <c r="C12" s="61" t="s">
        <v>312</v>
      </c>
      <c r="D12" s="30" t="s">
        <v>330</v>
      </c>
      <c r="E12" s="63" t="s">
        <v>329</v>
      </c>
      <c r="F12" s="63" t="s">
        <v>315</v>
      </c>
    </row>
    <row r="13" customFormat="false" ht="15.75" hidden="false" customHeight="false" outlineLevel="0" collapsed="false">
      <c r="A13" s="59" t="s">
        <v>311</v>
      </c>
      <c r="B13" s="60" t="s">
        <v>11</v>
      </c>
      <c r="C13" s="61" t="s">
        <v>312</v>
      </c>
      <c r="D13" s="30" t="s">
        <v>331</v>
      </c>
      <c r="E13" s="63" t="s">
        <v>329</v>
      </c>
      <c r="F13" s="63" t="s">
        <v>315</v>
      </c>
    </row>
    <row r="14" customFormat="false" ht="13.8" hidden="false" customHeight="false" outlineLevel="0" collapsed="false">
      <c r="A14" s="59" t="s">
        <v>311</v>
      </c>
      <c r="B14" s="60" t="s">
        <v>12</v>
      </c>
      <c r="C14" s="61" t="s">
        <v>312</v>
      </c>
      <c r="D14" s="30" t="s">
        <v>332</v>
      </c>
      <c r="E14" s="63" t="s">
        <v>329</v>
      </c>
      <c r="F14" s="63" t="s">
        <v>315</v>
      </c>
    </row>
    <row r="15" customFormat="false" ht="23.95" hidden="false" customHeight="false" outlineLevel="0" collapsed="false">
      <c r="A15" s="59" t="s">
        <v>311</v>
      </c>
      <c r="B15" s="60" t="s">
        <v>13</v>
      </c>
      <c r="C15" s="61" t="s">
        <v>312</v>
      </c>
      <c r="D15" s="30" t="s">
        <v>333</v>
      </c>
      <c r="E15" s="63" t="s">
        <v>329</v>
      </c>
      <c r="F15" s="63" t="s">
        <v>315</v>
      </c>
    </row>
    <row r="16" s="52" customFormat="true" ht="72.75" hidden="false" customHeight="true" outlineLevel="0" collapsed="false">
      <c r="A16" s="70" t="s">
        <v>334</v>
      </c>
      <c r="B16" s="60" t="s">
        <v>335</v>
      </c>
      <c r="C16" s="61" t="s">
        <v>312</v>
      </c>
      <c r="D16" s="62" t="s">
        <v>336</v>
      </c>
      <c r="E16" s="71" t="s">
        <v>337</v>
      </c>
      <c r="F16" s="72" t="s">
        <v>315</v>
      </c>
    </row>
    <row r="17" s="52" customFormat="true" ht="72.75" hidden="false" customHeight="true" outlineLevel="0" collapsed="false">
      <c r="A17" s="70" t="s">
        <v>338</v>
      </c>
      <c r="B17" s="60" t="s">
        <v>15</v>
      </c>
      <c r="C17" s="61" t="s">
        <v>312</v>
      </c>
      <c r="D17" s="62" t="s">
        <v>339</v>
      </c>
      <c r="E17" s="71" t="s">
        <v>340</v>
      </c>
      <c r="F17" s="72" t="s">
        <v>315</v>
      </c>
    </row>
    <row r="18" customFormat="false" ht="31.5" hidden="false" customHeight="false" outlineLevel="0" collapsed="false">
      <c r="A18" s="73" t="s">
        <v>341</v>
      </c>
      <c r="B18" s="74" t="s">
        <v>16</v>
      </c>
      <c r="C18" s="61" t="s">
        <v>312</v>
      </c>
      <c r="D18" s="67" t="s">
        <v>342</v>
      </c>
      <c r="E18" s="63" t="s">
        <v>343</v>
      </c>
      <c r="F18" s="63" t="s">
        <v>315</v>
      </c>
    </row>
    <row r="19" customFormat="false" ht="31.5" hidden="false" customHeight="false" outlineLevel="0" collapsed="false">
      <c r="A19" s="73" t="s">
        <v>341</v>
      </c>
      <c r="B19" s="74" t="s">
        <v>17</v>
      </c>
      <c r="C19" s="61" t="s">
        <v>312</v>
      </c>
      <c r="D19" s="67" t="s">
        <v>342</v>
      </c>
      <c r="E19" s="63" t="s">
        <v>343</v>
      </c>
      <c r="F19" s="63" t="s">
        <v>315</v>
      </c>
    </row>
    <row r="20" customFormat="false" ht="31.5" hidden="false" customHeight="false" outlineLevel="0" collapsed="false">
      <c r="A20" s="73" t="s">
        <v>341</v>
      </c>
      <c r="B20" s="74" t="s">
        <v>18</v>
      </c>
      <c r="C20" s="61" t="s">
        <v>312</v>
      </c>
      <c r="D20" s="67" t="s">
        <v>342</v>
      </c>
      <c r="E20" s="63" t="s">
        <v>343</v>
      </c>
      <c r="F20" s="63" t="s">
        <v>315</v>
      </c>
    </row>
    <row r="21" customFormat="false" ht="31.5" hidden="false" customHeight="false" outlineLevel="0" collapsed="false">
      <c r="A21" s="73" t="s">
        <v>341</v>
      </c>
      <c r="B21" s="74" t="s">
        <v>19</v>
      </c>
      <c r="C21" s="61" t="s">
        <v>312</v>
      </c>
      <c r="D21" s="67" t="s">
        <v>342</v>
      </c>
      <c r="E21" s="63" t="s">
        <v>343</v>
      </c>
      <c r="F21" s="63" t="s">
        <v>315</v>
      </c>
    </row>
    <row r="22" customFormat="false" ht="31.5" hidden="false" customHeight="false" outlineLevel="0" collapsed="false">
      <c r="A22" s="73" t="s">
        <v>341</v>
      </c>
      <c r="B22" s="74" t="s">
        <v>20</v>
      </c>
      <c r="C22" s="61" t="s">
        <v>312</v>
      </c>
      <c r="D22" s="67" t="s">
        <v>342</v>
      </c>
      <c r="E22" s="63" t="s">
        <v>343</v>
      </c>
      <c r="F22" s="63" t="s">
        <v>315</v>
      </c>
    </row>
    <row r="23" customFormat="false" ht="31.5" hidden="false" customHeight="false" outlineLevel="0" collapsed="false">
      <c r="A23" s="73" t="s">
        <v>341</v>
      </c>
      <c r="B23" s="74" t="s">
        <v>21</v>
      </c>
      <c r="C23" s="61" t="s">
        <v>312</v>
      </c>
      <c r="D23" s="67" t="s">
        <v>344</v>
      </c>
      <c r="E23" s="63" t="s">
        <v>343</v>
      </c>
      <c r="F23" s="63" t="s">
        <v>317</v>
      </c>
    </row>
    <row r="24" customFormat="false" ht="48" hidden="false" customHeight="false" outlineLevel="0" collapsed="false">
      <c r="A24" s="73" t="s">
        <v>341</v>
      </c>
      <c r="B24" s="74" t="s">
        <v>22</v>
      </c>
      <c r="C24" s="61" t="s">
        <v>312</v>
      </c>
      <c r="D24" s="75" t="s">
        <v>345</v>
      </c>
      <c r="E24" s="76" t="s">
        <v>343</v>
      </c>
      <c r="F24" s="75" t="s">
        <v>346</v>
      </c>
    </row>
    <row r="25" customFormat="false" ht="31.5" hidden="false" customHeight="false" outlineLevel="0" collapsed="false">
      <c r="A25" s="73" t="s">
        <v>341</v>
      </c>
      <c r="B25" s="77" t="s">
        <v>23</v>
      </c>
      <c r="C25" s="61" t="s">
        <v>312</v>
      </c>
      <c r="D25" s="67" t="s">
        <v>347</v>
      </c>
      <c r="E25" s="63" t="s">
        <v>343</v>
      </c>
      <c r="F25" s="63" t="s">
        <v>315</v>
      </c>
    </row>
    <row r="26" customFormat="false" ht="31.5" hidden="false" customHeight="false" outlineLevel="0" collapsed="false">
      <c r="A26" s="73" t="s">
        <v>341</v>
      </c>
      <c r="B26" s="77" t="s">
        <v>24</v>
      </c>
      <c r="C26" s="61" t="s">
        <v>312</v>
      </c>
      <c r="D26" s="67" t="s">
        <v>347</v>
      </c>
      <c r="E26" s="63" t="s">
        <v>343</v>
      </c>
      <c r="F26" s="63" t="s">
        <v>315</v>
      </c>
    </row>
    <row r="27" customFormat="false" ht="31.5" hidden="false" customHeight="false" outlineLevel="0" collapsed="false">
      <c r="A27" s="73" t="s">
        <v>341</v>
      </c>
      <c r="B27" s="77" t="s">
        <v>25</v>
      </c>
      <c r="C27" s="61" t="s">
        <v>312</v>
      </c>
      <c r="D27" s="67" t="s">
        <v>347</v>
      </c>
      <c r="E27" s="63" t="s">
        <v>343</v>
      </c>
      <c r="F27" s="63" t="s">
        <v>315</v>
      </c>
    </row>
    <row r="28" customFormat="false" ht="31.5" hidden="false" customHeight="false" outlineLevel="0" collapsed="false">
      <c r="A28" s="73" t="s">
        <v>341</v>
      </c>
      <c r="B28" s="77" t="s">
        <v>26</v>
      </c>
      <c r="C28" s="61" t="s">
        <v>312</v>
      </c>
      <c r="D28" s="67" t="s">
        <v>347</v>
      </c>
      <c r="E28" s="63" t="s">
        <v>343</v>
      </c>
      <c r="F28" s="63" t="s">
        <v>315</v>
      </c>
    </row>
    <row r="29" customFormat="false" ht="31.5" hidden="false" customHeight="false" outlineLevel="0" collapsed="false">
      <c r="A29" s="73" t="s">
        <v>341</v>
      </c>
      <c r="B29" s="77" t="s">
        <v>27</v>
      </c>
      <c r="C29" s="61" t="s">
        <v>312</v>
      </c>
      <c r="D29" s="67" t="s">
        <v>347</v>
      </c>
      <c r="E29" s="63" t="s">
        <v>343</v>
      </c>
      <c r="F29" s="63" t="s">
        <v>315</v>
      </c>
    </row>
    <row r="30" customFormat="false" ht="31.5" hidden="false" customHeight="false" outlineLevel="0" collapsed="false">
      <c r="A30" s="73" t="s">
        <v>341</v>
      </c>
      <c r="B30" s="77" t="s">
        <v>28</v>
      </c>
      <c r="C30" s="61" t="s">
        <v>312</v>
      </c>
      <c r="D30" s="67" t="s">
        <v>348</v>
      </c>
      <c r="E30" s="63" t="s">
        <v>343</v>
      </c>
      <c r="F30" s="63" t="s">
        <v>317</v>
      </c>
    </row>
    <row r="31" customFormat="false" ht="48" hidden="false" customHeight="false" outlineLevel="0" collapsed="false">
      <c r="A31" s="73" t="s">
        <v>341</v>
      </c>
      <c r="B31" s="77" t="s">
        <v>29</v>
      </c>
      <c r="C31" s="61" t="s">
        <v>312</v>
      </c>
      <c r="D31" s="75" t="s">
        <v>349</v>
      </c>
      <c r="E31" s="76" t="s">
        <v>343</v>
      </c>
      <c r="F31" s="75" t="s">
        <v>346</v>
      </c>
    </row>
    <row r="32" customFormat="false" ht="31.5" hidden="false" customHeight="false" outlineLevel="0" collapsed="false">
      <c r="A32" s="73" t="s">
        <v>341</v>
      </c>
      <c r="B32" s="74" t="s">
        <v>30</v>
      </c>
      <c r="C32" s="61" t="s">
        <v>312</v>
      </c>
      <c r="D32" s="67" t="s">
        <v>350</v>
      </c>
      <c r="E32" s="63" t="s">
        <v>343</v>
      </c>
      <c r="F32" s="63" t="s">
        <v>315</v>
      </c>
    </row>
    <row r="33" customFormat="false" ht="31.5" hidden="false" customHeight="false" outlineLevel="0" collapsed="false">
      <c r="A33" s="73" t="s">
        <v>341</v>
      </c>
      <c r="B33" s="74" t="s">
        <v>31</v>
      </c>
      <c r="C33" s="61" t="s">
        <v>312</v>
      </c>
      <c r="D33" s="67" t="s">
        <v>350</v>
      </c>
      <c r="E33" s="63" t="s">
        <v>343</v>
      </c>
      <c r="F33" s="63" t="s">
        <v>315</v>
      </c>
    </row>
    <row r="34" customFormat="false" ht="31.5" hidden="false" customHeight="false" outlineLevel="0" collapsed="false">
      <c r="A34" s="73" t="s">
        <v>341</v>
      </c>
      <c r="B34" s="74" t="s">
        <v>32</v>
      </c>
      <c r="C34" s="61" t="s">
        <v>312</v>
      </c>
      <c r="D34" s="67" t="s">
        <v>350</v>
      </c>
      <c r="E34" s="63" t="s">
        <v>343</v>
      </c>
      <c r="F34" s="63" t="s">
        <v>315</v>
      </c>
    </row>
    <row r="35" customFormat="false" ht="31.5" hidden="false" customHeight="false" outlineLevel="0" collapsed="false">
      <c r="A35" s="73" t="s">
        <v>341</v>
      </c>
      <c r="B35" s="74" t="s">
        <v>33</v>
      </c>
      <c r="C35" s="61" t="s">
        <v>312</v>
      </c>
      <c r="D35" s="67" t="s">
        <v>350</v>
      </c>
      <c r="E35" s="63" t="s">
        <v>343</v>
      </c>
      <c r="F35" s="63" t="s">
        <v>315</v>
      </c>
    </row>
    <row r="36" customFormat="false" ht="31.5" hidden="false" customHeight="false" outlineLevel="0" collapsed="false">
      <c r="A36" s="73" t="s">
        <v>341</v>
      </c>
      <c r="B36" s="74" t="s">
        <v>34</v>
      </c>
      <c r="C36" s="61" t="s">
        <v>312</v>
      </c>
      <c r="D36" s="67" t="s">
        <v>350</v>
      </c>
      <c r="E36" s="63" t="s">
        <v>343</v>
      </c>
      <c r="F36" s="63" t="s">
        <v>315</v>
      </c>
    </row>
    <row r="37" customFormat="false" ht="31.5" hidden="false" customHeight="false" outlineLevel="0" collapsed="false">
      <c r="A37" s="73" t="s">
        <v>341</v>
      </c>
      <c r="B37" s="74" t="s">
        <v>35</v>
      </c>
      <c r="C37" s="61" t="s">
        <v>312</v>
      </c>
      <c r="D37" s="67" t="s">
        <v>351</v>
      </c>
      <c r="E37" s="63" t="s">
        <v>343</v>
      </c>
      <c r="F37" s="63" t="s">
        <v>317</v>
      </c>
    </row>
    <row r="38" customFormat="false" ht="48" hidden="false" customHeight="false" outlineLevel="0" collapsed="false">
      <c r="A38" s="73" t="s">
        <v>341</v>
      </c>
      <c r="B38" s="74" t="s">
        <v>36</v>
      </c>
      <c r="C38" s="61" t="s">
        <v>312</v>
      </c>
      <c r="D38" s="75" t="s">
        <v>352</v>
      </c>
      <c r="E38" s="76" t="s">
        <v>343</v>
      </c>
      <c r="F38" s="75" t="s">
        <v>346</v>
      </c>
    </row>
    <row r="39" customFormat="false" ht="31.5" hidden="false" customHeight="false" outlineLevel="0" collapsed="false">
      <c r="A39" s="73" t="s">
        <v>341</v>
      </c>
      <c r="B39" s="78" t="s">
        <v>37</v>
      </c>
      <c r="C39" s="61" t="s">
        <v>312</v>
      </c>
      <c r="D39" s="67" t="s">
        <v>353</v>
      </c>
      <c r="E39" s="63" t="s">
        <v>343</v>
      </c>
      <c r="F39" s="63" t="s">
        <v>315</v>
      </c>
    </row>
    <row r="40" customFormat="false" ht="31.5" hidden="false" customHeight="false" outlineLevel="0" collapsed="false">
      <c r="A40" s="73" t="s">
        <v>341</v>
      </c>
      <c r="B40" s="78" t="s">
        <v>38</v>
      </c>
      <c r="C40" s="61" t="s">
        <v>312</v>
      </c>
      <c r="D40" s="67" t="s">
        <v>353</v>
      </c>
      <c r="E40" s="63" t="s">
        <v>343</v>
      </c>
      <c r="F40" s="63" t="s">
        <v>315</v>
      </c>
    </row>
    <row r="41" customFormat="false" ht="31.5" hidden="false" customHeight="false" outlineLevel="0" collapsed="false">
      <c r="A41" s="73" t="s">
        <v>341</v>
      </c>
      <c r="B41" s="78" t="s">
        <v>39</v>
      </c>
      <c r="C41" s="61" t="s">
        <v>312</v>
      </c>
      <c r="D41" s="67" t="s">
        <v>353</v>
      </c>
      <c r="E41" s="63" t="s">
        <v>343</v>
      </c>
      <c r="F41" s="63" t="s">
        <v>315</v>
      </c>
    </row>
    <row r="42" customFormat="false" ht="31.5" hidden="false" customHeight="false" outlineLevel="0" collapsed="false">
      <c r="A42" s="73" t="s">
        <v>341</v>
      </c>
      <c r="B42" s="78" t="s">
        <v>40</v>
      </c>
      <c r="C42" s="61" t="s">
        <v>312</v>
      </c>
      <c r="D42" s="67" t="s">
        <v>353</v>
      </c>
      <c r="E42" s="63" t="s">
        <v>343</v>
      </c>
      <c r="F42" s="63" t="s">
        <v>315</v>
      </c>
    </row>
    <row r="43" customFormat="false" ht="31.5" hidden="false" customHeight="false" outlineLevel="0" collapsed="false">
      <c r="A43" s="73" t="s">
        <v>341</v>
      </c>
      <c r="B43" s="78" t="s">
        <v>41</v>
      </c>
      <c r="C43" s="61" t="s">
        <v>312</v>
      </c>
      <c r="D43" s="67" t="s">
        <v>353</v>
      </c>
      <c r="E43" s="63" t="s">
        <v>343</v>
      </c>
      <c r="F43" s="63" t="s">
        <v>315</v>
      </c>
    </row>
    <row r="44" customFormat="false" ht="31.5" hidden="false" customHeight="false" outlineLevel="0" collapsed="false">
      <c r="A44" s="73" t="s">
        <v>341</v>
      </c>
      <c r="B44" s="78" t="s">
        <v>42</v>
      </c>
      <c r="C44" s="61" t="s">
        <v>312</v>
      </c>
      <c r="D44" s="67" t="s">
        <v>354</v>
      </c>
      <c r="E44" s="63" t="s">
        <v>343</v>
      </c>
      <c r="F44" s="63" t="s">
        <v>317</v>
      </c>
    </row>
    <row r="45" customFormat="false" ht="48" hidden="false" customHeight="false" outlineLevel="0" collapsed="false">
      <c r="A45" s="73" t="s">
        <v>341</v>
      </c>
      <c r="B45" s="78" t="s">
        <v>43</v>
      </c>
      <c r="C45" s="61" t="s">
        <v>312</v>
      </c>
      <c r="D45" s="75" t="s">
        <v>355</v>
      </c>
      <c r="E45" s="76" t="s">
        <v>343</v>
      </c>
      <c r="F45" s="75" t="s">
        <v>346</v>
      </c>
    </row>
    <row r="46" customFormat="false" ht="31.5" hidden="false" customHeight="false" outlineLevel="0" collapsed="false">
      <c r="A46" s="79" t="s">
        <v>356</v>
      </c>
      <c r="B46" s="60" t="s">
        <v>44</v>
      </c>
      <c r="C46" s="61" t="s">
        <v>312</v>
      </c>
      <c r="D46" s="67" t="s">
        <v>357</v>
      </c>
      <c r="E46" s="63" t="s">
        <v>343</v>
      </c>
      <c r="F46" s="63" t="s">
        <v>315</v>
      </c>
    </row>
    <row r="47" customFormat="false" ht="31.5" hidden="false" customHeight="false" outlineLevel="0" collapsed="false">
      <c r="A47" s="79" t="s">
        <v>356</v>
      </c>
      <c r="B47" s="60" t="s">
        <v>45</v>
      </c>
      <c r="C47" s="61" t="s">
        <v>312</v>
      </c>
      <c r="D47" s="67" t="s">
        <v>357</v>
      </c>
      <c r="E47" s="63" t="s">
        <v>343</v>
      </c>
      <c r="F47" s="63" t="s">
        <v>315</v>
      </c>
    </row>
    <row r="48" customFormat="false" ht="31.5" hidden="false" customHeight="false" outlineLevel="0" collapsed="false">
      <c r="A48" s="79" t="s">
        <v>356</v>
      </c>
      <c r="B48" s="60" t="s">
        <v>46</v>
      </c>
      <c r="C48" s="61" t="s">
        <v>312</v>
      </c>
      <c r="D48" s="67" t="s">
        <v>357</v>
      </c>
      <c r="E48" s="63" t="s">
        <v>343</v>
      </c>
      <c r="F48" s="63" t="s">
        <v>315</v>
      </c>
    </row>
    <row r="49" customFormat="false" ht="31.5" hidden="false" customHeight="false" outlineLevel="0" collapsed="false">
      <c r="A49" s="79" t="s">
        <v>356</v>
      </c>
      <c r="B49" s="60" t="s">
        <v>47</v>
      </c>
      <c r="C49" s="61" t="s">
        <v>312</v>
      </c>
      <c r="D49" s="67" t="s">
        <v>357</v>
      </c>
      <c r="E49" s="63" t="s">
        <v>343</v>
      </c>
      <c r="F49" s="63" t="s">
        <v>315</v>
      </c>
    </row>
    <row r="50" customFormat="false" ht="31.5" hidden="false" customHeight="false" outlineLevel="0" collapsed="false">
      <c r="A50" s="79" t="s">
        <v>356</v>
      </c>
      <c r="B50" s="60" t="s">
        <v>48</v>
      </c>
      <c r="C50" s="61" t="s">
        <v>312</v>
      </c>
      <c r="D50" s="67" t="s">
        <v>357</v>
      </c>
      <c r="E50" s="63" t="s">
        <v>343</v>
      </c>
      <c r="F50" s="63" t="s">
        <v>315</v>
      </c>
    </row>
    <row r="51" customFormat="false" ht="23.95" hidden="false" customHeight="false" outlineLevel="0" collapsed="false">
      <c r="A51" s="79" t="s">
        <v>356</v>
      </c>
      <c r="B51" s="60" t="s">
        <v>49</v>
      </c>
      <c r="C51" s="61" t="s">
        <v>312</v>
      </c>
      <c r="D51" s="67" t="s">
        <v>357</v>
      </c>
      <c r="E51" s="63" t="s">
        <v>343</v>
      </c>
      <c r="F51" s="63" t="s">
        <v>317</v>
      </c>
    </row>
    <row r="52" customFormat="false" ht="31.5" hidden="false" customHeight="false" outlineLevel="0" collapsed="false">
      <c r="A52" s="80" t="s">
        <v>358</v>
      </c>
      <c r="B52" s="60" t="s">
        <v>281</v>
      </c>
      <c r="C52" s="61" t="s">
        <v>359</v>
      </c>
      <c r="D52" s="67" t="s">
        <v>360</v>
      </c>
      <c r="E52" s="63" t="s">
        <v>361</v>
      </c>
      <c r="F52" s="63" t="s">
        <v>315</v>
      </c>
    </row>
    <row r="53" customFormat="false" ht="48" hidden="false" customHeight="false" outlineLevel="0" collapsed="false">
      <c r="A53" s="80" t="s">
        <v>358</v>
      </c>
      <c r="B53" s="60" t="s">
        <v>282</v>
      </c>
      <c r="C53" s="61" t="s">
        <v>359</v>
      </c>
      <c r="D53" s="67" t="s">
        <v>362</v>
      </c>
      <c r="E53" s="63" t="s">
        <v>363</v>
      </c>
      <c r="F53" s="63" t="s">
        <v>315</v>
      </c>
    </row>
    <row r="54" customFormat="false" ht="15.75" hidden="false" customHeight="false" outlineLevel="0" collapsed="false">
      <c r="A54" s="80" t="s">
        <v>358</v>
      </c>
      <c r="B54" s="64" t="s">
        <v>283</v>
      </c>
      <c r="C54" s="61" t="s">
        <v>359</v>
      </c>
      <c r="D54" s="81" t="s">
        <v>364</v>
      </c>
      <c r="E54" s="66" t="s">
        <v>365</v>
      </c>
      <c r="F54" s="66" t="s">
        <v>317</v>
      </c>
    </row>
    <row r="55" customFormat="false" ht="15.75" hidden="false" customHeight="false" outlineLevel="0" collapsed="false">
      <c r="A55" s="80" t="s">
        <v>358</v>
      </c>
      <c r="B55" s="60" t="s">
        <v>284</v>
      </c>
      <c r="C55" s="61" t="s">
        <v>359</v>
      </c>
      <c r="D55" s="67" t="s">
        <v>366</v>
      </c>
      <c r="E55" s="63" t="s">
        <v>365</v>
      </c>
      <c r="F55" s="63" t="s">
        <v>315</v>
      </c>
    </row>
    <row r="56" customFormat="false" ht="79.5" hidden="false" customHeight="false" outlineLevel="0" collapsed="false">
      <c r="A56" s="80" t="s">
        <v>358</v>
      </c>
      <c r="B56" s="60" t="s">
        <v>285</v>
      </c>
      <c r="C56" s="61" t="s">
        <v>359</v>
      </c>
      <c r="D56" s="67" t="s">
        <v>367</v>
      </c>
      <c r="E56" s="63" t="s">
        <v>368</v>
      </c>
      <c r="F56" s="63" t="s">
        <v>315</v>
      </c>
    </row>
    <row r="57" customFormat="false" ht="79.75" hidden="false" customHeight="false" outlineLevel="0" collapsed="false">
      <c r="A57" s="80" t="s">
        <v>358</v>
      </c>
      <c r="B57" s="60" t="s">
        <v>286</v>
      </c>
      <c r="C57" s="61" t="s">
        <v>359</v>
      </c>
      <c r="D57" s="62" t="s">
        <v>369</v>
      </c>
      <c r="E57" s="82" t="s">
        <v>370</v>
      </c>
      <c r="F57" s="63" t="s">
        <v>315</v>
      </c>
    </row>
    <row r="58" customFormat="false" ht="15.75" hidden="false" customHeight="false" outlineLevel="0" collapsed="false">
      <c r="A58" s="80" t="s">
        <v>358</v>
      </c>
      <c r="B58" s="60" t="s">
        <v>287</v>
      </c>
      <c r="C58" s="61" t="s">
        <v>359</v>
      </c>
      <c r="D58" s="67" t="s">
        <v>371</v>
      </c>
      <c r="E58" s="63" t="s">
        <v>365</v>
      </c>
      <c r="F58" s="63" t="s">
        <v>315</v>
      </c>
    </row>
    <row r="59" customFormat="false" ht="23.95" hidden="false" customHeight="false" outlineLevel="0" collapsed="false">
      <c r="A59" s="80" t="s">
        <v>358</v>
      </c>
      <c r="B59" s="60" t="s">
        <v>288</v>
      </c>
      <c r="C59" s="61" t="s">
        <v>359</v>
      </c>
      <c r="D59" s="67" t="s">
        <v>372</v>
      </c>
      <c r="E59" s="63" t="s">
        <v>373</v>
      </c>
      <c r="F59" s="63" t="s">
        <v>315</v>
      </c>
    </row>
    <row r="60" customFormat="false" ht="35.5" hidden="false" customHeight="false" outlineLevel="0" collapsed="false">
      <c r="A60" s="83" t="s">
        <v>374</v>
      </c>
      <c r="B60" s="60" t="s">
        <v>375</v>
      </c>
      <c r="C60" s="61" t="s">
        <v>359</v>
      </c>
      <c r="D60" s="67" t="s">
        <v>376</v>
      </c>
      <c r="E60" s="63" t="s">
        <v>365</v>
      </c>
      <c r="F60" s="63" t="s">
        <v>315</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5"/>
  <sheetViews>
    <sheetView showFormulas="false" showGridLines="true" showRowColHeaders="true" showZeros="true" rightToLeft="false" tabSelected="false" showOutlineSymbols="true" defaultGridColor="true" view="normal" topLeftCell="A23" colorId="64" zoomScale="78" zoomScaleNormal="78" zoomScalePageLayoutView="100" workbookViewId="0">
      <selection pane="topLeft" activeCell="E49" activeCellId="0" sqref="E49"/>
    </sheetView>
  </sheetViews>
  <sheetFormatPr defaultColWidth="11.5703125" defaultRowHeight="15" zeroHeight="false" outlineLevelRow="0" outlineLevelCol="0"/>
  <cols>
    <col collapsed="false" customWidth="true" hidden="false" outlineLevel="0" max="1" min="1" style="0" width="40.66"/>
    <col collapsed="false" customWidth="true" hidden="false" outlineLevel="0" max="2" min="2" style="0" width="22.66"/>
    <col collapsed="false" customWidth="true" hidden="false" outlineLevel="0" max="4" min="3" style="0" width="13.66"/>
  </cols>
  <sheetData>
    <row r="1" customFormat="false" ht="15" hidden="false" customHeight="false" outlineLevel="0" collapsed="false">
      <c r="A1" s="5" t="s">
        <v>0</v>
      </c>
      <c r="B1" s="5" t="s">
        <v>1</v>
      </c>
      <c r="C1" s="5" t="s">
        <v>2</v>
      </c>
      <c r="D1" s="5" t="s">
        <v>377</v>
      </c>
      <c r="E1" s="5" t="s">
        <v>378</v>
      </c>
    </row>
    <row r="2" customFormat="false" ht="15" hidden="false" customHeight="false" outlineLevel="0" collapsed="false">
      <c r="A2" s="0" t="s">
        <v>51</v>
      </c>
      <c r="B2" s="1" t="s">
        <v>52</v>
      </c>
      <c r="C2" s="0" t="s">
        <v>53</v>
      </c>
      <c r="D2" s="0" t="s">
        <v>53</v>
      </c>
      <c r="E2" s="0" t="n">
        <f aca="false">com.sun.star.sheet.addin.Analysis.getRandbetween(35000,250000)</f>
        <v>55407</v>
      </c>
    </row>
    <row r="3" customFormat="false" ht="15" hidden="false" customHeight="false" outlineLevel="0" collapsed="false">
      <c r="A3" s="0" t="s">
        <v>60</v>
      </c>
      <c r="B3" s="1" t="s">
        <v>61</v>
      </c>
      <c r="C3" s="0" t="s">
        <v>62</v>
      </c>
      <c r="D3" s="0" t="s">
        <v>62</v>
      </c>
      <c r="E3" s="0" t="n">
        <f aca="false">com.sun.star.sheet.addin.Analysis.getRandbetween(35000,250000)</f>
        <v>236659</v>
      </c>
    </row>
    <row r="4" customFormat="false" ht="15" hidden="false" customHeight="false" outlineLevel="0" collapsed="false">
      <c r="A4" s="0" t="s">
        <v>66</v>
      </c>
      <c r="B4" s="1" t="s">
        <v>67</v>
      </c>
      <c r="C4" s="0" t="s">
        <v>68</v>
      </c>
      <c r="D4" s="0" t="s">
        <v>68</v>
      </c>
      <c r="E4" s="0" t="n">
        <f aca="false">com.sun.star.sheet.addin.Analysis.getRandbetween(35000,250000)</f>
        <v>134920</v>
      </c>
    </row>
    <row r="5" customFormat="false" ht="15" hidden="false" customHeight="false" outlineLevel="0" collapsed="false">
      <c r="A5" s="0" t="s">
        <v>69</v>
      </c>
      <c r="B5" s="1" t="s">
        <v>70</v>
      </c>
      <c r="C5" s="0" t="s">
        <v>71</v>
      </c>
      <c r="D5" s="0" t="s">
        <v>71</v>
      </c>
      <c r="E5" s="0" t="n">
        <f aca="false">com.sun.star.sheet.addin.Analysis.getRandbetween(35000,250000)</f>
        <v>179848</v>
      </c>
    </row>
    <row r="6" customFormat="false" ht="15" hidden="false" customHeight="false" outlineLevel="0" collapsed="false">
      <c r="A6" s="0" t="s">
        <v>72</v>
      </c>
      <c r="B6" s="1" t="s">
        <v>73</v>
      </c>
      <c r="C6" s="0" t="s">
        <v>74</v>
      </c>
      <c r="D6" s="0" t="s">
        <v>74</v>
      </c>
      <c r="E6" s="0" t="n">
        <f aca="false">com.sun.star.sheet.addin.Analysis.getRandbetween(35000,250000)</f>
        <v>40620</v>
      </c>
    </row>
    <row r="7" customFormat="false" ht="15" hidden="false" customHeight="false" outlineLevel="0" collapsed="false">
      <c r="A7" s="0" t="s">
        <v>75</v>
      </c>
      <c r="B7" s="1" t="s">
        <v>76</v>
      </c>
      <c r="C7" s="0" t="s">
        <v>77</v>
      </c>
      <c r="D7" s="0" t="s">
        <v>77</v>
      </c>
      <c r="E7" s="0" t="n">
        <f aca="false">com.sun.star.sheet.addin.Analysis.getRandbetween(35000,250000)</f>
        <v>235977</v>
      </c>
    </row>
    <row r="8" customFormat="false" ht="15" hidden="false" customHeight="false" outlineLevel="0" collapsed="false">
      <c r="A8" s="0" t="s">
        <v>78</v>
      </c>
      <c r="B8" s="1" t="s">
        <v>79</v>
      </c>
      <c r="C8" s="0" t="s">
        <v>80</v>
      </c>
      <c r="D8" s="0" t="s">
        <v>80</v>
      </c>
      <c r="E8" s="0" t="n">
        <f aca="false">com.sun.star.sheet.addin.Analysis.getRandbetween(35000,250000)</f>
        <v>89941</v>
      </c>
    </row>
    <row r="9" customFormat="false" ht="13.8" hidden="false" customHeight="false" outlineLevel="0" collapsed="false">
      <c r="A9" s="0" t="s">
        <v>82</v>
      </c>
      <c r="B9" s="1" t="s">
        <v>83</v>
      </c>
      <c r="C9" s="0" t="s">
        <v>84</v>
      </c>
      <c r="D9" s="0" t="s">
        <v>84</v>
      </c>
      <c r="E9" s="0" t="n">
        <f aca="false">com.sun.star.sheet.addin.Analysis.getRandbetween(35000,250000)</f>
        <v>240399</v>
      </c>
    </row>
    <row r="10" customFormat="false" ht="15" hidden="false" customHeight="false" outlineLevel="0" collapsed="false">
      <c r="A10" s="0" t="s">
        <v>89</v>
      </c>
      <c r="B10" s="1" t="s">
        <v>90</v>
      </c>
      <c r="C10" s="0" t="s">
        <v>91</v>
      </c>
      <c r="D10" s="0" t="s">
        <v>91</v>
      </c>
      <c r="E10" s="0" t="n">
        <f aca="false">com.sun.star.sheet.addin.Analysis.getRandbetween(35000,250000)</f>
        <v>48526</v>
      </c>
    </row>
    <row r="11" customFormat="false" ht="13.8" hidden="false" customHeight="false" outlineLevel="0" collapsed="false">
      <c r="A11" s="0" t="s">
        <v>94</v>
      </c>
      <c r="B11" s="1" t="s">
        <v>95</v>
      </c>
      <c r="C11" s="0" t="s">
        <v>96</v>
      </c>
      <c r="D11" s="0" t="s">
        <v>96</v>
      </c>
      <c r="E11" s="0" t="n">
        <f aca="false">com.sun.star.sheet.addin.Analysis.getRandbetween(35000,250000)</f>
        <v>164133</v>
      </c>
    </row>
    <row r="12" customFormat="false" ht="15" hidden="false" customHeight="false" outlineLevel="0" collapsed="false">
      <c r="A12" s="0" t="s">
        <v>97</v>
      </c>
      <c r="B12" s="1" t="s">
        <v>98</v>
      </c>
      <c r="C12" s="0" t="s">
        <v>99</v>
      </c>
      <c r="D12" s="0" t="s">
        <v>99</v>
      </c>
      <c r="E12" s="0" t="n">
        <f aca="false">com.sun.star.sheet.addin.Analysis.getRandbetween(35000,250000)</f>
        <v>94883</v>
      </c>
    </row>
    <row r="13" customFormat="false" ht="15" hidden="false" customHeight="false" outlineLevel="0" collapsed="false">
      <c r="A13" s="0" t="s">
        <v>100</v>
      </c>
      <c r="B13" s="1" t="s">
        <v>101</v>
      </c>
      <c r="C13" s="0" t="s">
        <v>102</v>
      </c>
      <c r="D13" s="0" t="s">
        <v>102</v>
      </c>
      <c r="E13" s="0" t="n">
        <f aca="false">com.sun.star.sheet.addin.Analysis.getRandbetween(35000,250000)</f>
        <v>71984</v>
      </c>
    </row>
    <row r="14" customFormat="false" ht="15" hidden="false" customHeight="false" outlineLevel="0" collapsed="false">
      <c r="A14" s="0" t="s">
        <v>103</v>
      </c>
      <c r="B14" s="1" t="s">
        <v>104</v>
      </c>
      <c r="C14" s="0" t="s">
        <v>105</v>
      </c>
      <c r="D14" s="0" t="s">
        <v>105</v>
      </c>
      <c r="E14" s="0" t="n">
        <f aca="false">com.sun.star.sheet.addin.Analysis.getRandbetween(35000,250000)</f>
        <v>76095</v>
      </c>
    </row>
    <row r="15" customFormat="false" ht="15" hidden="false" customHeight="false" outlineLevel="0" collapsed="false">
      <c r="A15" s="0" t="s">
        <v>106</v>
      </c>
      <c r="B15" s="1" t="s">
        <v>107</v>
      </c>
      <c r="C15" s="0" t="s">
        <v>108</v>
      </c>
      <c r="D15" s="0" t="s">
        <v>108</v>
      </c>
      <c r="E15" s="0" t="n">
        <f aca="false">com.sun.star.sheet.addin.Analysis.getRandbetween(35000,250000)</f>
        <v>117543</v>
      </c>
    </row>
    <row r="16" customFormat="false" ht="15" hidden="false" customHeight="false" outlineLevel="0" collapsed="false">
      <c r="A16" s="0" t="s">
        <v>109</v>
      </c>
      <c r="B16" s="1" t="s">
        <v>110</v>
      </c>
      <c r="C16" s="0" t="s">
        <v>111</v>
      </c>
      <c r="D16" s="0" t="s">
        <v>111</v>
      </c>
      <c r="E16" s="0" t="n">
        <f aca="false">com.sun.star.sheet.addin.Analysis.getRandbetween(35000,250000)</f>
        <v>206287</v>
      </c>
    </row>
    <row r="17" customFormat="false" ht="15" hidden="false" customHeight="false" outlineLevel="0" collapsed="false">
      <c r="A17" s="0" t="s">
        <v>112</v>
      </c>
      <c r="B17" s="1" t="s">
        <v>113</v>
      </c>
      <c r="C17" s="0" t="s">
        <v>114</v>
      </c>
      <c r="D17" s="0" t="s">
        <v>114</v>
      </c>
      <c r="E17" s="0" t="n">
        <f aca="false">com.sun.star.sheet.addin.Analysis.getRandbetween(35000,250000)</f>
        <v>92389</v>
      </c>
    </row>
    <row r="18" customFormat="false" ht="15" hidden="false" customHeight="false" outlineLevel="0" collapsed="false">
      <c r="A18" s="0" t="s">
        <v>115</v>
      </c>
      <c r="B18" s="1" t="s">
        <v>116</v>
      </c>
      <c r="C18" s="0" t="s">
        <v>117</v>
      </c>
      <c r="D18" s="0" t="s">
        <v>117</v>
      </c>
      <c r="E18" s="0" t="n">
        <f aca="false">com.sun.star.sheet.addin.Analysis.getRandbetween(35000,250000)</f>
        <v>60034</v>
      </c>
    </row>
    <row r="19" customFormat="false" ht="15" hidden="false" customHeight="false" outlineLevel="0" collapsed="false">
      <c r="A19" s="0" t="s">
        <v>118</v>
      </c>
      <c r="B19" s="1" t="s">
        <v>119</v>
      </c>
      <c r="C19" s="0" t="s">
        <v>120</v>
      </c>
      <c r="D19" s="0" t="s">
        <v>120</v>
      </c>
      <c r="E19" s="0" t="n">
        <f aca="false">com.sun.star.sheet.addin.Analysis.getRandbetween(35000,250000)</f>
        <v>215700</v>
      </c>
    </row>
    <row r="20" customFormat="false" ht="15" hidden="false" customHeight="false" outlineLevel="0" collapsed="false">
      <c r="A20" s="0" t="s">
        <v>121</v>
      </c>
      <c r="B20" s="1" t="s">
        <v>122</v>
      </c>
      <c r="C20" s="0" t="s">
        <v>123</v>
      </c>
      <c r="D20" s="0" t="s">
        <v>123</v>
      </c>
      <c r="E20" s="0" t="n">
        <f aca="false">com.sun.star.sheet.addin.Analysis.getRandbetween(35000,250000)</f>
        <v>181992</v>
      </c>
    </row>
    <row r="21" customFormat="false" ht="15" hidden="false" customHeight="false" outlineLevel="0" collapsed="false">
      <c r="A21" s="0" t="s">
        <v>125</v>
      </c>
      <c r="B21" s="1" t="s">
        <v>126</v>
      </c>
      <c r="C21" s="0" t="s">
        <v>127</v>
      </c>
      <c r="D21" s="0" t="s">
        <v>127</v>
      </c>
      <c r="E21" s="0" t="n">
        <f aca="false">com.sun.star.sheet.addin.Analysis.getRandbetween(35000,250000)</f>
        <v>156820</v>
      </c>
    </row>
    <row r="22" customFormat="false" ht="15" hidden="false" customHeight="false" outlineLevel="0" collapsed="false">
      <c r="A22" s="0" t="s">
        <v>128</v>
      </c>
      <c r="B22" s="1" t="s">
        <v>129</v>
      </c>
      <c r="C22" s="0" t="s">
        <v>130</v>
      </c>
      <c r="D22" s="0" t="s">
        <v>130</v>
      </c>
      <c r="E22" s="0" t="n">
        <f aca="false">com.sun.star.sheet.addin.Analysis.getRandbetween(35000,250000)</f>
        <v>230421</v>
      </c>
    </row>
    <row r="23" customFormat="false" ht="15" hidden="false" customHeight="false" outlineLevel="0" collapsed="false">
      <c r="A23" s="0" t="s">
        <v>134</v>
      </c>
      <c r="B23" s="1" t="s">
        <v>135</v>
      </c>
      <c r="C23" s="0" t="s">
        <v>136</v>
      </c>
      <c r="D23" s="0" t="s">
        <v>136</v>
      </c>
      <c r="E23" s="0" t="n">
        <f aca="false">com.sun.star.sheet.addin.Analysis.getRandbetween(35000,250000)</f>
        <v>222724</v>
      </c>
    </row>
    <row r="24" customFormat="false" ht="15" hidden="false" customHeight="false" outlineLevel="0" collapsed="false">
      <c r="A24" s="0" t="s">
        <v>137</v>
      </c>
      <c r="B24" s="1" t="s">
        <v>138</v>
      </c>
      <c r="C24" s="0" t="s">
        <v>139</v>
      </c>
      <c r="D24" s="0" t="s">
        <v>139</v>
      </c>
      <c r="E24" s="0" t="n">
        <f aca="false">com.sun.star.sheet.addin.Analysis.getRandbetween(35000,250000)</f>
        <v>188219</v>
      </c>
    </row>
    <row r="25" customFormat="false" ht="15" hidden="false" customHeight="false" outlineLevel="0" collapsed="false">
      <c r="A25" s="0" t="s">
        <v>140</v>
      </c>
      <c r="B25" s="1" t="s">
        <v>141</v>
      </c>
      <c r="C25" s="0" t="s">
        <v>142</v>
      </c>
      <c r="D25" s="0" t="s">
        <v>142</v>
      </c>
      <c r="E25" s="0" t="n">
        <f aca="false">com.sun.star.sheet.addin.Analysis.getRandbetween(35000,250000)</f>
        <v>118103</v>
      </c>
    </row>
    <row r="26" customFormat="false" ht="15" hidden="false" customHeight="false" outlineLevel="0" collapsed="false">
      <c r="A26" s="0" t="s">
        <v>143</v>
      </c>
      <c r="B26" s="1" t="s">
        <v>144</v>
      </c>
      <c r="C26" s="0" t="s">
        <v>145</v>
      </c>
      <c r="D26" s="0" t="s">
        <v>145</v>
      </c>
      <c r="E26" s="0" t="n">
        <f aca="false">com.sun.star.sheet.addin.Analysis.getRandbetween(35000,250000)</f>
        <v>90640</v>
      </c>
    </row>
    <row r="27" customFormat="false" ht="13.8" hidden="false" customHeight="false" outlineLevel="0" collapsed="false">
      <c r="A27" s="0" t="s">
        <v>146</v>
      </c>
      <c r="B27" s="1" t="s">
        <v>147</v>
      </c>
      <c r="C27" s="0" t="s">
        <v>148</v>
      </c>
      <c r="D27" s="0" t="s">
        <v>148</v>
      </c>
      <c r="E27" s="0" t="n">
        <f aca="false">com.sun.star.sheet.addin.Analysis.getRandbetween(35000,250000)</f>
        <v>244012</v>
      </c>
    </row>
    <row r="28" customFormat="false" ht="15" hidden="false" customHeight="false" outlineLevel="0" collapsed="false">
      <c r="A28" s="0" t="s">
        <v>149</v>
      </c>
      <c r="B28" s="1" t="s">
        <v>150</v>
      </c>
      <c r="C28" s="0" t="s">
        <v>151</v>
      </c>
      <c r="D28" s="0" t="s">
        <v>151</v>
      </c>
      <c r="E28" s="0" t="n">
        <f aca="false">com.sun.star.sheet.addin.Analysis.getRandbetween(35000,250000)</f>
        <v>168900</v>
      </c>
    </row>
    <row r="29" customFormat="false" ht="15" hidden="false" customHeight="false" outlineLevel="0" collapsed="false">
      <c r="A29" s="0" t="s">
        <v>152</v>
      </c>
      <c r="B29" s="1" t="s">
        <v>153</v>
      </c>
      <c r="C29" s="0" t="s">
        <v>154</v>
      </c>
      <c r="D29" s="0" t="s">
        <v>154</v>
      </c>
      <c r="E29" s="0" t="n">
        <f aca="false">com.sun.star.sheet.addin.Analysis.getRandbetween(35000,250000)</f>
        <v>139872</v>
      </c>
    </row>
    <row r="30" customFormat="false" ht="15" hidden="false" customHeight="false" outlineLevel="0" collapsed="false">
      <c r="A30" s="0" t="s">
        <v>160</v>
      </c>
      <c r="B30" s="1" t="s">
        <v>161</v>
      </c>
      <c r="C30" s="0" t="s">
        <v>162</v>
      </c>
      <c r="D30" s="0" t="s">
        <v>162</v>
      </c>
      <c r="E30" s="0" t="n">
        <f aca="false">com.sun.star.sheet.addin.Analysis.getRandbetween(35000,250000)</f>
        <v>117000</v>
      </c>
    </row>
    <row r="31" customFormat="false" ht="15" hidden="false" customHeight="false" outlineLevel="0" collapsed="false">
      <c r="A31" s="0" t="s">
        <v>164</v>
      </c>
      <c r="B31" s="1" t="s">
        <v>165</v>
      </c>
      <c r="C31" s="0" t="s">
        <v>166</v>
      </c>
      <c r="D31" s="0" t="s">
        <v>166</v>
      </c>
      <c r="E31" s="0" t="n">
        <f aca="false">com.sun.star.sheet.addin.Analysis.getRandbetween(35000,250000)</f>
        <v>247958</v>
      </c>
    </row>
    <row r="32" customFormat="false" ht="15" hidden="false" customHeight="false" outlineLevel="0" collapsed="false">
      <c r="A32" s="0" t="s">
        <v>167</v>
      </c>
      <c r="B32" s="1" t="s">
        <v>168</v>
      </c>
      <c r="C32" s="0" t="s">
        <v>169</v>
      </c>
      <c r="D32" s="0" t="s">
        <v>169</v>
      </c>
      <c r="E32" s="0" t="n">
        <f aca="false">com.sun.star.sheet.addin.Analysis.getRandbetween(35000,250000)</f>
        <v>149454</v>
      </c>
    </row>
    <row r="33" customFormat="false" ht="13.8" hidden="false" customHeight="false" outlineLevel="0" collapsed="false">
      <c r="A33" s="0" t="s">
        <v>171</v>
      </c>
      <c r="B33" s="1" t="s">
        <v>172</v>
      </c>
      <c r="C33" s="0" t="s">
        <v>173</v>
      </c>
      <c r="D33" s="0" t="s">
        <v>173</v>
      </c>
      <c r="E33" s="0" t="n">
        <f aca="false">com.sun.star.sheet.addin.Analysis.getRandbetween(35000,250000)</f>
        <v>226523</v>
      </c>
    </row>
    <row r="34" customFormat="false" ht="15" hidden="false" customHeight="false" outlineLevel="0" collapsed="false">
      <c r="A34" s="0" t="s">
        <v>175</v>
      </c>
      <c r="B34" s="1" t="s">
        <v>176</v>
      </c>
      <c r="C34" s="0" t="s">
        <v>177</v>
      </c>
      <c r="D34" s="0" t="s">
        <v>177</v>
      </c>
      <c r="E34" s="0" t="n">
        <f aca="false">com.sun.star.sheet.addin.Analysis.getRandbetween(35000,250000)</f>
        <v>148283</v>
      </c>
    </row>
    <row r="35" customFormat="false" ht="15" hidden="false" customHeight="false" outlineLevel="0" collapsed="false">
      <c r="A35" s="0" t="s">
        <v>178</v>
      </c>
      <c r="B35" s="1" t="s">
        <v>179</v>
      </c>
      <c r="C35" s="0" t="s">
        <v>180</v>
      </c>
      <c r="D35" s="0" t="s">
        <v>180</v>
      </c>
      <c r="E35" s="0" t="n">
        <f aca="false">com.sun.star.sheet.addin.Analysis.getRandbetween(35000,250000)</f>
        <v>72373</v>
      </c>
    </row>
    <row r="36" customFormat="false" ht="15" hidden="false" customHeight="false" outlineLevel="0" collapsed="false">
      <c r="A36" s="0" t="s">
        <v>181</v>
      </c>
      <c r="B36" s="1" t="s">
        <v>182</v>
      </c>
      <c r="C36" s="0" t="s">
        <v>183</v>
      </c>
      <c r="D36" s="0" t="s">
        <v>183</v>
      </c>
      <c r="E36" s="0" t="n">
        <f aca="false">com.sun.star.sheet.addin.Analysis.getRandbetween(35000,250000)</f>
        <v>170147</v>
      </c>
    </row>
    <row r="37" customFormat="false" ht="15" hidden="false" customHeight="false" outlineLevel="0" collapsed="false">
      <c r="A37" s="0" t="s">
        <v>184</v>
      </c>
      <c r="B37" s="1" t="s">
        <v>185</v>
      </c>
      <c r="C37" s="0" t="s">
        <v>186</v>
      </c>
      <c r="D37" s="0" t="s">
        <v>186</v>
      </c>
      <c r="E37" s="0" t="n">
        <f aca="false">com.sun.star.sheet.addin.Analysis.getRandbetween(35000,250000)</f>
        <v>125607</v>
      </c>
    </row>
    <row r="38" customFormat="false" ht="15" hidden="false" customHeight="false" outlineLevel="0" collapsed="false">
      <c r="A38" s="0" t="s">
        <v>187</v>
      </c>
      <c r="B38" s="1" t="s">
        <v>188</v>
      </c>
      <c r="C38" s="0" t="s">
        <v>189</v>
      </c>
      <c r="D38" s="0" t="s">
        <v>189</v>
      </c>
      <c r="E38" s="0" t="n">
        <f aca="false">com.sun.star.sheet.addin.Analysis.getRandbetween(35000,250000)</f>
        <v>162805</v>
      </c>
    </row>
    <row r="39" customFormat="false" ht="15" hidden="false" customHeight="false" outlineLevel="0" collapsed="false">
      <c r="A39" s="0" t="s">
        <v>192</v>
      </c>
      <c r="B39" s="1" t="s">
        <v>193</v>
      </c>
      <c r="C39" s="0" t="s">
        <v>194</v>
      </c>
      <c r="D39" s="0" t="s">
        <v>194</v>
      </c>
      <c r="E39" s="0" t="n">
        <f aca="false">com.sun.star.sheet.addin.Analysis.getRandbetween(35000,250000)</f>
        <v>143943</v>
      </c>
    </row>
    <row r="40" customFormat="false" ht="15" hidden="false" customHeight="false" outlineLevel="0" collapsed="false">
      <c r="A40" s="0" t="s">
        <v>195</v>
      </c>
      <c r="B40" s="1" t="s">
        <v>196</v>
      </c>
      <c r="C40" s="0" t="s">
        <v>197</v>
      </c>
      <c r="D40" s="0" t="s">
        <v>197</v>
      </c>
      <c r="E40" s="0" t="n">
        <f aca="false">com.sun.star.sheet.addin.Analysis.getRandbetween(35000,250000)</f>
        <v>45878</v>
      </c>
    </row>
    <row r="41" customFormat="false" ht="15" hidden="false" customHeight="false" outlineLevel="0" collapsed="false">
      <c r="A41" s="0" t="s">
        <v>198</v>
      </c>
      <c r="B41" s="1" t="s">
        <v>199</v>
      </c>
      <c r="C41" s="0" t="s">
        <v>200</v>
      </c>
      <c r="D41" s="0" t="s">
        <v>200</v>
      </c>
      <c r="E41" s="0" t="n">
        <f aca="false">com.sun.star.sheet.addin.Analysis.getRandbetween(35000,250000)</f>
        <v>193278</v>
      </c>
    </row>
    <row r="42" customFormat="false" ht="15" hidden="false" customHeight="false" outlineLevel="0" collapsed="false">
      <c r="A42" s="0" t="s">
        <v>201</v>
      </c>
      <c r="B42" s="1" t="s">
        <v>202</v>
      </c>
      <c r="C42" s="0" t="s">
        <v>203</v>
      </c>
      <c r="D42" s="0" t="s">
        <v>203</v>
      </c>
      <c r="E42" s="0" t="n">
        <f aca="false">com.sun.star.sheet.addin.Analysis.getRandbetween(35000,250000)</f>
        <v>135141</v>
      </c>
    </row>
    <row r="43" customFormat="false" ht="15" hidden="false" customHeight="false" outlineLevel="0" collapsed="false">
      <c r="A43" s="0" t="s">
        <v>204</v>
      </c>
      <c r="B43" s="1" t="s">
        <v>205</v>
      </c>
      <c r="C43" s="0" t="s">
        <v>206</v>
      </c>
      <c r="D43" s="0" t="s">
        <v>206</v>
      </c>
      <c r="E43" s="0" t="n">
        <f aca="false">com.sun.star.sheet.addin.Analysis.getRandbetween(35000,250000)</f>
        <v>213750</v>
      </c>
    </row>
    <row r="44" customFormat="false" ht="15" hidden="false" customHeight="false" outlineLevel="0" collapsed="false">
      <c r="A44" s="0" t="s">
        <v>207</v>
      </c>
      <c r="B44" s="1" t="s">
        <v>208</v>
      </c>
      <c r="C44" s="0" t="s">
        <v>209</v>
      </c>
      <c r="D44" s="0" t="s">
        <v>209</v>
      </c>
      <c r="E44" s="0" t="n">
        <f aca="false">com.sun.star.sheet.addin.Analysis.getRandbetween(35000,250000)</f>
        <v>94410</v>
      </c>
    </row>
    <row r="45" customFormat="false" ht="15" hidden="false" customHeight="false" outlineLevel="0" collapsed="false">
      <c r="A45" s="0" t="s">
        <v>211</v>
      </c>
      <c r="B45" s="1" t="s">
        <v>212</v>
      </c>
      <c r="C45" s="0" t="s">
        <v>213</v>
      </c>
      <c r="D45" s="0" t="s">
        <v>213</v>
      </c>
      <c r="E45" s="0" t="n">
        <f aca="false">com.sun.star.sheet.addin.Analysis.getRandbetween(35000,250000)</f>
        <v>240325</v>
      </c>
    </row>
    <row r="46" customFormat="false" ht="15" hidden="false" customHeight="false" outlineLevel="0" collapsed="false">
      <c r="A46" s="0" t="s">
        <v>214</v>
      </c>
      <c r="B46" s="1" t="s">
        <v>215</v>
      </c>
      <c r="C46" s="0" t="s">
        <v>216</v>
      </c>
      <c r="D46" s="0" t="s">
        <v>216</v>
      </c>
      <c r="E46" s="0" t="n">
        <f aca="false">com.sun.star.sheet.addin.Analysis.getRandbetween(35000,250000)</f>
        <v>150302</v>
      </c>
    </row>
    <row r="47" customFormat="false" ht="15" hidden="false" customHeight="false" outlineLevel="0" collapsed="false">
      <c r="A47" s="0" t="s">
        <v>217</v>
      </c>
      <c r="B47" s="1" t="s">
        <v>218</v>
      </c>
      <c r="C47" s="0" t="s">
        <v>219</v>
      </c>
      <c r="D47" s="0" t="s">
        <v>219</v>
      </c>
      <c r="E47" s="0" t="n">
        <f aca="false">com.sun.star.sheet.addin.Analysis.getRandbetween(35000,250000)</f>
        <v>125527</v>
      </c>
    </row>
    <row r="48" customFormat="false" ht="15" hidden="false" customHeight="false" outlineLevel="0" collapsed="false">
      <c r="A48" s="0" t="s">
        <v>220</v>
      </c>
      <c r="B48" s="1" t="s">
        <v>221</v>
      </c>
      <c r="C48" s="0" t="s">
        <v>222</v>
      </c>
      <c r="D48" s="0" t="s">
        <v>222</v>
      </c>
      <c r="E48" s="0" t="n">
        <f aca="false">com.sun.star.sheet.addin.Analysis.getRandbetween(35000,250000)</f>
        <v>56530</v>
      </c>
    </row>
    <row r="49" customFormat="false" ht="13.8" hidden="false" customHeight="false" outlineLevel="0" collapsed="false">
      <c r="A49" s="0" t="s">
        <v>223</v>
      </c>
      <c r="B49" s="1" t="s">
        <v>224</v>
      </c>
      <c r="C49" s="0" t="s">
        <v>225</v>
      </c>
      <c r="D49" s="0" t="s">
        <v>225</v>
      </c>
      <c r="E49" s="0" t="n">
        <f aca="false">com.sun.star.sheet.addin.Analysis.getRandbetween(35000,250000)</f>
        <v>236251</v>
      </c>
    </row>
    <row r="50" customFormat="false" ht="15" hidden="false" customHeight="false" outlineLevel="0" collapsed="false">
      <c r="A50" s="0" t="s">
        <v>227</v>
      </c>
      <c r="B50" s="1" t="s">
        <v>228</v>
      </c>
      <c r="C50" s="0" t="s">
        <v>229</v>
      </c>
      <c r="D50" s="0" t="s">
        <v>229</v>
      </c>
      <c r="E50" s="0" t="n">
        <f aca="false">com.sun.star.sheet.addin.Analysis.getRandbetween(35000,250000)</f>
        <v>223063</v>
      </c>
    </row>
    <row r="51" customFormat="false" ht="13.8" hidden="false" customHeight="false" outlineLevel="0" collapsed="false">
      <c r="A51" s="0" t="s">
        <v>230</v>
      </c>
      <c r="B51" s="1" t="s">
        <v>231</v>
      </c>
      <c r="C51" s="0" t="s">
        <v>232</v>
      </c>
      <c r="D51" s="0" t="s">
        <v>232</v>
      </c>
      <c r="E51" s="0" t="n">
        <f aca="false">com.sun.star.sheet.addin.Analysis.getRandbetween(35000,250000)</f>
        <v>235510</v>
      </c>
    </row>
    <row r="52" customFormat="false" ht="15" hidden="false" customHeight="false" outlineLevel="0" collapsed="false">
      <c r="A52" s="0" t="s">
        <v>234</v>
      </c>
      <c r="B52" s="1" t="s">
        <v>235</v>
      </c>
      <c r="C52" s="0" t="s">
        <v>236</v>
      </c>
      <c r="D52" s="0" t="s">
        <v>236</v>
      </c>
      <c r="E52" s="0" t="n">
        <f aca="false">com.sun.star.sheet.addin.Analysis.getRandbetween(35000,250000)</f>
        <v>177839</v>
      </c>
    </row>
    <row r="53" customFormat="false" ht="13.8" hidden="false" customHeight="false" outlineLevel="0" collapsed="false">
      <c r="A53" s="0" t="s">
        <v>237</v>
      </c>
      <c r="B53" s="1" t="s">
        <v>238</v>
      </c>
      <c r="C53" s="0" t="s">
        <v>239</v>
      </c>
      <c r="D53" s="0" t="s">
        <v>239</v>
      </c>
      <c r="E53" s="0" t="n">
        <f aca="false">com.sun.star.sheet.addin.Analysis.getRandbetween(35000,250000)</f>
        <v>131189</v>
      </c>
    </row>
    <row r="54" customFormat="false" ht="13.8" hidden="false" customHeight="false" outlineLevel="0" collapsed="false">
      <c r="A54" s="0" t="s">
        <v>240</v>
      </c>
      <c r="B54" s="1" t="s">
        <v>241</v>
      </c>
      <c r="C54" s="0" t="s">
        <v>242</v>
      </c>
      <c r="D54" s="0" t="s">
        <v>242</v>
      </c>
      <c r="E54" s="0" t="n">
        <f aca="false">com.sun.star.sheet.addin.Analysis.getRandbetween(35000,250000)</f>
        <v>110930</v>
      </c>
    </row>
    <row r="55" customFormat="false" ht="13.8" hidden="false" customHeight="false" outlineLevel="0" collapsed="false">
      <c r="A55" s="0" t="s">
        <v>243</v>
      </c>
      <c r="B55" s="1" t="s">
        <v>244</v>
      </c>
      <c r="C55" s="0" t="s">
        <v>245</v>
      </c>
      <c r="D55" s="0" t="s">
        <v>245</v>
      </c>
      <c r="E55" s="0" t="n">
        <f aca="false">com.sun.star.sheet.addin.Analysis.getRandbetween(35000,250000)</f>
        <v>150636</v>
      </c>
    </row>
    <row r="56" customFormat="false" ht="13.8" hidden="false" customHeight="false" outlineLevel="0" collapsed="false">
      <c r="A56" s="0" t="s">
        <v>247</v>
      </c>
      <c r="B56" s="1" t="s">
        <v>248</v>
      </c>
      <c r="C56" s="0" t="s">
        <v>249</v>
      </c>
      <c r="D56" s="0" t="s">
        <v>249</v>
      </c>
      <c r="E56" s="0" t="n">
        <f aca="false">com.sun.star.sheet.addin.Analysis.getRandbetween(35000,250000)</f>
        <v>116477</v>
      </c>
    </row>
    <row r="57" customFormat="false" ht="13.8" hidden="false" customHeight="false" outlineLevel="0" collapsed="false">
      <c r="A57" s="0" t="s">
        <v>250</v>
      </c>
      <c r="B57" s="1" t="s">
        <v>251</v>
      </c>
      <c r="C57" s="0" t="s">
        <v>252</v>
      </c>
      <c r="D57" s="0" t="s">
        <v>252</v>
      </c>
      <c r="E57" s="0" t="n">
        <f aca="false">com.sun.star.sheet.addin.Analysis.getRandbetween(35000,250000)</f>
        <v>97919</v>
      </c>
    </row>
    <row r="58" customFormat="false" ht="13.8" hidden="false" customHeight="false" outlineLevel="0" collapsed="false">
      <c r="A58" s="0" t="s">
        <v>254</v>
      </c>
      <c r="B58" s="1" t="s">
        <v>255</v>
      </c>
      <c r="C58" s="0" t="s">
        <v>256</v>
      </c>
      <c r="D58" s="0" t="s">
        <v>256</v>
      </c>
      <c r="E58" s="0" t="n">
        <f aca="false">com.sun.star.sheet.addin.Analysis.getRandbetween(35000,250000)</f>
        <v>183336</v>
      </c>
    </row>
    <row r="59" customFormat="false" ht="13.8" hidden="false" customHeight="false" outlineLevel="0" collapsed="false">
      <c r="A59" s="0" t="s">
        <v>257</v>
      </c>
      <c r="B59" s="1" t="s">
        <v>258</v>
      </c>
      <c r="C59" s="0" t="s">
        <v>259</v>
      </c>
      <c r="D59" s="0" t="s">
        <v>259</v>
      </c>
      <c r="E59" s="0" t="n">
        <f aca="false">com.sun.star.sheet.addin.Analysis.getRandbetween(35000,250000)</f>
        <v>125633</v>
      </c>
    </row>
    <row r="60" customFormat="false" ht="15" hidden="false" customHeight="false" outlineLevel="0" collapsed="false">
      <c r="A60" s="0" t="s">
        <v>260</v>
      </c>
      <c r="B60" s="1" t="s">
        <v>261</v>
      </c>
      <c r="C60" s="0" t="s">
        <v>262</v>
      </c>
      <c r="D60" s="0" t="s">
        <v>262</v>
      </c>
      <c r="E60" s="0" t="n">
        <f aca="false">com.sun.star.sheet.addin.Analysis.getRandbetween(35000,250000)</f>
        <v>85392</v>
      </c>
    </row>
    <row r="61" customFormat="false" ht="15" hidden="false" customHeight="false" outlineLevel="0" collapsed="false">
      <c r="A61" s="0" t="s">
        <v>265</v>
      </c>
      <c r="B61" s="1" t="s">
        <v>266</v>
      </c>
      <c r="C61" s="0" t="s">
        <v>267</v>
      </c>
      <c r="D61" s="0" t="s">
        <v>267</v>
      </c>
      <c r="E61" s="0" t="n">
        <f aca="false">com.sun.star.sheet.addin.Analysis.getRandbetween(35000,250000)</f>
        <v>128664</v>
      </c>
    </row>
    <row r="62" customFormat="false" ht="15" hidden="false" customHeight="false" outlineLevel="0" collapsed="false">
      <c r="A62" s="0" t="s">
        <v>268</v>
      </c>
      <c r="B62" s="1" t="s">
        <v>269</v>
      </c>
      <c r="C62" s="0" t="s">
        <v>270</v>
      </c>
      <c r="D62" s="0" t="s">
        <v>270</v>
      </c>
      <c r="E62" s="0" t="n">
        <f aca="false">com.sun.star.sheet.addin.Analysis.getRandbetween(35000,250000)</f>
        <v>36711</v>
      </c>
    </row>
    <row r="63" customFormat="false" ht="15" hidden="false" customHeight="false" outlineLevel="0" collapsed="false">
      <c r="A63" s="0" t="s">
        <v>271</v>
      </c>
      <c r="B63" s="1" t="s">
        <v>272</v>
      </c>
      <c r="C63" s="0" t="s">
        <v>273</v>
      </c>
      <c r="D63" s="0" t="s">
        <v>273</v>
      </c>
      <c r="E63" s="0" t="n">
        <f aca="false">com.sun.star.sheet.addin.Analysis.getRandbetween(35000,250000)</f>
        <v>118509</v>
      </c>
    </row>
    <row r="64" customFormat="false" ht="13.8" hidden="false" customHeight="false" outlineLevel="0" collapsed="false">
      <c r="A64" s="0" t="s">
        <v>274</v>
      </c>
      <c r="B64" s="1" t="s">
        <v>275</v>
      </c>
      <c r="C64" s="0" t="s">
        <v>276</v>
      </c>
      <c r="D64" s="0" t="s">
        <v>276</v>
      </c>
      <c r="E64" s="0" t="n">
        <f aca="false">com.sun.star.sheet.addin.Analysis.getRandbetween(35000,250000)</f>
        <v>98818</v>
      </c>
    </row>
    <row r="65" customFormat="false" ht="15" hidden="false" customHeight="false" outlineLevel="0" collapsed="false">
      <c r="A65" s="0" t="s">
        <v>277</v>
      </c>
      <c r="B65" s="1" t="s">
        <v>278</v>
      </c>
      <c r="C65" s="0" t="s">
        <v>279</v>
      </c>
      <c r="D65" s="0" t="s">
        <v>279</v>
      </c>
      <c r="E65" s="0" t="n">
        <f aca="false">com.sun.star.sheet.addin.Analysis.getRandbetween(35000,250000)</f>
        <v>142775</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8" zoomScaleNormal="78" zoomScalePageLayoutView="100" workbookViewId="0">
      <selection pane="topLeft" activeCell="A1" activeCellId="0" sqref="A1"/>
    </sheetView>
  </sheetViews>
  <sheetFormatPr defaultColWidth="11.5703125" defaultRowHeight="15" zeroHeight="false" outlineLevelRow="0" outlineLevelCol="0"/>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EA39C3-A15D-48B6-A2C6-B0C6753DDE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1655</TotalTime>
  <Application>LibreOffice/7.3.2.2$MacOSX_X86_64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2022-02-08T09:02:08Z</dcterms:created>
  <dc:creator>Apache POI</dc:creator>
  <dc:description/>
  <dc:language>en-US</dc:language>
  <cp:lastModifiedBy/>
  <cp:lastPrinted>2022-02-14T13:19:46Z</cp:lastPrinted>
  <dcterms:modified xsi:type="dcterms:W3CDTF">2022-09-11T12:01:21Z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