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os1174_messiah_edu/Documents/000 ENGR415 Collab/300 Fall23/Volume Changes/VolumeAnalysisGit/"/>
    </mc:Choice>
  </mc:AlternateContent>
  <xr:revisionPtr revIDLastSave="502" documentId="11_E0C57D6C7A6C1DF667FC1CE163E9B745459837C4" xr6:coauthVersionLast="47" xr6:coauthVersionMax="47" xr10:uidLastSave="{F7582D7A-2757-49D2-81AE-D604E40C1573}"/>
  <bookViews>
    <workbookView xWindow="-103" yWindow="-103" windowWidth="25920" windowHeight="16629" tabRatio="745" firstSheet="2" activeTab="3" xr2:uid="{00000000-000D-0000-FFFF-FFFF00000000}"/>
  </bookViews>
  <sheets>
    <sheet name="ComparingAlgorithms" sheetId="17" r:id="rId1"/>
    <sheet name="NewAlgorithm" sheetId="15" r:id="rId2"/>
    <sheet name="OldAlgorithm" sheetId="16" r:id="rId3"/>
    <sheet name="1_Fast" sheetId="2" r:id="rId4"/>
    <sheet name="1_JP" sheetId="3" r:id="rId5"/>
    <sheet name="1" sheetId="4" r:id="rId6"/>
    <sheet name="1_Slow" sheetId="5" r:id="rId7"/>
    <sheet name="2_Fast" sheetId="6" r:id="rId8"/>
    <sheet name="2_JP" sheetId="7" r:id="rId9"/>
    <sheet name="2" sheetId="8" r:id="rId10"/>
    <sheet name="2_Slow" sheetId="9" r:id="rId11"/>
    <sheet name="3_Fast" sheetId="10" r:id="rId12"/>
    <sheet name="3_JP" sheetId="11" r:id="rId13"/>
    <sheet name="3" sheetId="12" r:id="rId14"/>
    <sheet name="3_Slow" sheetId="13" r:id="rId15"/>
    <sheet name="4" sheetId="14" r:id="rId16"/>
    <sheet name="day19_trial1" sheetId="18" r:id="rId17"/>
    <sheet name="day19_trial3" sheetId="19" r:id="rId18"/>
    <sheet name="day19_trial4" sheetId="20" r:id="rId19"/>
    <sheet name="day19_trial5" sheetId="21" r:id="rId20"/>
    <sheet name="day19_trial6" sheetId="22" r:id="rId21"/>
    <sheet name="day19_trial7" sheetId="23" r:id="rId22"/>
    <sheet name="day19_trial8" sheetId="24" r:id="rId23"/>
    <sheet name="Sheet1" sheetId="25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8" l="1"/>
  <c r="L26" i="17" a="1"/>
  <c r="L26" i="17" s="1"/>
  <c r="L27" i="17" a="1"/>
  <c r="L27" i="17" s="1"/>
  <c r="L28" i="17" a="1"/>
  <c r="L28" i="17" s="1"/>
  <c r="L33" i="17" a="1"/>
  <c r="L33" i="17" s="1"/>
  <c r="L32" i="17" a="1"/>
  <c r="L32" i="17" s="1"/>
  <c r="L31" i="17" a="1"/>
  <c r="L31" i="17" s="1"/>
  <c r="L30" i="17" a="1"/>
  <c r="L30" i="17" s="1"/>
  <c r="L29" i="17" a="1"/>
  <c r="L29" i="17" s="1"/>
  <c r="U9" i="15" a="1"/>
  <c r="U9" i="15" s="1"/>
  <c r="U8" i="15" a="1"/>
  <c r="U8" i="15" s="1"/>
  <c r="U7" i="15" a="1"/>
  <c r="U7" i="15" s="1"/>
  <c r="U6" i="15" a="1"/>
  <c r="U6" i="15" s="1"/>
  <c r="U5" i="15" a="1"/>
  <c r="U5" i="15" s="1"/>
  <c r="U4" i="15" a="1"/>
  <c r="U4" i="15" s="1"/>
  <c r="U2" i="15" a="1"/>
  <c r="U2" i="15" s="1"/>
  <c r="I3" i="14"/>
  <c r="I3" i="13"/>
  <c r="I3" i="12"/>
  <c r="I3" i="11"/>
  <c r="I3" i="10"/>
  <c r="I3" i="9"/>
  <c r="I3" i="8"/>
  <c r="I3" i="7"/>
  <c r="I3" i="6"/>
  <c r="I3" i="5"/>
  <c r="I3" i="3"/>
  <c r="J45" i="16"/>
  <c r="K6" i="16"/>
  <c r="Q5" i="16"/>
  <c r="K5" i="16"/>
  <c r="E5" i="16"/>
  <c r="Q4" i="16"/>
  <c r="K4" i="16"/>
  <c r="E4" i="16"/>
  <c r="Q3" i="16"/>
  <c r="K3" i="16"/>
  <c r="E3" i="16"/>
  <c r="J46" i="15"/>
  <c r="K6" i="15"/>
  <c r="Q5" i="15"/>
  <c r="K5" i="15"/>
  <c r="E5" i="15"/>
  <c r="M5" i="17" s="1"/>
  <c r="O5" i="17" s="1"/>
  <c r="Q4" i="15"/>
  <c r="K4" i="15"/>
  <c r="E4" i="15"/>
  <c r="M4" i="17" s="1"/>
  <c r="O4" i="17" s="1"/>
  <c r="Q3" i="15"/>
  <c r="K3" i="15"/>
  <c r="E3" i="15"/>
  <c r="E32" i="17"/>
  <c r="E31" i="17"/>
  <c r="E30" i="17"/>
  <c r="G16" i="17" a="1"/>
  <c r="G16" i="17" s="1"/>
  <c r="E16" i="17" a="1"/>
  <c r="E27" i="17" s="1"/>
  <c r="E16" i="17"/>
  <c r="P12" i="17"/>
  <c r="O12" i="17"/>
  <c r="P11" i="17"/>
  <c r="O11" i="17"/>
  <c r="P10" i="17"/>
  <c r="O10" i="17"/>
  <c r="P9" i="17"/>
  <c r="O9" i="17"/>
  <c r="P8" i="17"/>
  <c r="O8" i="17"/>
  <c r="P7" i="17"/>
  <c r="O7" i="17"/>
  <c r="P6" i="17"/>
  <c r="O6" i="17"/>
  <c r="P5" i="17"/>
  <c r="P13" i="17" s="1"/>
  <c r="P4" i="17"/>
  <c r="P3" i="17"/>
  <c r="M3" i="17"/>
  <c r="O3" i="17" s="1"/>
  <c r="O13" i="17" l="1"/>
  <c r="G27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<sst xmlns="http://schemas.openxmlformats.org/spreadsheetml/2006/main" count="236" uniqueCount="179">
  <si>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</si>
  <si>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</si>
  <si>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</si>
  <si>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</si>
  <si>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</si>
  <si>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</si>
  <si>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</si>
  <si>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</si>
  <si>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</si>
  <si>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</si>
  <si>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</si>
  <si>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</si>
  <si>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</si>
  <si>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</si>
  <si>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</si>
  <si>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</si>
  <si>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</si>
  <si>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</si>
  <si>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</si>
  <si>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</si>
  <si>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</si>
  <si>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</si>
  <si>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</si>
  <si>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</si>
  <si>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</si>
  <si>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</si>
  <si>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</si>
  <si>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</si>
  <si>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</si>
  <si>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</si>
  <si>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</si>
  <si>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</si>
  <si>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</si>
  <si>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</si>
  <si>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</si>
  <si>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</si>
  <si>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</si>
  <si>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</si>
  <si>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</si>
  <si>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</si>
  <si>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</si>
  <si>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</si>
  <si>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</si>
  <si>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</si>
  <si>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</si>
  <si>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</si>
  <si>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</si>
  <si>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</si>
  <si>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</si>
  <si>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</si>
  <si>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</si>
  <si>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</si>
  <si>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</si>
  <si>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</si>
  <si>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</si>
  <si>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</si>
  <si>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</si>
  <si>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</si>
  <si>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</si>
  <si>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</si>
  <si>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</si>
  <si>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</si>
  <si>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</si>
  <si>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</si>
  <si>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</si>
  <si>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</si>
  <si>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</si>
  <si>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</si>
  <si>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</si>
  <si>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</si>
  <si>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</si>
  <si>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</si>
  <si>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</si>
  <si>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</si>
  <si>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</si>
  <si>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</si>
  <si>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</si>
  <si>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</si>
  <si>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</si>
  <si>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</si>
  <si>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</si>
  <si>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</si>
  <si>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</si>
  <si>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</si>
  <si>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</si>
  <si>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</si>
  <si>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</si>
  <si>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</si>
  <si>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</si>
  <si>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</si>
  <si>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</si>
  <si>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Fast</t>
  </si>
  <si>
    <t>Slow</t>
  </si>
  <si>
    <t>Medium</t>
  </si>
  <si>
    <t>dif stroke</t>
  </si>
  <si>
    <t>avg</t>
  </si>
  <si>
    <t>dif volume</t>
  </si>
  <si>
    <t>actual</t>
  </si>
  <si>
    <t>Stroke</t>
  </si>
  <si>
    <t>Increment</t>
  </si>
  <si>
    <t>Inc</t>
  </si>
  <si>
    <t>R</t>
  </si>
  <si>
    <t>total error (avg)</t>
  </si>
  <si>
    <t>Pump Time</t>
  </si>
  <si>
    <t>avg angle diference</t>
  </si>
  <si>
    <t>percent diff</t>
  </si>
  <si>
    <t>fast</t>
  </si>
  <si>
    <t>med</t>
  </si>
  <si>
    <t>slow</t>
  </si>
  <si>
    <t>Actual Volume Measured</t>
  </si>
  <si>
    <t>Method 1 Predicted Volume</t>
  </si>
  <si>
    <t>Method 2 Predicted Volume</t>
  </si>
  <si>
    <t>Method 1 Predicted Error (%)</t>
  </si>
  <si>
    <t>Method 2 Predicted Error (%)</t>
  </si>
  <si>
    <t>y = 0.0077x + 1.2136</t>
  </si>
  <si>
    <t>y = 0.0036x + 3.9998</t>
  </si>
  <si>
    <t>y = 0.0097x - 3.0983</t>
  </si>
  <si>
    <t>volume using new curve</t>
  </si>
  <si>
    <t>Average Error</t>
  </si>
  <si>
    <t>Method 1</t>
  </si>
  <si>
    <t>Method 2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</si>
  <si>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</si>
  <si>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</si>
  <si>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</si>
  <si>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</si>
  <si>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</si>
  <si>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</si>
  <si>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</si>
  <si>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</si>
  <si>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</si>
  <si>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</si>
  <si>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</si>
  <si>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</si>
  <si>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</si>
  <si>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</si>
  <si>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</si>
  <si>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</si>
  <si>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</si>
  <si>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</si>
  <si>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</si>
  <si>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</si>
  <si>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</si>
  <si>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</si>
  <si>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</si>
  <si>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</si>
  <si>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</si>
  <si>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</si>
  <si>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</si>
  <si>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</si>
  <si>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</si>
  <si>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</si>
  <si>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</si>
  <si>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</si>
  <si>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</si>
  <si>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</si>
  <si>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</si>
  <si>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</si>
  <si>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</si>
  <si>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</si>
  <si>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</si>
  <si>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</si>
  <si>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</si>
  <si>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</si>
  <si>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Number of Strokes</t>
  </si>
  <si>
    <t>Increment Extract Angle</t>
  </si>
  <si>
    <t>Volume Pumped Increment</t>
  </si>
  <si>
    <t>Stroke Extract Angle</t>
  </si>
  <si>
    <t>Volume Pumped Stroke</t>
  </si>
  <si>
    <t>Start Time</t>
  </si>
  <si>
    <t>End Time</t>
  </si>
  <si>
    <t>Zambia</t>
  </si>
  <si>
    <t>Med</t>
  </si>
  <si>
    <t>0.0056*(X) + 1.4025</t>
  </si>
  <si>
    <t>0.0025*(X)+4.0395</t>
  </si>
  <si>
    <t>0.007*(X)-3.3146</t>
  </si>
  <si>
    <t>0.0077*(X)+1.2136</t>
  </si>
  <si>
    <t>0.0036*(X) + 3.9998</t>
  </si>
  <si>
    <t>0.0097*(X) - 3.0983</t>
  </si>
  <si>
    <t>Equations/Curves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</si>
</sst>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4" borderId="1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4" xfId="0" applyFont="1" applyFill="1" applyBorder="1"/>
    <xf numFmtId="10" fontId="0" fillId="4" borderId="6" xfId="0" applyNumberFormat="1" applyFill="1" applyBorder="1" applyAlignment="1">
      <alignment horizontal="center" vertical="center"/>
    </xf>
    <xf numFmtId="10" fontId="0" fillId="5" borderId="6" xfId="0" applyNumberFormat="1" applyFill="1" applyBorder="1" applyAlignment="1">
      <alignment horizontal="center" vertical="center"/>
    </xf>
    <xf numFmtId="0" fontId="1" fillId="3" borderId="14" xfId="0" applyFont="1" applyFill="1" applyBorder="1"/>
    <xf numFmtId="10" fontId="0" fillId="5" borderId="15" xfId="0" applyNumberFormat="1" applyFill="1" applyBorder="1" applyAlignment="1">
      <alignment horizontal="center" vertical="center"/>
    </xf>
    <xf numFmtId="10" fontId="0" fillId="5" borderId="16" xfId="0" applyNumberFormat="1" applyFill="1" applyBorder="1" applyAlignment="1">
      <alignment horizontal="center" vertical="center"/>
    </xf>
    <xf numFmtId="10" fontId="0" fillId="4" borderId="17" xfId="0" applyNumberFormat="1" applyFill="1" applyBorder="1"/>
    <xf numFmtId="10" fontId="0" fillId="4" borderId="18" xfId="0" applyNumberForma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1" fillId="6" borderId="2" xfId="0" applyFont="1" applyFill="1" applyBorder="1"/>
    <xf numFmtId="0" fontId="1" fillId="6" borderId="5" xfId="0" applyFont="1" applyFill="1" applyBorder="1"/>
    <xf numFmtId="0" fontId="1" fillId="6" borderId="13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NewAlgorithm!$N$2</c:f>
              <c:strCache>
                <c:ptCount val="1"/>
                <c:pt idx="0">
                  <c:v>Slow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73564421052999"/>
                  <c:y val="-5.040337629435600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NewAlgorithm!$O$3:$O$5</c:f>
              <c:numCache>
                <c:formatCode>General</c:formatCode>
                <c:ptCount val="3"/>
                <c:pt idx="0">
                  <c:v>975.38270734297532</c:v>
                </c:pt>
                <c:pt idx="1">
                  <c:v>1219.0825632125889</c:v>
                </c:pt>
                <c:pt idx="2">
                  <c:v>1419.7819031453084</c:v>
                </c:pt>
              </c:numCache>
            </c:numRef>
          </c:xVal>
          <c:yVal>
            <c:numRef>
              <c:f>NewAlgorithm!$P$3:$P$5</c:f>
              <c:numCache>
                <c:formatCode>General</c:formatCode>
                <c:ptCount val="3"/>
                <c:pt idx="0">
                  <c:v>6.2229999999999999</c:v>
                </c:pt>
                <c:pt idx="1">
                  <c:v>8.9979999999999993</c:v>
                </c:pt>
                <c:pt idx="2">
                  <c:v>10.500999999999999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D9-4279-B2EA-84AC3E5D6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NewAlgorithm!$B$2</c:f>
              <c:strCache>
                <c:ptCount val="1"/>
                <c:pt idx="0">
                  <c:v>Fast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5653980752406"/>
                  <c:y val="-4.0895304753572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NewAlgorithm!$C$3:$C$5</c:f>
              <c:numCache>
                <c:formatCode>General</c:formatCode>
                <c:ptCount val="3"/>
                <c:pt idx="0">
                  <c:v>1276.1969015012551</c:v>
                </c:pt>
                <c:pt idx="1">
                  <c:v>1329.5529378995395</c:v>
                </c:pt>
                <c:pt idx="2">
                  <c:v>851.07013490522525</c:v>
                </c:pt>
              </c:numCache>
            </c:numRef>
          </c:xVal>
          <c:yVal>
            <c:numRef>
              <c:f>NewAlgorithm!$D$3:$D$5</c:f>
              <c:numCache>
                <c:formatCode>General</c:formatCode>
                <c:ptCount val="3"/>
                <c:pt idx="0">
                  <c:v>10.962999999999999</c:v>
                </c:pt>
                <c:pt idx="1">
                  <c:v>11.541</c:v>
                </c:pt>
                <c:pt idx="2">
                  <c:v>7.7839999999999998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FF-468D-B877-BA333EABA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NewAlgorithm!$H$2</c:f>
              <c:strCache>
                <c:ptCount val="1"/>
                <c:pt idx="0">
                  <c:v>Medium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5653980752406"/>
                  <c:y val="-4.0895304753572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NewAlgorithm!$I$3:$I$6</c:f>
              <c:numCache>
                <c:formatCode>General</c:formatCode>
                <c:ptCount val="4"/>
                <c:pt idx="0">
                  <c:v>794.18145066391071</c:v>
                </c:pt>
                <c:pt idx="1">
                  <c:v>1451.0318110687708</c:v>
                </c:pt>
                <c:pt idx="2">
                  <c:v>807.88874436059064</c:v>
                </c:pt>
                <c:pt idx="3">
                  <c:v>2078.0946844818982</c:v>
                </c:pt>
              </c:numCache>
            </c:numRef>
          </c:xVal>
          <c:yVal>
            <c:numRef>
              <c:f>NewAlgorithm!$J$3:$J$6</c:f>
              <c:numCache>
                <c:formatCode>General</c:formatCode>
                <c:ptCount val="4"/>
                <c:pt idx="0">
                  <c:v>5.9340000000000002</c:v>
                </c:pt>
                <c:pt idx="1">
                  <c:v>9.9220000000000006</c:v>
                </c:pt>
                <c:pt idx="2">
                  <c:v>7.61</c:v>
                </c:pt>
                <c:pt idx="3">
                  <c:v>11.252000000000001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F3-42AC-A5E2-0C2A3C13C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NewAlgorithm!$H$2</c:f>
              <c:strCache>
                <c:ptCount val="1"/>
                <c:pt idx="0">
                  <c:v>Medium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669773008115226"/>
                  <c:y val="0.10728666727308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NewAlgorithm!$I$3:$I$6</c:f>
              <c:numCache>
                <c:formatCode>General</c:formatCode>
                <c:ptCount val="4"/>
                <c:pt idx="0">
                  <c:v>794.18145066391071</c:v>
                </c:pt>
                <c:pt idx="1">
                  <c:v>1451.0318110687708</c:v>
                </c:pt>
                <c:pt idx="2">
                  <c:v>807.88874436059064</c:v>
                </c:pt>
                <c:pt idx="3">
                  <c:v>2078.0946844818982</c:v>
                </c:pt>
              </c:numCache>
            </c:numRef>
          </c:xVal>
          <c:yVal>
            <c:numRef>
              <c:f>NewAlgorithm!$J$3:$J$6</c:f>
              <c:numCache>
                <c:formatCode>General</c:formatCode>
                <c:ptCount val="4"/>
                <c:pt idx="0">
                  <c:v>5.9340000000000002</c:v>
                </c:pt>
                <c:pt idx="1">
                  <c:v>9.9220000000000006</c:v>
                </c:pt>
                <c:pt idx="2">
                  <c:v>7.61</c:v>
                </c:pt>
                <c:pt idx="3">
                  <c:v>11.252000000000001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5-47C8-A9FF-12B6746D70F7}"/>
            </c:ext>
          </c:extLst>
        </c:ser>
        <c:ser>
          <c:idx val="1"/>
          <c:order val="1"/>
          <c:tx>
            <c:strRef>
              <c:f>NewAlgorithm!$B$2</c:f>
              <c:strCache>
                <c:ptCount val="1"/>
                <c:pt idx="0">
                  <c:v>Fast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324833075432542E-2"/>
                  <c:y val="-9.101691999679377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NewAlgorithm!$C$3:$C$5</c:f>
              <c:numCache>
                <c:formatCode>General</c:formatCode>
                <c:ptCount val="3"/>
                <c:pt idx="0">
                  <c:v>1276.1969015012551</c:v>
                </c:pt>
                <c:pt idx="1">
                  <c:v>1329.5529378995395</c:v>
                </c:pt>
                <c:pt idx="2">
                  <c:v>851.07013490522525</c:v>
                </c:pt>
              </c:numCache>
            </c:numRef>
          </c:xVal>
          <c:yVal>
            <c:numRef>
              <c:f>NewAlgorithm!$D$3:$D$5</c:f>
              <c:numCache>
                <c:formatCode>General</c:formatCode>
                <c:ptCount val="3"/>
                <c:pt idx="0">
                  <c:v>10.962999999999999</c:v>
                </c:pt>
                <c:pt idx="1">
                  <c:v>11.541</c:v>
                </c:pt>
                <c:pt idx="2">
                  <c:v>7.7839999999999998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5-47C8-A9FF-12B6746D70F7}"/>
            </c:ext>
          </c:extLst>
        </c:ser>
        <c:ser>
          <c:idx val="2"/>
          <c:order val="2"/>
          <c:tx>
            <c:strRef>
              <c:f>NewAlgorithm!$N$2</c:f>
              <c:strCache>
                <c:ptCount val="1"/>
                <c:pt idx="0">
                  <c:v>Slow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256321032579467E-2"/>
                  <c:y val="0.256246643304516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NewAlgorithm!$O$3:$O$5</c:f>
              <c:numCache>
                <c:formatCode>General</c:formatCode>
                <c:ptCount val="3"/>
                <c:pt idx="0">
                  <c:v>975.38270734297532</c:v>
                </c:pt>
                <c:pt idx="1">
                  <c:v>1219.0825632125889</c:v>
                </c:pt>
                <c:pt idx="2">
                  <c:v>1419.7819031453084</c:v>
                </c:pt>
              </c:numCache>
            </c:numRef>
          </c:xVal>
          <c:yVal>
            <c:numRef>
              <c:f>NewAlgorithm!$P$3:$P$5</c:f>
              <c:numCache>
                <c:formatCode>General</c:formatCode>
                <c:ptCount val="3"/>
                <c:pt idx="0">
                  <c:v>6.2229999999999999</c:v>
                </c:pt>
                <c:pt idx="1">
                  <c:v>8.9979999999999993</c:v>
                </c:pt>
                <c:pt idx="2">
                  <c:v>10.500999999999999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5-47C8-A9FF-12B6746D7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OldAlgorithm!$N$2</c:f>
              <c:strCache>
                <c:ptCount val="1"/>
                <c:pt idx="0">
                  <c:v>Slow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5653980752406"/>
                  <c:y val="-4.0895304753572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OldAlgorithm!$O$3:$O$5</c:f>
              <c:numCache>
                <c:formatCode>General</c:formatCode>
                <c:ptCount val="3"/>
                <c:pt idx="0">
                  <c:v>1370.2738358913846</c:v>
                </c:pt>
                <c:pt idx="1">
                  <c:v>1709.4686516956806</c:v>
                </c:pt>
                <c:pt idx="2">
                  <c:v>1981.5052247440526</c:v>
                </c:pt>
              </c:numCache>
            </c:numRef>
          </c:xVal>
          <c:yVal>
            <c:numRef>
              <c:f>OldAlgorithm!$P$3:$P$5</c:f>
              <c:numCache>
                <c:formatCode>General</c:formatCode>
                <c:ptCount val="3"/>
                <c:pt idx="0">
                  <c:v>6.2229999999999999</c:v>
                </c:pt>
                <c:pt idx="1">
                  <c:v>8.9979999999999993</c:v>
                </c:pt>
                <c:pt idx="2">
                  <c:v>10.500999999999999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F3-485E-A803-F6A0A815D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OldAlgorithm!$B$2</c:f>
              <c:strCache>
                <c:ptCount val="1"/>
                <c:pt idx="0">
                  <c:v>Fast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5653980752406"/>
                  <c:y val="-4.0895304753572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OldAlgorithm!$C$3:$C$5</c:f>
              <c:numCache>
                <c:formatCode>General</c:formatCode>
                <c:ptCount val="3"/>
                <c:pt idx="0">
                  <c:v>1699.878722374478</c:v>
                </c:pt>
                <c:pt idx="1">
                  <c:v>1801.3717363604721</c:v>
                </c:pt>
                <c:pt idx="2">
                  <c:v>1134.0957715583102</c:v>
                </c:pt>
              </c:numCache>
            </c:numRef>
          </c:xVal>
          <c:yVal>
            <c:numRef>
              <c:f>OldAlgorithm!$D$3:$D$5</c:f>
              <c:numCache>
                <c:formatCode>General</c:formatCode>
                <c:ptCount val="3"/>
                <c:pt idx="0">
                  <c:v>10.962999999999999</c:v>
                </c:pt>
                <c:pt idx="1">
                  <c:v>11.541</c:v>
                </c:pt>
                <c:pt idx="2">
                  <c:v>7.7839999999999998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9F-43BE-B27A-CD8BED49D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OldAlgorithm!$H$2</c:f>
              <c:strCache>
                <c:ptCount val="1"/>
                <c:pt idx="0">
                  <c:v>Medium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5653980752406"/>
                  <c:y val="-4.0895304753572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OldAlgorithm!$I$3:$I$6</c:f>
              <c:numCache>
                <c:formatCode>General</c:formatCode>
                <c:ptCount val="4"/>
                <c:pt idx="0">
                  <c:v>1141.5719365164164</c:v>
                </c:pt>
                <c:pt idx="1">
                  <c:v>2061.2846912696186</c:v>
                </c:pt>
                <c:pt idx="2">
                  <c:v>1145.0459907969637</c:v>
                </c:pt>
                <c:pt idx="3">
                  <c:v>2977.7921245096777</c:v>
                </c:pt>
              </c:numCache>
            </c:numRef>
          </c:xVal>
          <c:yVal>
            <c:numRef>
              <c:f>OldAlgorithm!$J$3:$J$6</c:f>
              <c:numCache>
                <c:formatCode>General</c:formatCode>
                <c:ptCount val="4"/>
                <c:pt idx="0">
                  <c:v>5.9340000000000002</c:v>
                </c:pt>
                <c:pt idx="1">
                  <c:v>9.9220000000000006</c:v>
                </c:pt>
                <c:pt idx="2">
                  <c:v>7.61</c:v>
                </c:pt>
                <c:pt idx="3">
                  <c:v>11.252000000000001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C3-4F12-90CA-D584F7688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OldAlgorithm!$H$2</c:f>
              <c:strCache>
                <c:ptCount val="1"/>
                <c:pt idx="0">
                  <c:v>Medium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601470555141114E-2"/>
                  <c:y val="-1.638232510134255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0.0074x + 0.0421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1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OldAlgorithm!$I$3:$I$6</c:f>
              <c:numCache>
                <c:formatCode>General</c:formatCode>
                <c:ptCount val="4"/>
                <c:pt idx="0">
                  <c:v>1141.5719365164164</c:v>
                </c:pt>
                <c:pt idx="1">
                  <c:v>2061.2846912696186</c:v>
                </c:pt>
                <c:pt idx="2">
                  <c:v>1145.0459907969637</c:v>
                </c:pt>
                <c:pt idx="3">
                  <c:v>2977.7921245096777</c:v>
                </c:pt>
              </c:numCache>
            </c:numRef>
          </c:xVal>
          <c:yVal>
            <c:numRef>
              <c:f>OldAlgorithm!$J$3:$J$6</c:f>
              <c:numCache>
                <c:formatCode>General</c:formatCode>
                <c:ptCount val="4"/>
                <c:pt idx="0">
                  <c:v>5.9340000000000002</c:v>
                </c:pt>
                <c:pt idx="1">
                  <c:v>9.9220000000000006</c:v>
                </c:pt>
                <c:pt idx="2">
                  <c:v>7.61</c:v>
                </c:pt>
                <c:pt idx="3">
                  <c:v>11.252000000000001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CB-440C-BBD4-AED3312AD686}"/>
            </c:ext>
          </c:extLst>
        </c:ser>
        <c:ser>
          <c:idx val="1"/>
          <c:order val="1"/>
          <c:tx>
            <c:strRef>
              <c:f>OldAlgorithm!$B$2</c:f>
              <c:strCache>
                <c:ptCount val="1"/>
                <c:pt idx="0">
                  <c:v>Fast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327868011519527E-2"/>
                  <c:y val="-1.92441501012810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0.0074x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1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OldAlgorithm!$C$3:$C$5</c:f>
              <c:numCache>
                <c:formatCode>General</c:formatCode>
                <c:ptCount val="3"/>
                <c:pt idx="0">
                  <c:v>1699.878722374478</c:v>
                </c:pt>
                <c:pt idx="1">
                  <c:v>1801.3717363604721</c:v>
                </c:pt>
                <c:pt idx="2">
                  <c:v>1134.0957715583102</c:v>
                </c:pt>
              </c:numCache>
            </c:numRef>
          </c:xVal>
          <c:yVal>
            <c:numRef>
              <c:f>OldAlgorithm!$D$3:$D$5</c:f>
              <c:numCache>
                <c:formatCode>General</c:formatCode>
                <c:ptCount val="3"/>
                <c:pt idx="0">
                  <c:v>10.962999999999999</c:v>
                </c:pt>
                <c:pt idx="1">
                  <c:v>11.541</c:v>
                </c:pt>
                <c:pt idx="2">
                  <c:v>7.7839999999999998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CB-440C-BBD4-AED3312AD686}"/>
            </c:ext>
          </c:extLst>
        </c:ser>
        <c:ser>
          <c:idx val="2"/>
          <c:order val="2"/>
          <c:tx>
            <c:strRef>
              <c:f>OldAlgorithm!$N$2</c:f>
              <c:strCache>
                <c:ptCount val="1"/>
                <c:pt idx="0">
                  <c:v>Slow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485814107634543E-2"/>
                  <c:y val="0.21028343841093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OldAlgorithm!$O$3:$O$5</c:f>
              <c:numCache>
                <c:formatCode>General</c:formatCode>
                <c:ptCount val="3"/>
                <c:pt idx="0">
                  <c:v>1370.2738358913846</c:v>
                </c:pt>
                <c:pt idx="1">
                  <c:v>1709.4686516956806</c:v>
                </c:pt>
                <c:pt idx="2">
                  <c:v>1981.5052247440526</c:v>
                </c:pt>
              </c:numCache>
            </c:numRef>
          </c:xVal>
          <c:yVal>
            <c:numRef>
              <c:f>OldAlgorithm!$P$3:$P$5</c:f>
              <c:numCache>
                <c:formatCode>General</c:formatCode>
                <c:ptCount val="3"/>
                <c:pt idx="0">
                  <c:v>6.2229999999999999</c:v>
                </c:pt>
                <c:pt idx="1">
                  <c:v>8.9979999999999993</c:v>
                </c:pt>
                <c:pt idx="2">
                  <c:v>10.500999999999999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CB-440C-BBD4-AED3312AD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34463"/>
        <c:axId val="943492015"/>
      </c:scatterChart>
      <c:valAx>
        <c:axId val="39253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2015"/>
        <c:crosses val="autoZero"/>
        <c:crossBetween val="midCat"/>
      </c:valAx>
      <c:valAx>
        <c:axId val="9434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3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17</xdr:col>
      <xdr:colOff>576943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23B5D4-44FC-4484-A0AE-4176FEEBF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4</xdr:col>
      <xdr:colOff>576943</xdr:colOff>
      <xdr:row>21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EC21BE-AFA4-4063-92E3-B851037D1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</xdr:row>
      <xdr:rowOff>0</xdr:rowOff>
    </xdr:from>
    <xdr:to>
      <xdr:col>11</xdr:col>
      <xdr:colOff>576943</xdr:colOff>
      <xdr:row>21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3DD70A-A36E-4C5F-8491-986818871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5443</xdr:colOff>
      <xdr:row>26</xdr:row>
      <xdr:rowOff>5442</xdr:rowOff>
    </xdr:from>
    <xdr:to>
      <xdr:col>14</xdr:col>
      <xdr:colOff>5443</xdr:colOff>
      <xdr:row>44</xdr:row>
      <xdr:rowOff>5443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2D9FB4-9E1B-45D1-B97B-5C82AB3B2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17</xdr:col>
      <xdr:colOff>576943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4C604-FC44-4CF6-9A60-E985E44A7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4</xdr:col>
      <xdr:colOff>576943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EF686D-0C8A-4F18-8602-72F560268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</xdr:row>
      <xdr:rowOff>0</xdr:rowOff>
    </xdr:from>
    <xdr:to>
      <xdr:col>11</xdr:col>
      <xdr:colOff>576943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922E64-4A2D-4A1F-9C13-0E2D9B03A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25</xdr:row>
      <xdr:rowOff>1656</xdr:rowOff>
    </xdr:from>
    <xdr:to>
      <xdr:col>14</xdr:col>
      <xdr:colOff>0</xdr:colOff>
      <xdr:row>43</xdr:row>
      <xdr:rowOff>1655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E1BB2C-0012-49FA-B954-1BA849784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A875-5679-4564-B9C2-5A1B0CF1859B}">
  <sheetPr>
    <tabColor theme="3" tint="0.49995422223578601"/>
  </sheetPr>
  <dimension ref="B1:P33"/>
  <sheetViews>
    <sheetView topLeftCell="E1" zoomScale="98" workbookViewId="0">
      <selection activeCell="O24" sqref="O24"/>
    </sheetView>
  </sheetViews>
  <sheetFormatPr defaultRowHeight="14.6" x14ac:dyDescent="0.4"/>
  <cols>
    <col min="2" max="2" width="7.84375" bestFit="1" customWidth="1"/>
    <col min="3" max="3" width="6.23046875" customWidth="1"/>
    <col min="4" max="4" width="17.53515625" bestFit="1" customWidth="1"/>
    <col min="5" max="5" width="20.4609375" bestFit="1" customWidth="1"/>
    <col min="6" max="6" width="17.53515625" bestFit="1" customWidth="1"/>
    <col min="7" max="7" width="20.4609375" bestFit="1" customWidth="1"/>
    <col min="12" max="12" width="22.07421875" bestFit="1" customWidth="1"/>
    <col min="13" max="13" width="24.4609375" bestFit="1" customWidth="1"/>
    <col min="14" max="14" width="24.4609375" customWidth="1"/>
    <col min="15" max="15" width="24.4609375" bestFit="1" customWidth="1"/>
    <col min="16" max="16" width="25.4609375" bestFit="1" customWidth="1"/>
    <col min="18" max="18" width="10.3828125" customWidth="1"/>
    <col min="19" max="19" width="20.765625" bestFit="1" customWidth="1"/>
    <col min="20" max="20" width="23.765625" bestFit="1" customWidth="1"/>
    <col min="21" max="21" width="17.53515625" bestFit="1" customWidth="1"/>
    <col min="22" max="22" width="20.4609375" bestFit="1" customWidth="1"/>
  </cols>
  <sheetData>
    <row r="1" spans="2:16" ht="15" thickBot="1" x14ac:dyDescent="0.45"/>
    <row r="2" spans="2:16" x14ac:dyDescent="0.4">
      <c r="B2" s="3"/>
      <c r="C2" s="4"/>
      <c r="D2" s="48" t="s">
        <v>3</v>
      </c>
      <c r="E2" s="48"/>
      <c r="F2" s="48" t="s">
        <v>4</v>
      </c>
      <c r="G2" s="49"/>
      <c r="J2" s="3"/>
      <c r="K2" s="4"/>
      <c r="L2" s="23" t="s">
        <v>109</v>
      </c>
      <c r="M2" s="23" t="s">
        <v>110</v>
      </c>
      <c r="N2" s="23" t="s">
        <v>111</v>
      </c>
      <c r="O2" s="23" t="s">
        <v>112</v>
      </c>
      <c r="P2" s="24" t="s">
        <v>113</v>
      </c>
    </row>
    <row r="3" spans="2:16" x14ac:dyDescent="0.4">
      <c r="B3" s="5"/>
      <c r="C3" s="6"/>
      <c r="D3" s="7" t="s">
        <v>98</v>
      </c>
      <c r="E3" s="7" t="s">
        <v>99</v>
      </c>
      <c r="F3" s="7" t="s">
        <v>98</v>
      </c>
      <c r="G3" s="8" t="s">
        <v>100</v>
      </c>
      <c r="J3" s="50" t="s">
        <v>91</v>
      </c>
      <c r="K3" s="9">
        <v>1</v>
      </c>
      <c r="L3" s="10">
        <v>10.962999999999999</v>
      </c>
      <c r="M3" s="10">
        <f>NewAlgorithm!E3</f>
        <v>11.040316141559664</v>
      </c>
      <c r="N3" s="10">
        <v>10.921820845297077</v>
      </c>
      <c r="O3" s="21">
        <f t="shared" ref="O3:O12" si="0">(ABS(M3-L3))/L3</f>
        <v>7.0524620596246505E-3</v>
      </c>
      <c r="P3" s="25">
        <f>(ABS(N3-L3))/L3</f>
        <v>3.756193989138202E-3</v>
      </c>
    </row>
    <row r="4" spans="2:16" x14ac:dyDescent="0.4">
      <c r="B4" s="44" t="s">
        <v>91</v>
      </c>
      <c r="C4" s="9">
        <v>1</v>
      </c>
      <c r="D4" s="10">
        <v>1276.1969015012551</v>
      </c>
      <c r="E4" s="10">
        <v>1699.878722374478</v>
      </c>
      <c r="F4" s="10">
        <v>9.4870201035770751</v>
      </c>
      <c r="G4" s="11">
        <v>12.636595178877833</v>
      </c>
      <c r="J4" s="50"/>
      <c r="K4" s="12">
        <v>2</v>
      </c>
      <c r="L4" s="13">
        <v>11.541</v>
      </c>
      <c r="M4" s="13">
        <f>NewAlgorithm!E4</f>
        <v>11.451157621826454</v>
      </c>
      <c r="N4" s="13">
        <v>11.490181723618644</v>
      </c>
      <c r="O4" s="22">
        <f t="shared" si="0"/>
        <v>7.7846268238061407E-3</v>
      </c>
      <c r="P4" s="26">
        <f t="shared" ref="P4:P12" si="1">(ABS(N4-L4))/L4</f>
        <v>4.403281897700069E-3</v>
      </c>
    </row>
    <row r="5" spans="2:16" x14ac:dyDescent="0.4">
      <c r="B5" s="45"/>
      <c r="C5" s="12">
        <v>2</v>
      </c>
      <c r="D5" s="13">
        <v>1329.5529378995395</v>
      </c>
      <c r="E5" s="13">
        <v>1801.3717363604721</v>
      </c>
      <c r="F5" s="13">
        <v>9.883659359919303</v>
      </c>
      <c r="G5" s="14">
        <v>13.391076139398178</v>
      </c>
      <c r="J5" s="50"/>
      <c r="K5" s="9">
        <v>3</v>
      </c>
      <c r="L5" s="10">
        <v>7.7839999999999998</v>
      </c>
      <c r="M5" s="10">
        <f>NewAlgorithm!E5</f>
        <v>7.7668400387702352</v>
      </c>
      <c r="N5" s="10">
        <v>7.7534363207265367</v>
      </c>
      <c r="O5" s="21">
        <f t="shared" si="0"/>
        <v>2.2045171158484836E-3</v>
      </c>
      <c r="P5" s="25">
        <f t="shared" si="1"/>
        <v>3.926474726806674E-3</v>
      </c>
    </row>
    <row r="6" spans="2:16" x14ac:dyDescent="0.4">
      <c r="B6" s="46"/>
      <c r="C6" s="9">
        <v>3</v>
      </c>
      <c r="D6" s="10">
        <v>851.07013490522525</v>
      </c>
      <c r="E6" s="10">
        <v>1134.0957715583102</v>
      </c>
      <c r="F6" s="10">
        <v>6.326703559538446</v>
      </c>
      <c r="G6" s="11">
        <v>8.430665653159684</v>
      </c>
      <c r="J6" s="50" t="s">
        <v>93</v>
      </c>
      <c r="K6" s="12">
        <v>1</v>
      </c>
      <c r="L6" s="13">
        <v>5.9340000000000002</v>
      </c>
      <c r="M6" s="13">
        <v>6.8588532223900787</v>
      </c>
      <c r="N6" s="13">
        <v>6.8934298412910415</v>
      </c>
      <c r="O6" s="22">
        <f t="shared" si="0"/>
        <v>0.1558566266245498</v>
      </c>
      <c r="P6" s="26">
        <f t="shared" si="1"/>
        <v>0.16168349196006762</v>
      </c>
    </row>
    <row r="7" spans="2:16" x14ac:dyDescent="0.4">
      <c r="B7" s="44" t="s">
        <v>93</v>
      </c>
      <c r="C7" s="12">
        <v>1</v>
      </c>
      <c r="D7" s="13">
        <v>794.18145066391071</v>
      </c>
      <c r="E7" s="13">
        <v>1141.5719365164164</v>
      </c>
      <c r="F7" s="13">
        <v>5.9559272336989171</v>
      </c>
      <c r="G7" s="14">
        <v>8.4862421297768726</v>
      </c>
      <c r="J7" s="50"/>
      <c r="K7" s="9">
        <v>2</v>
      </c>
      <c r="L7" s="10">
        <v>9.9220000000000006</v>
      </c>
      <c r="M7" s="10">
        <v>9.2235145198475745</v>
      </c>
      <c r="N7" s="10">
        <v>9.1927117281740465</v>
      </c>
      <c r="O7" s="21">
        <f t="shared" si="0"/>
        <v>7.0397649682768196E-2</v>
      </c>
      <c r="P7" s="25">
        <f t="shared" si="1"/>
        <v>7.3502143905054843E-2</v>
      </c>
    </row>
    <row r="8" spans="2:16" x14ac:dyDescent="0.4">
      <c r="B8" s="45"/>
      <c r="C8" s="9">
        <v>2</v>
      </c>
      <c r="D8" s="10">
        <v>1451.0318110687708</v>
      </c>
      <c r="E8" s="10">
        <v>2061.2846912696186</v>
      </c>
      <c r="F8" s="10">
        <v>10.786711632308208</v>
      </c>
      <c r="G8" s="11">
        <v>15.323222680031954</v>
      </c>
      <c r="J8" s="50"/>
      <c r="K8" s="12">
        <v>3</v>
      </c>
      <c r="L8" s="13">
        <v>7.61</v>
      </c>
      <c r="M8" s="13">
        <v>6.9081994796981263</v>
      </c>
      <c r="N8" s="13">
        <v>6.9021149769924097</v>
      </c>
      <c r="O8" s="22">
        <f t="shared" si="0"/>
        <v>9.2220830525870434E-2</v>
      </c>
      <c r="P8" s="26">
        <f t="shared" si="1"/>
        <v>9.302037096026157E-2</v>
      </c>
    </row>
    <row r="9" spans="2:16" x14ac:dyDescent="0.4">
      <c r="B9" s="45"/>
      <c r="C9" s="12">
        <v>3</v>
      </c>
      <c r="D9" s="13">
        <v>807.88874436059064</v>
      </c>
      <c r="E9" s="13">
        <v>1145.0459907969637</v>
      </c>
      <c r="F9" s="13">
        <v>6.0057008054058709</v>
      </c>
      <c r="G9" s="14">
        <v>8.5120676295580573</v>
      </c>
      <c r="J9" s="50"/>
      <c r="K9" s="9">
        <v>4</v>
      </c>
      <c r="L9" s="10">
        <v>11.252000000000001</v>
      </c>
      <c r="M9" s="10">
        <v>11.480940864134833</v>
      </c>
      <c r="N9" s="10">
        <v>11.483980311274195</v>
      </c>
      <c r="O9" s="21">
        <f t="shared" si="0"/>
        <v>2.0346681846323562E-2</v>
      </c>
      <c r="P9" s="25">
        <f t="shared" si="1"/>
        <v>2.0616806903145577E-2</v>
      </c>
    </row>
    <row r="10" spans="2:16" x14ac:dyDescent="0.4">
      <c r="B10" s="46"/>
      <c r="C10" s="9">
        <v>4</v>
      </c>
      <c r="D10" s="10">
        <v>2078.0946844818982</v>
      </c>
      <c r="E10" s="10">
        <v>2977.7921245096777</v>
      </c>
      <c r="F10" s="10">
        <v>15.448185170818673</v>
      </c>
      <c r="G10" s="11">
        <v>22.136375441959199</v>
      </c>
      <c r="J10" s="50" t="s">
        <v>92</v>
      </c>
      <c r="K10" s="12">
        <v>1</v>
      </c>
      <c r="L10" s="13">
        <v>6.2229999999999999</v>
      </c>
      <c r="M10" s="13">
        <v>6.3629122612268603</v>
      </c>
      <c r="N10" s="13">
        <v>6.2773168512396911</v>
      </c>
      <c r="O10" s="22">
        <f t="shared" si="0"/>
        <v>2.2483088739652966E-2</v>
      </c>
      <c r="P10" s="26">
        <f t="shared" si="1"/>
        <v>8.7284028988737286E-3</v>
      </c>
    </row>
    <row r="11" spans="2:16" x14ac:dyDescent="0.4">
      <c r="B11" s="44" t="s">
        <v>92</v>
      </c>
      <c r="C11" s="12">
        <v>1</v>
      </c>
      <c r="D11" s="13">
        <v>975.38270734297532</v>
      </c>
      <c r="E11" s="13">
        <v>1370.2738358913846</v>
      </c>
      <c r="F11" s="13">
        <v>5.9125640512693272</v>
      </c>
      <c r="G11" s="14">
        <v>10.267429066509548</v>
      </c>
      <c r="J11" s="50"/>
      <c r="K11" s="9">
        <v>2</v>
      </c>
      <c r="L11" s="10">
        <v>8.9979999999999993</v>
      </c>
      <c r="M11" s="10">
        <v>8.7268008631621115</v>
      </c>
      <c r="N11" s="10">
        <v>8.6516805618697639</v>
      </c>
      <c r="O11" s="21">
        <f t="shared" si="0"/>
        <v>3.0139935189807503E-2</v>
      </c>
      <c r="P11" s="25">
        <f t="shared" si="1"/>
        <v>3.8488490567930148E-2</v>
      </c>
    </row>
    <row r="12" spans="2:16" ht="15" thickBot="1" x14ac:dyDescent="0.45">
      <c r="B12" s="45"/>
      <c r="C12" s="9">
        <v>2</v>
      </c>
      <c r="D12" s="10">
        <v>1219.0825632125889</v>
      </c>
      <c r="E12" s="10">
        <v>1709.4686516956806</v>
      </c>
      <c r="F12" s="10">
        <v>7.3758654946247013</v>
      </c>
      <c r="G12" s="11">
        <v>12.798320417145714</v>
      </c>
      <c r="J12" s="51"/>
      <c r="K12" s="15">
        <v>3</v>
      </c>
      <c r="L12" s="16">
        <v>10.500999999999999</v>
      </c>
      <c r="M12" s="16">
        <v>10.673584460509492</v>
      </c>
      <c r="N12" s="16">
        <v>10.555936573208369</v>
      </c>
      <c r="O12" s="28">
        <f t="shared" si="0"/>
        <v>1.6435050043757015E-2</v>
      </c>
      <c r="P12" s="29">
        <f t="shared" si="1"/>
        <v>5.2315563478115713E-3</v>
      </c>
    </row>
    <row r="13" spans="2:16" ht="15" thickBot="1" x14ac:dyDescent="0.45">
      <c r="B13" s="47"/>
      <c r="C13" s="15">
        <v>3</v>
      </c>
      <c r="D13" s="16">
        <v>1419.7819031453084</v>
      </c>
      <c r="E13" s="16">
        <v>1981.5052247440526</v>
      </c>
      <c r="F13" s="16">
        <v>8.5425597788100713</v>
      </c>
      <c r="G13" s="17">
        <v>14.798080226637703</v>
      </c>
      <c r="N13" s="27" t="s">
        <v>118</v>
      </c>
      <c r="O13" s="30">
        <f>AVERAGE(O3:O12)</f>
        <v>4.2492146865200878E-2</v>
      </c>
      <c r="P13" s="31">
        <f>AVERAGE(P3:P12)</f>
        <v>4.1335721415678997E-2</v>
      </c>
    </row>
    <row r="15" spans="2:16" ht="15" thickBot="1" x14ac:dyDescent="0.45"/>
    <row r="16" spans="2:16" ht="15" thickBot="1" x14ac:dyDescent="0.45">
      <c r="D16" s="2" t="s">
        <v>94</v>
      </c>
      <c r="E16" s="18" cm="1">
        <f t="array" ref="E16:E25">E4:E13-D4:D13</f>
        <v>423.68182087322293</v>
      </c>
      <c r="F16" s="2" t="s">
        <v>96</v>
      </c>
      <c r="G16" s="18" cm="1">
        <f t="array" ref="G16:G25">G4:G13-F4:F13</f>
        <v>3.1495750753007581</v>
      </c>
      <c r="N16" s="36" t="s">
        <v>178</v>
      </c>
      <c r="O16" s="39" t="s">
        <v>99</v>
      </c>
      <c r="P16" s="40" t="s">
        <v>98</v>
      </c>
    </row>
    <row r="17" spans="4:16" x14ac:dyDescent="0.4">
      <c r="E17">
        <v>471.81879846093261</v>
      </c>
      <c r="G17">
        <v>3.5074167794788753</v>
      </c>
      <c r="J17" s="32" t="s">
        <v>119</v>
      </c>
      <c r="K17" s="34" t="s">
        <v>99</v>
      </c>
      <c r="N17" s="37" t="s">
        <v>91</v>
      </c>
      <c r="O17" s="41" t="s">
        <v>172</v>
      </c>
      <c r="P17" s="42" t="s">
        <v>175</v>
      </c>
    </row>
    <row r="18" spans="4:16" ht="15" thickBot="1" x14ac:dyDescent="0.45">
      <c r="E18">
        <v>283.02563665308492</v>
      </c>
      <c r="G18">
        <v>2.103962093621238</v>
      </c>
      <c r="J18" s="33" t="s">
        <v>120</v>
      </c>
      <c r="K18" s="35" t="s">
        <v>98</v>
      </c>
      <c r="N18" s="37" t="s">
        <v>171</v>
      </c>
      <c r="O18" s="41" t="s">
        <v>173</v>
      </c>
      <c r="P18" s="42" t="s">
        <v>176</v>
      </c>
    </row>
    <row r="19" spans="4:16" ht="15" thickBot="1" x14ac:dyDescent="0.45">
      <c r="E19">
        <v>347.39048585250566</v>
      </c>
      <c r="G19">
        <v>2.5303148960779556</v>
      </c>
      <c r="N19" s="38" t="s">
        <v>92</v>
      </c>
      <c r="O19" s="43" t="s">
        <v>174</v>
      </c>
      <c r="P19" s="35" t="s">
        <v>177</v>
      </c>
    </row>
    <row r="20" spans="4:16" x14ac:dyDescent="0.4">
      <c r="E20">
        <v>610.25288020084781</v>
      </c>
      <c r="G20">
        <v>4.5365110477237458</v>
      </c>
    </row>
    <row r="21" spans="4:16" x14ac:dyDescent="0.4">
      <c r="E21">
        <v>337.15724643637304</v>
      </c>
      <c r="G21">
        <v>2.5063668241521864</v>
      </c>
    </row>
    <row r="22" spans="4:16" x14ac:dyDescent="0.4">
      <c r="E22">
        <v>899.69744002777952</v>
      </c>
      <c r="G22">
        <v>6.6881902711405257</v>
      </c>
    </row>
    <row r="23" spans="4:16" x14ac:dyDescent="0.4">
      <c r="E23">
        <v>394.89112854840926</v>
      </c>
      <c r="G23">
        <v>4.3548650152402208</v>
      </c>
    </row>
    <row r="24" spans="4:16" x14ac:dyDescent="0.4">
      <c r="E24">
        <v>490.38608848309173</v>
      </c>
      <c r="G24">
        <v>5.4224549225210126</v>
      </c>
    </row>
    <row r="25" spans="4:16" x14ac:dyDescent="0.4">
      <c r="E25">
        <v>561.72332159874418</v>
      </c>
      <c r="G25">
        <v>6.2555204478276316</v>
      </c>
    </row>
    <row r="26" spans="4:16" x14ac:dyDescent="0.4">
      <c r="K26" t="s">
        <v>170</v>
      </c>
      <c r="L26" t="str" cm="1">
        <f t="array" ref="L26:O26">day19_trial1!$C$2:$F$2</f>
        <v>Increment Extract Angle</v>
      </c>
      <c r="M26" t="str">
        <v>Volume Pumped Increment</v>
      </c>
      <c r="N26" t="str">
        <v>Stroke Extract Angle</v>
      </c>
      <c r="O26" t="str">
        <v>Volume Pumped Stroke</v>
      </c>
    </row>
    <row r="27" spans="4:16" x14ac:dyDescent="0.4">
      <c r="D27" s="2" t="s">
        <v>104</v>
      </c>
      <c r="E27">
        <f>AVERAGE(E17:E25)</f>
        <v>488.48255847352982</v>
      </c>
      <c r="F27" s="2" t="s">
        <v>95</v>
      </c>
      <c r="G27">
        <f>AVERAGE(G17:G25)</f>
        <v>4.2117335886425984</v>
      </c>
      <c r="K27">
        <v>1</v>
      </c>
      <c r="L27" cm="1">
        <f t="array" ref="L27:O27">day19_trial1!$C$3:$F$3</f>
        <v>1359.8131738153979</v>
      </c>
      <c r="M27">
        <v>10.108608555560689</v>
      </c>
      <c r="N27">
        <v>880.11081072749766</v>
      </c>
      <c r="O27">
        <v>6.5859779015395681</v>
      </c>
    </row>
    <row r="28" spans="4:16" x14ac:dyDescent="0.4">
      <c r="K28">
        <v>3</v>
      </c>
      <c r="L28" cm="1">
        <f t="array" ref="L28:O28">day19_trial3!$C$3:$F$3</f>
        <v>1145.5797910198723</v>
      </c>
      <c r="M28">
        <v>8.5574510383765876</v>
      </c>
      <c r="N28">
        <v>777.69080299959012</v>
      </c>
      <c r="O28">
        <v>4.6999548132578743</v>
      </c>
    </row>
    <row r="29" spans="4:16" x14ac:dyDescent="0.4">
      <c r="D29" t="s">
        <v>105</v>
      </c>
      <c r="K29">
        <v>4</v>
      </c>
      <c r="L29" cm="1">
        <f t="array" ref="L29:O29">day19_trial4!$C$3:$F$3</f>
        <v>932.95340884072732</v>
      </c>
      <c r="M29">
        <v>6.9701247439442087</v>
      </c>
      <c r="N29">
        <v>602.74402234798947</v>
      </c>
      <c r="O29">
        <v>3.6575489780620147</v>
      </c>
    </row>
    <row r="30" spans="4:16" x14ac:dyDescent="0.4">
      <c r="D30" t="s">
        <v>106</v>
      </c>
      <c r="E30" s="20">
        <f>(SUM(E4:E6)-SUM(D4:D6))/SUM(D4:D6)</f>
        <v>0.34092786571098138</v>
      </c>
      <c r="K30">
        <v>5</v>
      </c>
      <c r="L30" cm="1">
        <f t="array" ref="L30:O30">day19_trial5!$C$3:$F$3</f>
        <v>1635.2866456666129</v>
      </c>
      <c r="M30">
        <v>12.156429203283896</v>
      </c>
      <c r="N30">
        <v>1152.1049160006744</v>
      </c>
      <c r="O30">
        <v>8.5645424202729323</v>
      </c>
    </row>
    <row r="31" spans="4:16" x14ac:dyDescent="0.4">
      <c r="D31" t="s">
        <v>107</v>
      </c>
      <c r="E31" s="20">
        <f>(SUM(E7:E10)-SUM(D7:D10))/SUM(D7:D10)</f>
        <v>0.42767763250009394</v>
      </c>
      <c r="K31">
        <v>6</v>
      </c>
      <c r="L31" cm="1">
        <f t="array" ref="L31:O31">day19_trial6!$C$3:$F$3</f>
        <v>1065.1938235219247</v>
      </c>
      <c r="M31">
        <v>6.483931651278362</v>
      </c>
      <c r="N31">
        <v>704.29914284573385</v>
      </c>
      <c r="O31">
        <v>4.0861199437309041</v>
      </c>
    </row>
    <row r="32" spans="4:16" x14ac:dyDescent="0.4">
      <c r="D32" t="s">
        <v>108</v>
      </c>
      <c r="E32" s="20">
        <f>(SUM(E11:E13)-SUM(D11:D13))/SUM(D11:D13)</f>
        <v>0.40036014945501458</v>
      </c>
      <c r="K32">
        <v>7</v>
      </c>
      <c r="L32" cm="1">
        <f t="array" ref="L32:O32">day19_trial7!$C$3:$F$3</f>
        <v>1626.1396930481444</v>
      </c>
      <c r="M32">
        <v>12.088432389253242</v>
      </c>
      <c r="N32">
        <v>1216.5774895229488</v>
      </c>
      <c r="O32">
        <v>9.0438200305034933</v>
      </c>
    </row>
    <row r="33" spans="11:15" x14ac:dyDescent="0.4">
      <c r="K33">
        <v>8</v>
      </c>
      <c r="L33" cm="1">
        <f t="array" ref="L33:O33">day19_trial8!$C$3:$F$3</f>
        <v>1497.9331389613528</v>
      </c>
      <c r="M33">
        <v>11.135367737081667</v>
      </c>
      <c r="N33">
        <v>1078.0679809022413</v>
      </c>
      <c r="O33">
        <v>8.014165052282296</v>
      </c>
    </row>
  </sheetData>
  <mergeCells count="8">
    <mergeCell ref="J3:J5"/>
    <mergeCell ref="J6:J9"/>
    <mergeCell ref="J10:J12"/>
    <mergeCell ref="B4:B6"/>
    <mergeCell ref="B7:B10"/>
    <mergeCell ref="B11:B13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A0B4-5CF3-467E-A3CB-B0D803566305}">
  <sheetPr>
    <tabColor theme="3" tint="0.49995422223578601"/>
  </sheetPr>
  <dimension ref="B1:X46"/>
  <sheetViews>
    <sheetView zoomScale="94" workbookViewId="0">
      <selection activeCell="Q3" sqref="Q3"/>
    </sheetView>
  </sheetViews>
  <sheetFormatPr defaultRowHeight="14.6" x14ac:dyDescent="0.4"/>
  <cols>
    <col min="3" max="3" width="17.53515625" bestFit="1" customWidth="1"/>
    <col min="4" max="4" width="20.4609375" bestFit="1" customWidth="1"/>
    <col min="5" max="6" width="9.23046875" customWidth="1"/>
    <col min="9" max="9" width="17.53515625" bestFit="1" customWidth="1"/>
    <col min="10" max="10" width="20.4609375" bestFit="1" customWidth="1"/>
    <col min="15" max="15" width="17.53515625" bestFit="1" customWidth="1"/>
    <col min="16" max="16" width="20.4609375" bestFit="1" customWidth="1"/>
    <col min="21" max="21" width="23.53515625" customWidth="1"/>
  </cols>
  <sheetData>
    <row r="1" spans="2:24" x14ac:dyDescent="0.4">
      <c r="D1" t="s">
        <v>97</v>
      </c>
      <c r="J1" t="s">
        <v>97</v>
      </c>
      <c r="P1" t="s">
        <v>97</v>
      </c>
    </row>
    <row r="2" spans="2:24" x14ac:dyDescent="0.4">
      <c r="B2" s="1" t="s">
        <v>91</v>
      </c>
      <c r="C2" t="s">
        <v>3</v>
      </c>
      <c r="D2" t="s">
        <v>4</v>
      </c>
      <c r="E2" t="s">
        <v>117</v>
      </c>
      <c r="H2" s="1" t="s">
        <v>93</v>
      </c>
      <c r="I2" t="s">
        <v>3</v>
      </c>
      <c r="J2" t="s">
        <v>4</v>
      </c>
      <c r="K2" t="s">
        <v>117</v>
      </c>
      <c r="N2" s="1" t="s">
        <v>92</v>
      </c>
      <c r="O2" t="s">
        <v>3</v>
      </c>
      <c r="P2" t="s">
        <v>4</v>
      </c>
      <c r="Q2" t="s">
        <v>117</v>
      </c>
      <c r="T2" t="s">
        <v>170</v>
      </c>
      <c r="U2" t="str" cm="1">
        <f t="array" ref="U2:X3">day19_trial1!C2:F3</f>
        <v>Increment Extract Angle</v>
      </c>
      <c r="V2" t="str">
        <v>Volume Pumped Increment</v>
      </c>
      <c r="W2" t="str">
        <v>Stroke Extract Angle</v>
      </c>
      <c r="X2" t="str">
        <v>Volume Pumped Stroke</v>
      </c>
    </row>
    <row r="3" spans="2:24" x14ac:dyDescent="0.4">
      <c r="B3" s="1">
        <v>1</v>
      </c>
      <c r="C3">
        <v>1276.1969015012551</v>
      </c>
      <c r="D3">
        <v>10.962999999999999</v>
      </c>
      <c r="E3">
        <f>0.0077*(C3)+1.2136</f>
        <v>11.040316141559664</v>
      </c>
      <c r="H3" s="1">
        <v>1</v>
      </c>
      <c r="I3">
        <v>794.18145066391071</v>
      </c>
      <c r="J3">
        <v>5.9340000000000002</v>
      </c>
      <c r="K3">
        <f>0.0036*(I3) + 3.9998</f>
        <v>6.8588532223900787</v>
      </c>
      <c r="N3" s="1">
        <v>1</v>
      </c>
      <c r="O3">
        <v>975.38270734297532</v>
      </c>
      <c r="P3">
        <v>6.2229999999999999</v>
      </c>
      <c r="Q3">
        <f>0.0097*(O3) - 3.0983</f>
        <v>6.3629122612268603</v>
      </c>
      <c r="T3">
        <v>1</v>
      </c>
      <c r="U3">
        <v>1359.8131738153979</v>
      </c>
      <c r="V3">
        <v>10.108608555560689</v>
      </c>
      <c r="W3">
        <v>880.11081072749766</v>
      </c>
      <c r="X3">
        <v>6.5859779015395681</v>
      </c>
    </row>
    <row r="4" spans="2:24" x14ac:dyDescent="0.4">
      <c r="B4" s="1">
        <v>2</v>
      </c>
      <c r="C4">
        <v>1329.5529378995395</v>
      </c>
      <c r="D4">
        <v>11.541</v>
      </c>
      <c r="E4">
        <f t="shared" ref="E4:E5" si="0">0.0077*(C4)+1.2136</f>
        <v>11.451157621826454</v>
      </c>
      <c r="H4" s="1">
        <v>2</v>
      </c>
      <c r="I4">
        <v>1451.0318110687708</v>
      </c>
      <c r="J4">
        <v>9.9220000000000006</v>
      </c>
      <c r="K4">
        <f t="shared" ref="K4:K6" si="1">0.0036*(I4) + 3.9998</f>
        <v>9.2235145198475745</v>
      </c>
      <c r="N4" s="1">
        <v>2</v>
      </c>
      <c r="O4">
        <v>1219.0825632125889</v>
      </c>
      <c r="P4">
        <v>8.9979999999999993</v>
      </c>
      <c r="Q4">
        <f t="shared" ref="Q4:Q5" si="2">0.0097*(O4) - 3.0983</f>
        <v>8.7268008631621115</v>
      </c>
      <c r="T4">
        <v>3</v>
      </c>
      <c r="U4" cm="1">
        <f t="array" ref="U4:X4">day19_trial3!C3:F3</f>
        <v>1145.5797910198723</v>
      </c>
      <c r="V4">
        <v>8.5574510383765876</v>
      </c>
      <c r="W4">
        <v>777.69080299959012</v>
      </c>
      <c r="X4">
        <v>4.6999548132578743</v>
      </c>
    </row>
    <row r="5" spans="2:24" x14ac:dyDescent="0.4">
      <c r="B5" s="1">
        <v>3</v>
      </c>
      <c r="C5">
        <v>851.07013490522525</v>
      </c>
      <c r="D5">
        <v>7.7839999999999998</v>
      </c>
      <c r="E5">
        <f t="shared" si="0"/>
        <v>7.7668400387702352</v>
      </c>
      <c r="H5" s="1">
        <v>3</v>
      </c>
      <c r="I5">
        <v>807.88874436059064</v>
      </c>
      <c r="J5">
        <v>7.61</v>
      </c>
      <c r="K5">
        <f t="shared" si="1"/>
        <v>6.9081994796981263</v>
      </c>
      <c r="N5" s="1">
        <v>3</v>
      </c>
      <c r="O5">
        <v>1419.7819031453084</v>
      </c>
      <c r="P5">
        <v>10.500999999999999</v>
      </c>
      <c r="Q5">
        <f t="shared" si="2"/>
        <v>10.673584460509492</v>
      </c>
      <c r="T5">
        <v>4</v>
      </c>
      <c r="U5" cm="1">
        <f t="array" ref="U5:X5">day19_trial4!$C$3:$F$3</f>
        <v>932.95340884072732</v>
      </c>
      <c r="V5">
        <v>6.9701247439442087</v>
      </c>
      <c r="W5">
        <v>602.74402234798947</v>
      </c>
      <c r="X5">
        <v>3.6575489780620147</v>
      </c>
    </row>
    <row r="6" spans="2:24" x14ac:dyDescent="0.4">
      <c r="H6" s="1">
        <v>4</v>
      </c>
      <c r="I6">
        <v>2078.0946844818982</v>
      </c>
      <c r="J6">
        <v>11.252000000000001</v>
      </c>
      <c r="K6">
        <f t="shared" si="1"/>
        <v>11.480940864134833</v>
      </c>
      <c r="T6">
        <v>5</v>
      </c>
      <c r="U6" cm="1">
        <f t="array" ref="U6:X6">day19_trial5!$C$3:$F$3</f>
        <v>1635.2866456666129</v>
      </c>
      <c r="V6">
        <v>12.156429203283896</v>
      </c>
      <c r="W6">
        <v>1152.1049160006744</v>
      </c>
      <c r="X6">
        <v>8.5645424202729323</v>
      </c>
    </row>
    <row r="7" spans="2:24" x14ac:dyDescent="0.4">
      <c r="T7">
        <v>6</v>
      </c>
      <c r="U7" cm="1">
        <f t="array" ref="U7:X7">day19_trial6!$C$3:$F$3</f>
        <v>1065.1938235219247</v>
      </c>
      <c r="V7">
        <v>6.483931651278362</v>
      </c>
      <c r="W7">
        <v>704.29914284573385</v>
      </c>
      <c r="X7">
        <v>4.0861199437309041</v>
      </c>
    </row>
    <row r="8" spans="2:24" x14ac:dyDescent="0.4">
      <c r="T8">
        <v>7</v>
      </c>
      <c r="U8" cm="1">
        <f t="array" ref="U8:X8">day19_trial7!$C$3:$F$3</f>
        <v>1626.1396930481444</v>
      </c>
      <c r="V8">
        <v>12.088432389253242</v>
      </c>
      <c r="W8">
        <v>1216.5774895229488</v>
      </c>
      <c r="X8">
        <v>9.0438200305034933</v>
      </c>
    </row>
    <row r="9" spans="2:24" x14ac:dyDescent="0.4">
      <c r="T9">
        <v>8</v>
      </c>
      <c r="U9" cm="1">
        <f t="array" ref="U9:X9">day19_trial8!$C$3:$F$3</f>
        <v>1497.9331389613528</v>
      </c>
      <c r="V9">
        <v>11.135367737081667</v>
      </c>
      <c r="W9">
        <v>1078.0679809022413</v>
      </c>
      <c r="X9">
        <v>8.014165052282296</v>
      </c>
    </row>
    <row r="23" spans="3:16" x14ac:dyDescent="0.4">
      <c r="C23" t="s">
        <v>101</v>
      </c>
      <c r="D23">
        <v>0.99829999999999997</v>
      </c>
      <c r="I23" t="s">
        <v>101</v>
      </c>
      <c r="J23">
        <v>0.88900000000000001</v>
      </c>
      <c r="O23" t="s">
        <v>101</v>
      </c>
      <c r="P23">
        <v>0.98699999999999999</v>
      </c>
    </row>
    <row r="24" spans="3:16" x14ac:dyDescent="0.4">
      <c r="D24" t="s">
        <v>114</v>
      </c>
      <c r="J24" t="s">
        <v>115</v>
      </c>
      <c r="P24" t="s">
        <v>116</v>
      </c>
    </row>
    <row r="46" spans="9:10" x14ac:dyDescent="0.4">
      <c r="I46" t="s">
        <v>102</v>
      </c>
      <c r="J46">
        <f>AVERAGE(1-D23, 1-J23, 1-P23)</f>
        <v>4.1900000000000014E-2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DFA4-4088-4ECB-97DE-E02B1CC7A8D8}">
  <sheetPr>
    <tabColor theme="3" tint="0.49995422223578601"/>
  </sheetPr>
  <dimension ref="B2:Q45"/>
  <sheetViews>
    <sheetView zoomScale="89" workbookViewId="0">
      <selection activeCell="Q3" sqref="Q3"/>
    </sheetView>
  </sheetViews>
  <sheetFormatPr defaultRowHeight="14.6" x14ac:dyDescent="0.4"/>
  <cols>
    <col min="3" max="3" width="17.53515625" bestFit="1" customWidth="1"/>
    <col min="4" max="4" width="20.4609375" bestFit="1" customWidth="1"/>
    <col min="9" max="9" width="17.53515625" bestFit="1" customWidth="1"/>
    <col min="10" max="10" width="20.4609375" bestFit="1" customWidth="1"/>
    <col min="15" max="15" width="17.53515625" bestFit="1" customWidth="1"/>
    <col min="16" max="16" width="20.4609375" bestFit="1" customWidth="1"/>
  </cols>
  <sheetData>
    <row r="2" spans="2:17" x14ac:dyDescent="0.4">
      <c r="B2" s="1" t="s">
        <v>91</v>
      </c>
      <c r="C2" t="s">
        <v>3</v>
      </c>
      <c r="D2" t="s">
        <v>4</v>
      </c>
      <c r="E2" t="s">
        <v>117</v>
      </c>
      <c r="H2" s="1" t="s">
        <v>93</v>
      </c>
      <c r="I2" t="s">
        <v>3</v>
      </c>
      <c r="J2" t="s">
        <v>4</v>
      </c>
      <c r="K2" t="s">
        <v>117</v>
      </c>
      <c r="N2" s="1" t="s">
        <v>92</v>
      </c>
      <c r="O2" t="s">
        <v>3</v>
      </c>
      <c r="P2" t="s">
        <v>4</v>
      </c>
      <c r="Q2" t="s">
        <v>117</v>
      </c>
    </row>
    <row r="3" spans="2:17" x14ac:dyDescent="0.4">
      <c r="B3" s="1">
        <v>1</v>
      </c>
      <c r="C3">
        <v>1699.878722374478</v>
      </c>
      <c r="D3">
        <v>10.962999999999999</v>
      </c>
      <c r="E3">
        <f>0.0056*(C3) + 1.4025</f>
        <v>10.921820845297077</v>
      </c>
      <c r="H3" s="1">
        <v>1</v>
      </c>
      <c r="I3">
        <v>1141.5719365164164</v>
      </c>
      <c r="J3">
        <v>5.9340000000000002</v>
      </c>
      <c r="K3">
        <f>0.0025*(I3)+4.0395</f>
        <v>6.8934298412910415</v>
      </c>
      <c r="N3" s="1">
        <v>1</v>
      </c>
      <c r="O3">
        <v>1370.2738358913846</v>
      </c>
      <c r="P3">
        <v>6.2229999999999999</v>
      </c>
      <c r="Q3">
        <f>0.007*(O3)-3.3146</f>
        <v>6.2773168512396911</v>
      </c>
    </row>
    <row r="4" spans="2:17" x14ac:dyDescent="0.4">
      <c r="B4" s="1">
        <v>2</v>
      </c>
      <c r="C4">
        <v>1801.3717363604721</v>
      </c>
      <c r="D4">
        <v>11.541</v>
      </c>
      <c r="E4">
        <f t="shared" ref="E4:E5" si="0">0.0056*(C4) + 1.4025</f>
        <v>11.490181723618644</v>
      </c>
      <c r="H4" s="1">
        <v>2</v>
      </c>
      <c r="I4">
        <v>2061.2846912696186</v>
      </c>
      <c r="J4">
        <v>9.9220000000000006</v>
      </c>
      <c r="K4">
        <f t="shared" ref="K4:K6" si="1">0.0025*(I4)+4.0395</f>
        <v>9.1927117281740465</v>
      </c>
      <c r="N4" s="1">
        <v>2</v>
      </c>
      <c r="O4">
        <v>1709.4686516956806</v>
      </c>
      <c r="P4">
        <v>8.9979999999999993</v>
      </c>
      <c r="Q4">
        <f t="shared" ref="Q4:Q5" si="2">0.007*(O4)-3.3146</f>
        <v>8.6516805618697639</v>
      </c>
    </row>
    <row r="5" spans="2:17" x14ac:dyDescent="0.4">
      <c r="B5" s="1">
        <v>3</v>
      </c>
      <c r="C5">
        <v>1134.0957715583102</v>
      </c>
      <c r="D5">
        <v>7.7839999999999998</v>
      </c>
      <c r="E5">
        <f t="shared" si="0"/>
        <v>7.7534363207265367</v>
      </c>
      <c r="H5" s="1">
        <v>3</v>
      </c>
      <c r="I5">
        <v>1145.0459907969637</v>
      </c>
      <c r="J5">
        <v>7.61</v>
      </c>
      <c r="K5">
        <f t="shared" si="1"/>
        <v>6.9021149769924097</v>
      </c>
      <c r="N5" s="1">
        <v>3</v>
      </c>
      <c r="O5">
        <v>1981.5052247440526</v>
      </c>
      <c r="P5">
        <v>10.500999999999999</v>
      </c>
      <c r="Q5">
        <f t="shared" si="2"/>
        <v>10.555936573208369</v>
      </c>
    </row>
    <row r="6" spans="2:17" x14ac:dyDescent="0.4">
      <c r="H6" s="1">
        <v>4</v>
      </c>
      <c r="I6">
        <v>2977.7921245096777</v>
      </c>
      <c r="J6">
        <v>11.252000000000001</v>
      </c>
      <c r="K6">
        <f t="shared" si="1"/>
        <v>11.483980311274195</v>
      </c>
    </row>
    <row r="23" spans="3:16" x14ac:dyDescent="0.4">
      <c r="C23" t="s">
        <v>101</v>
      </c>
      <c r="D23">
        <v>1</v>
      </c>
      <c r="I23" t="s">
        <v>101</v>
      </c>
      <c r="J23">
        <v>0.88190000000000002</v>
      </c>
      <c r="O23" t="s">
        <v>101</v>
      </c>
      <c r="P23">
        <v>0.98870000000000002</v>
      </c>
    </row>
    <row r="45" spans="9:10" x14ac:dyDescent="0.4">
      <c r="I45" t="s">
        <v>102</v>
      </c>
      <c r="J45" s="19">
        <f>AVERAGE(1-D23, 1-J23, 1-P23)</f>
        <v>4.3133333333333322E-2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5117038483843"/>
  </sheetPr>
  <dimension ref="B2:I3"/>
  <sheetViews>
    <sheetView tabSelected="1" workbookViewId="0">
      <selection activeCell="E22" sqref="E22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103</v>
      </c>
    </row>
    <row r="3" spans="2:9" x14ac:dyDescent="0.4">
      <c r="B3">
        <v>24</v>
      </c>
      <c r="C3">
        <v>1699.878722374478</v>
      </c>
      <c r="D3">
        <v>12.636595178877833</v>
      </c>
      <c r="E3">
        <v>1276.1969015012551</v>
      </c>
      <c r="F3">
        <v>9.4870201035770751</v>
      </c>
      <c r="G3">
        <v>7.2352941176470589</v>
      </c>
      <c r="H3">
        <v>13.186274509803923</v>
      </c>
      <c r="I3">
        <v>16.448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6337778862885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103</v>
      </c>
    </row>
    <row r="3" spans="2:9" x14ac:dyDescent="0.4">
      <c r="B3">
        <v>26</v>
      </c>
      <c r="C3">
        <v>936.65816235451814</v>
      </c>
      <c r="D3">
        <v>6.9629496874531744</v>
      </c>
      <c r="E3">
        <v>562.71947088155662</v>
      </c>
      <c r="F3">
        <v>4.2047849882911992</v>
      </c>
      <c r="G3">
        <v>2.7352941176470589</v>
      </c>
      <c r="H3">
        <v>13.47058823529412</v>
      </c>
      <c r="I3">
        <f>H3-G3</f>
        <v>10.735294117647062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4659260841701"/>
  </sheetPr>
  <dimension ref="B2:I3"/>
  <sheetViews>
    <sheetView workbookViewId="0">
      <selection activeCell="I3" sqref="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103</v>
      </c>
    </row>
    <row r="3" spans="2:9" x14ac:dyDescent="0.4">
      <c r="B3">
        <v>18</v>
      </c>
      <c r="C3">
        <v>1141.5719365164164</v>
      </c>
      <c r="D3">
        <v>8.4862421297768726</v>
      </c>
      <c r="E3">
        <v>794.18145066391071</v>
      </c>
      <c r="F3">
        <v>5.9559272336989171</v>
      </c>
      <c r="G3">
        <v>0.23529411764705882</v>
      </c>
      <c r="H3">
        <v>21.049019607843139</v>
      </c>
      <c r="I3">
        <v>21.943000000000001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B2:I3"/>
  <sheetViews>
    <sheetView workbookViewId="0">
      <selection activeCell="G11" sqref="G11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103</v>
      </c>
    </row>
    <row r="3" spans="2:9" x14ac:dyDescent="0.4">
      <c r="B3">
        <v>23</v>
      </c>
      <c r="C3">
        <v>1370.2738358913846</v>
      </c>
      <c r="D3">
        <v>10.267429066509548</v>
      </c>
      <c r="E3">
        <v>975.38270734297532</v>
      </c>
      <c r="F3">
        <v>5.9125640512693272</v>
      </c>
      <c r="G3">
        <v>1.8431372549019607</v>
      </c>
      <c r="H3">
        <v>35.480392156862742</v>
      </c>
      <c r="I3">
        <f>H3-G3</f>
        <v>33.63725490196078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5117038483843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103</v>
      </c>
    </row>
    <row r="3" spans="2:9" x14ac:dyDescent="0.4">
      <c r="B3">
        <v>27</v>
      </c>
      <c r="C3">
        <v>1801.3717363604721</v>
      </c>
      <c r="D3">
        <v>13.391076139398178</v>
      </c>
      <c r="E3">
        <v>1329.5529378995395</v>
      </c>
      <c r="F3">
        <v>9.883659359919303</v>
      </c>
      <c r="G3">
        <v>3.0784313725490198</v>
      </c>
      <c r="H3">
        <v>16.725490196078432</v>
      </c>
      <c r="I3">
        <f>H3-G3</f>
        <v>13.647058823529413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6337778862885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103</v>
      </c>
    </row>
    <row r="3" spans="2:9" x14ac:dyDescent="0.4">
      <c r="B3">
        <v>33</v>
      </c>
      <c r="C3">
        <v>1283.7673961720891</v>
      </c>
      <c r="D3">
        <v>9.543297810451099</v>
      </c>
      <c r="E3">
        <v>713.94042415233559</v>
      </c>
      <c r="F3">
        <v>5.3320202177483482</v>
      </c>
      <c r="G3">
        <v>3.4215686274509802</v>
      </c>
      <c r="H3">
        <v>16.833333333333332</v>
      </c>
      <c r="I3">
        <f>H3-G3</f>
        <v>13.411764705882351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4659260841701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103</v>
      </c>
    </row>
    <row r="3" spans="2:9" x14ac:dyDescent="0.4">
      <c r="B3">
        <v>31</v>
      </c>
      <c r="C3">
        <v>2061.2846912696186</v>
      </c>
      <c r="D3">
        <v>15.323222680031954</v>
      </c>
      <c r="E3">
        <v>1451.0318110687708</v>
      </c>
      <c r="F3">
        <v>10.786711632308208</v>
      </c>
      <c r="G3">
        <v>4.7352941176470589</v>
      </c>
      <c r="H3">
        <v>16.519607843137255</v>
      </c>
      <c r="I3">
        <f>H3-G3</f>
        <v>11.784313725490197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103</v>
      </c>
    </row>
    <row r="3" spans="2:9" x14ac:dyDescent="0.4">
      <c r="B3">
        <v>27</v>
      </c>
      <c r="C3">
        <v>1709.4686516956806</v>
      </c>
      <c r="D3">
        <v>12.798320417145714</v>
      </c>
      <c r="E3">
        <v>1219.0825632125889</v>
      </c>
      <c r="F3">
        <v>7.3758654946247013</v>
      </c>
      <c r="G3">
        <v>0.23529411764705882</v>
      </c>
      <c r="H3">
        <v>43.254901960784316</v>
      </c>
      <c r="I3">
        <f>H3-G3</f>
        <v>43.019607843137258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79995117038483843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103</v>
      </c>
    </row>
    <row r="3" spans="2:9" x14ac:dyDescent="0.4">
      <c r="B3">
        <v>18</v>
      </c>
      <c r="C3">
        <v>1134.0957715583102</v>
      </c>
      <c r="D3">
        <v>8.430665653159684</v>
      </c>
      <c r="E3">
        <v>851.07013490522525</v>
      </c>
      <c r="F3">
        <v>6.326703559538446</v>
      </c>
      <c r="G3">
        <v>1.6666666666666667</v>
      </c>
      <c r="H3">
        <v>10.745098039215687</v>
      </c>
      <c r="I3">
        <f>H3-G3</f>
        <v>9.0784313725490211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6337778862885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103</v>
      </c>
    </row>
    <row r="3" spans="2:9" x14ac:dyDescent="0.4">
      <c r="B3">
        <v>37</v>
      </c>
      <c r="C3">
        <v>1471.7400632502693</v>
      </c>
      <c r="D3">
        <v>10.940653084857351</v>
      </c>
      <c r="E3">
        <v>877.43320058865902</v>
      </c>
      <c r="F3">
        <v>6.5567769939815292</v>
      </c>
      <c r="G3">
        <v>0.20588235294117646</v>
      </c>
      <c r="H3">
        <v>21.03921568627451</v>
      </c>
      <c r="I3">
        <f>H3-G3</f>
        <v>20.833333333333332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4659260841701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103</v>
      </c>
    </row>
    <row r="3" spans="2:9" x14ac:dyDescent="0.4">
      <c r="B3">
        <v>17</v>
      </c>
      <c r="C3">
        <v>1145.0459907969637</v>
      </c>
      <c r="D3">
        <v>8.5120676295580573</v>
      </c>
      <c r="E3">
        <v>807.88874436059064</v>
      </c>
      <c r="F3">
        <v>6.0057008054058709</v>
      </c>
      <c r="G3">
        <v>0.23529411764705882</v>
      </c>
      <c r="H3">
        <v>11.745098039215687</v>
      </c>
      <c r="I3">
        <f>H3-G3</f>
        <v>11.509803921568629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39997558519241921"/>
  </sheetPr>
  <dimension ref="B2:I3"/>
  <sheetViews>
    <sheetView workbookViewId="0">
      <selection activeCell="I2" sqref="I2:I3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103</v>
      </c>
    </row>
    <row r="3" spans="2:9" x14ac:dyDescent="0.4">
      <c r="B3">
        <v>33</v>
      </c>
      <c r="C3">
        <v>1981.5052247440526</v>
      </c>
      <c r="D3">
        <v>14.798080226637703</v>
      </c>
      <c r="E3">
        <v>1419.7819031453084</v>
      </c>
      <c r="F3">
        <v>8.5425597788100713</v>
      </c>
      <c r="G3">
        <v>0.23529411764705882</v>
      </c>
      <c r="H3">
        <v>46.656862745098039</v>
      </c>
      <c r="I3">
        <f>H3-G3</f>
        <v>46.421568627450981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-0.24994659260841701"/>
  </sheetPr>
  <dimension ref="B2:I3"/>
  <sheetViews>
    <sheetView workbookViewId="0">
      <selection activeCell="G22" sqref="G22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103</v>
      </c>
    </row>
    <row r="3" spans="2:9" x14ac:dyDescent="0.4">
      <c r="B3">
        <v>51</v>
      </c>
      <c r="C3">
        <v>2977.7921245096777</v>
      </c>
      <c r="D3">
        <v>22.136375441959199</v>
      </c>
      <c r="E3">
        <v>2078.0946844818982</v>
      </c>
      <c r="F3">
        <v>15.448185170818673</v>
      </c>
      <c r="G3">
        <v>2.0882352941176472</v>
      </c>
      <c r="H3">
        <v>23.725490196078429</v>
      </c>
      <c r="I3">
        <f>H3-G3</f>
        <v>21.63725490196078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I3"/>
  <sheetViews>
    <sheetView workbookViewId="0">
      <selection activeCell="I18" sqref="I18"/>
    </sheetView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9" x14ac:dyDescent="0.4"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103</v>
      </c>
    </row>
    <row r="3" spans="2:9" x14ac:dyDescent="0.4">
      <c r="B3">
        <v>22</v>
      </c>
      <c r="C3">
        <v>1359.8131738153979</v>
      </c>
      <c r="D3">
        <v>10.108608555560689</v>
      </c>
      <c r="E3">
        <v>880.11081072749766</v>
      </c>
      <c r="F3">
        <v>6.5859779015395681</v>
      </c>
      <c r="G3">
        <v>22.627450980392158</v>
      </c>
      <c r="H3">
        <v>21.970588235294112</v>
      </c>
      <c r="I3">
        <f>H3-G3</f>
        <v>-0.65686274509804576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H3"/>
  <sheetViews>
    <sheetView workbookViewId="0"/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8" x14ac:dyDescent="0.4"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</row>
    <row r="3" spans="2:8" x14ac:dyDescent="0.4">
      <c r="B3">
        <v>26</v>
      </c>
      <c r="C3">
        <v>1145.5797910198723</v>
      </c>
      <c r="D3">
        <v>8.5574510383765876</v>
      </c>
      <c r="E3">
        <v>777.69080299959012</v>
      </c>
      <c r="F3">
        <v>4.6999548132578743</v>
      </c>
      <c r="G3">
        <v>10.666666666666666</v>
      </c>
      <c r="H3">
        <v>27.176470588235297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H3"/>
  <sheetViews>
    <sheetView workbookViewId="0"/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8" x14ac:dyDescent="0.4"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</row>
    <row r="3" spans="2:8" x14ac:dyDescent="0.4">
      <c r="B3">
        <v>21</v>
      </c>
      <c r="C3">
        <v>932.95340884072732</v>
      </c>
      <c r="D3">
        <v>6.9701247439442087</v>
      </c>
      <c r="E3">
        <v>602.74402234798947</v>
      </c>
      <c r="F3">
        <v>3.6575489780620147</v>
      </c>
      <c r="G3">
        <v>7.1274509803921564</v>
      </c>
      <c r="H3">
        <v>22.225490196078432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H3"/>
  <sheetViews>
    <sheetView workbookViewId="0"/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8" x14ac:dyDescent="0.4"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</row>
    <row r="3" spans="2:8" x14ac:dyDescent="0.4">
      <c r="B3">
        <v>29</v>
      </c>
      <c r="C3">
        <v>1635.2866456666129</v>
      </c>
      <c r="D3">
        <v>12.156429203283896</v>
      </c>
      <c r="E3">
        <v>1152.1049160006744</v>
      </c>
      <c r="F3">
        <v>8.5645424202729323</v>
      </c>
      <c r="G3">
        <v>6.3431372549019605</v>
      </c>
      <c r="H3">
        <v>18.176470588235293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H3"/>
  <sheetViews>
    <sheetView workbookViewId="0"/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8" x14ac:dyDescent="0.4"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</row>
    <row r="3" spans="2:8" x14ac:dyDescent="0.4">
      <c r="B3">
        <v>20</v>
      </c>
      <c r="C3">
        <v>1065.1938235219247</v>
      </c>
      <c r="D3">
        <v>6.483931651278362</v>
      </c>
      <c r="E3">
        <v>704.29914284573385</v>
      </c>
      <c r="F3">
        <v>4.0861199437309041</v>
      </c>
      <c r="G3">
        <v>8.9215686274509807</v>
      </c>
      <c r="H3">
        <v>40.852941176470587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H3"/>
  <sheetViews>
    <sheetView workbookViewId="0"/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8" x14ac:dyDescent="0.4"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2:8" x14ac:dyDescent="0.4">
      <c r="B3">
        <v>25</v>
      </c>
      <c r="C3">
        <v>1626.1396930481444</v>
      </c>
      <c r="D3">
        <v>12.088432389253242</v>
      </c>
      <c r="E3">
        <v>1216.5774895229488</v>
      </c>
      <c r="F3">
        <v>9.0438200305034933</v>
      </c>
      <c r="G3">
        <v>5.5294117647058822</v>
      </c>
      <c r="H3">
        <v>21.284313725490193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H3"/>
  <sheetViews>
    <sheetView workbookViewId="0"/>
  </sheetViews>
  <sheetFormatPr defaultRowHeight="14.6" x14ac:dyDescent="0.4"/>
  <cols>
    <col min="2" max="2" width="16.61328125" customWidth="1"/>
    <col min="3" max="3" width="20.921875" customWidth="1"/>
    <col min="4" max="4" width="23.84375" customWidth="1"/>
    <col min="5" max="5" width="17.69140625" customWidth="1"/>
    <col min="6" max="6" width="20.61328125" customWidth="1"/>
    <col min="7" max="7" width="9.61328125" customWidth="1"/>
    <col min="8" max="8" width="8.84375" customWidth="1"/>
  </cols>
  <sheetData>
    <row r="2" spans="2:8" x14ac:dyDescent="0.4"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</row>
    <row r="3" spans="2:8" x14ac:dyDescent="0.4">
      <c r="B3">
        <v>26</v>
      </c>
      <c r="C3">
        <v>1497.9331389613528</v>
      </c>
      <c r="D3">
        <v>11.135367737081667</v>
      </c>
      <c r="E3">
        <v>1078.0679809022413</v>
      </c>
      <c r="F3">
        <v>8.014165052282296</v>
      </c>
      <c r="G3">
        <v>2.7647058823529411</v>
      </c>
      <c r="H3">
        <v>16.225490196078429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CF66-0E8D-46B9-9252-ABC021EDA8A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ComparingAlgorithms</vt:lpstr>
      <vt:lpstr>NewAlgorithm</vt:lpstr>
      <vt:lpstr>OldAlgorithm</vt:lpstr>
      <vt:lpstr>1_Fast</vt:lpstr>
      <vt:lpstr>1_JP</vt:lpstr>
      <vt:lpstr>1</vt:lpstr>
      <vt:lpstr>1_Slow</vt:lpstr>
      <vt:lpstr>2_Fast</vt:lpstr>
      <vt:lpstr>2_JP</vt:lpstr>
      <vt:lpstr>2</vt:lpstr>
      <vt:lpstr>2_Slow</vt:lpstr>
      <vt:lpstr>3_Fast</vt:lpstr>
      <vt:lpstr>3_JP</vt:lpstr>
      <vt:lpstr>3</vt:lpstr>
      <vt:lpstr>3_Slow</vt:lpstr>
      <vt:lpstr>4</vt:lpstr>
      <vt:lpstr>day19_trial1</vt:lpstr>
      <vt:lpstr>day19_trial3</vt:lpstr>
      <vt:lpstr>day19_trial4</vt:lpstr>
      <vt:lpstr>day19_trial5</vt:lpstr>
      <vt:lpstr>day19_trial6</vt:lpstr>
      <vt:lpstr>day19_trial7</vt:lpstr>
      <vt:lpstr>day19_trial8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Shea, Owen</cp:lastModifiedBy>
  <dcterms:modified xsi:type="dcterms:W3CDTF">2024-04-11T14:57:56Z</dcterms:modified>
</cp:coreProperties>
</file>