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60E83C46-7F5C-4BD7-89C4-DF0768891403}" xr6:coauthVersionLast="45" xr6:coauthVersionMax="45" xr10:uidLastSave="{00000000-0000-0000-0000-000000000000}"/>
  <bookViews>
    <workbookView xWindow="13245" yWindow="1560" windowWidth="21600" windowHeight="11385" xr2:uid="{62FADA92-7EC1-4AC9-9082-A929FFBB323A}"/>
  </bookViews>
  <sheets>
    <sheet name="MODELO ESTIMAC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28" i="1"/>
  <c r="N82" i="1" l="1"/>
  <c r="M82" i="1"/>
  <c r="N73" i="1"/>
  <c r="M73" i="1"/>
  <c r="N64" i="1"/>
  <c r="M64" i="1"/>
  <c r="M52" i="1"/>
  <c r="N53" i="1"/>
  <c r="M53" i="1"/>
  <c r="N41" i="1"/>
  <c r="M41" i="1"/>
  <c r="N28" i="1"/>
  <c r="L12" i="1"/>
  <c r="N12" i="1"/>
  <c r="L82" i="1"/>
  <c r="M81" i="1"/>
  <c r="M63" i="1"/>
  <c r="M72" i="1"/>
  <c r="L73" i="1"/>
  <c r="L64" i="1"/>
  <c r="L53" i="1"/>
  <c r="L28" i="1"/>
  <c r="M27" i="1"/>
  <c r="L41" i="1"/>
  <c r="M40" i="1"/>
  <c r="M11" i="1"/>
  <c r="N81" i="1"/>
  <c r="N72" i="1"/>
  <c r="N63" i="1"/>
  <c r="N52" i="1"/>
  <c r="N40" i="1"/>
  <c r="N27" i="1"/>
  <c r="N11" i="1"/>
  <c r="L80" i="1"/>
  <c r="L71" i="1"/>
  <c r="L62" i="1"/>
  <c r="L51" i="1"/>
  <c r="L39" i="1"/>
  <c r="L26" i="1"/>
  <c r="N80" i="1"/>
  <c r="N71" i="1"/>
  <c r="N62" i="1"/>
  <c r="N51" i="1"/>
  <c r="N39" i="1"/>
  <c r="N26" i="1"/>
  <c r="N76" i="1"/>
  <c r="N77" i="1"/>
  <c r="N78" i="1"/>
  <c r="N79" i="1"/>
  <c r="N75" i="1"/>
  <c r="N68" i="1"/>
  <c r="N69" i="1"/>
  <c r="N70" i="1"/>
  <c r="N67" i="1"/>
  <c r="N58" i="1"/>
  <c r="N59" i="1"/>
  <c r="N60" i="1"/>
  <c r="N61" i="1"/>
  <c r="N57" i="1"/>
  <c r="N46" i="1"/>
  <c r="N47" i="1"/>
  <c r="N48" i="1"/>
  <c r="N49" i="1"/>
  <c r="N50" i="1"/>
  <c r="N45" i="1"/>
  <c r="N34" i="1"/>
  <c r="N33" i="1"/>
  <c r="N32" i="1"/>
  <c r="N35" i="1"/>
  <c r="N36" i="1"/>
  <c r="N37" i="1"/>
  <c r="N38" i="1"/>
  <c r="N16" i="1"/>
  <c r="N17" i="1"/>
  <c r="N18" i="1"/>
  <c r="N19" i="1"/>
  <c r="N20" i="1"/>
  <c r="N21" i="1"/>
  <c r="N22" i="1"/>
  <c r="N23" i="1"/>
  <c r="N24" i="1"/>
  <c r="N25" i="1"/>
  <c r="N15" i="1"/>
  <c r="N2" i="1"/>
  <c r="N10" i="1" s="1"/>
  <c r="L76" i="1"/>
  <c r="L77" i="1"/>
  <c r="L78" i="1"/>
  <c r="L79" i="1"/>
  <c r="L75" i="1"/>
  <c r="L68" i="1"/>
  <c r="L69" i="1"/>
  <c r="L70" i="1"/>
  <c r="L67" i="1"/>
  <c r="L58" i="1"/>
  <c r="L59" i="1"/>
  <c r="L60" i="1"/>
  <c r="L61" i="1"/>
  <c r="L57" i="1"/>
  <c r="L50" i="1"/>
  <c r="L46" i="1"/>
  <c r="L47" i="1"/>
  <c r="L48" i="1"/>
  <c r="L49" i="1"/>
  <c r="L45" i="1"/>
  <c r="L33" i="1"/>
  <c r="L34" i="1"/>
  <c r="L35" i="1"/>
  <c r="L36" i="1"/>
  <c r="L37" i="1"/>
  <c r="L38" i="1"/>
  <c r="L32" i="1"/>
  <c r="L15" i="1"/>
  <c r="L25" i="1"/>
  <c r="L24" i="1"/>
  <c r="L10" i="1"/>
  <c r="L23" i="1"/>
  <c r="L22" i="1"/>
  <c r="L21" i="1"/>
  <c r="L16" i="1"/>
  <c r="L17" i="1"/>
  <c r="L18" i="1"/>
  <c r="L19" i="1"/>
  <c r="L20" i="1"/>
  <c r="L4" i="1"/>
  <c r="L3" i="1"/>
  <c r="M76" i="1"/>
  <c r="M77" i="1"/>
  <c r="M78" i="1"/>
  <c r="M79" i="1"/>
  <c r="M75" i="1"/>
  <c r="M68" i="1"/>
  <c r="M69" i="1"/>
  <c r="M70" i="1"/>
  <c r="M67" i="1"/>
  <c r="M58" i="1"/>
  <c r="M59" i="1"/>
  <c r="M60" i="1"/>
  <c r="M61" i="1"/>
  <c r="M57" i="1"/>
  <c r="M46" i="1"/>
  <c r="M47" i="1"/>
  <c r="M48" i="1"/>
  <c r="M49" i="1"/>
  <c r="M50" i="1"/>
  <c r="M45" i="1"/>
  <c r="M38" i="1"/>
  <c r="M33" i="1"/>
  <c r="M34" i="1"/>
  <c r="M35" i="1"/>
  <c r="M36" i="1"/>
  <c r="M37" i="1"/>
  <c r="M32" i="1"/>
  <c r="M25" i="1"/>
  <c r="M9" i="1"/>
  <c r="M24" i="1"/>
  <c r="M23" i="1"/>
  <c r="M22" i="1"/>
  <c r="M21" i="1"/>
  <c r="M20" i="1"/>
  <c r="M19" i="1"/>
  <c r="M18" i="1"/>
  <c r="M17" i="1"/>
  <c r="M16" i="1"/>
  <c r="M15" i="1"/>
  <c r="M7" i="1"/>
  <c r="M8" i="1"/>
  <c r="K77" i="1"/>
  <c r="K78" i="1"/>
  <c r="K79" i="1"/>
  <c r="K76" i="1"/>
  <c r="K75" i="1"/>
  <c r="K70" i="1"/>
  <c r="K69" i="1"/>
  <c r="K68" i="1"/>
  <c r="K67" i="1"/>
  <c r="K59" i="1"/>
  <c r="K60" i="1"/>
  <c r="K61" i="1"/>
  <c r="K58" i="1"/>
  <c r="K57" i="1"/>
  <c r="K47" i="1"/>
  <c r="K48" i="1"/>
  <c r="K49" i="1"/>
  <c r="K50" i="1"/>
  <c r="K46" i="1"/>
  <c r="K45" i="1"/>
  <c r="K34" i="1"/>
  <c r="K35" i="1"/>
  <c r="K36" i="1"/>
  <c r="K37" i="1"/>
  <c r="K38" i="1"/>
  <c r="K33" i="1"/>
  <c r="K32" i="1"/>
  <c r="K17" i="1"/>
  <c r="K18" i="1"/>
  <c r="K19" i="1"/>
  <c r="K20" i="1"/>
  <c r="K21" i="1"/>
  <c r="K22" i="1"/>
  <c r="K23" i="1"/>
  <c r="K24" i="1"/>
  <c r="K25" i="1"/>
  <c r="K16" i="1"/>
  <c r="K15" i="1"/>
  <c r="K9" i="1"/>
  <c r="J61" i="1"/>
  <c r="N4" i="1"/>
  <c r="N5" i="1"/>
  <c r="K5" i="1"/>
  <c r="J79" i="1"/>
  <c r="J78" i="1"/>
  <c r="J77" i="1"/>
  <c r="J76" i="1"/>
  <c r="J75" i="1"/>
  <c r="J70" i="1"/>
  <c r="J69" i="1"/>
  <c r="J68" i="1"/>
  <c r="J67" i="1"/>
  <c r="J60" i="1"/>
  <c r="J59" i="1"/>
  <c r="J58" i="1"/>
  <c r="J57" i="1"/>
  <c r="J50" i="1"/>
  <c r="J49" i="1"/>
  <c r="J48" i="1"/>
  <c r="J47" i="1"/>
  <c r="J46" i="1"/>
  <c r="J45" i="1"/>
  <c r="J38" i="1"/>
  <c r="J37" i="1"/>
  <c r="J36" i="1"/>
  <c r="J35" i="1"/>
  <c r="J34" i="1"/>
  <c r="J33" i="1"/>
  <c r="J32" i="1"/>
  <c r="J25" i="1"/>
  <c r="J24" i="1"/>
  <c r="J23" i="1"/>
  <c r="J22" i="1"/>
  <c r="J21" i="1"/>
  <c r="J20" i="1"/>
  <c r="J19" i="1"/>
  <c r="J18" i="1"/>
  <c r="J17" i="1"/>
  <c r="J16" i="1"/>
  <c r="J15" i="1"/>
  <c r="J9" i="1"/>
  <c r="J8" i="1"/>
  <c r="J7" i="1"/>
  <c r="J6" i="1"/>
  <c r="N6" i="1" s="1"/>
  <c r="J5" i="1"/>
  <c r="M5" i="1" s="1"/>
  <c r="J4" i="1"/>
  <c r="K4" i="1" s="1"/>
  <c r="J3" i="1"/>
  <c r="N3" i="1" s="1"/>
  <c r="J2" i="1"/>
  <c r="K6" i="1" l="1"/>
  <c r="M2" i="1"/>
  <c r="K7" i="1"/>
  <c r="M3" i="1"/>
  <c r="K8" i="1"/>
  <c r="M4" i="1"/>
  <c r="L2" i="1"/>
  <c r="N8" i="1"/>
  <c r="K2" i="1"/>
  <c r="K3" i="1"/>
  <c r="L7" i="1"/>
  <c r="S4" i="1"/>
  <c r="S5" i="1" s="1"/>
  <c r="S6" i="1" s="1"/>
  <c r="R5" i="1"/>
  <c r="R6" i="1" s="1"/>
  <c r="Q5" i="1"/>
  <c r="Q6" i="1" s="1"/>
  <c r="W2" i="1"/>
  <c r="W3" i="1"/>
  <c r="T4" i="1"/>
  <c r="N9" i="1" s="1"/>
  <c r="U4" i="1"/>
  <c r="U2" i="1"/>
  <c r="T2" i="1"/>
  <c r="V2" i="1"/>
  <c r="V4" i="1"/>
  <c r="X3" i="1"/>
  <c r="X4" i="1"/>
  <c r="X2" i="1"/>
  <c r="N7" i="1" l="1"/>
  <c r="T5" i="1"/>
  <c r="T6" i="1" s="1"/>
  <c r="U5" i="1"/>
  <c r="U6" i="1" s="1"/>
  <c r="V5" i="1"/>
  <c r="V6" i="1" s="1"/>
  <c r="W5" i="1"/>
  <c r="W6" i="1" s="1"/>
  <c r="M6" i="1"/>
  <c r="L6" i="1"/>
  <c r="L5" i="1"/>
  <c r="L8" i="1"/>
  <c r="L9" i="1"/>
</calcChain>
</file>

<file path=xl/sharedStrings.xml><?xml version="1.0" encoding="utf-8"?>
<sst xmlns="http://schemas.openxmlformats.org/spreadsheetml/2006/main" count="248" uniqueCount="130">
  <si>
    <t>TIPO APLICACIÓN</t>
  </si>
  <si>
    <t>Alcance</t>
  </si>
  <si>
    <t>CAPAS</t>
  </si>
  <si>
    <t>Tipo Elemento</t>
  </si>
  <si>
    <t>Elemento</t>
  </si>
  <si>
    <t>Esfuerzo HH x Und</t>
  </si>
  <si>
    <t>PERFIL PRO</t>
  </si>
  <si>
    <t>PROYECTO COOPETRANS</t>
  </si>
  <si>
    <t>Ref Requerimientos</t>
  </si>
  <si>
    <t>TOTAL HH Esfuerzo</t>
  </si>
  <si>
    <t>Dias HH Calendario - Fabrica Clasica</t>
  </si>
  <si>
    <t>COSTO Fabrica Clasica</t>
  </si>
  <si>
    <t>Dias HH Fabrica Continuas</t>
  </si>
  <si>
    <t>COSTO Fabrica Continua THH</t>
  </si>
  <si>
    <t>COSTO X H (COL)</t>
  </si>
  <si>
    <t>COSTO X H (INDIA)</t>
  </si>
  <si>
    <t>COSTO X H (BRA)</t>
  </si>
  <si>
    <t>COSTO X H (South AFRICA)</t>
  </si>
  <si>
    <t>COSTO X H (AFRICA Meridional)</t>
  </si>
  <si>
    <t>COSTO X H EUROPA</t>
  </si>
  <si>
    <t>COSTO X H ASIA</t>
  </si>
  <si>
    <t>Regla de 3</t>
  </si>
  <si>
    <t>WEB</t>
  </si>
  <si>
    <t>Usuario Final</t>
  </si>
  <si>
    <t>FRONT-END</t>
  </si>
  <si>
    <t>Presentacion</t>
  </si>
  <si>
    <t>Look and Feel (CSS, JS, HTML, WIDGETS)</t>
  </si>
  <si>
    <t>Ing Multimedia</t>
  </si>
  <si>
    <t>Interfaz de Usuario</t>
  </si>
  <si>
    <t>Parrilla de Opciones</t>
  </si>
  <si>
    <t>Ing Sistemas</t>
  </si>
  <si>
    <t>Captura de Informacion</t>
  </si>
  <si>
    <t>Tecnologo de Sistemas</t>
  </si>
  <si>
    <t>Bandejas de Gestion</t>
  </si>
  <si>
    <t>COSTO TOTAL</t>
  </si>
  <si>
    <t>Lanzamiento de Procesos</t>
  </si>
  <si>
    <t>Cifra Universal 1.68</t>
  </si>
  <si>
    <t>Consulta de Informacion</t>
  </si>
  <si>
    <t>20 dias</t>
  </si>
  <si>
    <t>25 dias</t>
  </si>
  <si>
    <t>28 dias</t>
  </si>
  <si>
    <t>Dialogo Transaccional</t>
  </si>
  <si>
    <t>CHINO Mandarin</t>
  </si>
  <si>
    <t>8 Horas</t>
  </si>
  <si>
    <t>7 horas</t>
  </si>
  <si>
    <t>10 horas</t>
  </si>
  <si>
    <t>Dialogo de Validacion</t>
  </si>
  <si>
    <t>CHINO Cantones</t>
  </si>
  <si>
    <t>Sistemas de Terceros</t>
  </si>
  <si>
    <t>INTEGRACION</t>
  </si>
  <si>
    <t>Notificaciones</t>
  </si>
  <si>
    <t>Mensajeria SMS</t>
  </si>
  <si>
    <t>Español</t>
  </si>
  <si>
    <t>Mensajeria Email</t>
  </si>
  <si>
    <t>Ingles</t>
  </si>
  <si>
    <t>INGLES</t>
  </si>
  <si>
    <t>Comunicación Telefonica</t>
  </si>
  <si>
    <t>Portugues</t>
  </si>
  <si>
    <t>Flujos de Informacion</t>
  </si>
  <si>
    <t>Enviar Archivos</t>
  </si>
  <si>
    <t>Frances</t>
  </si>
  <si>
    <t>Recibir Archivos</t>
  </si>
  <si>
    <t>Integracion Dispositivos</t>
  </si>
  <si>
    <t>Usar Dispositivos del movil - API Camara, Audio, GPS</t>
  </si>
  <si>
    <t>Transaccional</t>
  </si>
  <si>
    <t>Llamar una API</t>
  </si>
  <si>
    <t>Exponer una API</t>
  </si>
  <si>
    <t>Consumir un Servicio</t>
  </si>
  <si>
    <t>Exponer un Servicio</t>
  </si>
  <si>
    <t>Interfaz Estandar</t>
  </si>
  <si>
    <t>Logica de Negocio</t>
  </si>
  <si>
    <t>BACK-END</t>
  </si>
  <si>
    <t>Funcionalidades</t>
  </si>
  <si>
    <t>Programa o Algoritmo</t>
  </si>
  <si>
    <t>Funciones Recursivas</t>
  </si>
  <si>
    <t>Clases</t>
  </si>
  <si>
    <t>Rutinas de Scritps</t>
  </si>
  <si>
    <t>Mapeo de Informacion (Tablas)</t>
  </si>
  <si>
    <t>DML</t>
  </si>
  <si>
    <t>Procedimientos Almacenados</t>
  </si>
  <si>
    <t>Funciones de Manipulacion de Datos</t>
  </si>
  <si>
    <t>Informacion</t>
  </si>
  <si>
    <t>PERSISTENCIA</t>
  </si>
  <si>
    <t>DDL</t>
  </si>
  <si>
    <t>Bases de Datos</t>
  </si>
  <si>
    <t>Tablas</t>
  </si>
  <si>
    <t>Archivos</t>
  </si>
  <si>
    <t>Dominios de Objetos</t>
  </si>
  <si>
    <t>Roles</t>
  </si>
  <si>
    <t>Drivers</t>
  </si>
  <si>
    <t>Ejecucion de Procesos</t>
  </si>
  <si>
    <t>INFRAESTRUCTURA</t>
  </si>
  <si>
    <t>Servidores</t>
  </si>
  <si>
    <t>Servidor de Aplicaciones</t>
  </si>
  <si>
    <t>Servidor de Base de Datos</t>
  </si>
  <si>
    <t>Servidor de Proxy</t>
  </si>
  <si>
    <t>Servidor de Ejecucion de Procesos Batch</t>
  </si>
  <si>
    <t>Servicio</t>
  </si>
  <si>
    <t>Nube</t>
  </si>
  <si>
    <t>Comunicación TI</t>
  </si>
  <si>
    <t>NETWORKING</t>
  </si>
  <si>
    <t>Seguridad</t>
  </si>
  <si>
    <t>Firewall</t>
  </si>
  <si>
    <t>Certificados de Seguridad</t>
  </si>
  <si>
    <t>Protocolos de Comunicación</t>
  </si>
  <si>
    <t>Redes</t>
  </si>
  <si>
    <t>DSL de Internet</t>
  </si>
  <si>
    <t>Planeacion</t>
  </si>
  <si>
    <t>*DEFINICION</t>
  </si>
  <si>
    <t>Diseños</t>
  </si>
  <si>
    <t>Arquitectura</t>
  </si>
  <si>
    <t>Prototipos</t>
  </si>
  <si>
    <t>Modelo Entidad Relacion</t>
  </si>
  <si>
    <t>Plan de Implementacion</t>
  </si>
  <si>
    <t>Gestion y Planeacion del Proyecto</t>
  </si>
  <si>
    <t>1,2,3,4,5,12,13,14,15,16,17,18,19,20,21,22,23,24,25,26,27</t>
  </si>
  <si>
    <t>1,2,3,4,5,6,7,8,9,10,11,12,13,14,15,16,17,18,19,20,21,22,23,24,25,26,27</t>
  </si>
  <si>
    <t>6,9,10,17,18,20,21,22,23,25,26,27</t>
  </si>
  <si>
    <t>1,2,3,4,5,12,13,14,15</t>
  </si>
  <si>
    <t>1,2,3,4,5,20,21</t>
  </si>
  <si>
    <t>1,2,3,4,5,6,10,20,21</t>
  </si>
  <si>
    <t>1,2,3,4,5,11,14,16</t>
  </si>
  <si>
    <t>20,21,23</t>
  </si>
  <si>
    <t>12,16,17,22,23</t>
  </si>
  <si>
    <t>11,20,21,24</t>
  </si>
  <si>
    <t>6,7,9,10,17,22,23</t>
  </si>
  <si>
    <t>12,13,14,15,16,17</t>
  </si>
  <si>
    <t>12,13,14,1520,21</t>
  </si>
  <si>
    <t>6,10,20,21,22,23</t>
  </si>
  <si>
    <t>6,7,10,23,24,26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</si>
</sst>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6" borderId="0" applyNumberFormat="0" applyBorder="0" applyAlignment="0" applyProtection="0"/>
  </cellStyleXfs>
  <cellXfs count="130">
    <xf numFmtId="0" fontId="0" fillId="0" borderId="0" xfId="0"/>
    <xf numFmtId="0" fontId="1" fillId="2" borderId="0" xfId="1"/>
    <xf numFmtId="0" fontId="1" fillId="3" borderId="0" xfId="2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3" applyFont="1"/>
    <xf numFmtId="0" fontId="0" fillId="4" borderId="0" xfId="0" applyFill="1"/>
    <xf numFmtId="0" fontId="1" fillId="4" borderId="0" xfId="1" applyFill="1"/>
    <xf numFmtId="9" fontId="0" fillId="0" borderId="0" xfId="4" applyFont="1"/>
    <xf numFmtId="164" fontId="0" fillId="0" borderId="0" xfId="0" applyNumberFormat="1"/>
    <xf numFmtId="0" fontId="0" fillId="5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7" borderId="3" xfId="0" applyFill="1" applyBorder="1" applyAlignment="1">
      <alignment horizontal="center" vertical="center"/>
    </xf>
    <xf numFmtId="0" fontId="0" fillId="7" borderId="3" xfId="0" applyFill="1" applyBorder="1"/>
    <xf numFmtId="164" fontId="0" fillId="7" borderId="3" xfId="3" applyFont="1" applyFill="1" applyBorder="1"/>
    <xf numFmtId="2" fontId="0" fillId="7" borderId="3" xfId="0" applyNumberFormat="1" applyFill="1" applyBorder="1"/>
    <xf numFmtId="164" fontId="0" fillId="7" borderId="3" xfId="0" applyNumberFormat="1" applyFill="1" applyBorder="1"/>
    <xf numFmtId="9" fontId="0" fillId="7" borderId="3" xfId="4" applyFont="1" applyFill="1" applyBorder="1"/>
    <xf numFmtId="0" fontId="0" fillId="7" borderId="4" xfId="0" applyFill="1" applyBorder="1" applyAlignment="1">
      <alignment horizontal="center" vertical="center"/>
    </xf>
    <xf numFmtId="0" fontId="0" fillId="7" borderId="4" xfId="0" applyFill="1" applyBorder="1"/>
    <xf numFmtId="164" fontId="0" fillId="7" borderId="4" xfId="0" applyNumberFormat="1" applyFill="1" applyBorder="1"/>
    <xf numFmtId="0" fontId="0" fillId="7" borderId="5" xfId="0" applyFill="1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 applyAlignment="1">
      <alignment horizontal="center" vertical="center"/>
    </xf>
    <xf numFmtId="0" fontId="0" fillId="7" borderId="6" xfId="0" applyFill="1" applyBorder="1"/>
    <xf numFmtId="164" fontId="0" fillId="7" borderId="6" xfId="3" applyFont="1" applyFill="1" applyBorder="1"/>
    <xf numFmtId="2" fontId="0" fillId="7" borderId="6" xfId="0" applyNumberFormat="1" applyFill="1" applyBorder="1"/>
    <xf numFmtId="0" fontId="0" fillId="8" borderId="4" xfId="0" applyFill="1" applyBorder="1" applyAlignment="1">
      <alignment horizontal="center" vertical="center"/>
    </xf>
    <xf numFmtId="0" fontId="0" fillId="8" borderId="4" xfId="0" applyFill="1" applyBorder="1"/>
    <xf numFmtId="164" fontId="0" fillId="8" borderId="4" xfId="3" applyFont="1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/>
    <xf numFmtId="164" fontId="0" fillId="8" borderId="3" xfId="3" applyFont="1" applyFill="1" applyBorder="1"/>
    <xf numFmtId="164" fontId="0" fillId="8" borderId="3" xfId="0" applyNumberFormat="1" applyFill="1" applyBorder="1"/>
    <xf numFmtId="9" fontId="0" fillId="8" borderId="3" xfId="4" applyFont="1" applyFill="1" applyBorder="1"/>
    <xf numFmtId="165" fontId="0" fillId="8" borderId="3" xfId="0" applyNumberFormat="1" applyFill="1" applyBorder="1"/>
    <xf numFmtId="164" fontId="0" fillId="8" borderId="4" xfId="0" applyNumberFormat="1" applyFill="1" applyBorder="1"/>
    <xf numFmtId="0" fontId="0" fillId="8" borderId="6" xfId="0" applyFill="1" applyBorder="1" applyAlignment="1">
      <alignment horizontal="center" vertical="center"/>
    </xf>
    <xf numFmtId="0" fontId="0" fillId="8" borderId="6" xfId="0" applyFill="1" applyBorder="1"/>
    <xf numFmtId="164" fontId="0" fillId="8" borderId="6" xfId="3" applyFont="1" applyFill="1" applyBorder="1"/>
    <xf numFmtId="0" fontId="0" fillId="9" borderId="3" xfId="0" applyFill="1" applyBorder="1" applyAlignment="1">
      <alignment horizontal="center" vertical="center"/>
    </xf>
    <xf numFmtId="0" fontId="0" fillId="9" borderId="3" xfId="0" applyFill="1" applyBorder="1"/>
    <xf numFmtId="164" fontId="0" fillId="9" borderId="3" xfId="3" applyFont="1" applyFill="1" applyBorder="1"/>
    <xf numFmtId="164" fontId="0" fillId="9" borderId="3" xfId="0" applyNumberFormat="1" applyFill="1" applyBorder="1"/>
    <xf numFmtId="9" fontId="0" fillId="9" borderId="3" xfId="4" applyFont="1" applyFill="1" applyBorder="1"/>
    <xf numFmtId="165" fontId="0" fillId="9" borderId="3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164" fontId="0" fillId="9" borderId="4" xfId="0" applyNumberFormat="1" applyFill="1" applyBorder="1"/>
    <xf numFmtId="0" fontId="0" fillId="9" borderId="6" xfId="0" applyFill="1" applyBorder="1" applyAlignment="1">
      <alignment horizontal="center" vertical="center"/>
    </xf>
    <xf numFmtId="0" fontId="0" fillId="9" borderId="6" xfId="0" applyFill="1" applyBorder="1"/>
    <xf numFmtId="164" fontId="0" fillId="9" borderId="6" xfId="3" applyFont="1" applyFill="1" applyBorder="1"/>
    <xf numFmtId="164" fontId="0" fillId="9" borderId="4" xfId="3" applyFont="1" applyFill="1" applyBorder="1"/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/>
    <xf numFmtId="164" fontId="0" fillId="10" borderId="4" xfId="3" applyFont="1" applyFill="1" applyBorder="1"/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/>
    <xf numFmtId="164" fontId="0" fillId="10" borderId="3" xfId="3" applyFont="1" applyFill="1" applyBorder="1"/>
    <xf numFmtId="0" fontId="0" fillId="10" borderId="6" xfId="0" applyFill="1" applyBorder="1" applyAlignment="1">
      <alignment horizontal="center" vertical="center"/>
    </xf>
    <xf numFmtId="0" fontId="0" fillId="10" borderId="6" xfId="0" applyFill="1" applyBorder="1"/>
    <xf numFmtId="164" fontId="0" fillId="10" borderId="6" xfId="3" applyFont="1" applyFill="1" applyBorder="1"/>
    <xf numFmtId="164" fontId="0" fillId="10" borderId="4" xfId="0" applyNumberFormat="1" applyFill="1" applyBorder="1"/>
    <xf numFmtId="9" fontId="0" fillId="10" borderId="3" xfId="4" applyFont="1" applyFill="1" applyBorder="1"/>
    <xf numFmtId="164" fontId="0" fillId="10" borderId="3" xfId="0" applyNumberFormat="1" applyFill="1" applyBorder="1"/>
    <xf numFmtId="165" fontId="0" fillId="10" borderId="3" xfId="0" applyNumberFormat="1" applyFill="1" applyBorder="1"/>
    <xf numFmtId="0" fontId="2" fillId="6" borderId="4" xfId="5" applyBorder="1" applyAlignment="1">
      <alignment horizontal="center" vertical="center"/>
    </xf>
    <xf numFmtId="0" fontId="2" fillId="6" borderId="4" xfId="5" applyBorder="1"/>
    <xf numFmtId="164" fontId="2" fillId="6" borderId="4" xfId="5" applyNumberFormat="1" applyBorder="1"/>
    <xf numFmtId="0" fontId="2" fillId="6" borderId="3" xfId="5" applyBorder="1" applyAlignment="1">
      <alignment horizontal="center" vertical="center"/>
    </xf>
    <xf numFmtId="0" fontId="2" fillId="6" borderId="3" xfId="5" applyBorder="1"/>
    <xf numFmtId="164" fontId="2" fillId="6" borderId="3" xfId="5" applyNumberFormat="1" applyBorder="1"/>
    <xf numFmtId="0" fontId="2" fillId="6" borderId="6" xfId="5" applyBorder="1" applyAlignment="1">
      <alignment horizontal="center" vertical="center"/>
    </xf>
    <xf numFmtId="0" fontId="2" fillId="6" borderId="6" xfId="5" applyBorder="1"/>
    <xf numFmtId="164" fontId="2" fillId="6" borderId="6" xfId="5" applyNumberFormat="1" applyBorder="1"/>
    <xf numFmtId="9" fontId="2" fillId="6" borderId="3" xfId="5" applyNumberFormat="1" applyBorder="1"/>
    <xf numFmtId="165" fontId="2" fillId="6" borderId="3" xfId="5" applyNumberFormat="1" applyBorder="1"/>
    <xf numFmtId="0" fontId="0" fillId="11" borderId="4" xfId="0" applyFill="1" applyBorder="1" applyAlignment="1">
      <alignment horizontal="center" vertical="center"/>
    </xf>
    <xf numFmtId="0" fontId="0" fillId="11" borderId="4" xfId="0" applyFill="1" applyBorder="1"/>
    <xf numFmtId="164" fontId="0" fillId="11" borderId="4" xfId="3" applyFont="1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/>
    <xf numFmtId="164" fontId="0" fillId="11" borderId="3" xfId="3" applyFont="1" applyFill="1" applyBorder="1"/>
    <xf numFmtId="164" fontId="0" fillId="11" borderId="3" xfId="0" applyNumberFormat="1" applyFill="1" applyBorder="1"/>
    <xf numFmtId="9" fontId="0" fillId="11" borderId="3" xfId="4" applyFont="1" applyFill="1" applyBorder="1"/>
    <xf numFmtId="0" fontId="0" fillId="11" borderId="6" xfId="0" applyFill="1" applyBorder="1" applyAlignment="1">
      <alignment horizontal="center" vertical="center"/>
    </xf>
    <xf numFmtId="0" fontId="0" fillId="11" borderId="6" xfId="0" applyFill="1" applyBorder="1"/>
    <xf numFmtId="165" fontId="0" fillId="11" borderId="6" xfId="0" applyNumberFormat="1" applyFill="1" applyBorder="1"/>
    <xf numFmtId="9" fontId="0" fillId="11" borderId="6" xfId="4" applyFont="1" applyFill="1" applyBorder="1"/>
    <xf numFmtId="164" fontId="0" fillId="11" borderId="6" xfId="0" applyNumberFormat="1" applyFill="1" applyBorder="1"/>
    <xf numFmtId="164" fontId="0" fillId="7" borderId="5" xfId="0" applyNumberFormat="1" applyFill="1" applyBorder="1"/>
    <xf numFmtId="9" fontId="0" fillId="7" borderId="5" xfId="4" applyFont="1" applyFill="1" applyBorder="1"/>
    <xf numFmtId="0" fontId="0" fillId="7" borderId="3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 wrapText="1"/>
    </xf>
    <xf numFmtId="0" fontId="0" fillId="10" borderId="4" xfId="0" applyFill="1" applyBorder="1" applyAlignment="1">
      <alignment horizontal="left" vertical="center"/>
    </xf>
    <xf numFmtId="0" fontId="2" fillId="6" borderId="4" xfId="5" applyBorder="1" applyAlignment="1">
      <alignment horizontal="left" vertical="center" wrapText="1"/>
    </xf>
    <xf numFmtId="0" fontId="2" fillId="6" borderId="3" xfId="5" applyBorder="1" applyAlignment="1">
      <alignment horizontal="left" vertical="center" wrapText="1"/>
    </xf>
    <xf numFmtId="0" fontId="2" fillId="6" borderId="3" xfId="5" applyBorder="1" applyAlignment="1">
      <alignment horizontal="left" vertical="center"/>
    </xf>
    <xf numFmtId="0" fontId="2" fillId="6" borderId="6" xfId="5" applyBorder="1" applyAlignment="1">
      <alignment horizontal="left" vertical="center"/>
    </xf>
    <xf numFmtId="0" fontId="2" fillId="6" borderId="4" xfId="5" applyBorder="1" applyAlignment="1">
      <alignment horizontal="left" vertical="center"/>
    </xf>
    <xf numFmtId="0" fontId="0" fillId="8" borderId="3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11" borderId="4" xfId="0" applyFill="1" applyBorder="1" applyAlignment="1">
      <alignment horizontal="left" vertical="center" wrapText="1"/>
    </xf>
    <xf numFmtId="0" fontId="0" fillId="11" borderId="3" xfId="0" applyFill="1" applyBorder="1" applyAlignment="1">
      <alignment horizontal="left" vertical="center" wrapText="1"/>
    </xf>
    <xf numFmtId="0" fontId="0" fillId="11" borderId="3" xfId="0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 wrapText="1"/>
    </xf>
    <xf numFmtId="0" fontId="0" fillId="9" borderId="6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 wrapText="1"/>
    </xf>
  </cellXfs>
  <cellStyles count="6">
    <cellStyle name="60% - Énfasis4" xfId="5" builtinId="44"/>
    <cellStyle name="Énfasis1" xfId="1" builtinId="29"/>
    <cellStyle name="Énfasis2" xfId="2" builtinId="33"/>
    <cellStyle name="Moneda" xfId="3" builtinId="4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CD18-48B0-4D53-ADD5-55E7744E5841}">
  <dimension ref="A1:X82"/>
  <sheetViews>
    <sheetView tabSelected="1" topLeftCell="E1" workbookViewId="0">
      <selection activeCell="I26" sqref="I26"/>
    </sheetView>
  </sheetViews>
  <sheetFormatPr baseColWidth="10" defaultColWidth="11.42578125" defaultRowHeight="15" x14ac:dyDescent="0.25"/>
  <cols>
    <col min="1" max="1" width="16.5703125" bestFit="1" customWidth="1"/>
    <col min="2" max="2" width="19.7109375" bestFit="1" customWidth="1"/>
    <col min="3" max="4" width="17.85546875" bestFit="1" customWidth="1"/>
    <col min="5" max="5" width="38.42578125" customWidth="1"/>
    <col min="6" max="6" width="17.140625" style="3" bestFit="1" customWidth="1"/>
    <col min="7" max="7" width="21.42578125" bestFit="1" customWidth="1"/>
    <col min="8" max="8" width="23" bestFit="1" customWidth="1"/>
    <col min="9" max="9" width="18.85546875" bestFit="1" customWidth="1"/>
    <col min="10" max="10" width="17.7109375" bestFit="1" customWidth="1"/>
    <col min="11" max="11" width="32.5703125" bestFit="1" customWidth="1"/>
    <col min="12" max="12" width="32.5703125" customWidth="1"/>
    <col min="13" max="13" width="24" bestFit="1" customWidth="1"/>
    <col min="14" max="14" width="26.5703125" bestFit="1" customWidth="1"/>
    <col min="16" max="16" width="21.42578125" bestFit="1" customWidth="1"/>
    <col min="17" max="17" width="15.5703125" bestFit="1" customWidth="1"/>
    <col min="18" max="18" width="17.42578125" bestFit="1" customWidth="1"/>
    <col min="19" max="19" width="15.7109375" bestFit="1" customWidth="1"/>
    <col min="20" max="20" width="24.42578125" bestFit="1" customWidth="1"/>
    <col min="21" max="21" width="29.140625" bestFit="1" customWidth="1"/>
    <col min="22" max="22" width="18.140625" bestFit="1" customWidth="1"/>
    <col min="23" max="23" width="15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6" t="s">
        <v>10</v>
      </c>
      <c r="L1" s="10" t="s">
        <v>11</v>
      </c>
      <c r="M1" s="6" t="s">
        <v>12</v>
      </c>
      <c r="N1" s="10" t="s">
        <v>13</v>
      </c>
      <c r="P1" s="1" t="s">
        <v>6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</row>
    <row r="2" spans="1:24" ht="45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s="14">
        <v>8</v>
      </c>
      <c r="G2" s="15" t="s">
        <v>27</v>
      </c>
      <c r="H2" s="14">
        <v>4</v>
      </c>
      <c r="I2" s="98" t="s">
        <v>115</v>
      </c>
      <c r="J2" s="14">
        <f t="shared" ref="J2:J9" si="0">H2*F2</f>
        <v>32</v>
      </c>
      <c r="K2" s="15">
        <f>J2/8</f>
        <v>4</v>
      </c>
      <c r="L2" s="16">
        <f>VLOOKUP(G2,$P$2:$W$4,2,FALSE)*J2</f>
        <v>294400</v>
      </c>
      <c r="M2" s="17">
        <f>J2/24</f>
        <v>1.3333333333333333</v>
      </c>
      <c r="N2" s="16">
        <f t="shared" ref="N2:N9" si="1">(VLOOKUP(G2,$P$2:$W$4,2,FALSE)*(J2/3))+(VLOOKUP(G2,$P$2:$W$4,3,FALSE)*(J2/3))+(VLOOKUP(G2,$P$2:$W$4,5,FALSE)*(J2/3))</f>
        <v>223932.89760348585</v>
      </c>
      <c r="P2" t="s">
        <v>27</v>
      </c>
      <c r="Q2" s="5">
        <v>9200</v>
      </c>
      <c r="R2" s="5">
        <v>6532.9444444444453</v>
      </c>
      <c r="S2" s="5">
        <v>14556</v>
      </c>
      <c r="T2" s="9">
        <f>(T3/51)*27</f>
        <v>5260.7647058823532</v>
      </c>
      <c r="U2" s="9">
        <f>(U3/51)*27</f>
        <v>8443.5882352941189</v>
      </c>
      <c r="V2" s="9">
        <f>(V3/51)*27</f>
        <v>29647.058823529413</v>
      </c>
      <c r="W2" s="5">
        <f>(W4/21)*27</f>
        <v>17236.383428571429</v>
      </c>
      <c r="X2" s="8">
        <f>Q2/(SUM(Q$2:Q$4))</f>
        <v>0.27467606138412848</v>
      </c>
    </row>
    <row r="3" spans="1:24" ht="60" x14ac:dyDescent="0.25">
      <c r="D3" t="s">
        <v>28</v>
      </c>
      <c r="E3" t="s">
        <v>29</v>
      </c>
      <c r="F3" s="14">
        <v>4</v>
      </c>
      <c r="G3" s="15" t="s">
        <v>30</v>
      </c>
      <c r="H3" s="14">
        <v>4</v>
      </c>
      <c r="I3" s="98" t="s">
        <v>116</v>
      </c>
      <c r="J3" s="14">
        <f t="shared" si="0"/>
        <v>16</v>
      </c>
      <c r="K3" s="15">
        <f>J3/8</f>
        <v>2</v>
      </c>
      <c r="L3" s="16">
        <f>VLOOKUP(G3,$P$2:$W$4,2,FALSE)*J3</f>
        <v>275472</v>
      </c>
      <c r="M3" s="17">
        <f>J3/24</f>
        <v>0.66666666666666663</v>
      </c>
      <c r="N3" s="16">
        <f t="shared" si="1"/>
        <v>203301.33333333331</v>
      </c>
      <c r="P3" t="s">
        <v>30</v>
      </c>
      <c r="Q3" s="5">
        <v>17217</v>
      </c>
      <c r="R3" s="5">
        <v>10965</v>
      </c>
      <c r="S3" s="5">
        <v>21688</v>
      </c>
      <c r="T3" s="5">
        <v>9937</v>
      </c>
      <c r="U3" s="5">
        <v>15949</v>
      </c>
      <c r="V3" s="5">
        <v>56000</v>
      </c>
      <c r="W3" s="5">
        <f>(W4/21)*51</f>
        <v>32557.613142857146</v>
      </c>
      <c r="X3" s="8">
        <f t="shared" ref="X3:X4" si="2">Q3/(SUM(Q$2:Q$4))</f>
        <v>0.51403236400549357</v>
      </c>
    </row>
    <row r="4" spans="1:24" ht="30" x14ac:dyDescent="0.25">
      <c r="D4" t="s">
        <v>28</v>
      </c>
      <c r="E4" t="s">
        <v>31</v>
      </c>
      <c r="F4" s="14">
        <v>4</v>
      </c>
      <c r="G4" s="15" t="s">
        <v>30</v>
      </c>
      <c r="H4" s="14">
        <v>12</v>
      </c>
      <c r="I4" s="98" t="s">
        <v>117</v>
      </c>
      <c r="J4" s="14">
        <f t="shared" si="0"/>
        <v>48</v>
      </c>
      <c r="K4" s="15">
        <f t="shared" ref="K4:K5" si="3">J4/8</f>
        <v>6</v>
      </c>
      <c r="L4" s="16">
        <f>VLOOKUP(G4,$P$2:$W$4,2,FALSE)*J4</f>
        <v>826416</v>
      </c>
      <c r="M4" s="17">
        <f>J4/24</f>
        <v>2</v>
      </c>
      <c r="N4" s="16">
        <f t="shared" si="1"/>
        <v>609904</v>
      </c>
      <c r="P4" t="s">
        <v>32</v>
      </c>
      <c r="Q4" s="5">
        <v>7077</v>
      </c>
      <c r="R4" s="5">
        <v>5834</v>
      </c>
      <c r="S4" s="5">
        <f>(S3/51)*21</f>
        <v>8930.3529411764703</v>
      </c>
      <c r="T4" s="5">
        <f>(T3/51)*21</f>
        <v>4091.705882352941</v>
      </c>
      <c r="U4" s="5">
        <f>(U3/51)*21</f>
        <v>6567.2352941176478</v>
      </c>
      <c r="V4" s="5">
        <f>(V3/51)*21</f>
        <v>23058.823529411762</v>
      </c>
      <c r="W4" s="5">
        <v>13406.076000000001</v>
      </c>
      <c r="X4" s="8">
        <f t="shared" si="2"/>
        <v>0.21129157461037798</v>
      </c>
    </row>
    <row r="5" spans="1:24" x14ac:dyDescent="0.25">
      <c r="D5" t="s">
        <v>28</v>
      </c>
      <c r="E5" t="s">
        <v>33</v>
      </c>
      <c r="F5" s="14">
        <v>12</v>
      </c>
      <c r="G5" s="15" t="s">
        <v>30</v>
      </c>
      <c r="H5" s="14">
        <v>8</v>
      </c>
      <c r="I5" s="98" t="s">
        <v>125</v>
      </c>
      <c r="J5" s="14">
        <f t="shared" si="0"/>
        <v>96</v>
      </c>
      <c r="K5" s="15">
        <f t="shared" si="3"/>
        <v>12</v>
      </c>
      <c r="L5" s="16">
        <f t="shared" ref="L5:L9" si="4">VLOOKUP(G5,$P$2:$W$4,2,FALSE)*J5</f>
        <v>1652832</v>
      </c>
      <c r="M5" s="17">
        <f>J5/24</f>
        <v>4</v>
      </c>
      <c r="N5" s="16">
        <f t="shared" si="1"/>
        <v>1219808</v>
      </c>
      <c r="P5" t="s">
        <v>34</v>
      </c>
      <c r="Q5" s="9">
        <f>SUM(Q2:Q4)</f>
        <v>33494</v>
      </c>
      <c r="R5" s="9">
        <f t="shared" ref="R5:W5" si="5">SUM(R2:R4)</f>
        <v>23331.944444444445</v>
      </c>
      <c r="S5" s="9">
        <f t="shared" si="5"/>
        <v>45174.352941176468</v>
      </c>
      <c r="T5" s="9">
        <f t="shared" si="5"/>
        <v>19289.470588235294</v>
      </c>
      <c r="U5" s="9">
        <f t="shared" si="5"/>
        <v>30959.823529411766</v>
      </c>
      <c r="V5" s="9">
        <f t="shared" si="5"/>
        <v>108705.88235294117</v>
      </c>
      <c r="W5" s="9">
        <f t="shared" si="5"/>
        <v>63200.07257142858</v>
      </c>
    </row>
    <row r="6" spans="1:24" ht="45" x14ac:dyDescent="0.25">
      <c r="D6" t="s">
        <v>28</v>
      </c>
      <c r="E6" t="s">
        <v>35</v>
      </c>
      <c r="F6" s="14">
        <v>2</v>
      </c>
      <c r="G6" s="15" t="s">
        <v>30</v>
      </c>
      <c r="H6" s="14">
        <v>2</v>
      </c>
      <c r="I6" s="98" t="s">
        <v>115</v>
      </c>
      <c r="J6" s="14">
        <f t="shared" si="0"/>
        <v>4</v>
      </c>
      <c r="K6" s="15">
        <f>J6/8</f>
        <v>0.5</v>
      </c>
      <c r="L6" s="16">
        <f t="shared" si="4"/>
        <v>68868</v>
      </c>
      <c r="M6" s="17">
        <f t="shared" ref="M6" si="6">J6/24</f>
        <v>0.16666666666666666</v>
      </c>
      <c r="N6" s="16">
        <f t="shared" si="1"/>
        <v>50825.333333333328</v>
      </c>
      <c r="P6" t="s">
        <v>36</v>
      </c>
      <c r="Q6" s="9">
        <f>Q5*1.68</f>
        <v>56269.919999999998</v>
      </c>
      <c r="R6" s="9">
        <f t="shared" ref="R6:W6" si="7">R5*1.68</f>
        <v>39197.666666666664</v>
      </c>
      <c r="S6" s="9">
        <f t="shared" si="7"/>
        <v>75892.912941176459</v>
      </c>
      <c r="T6" s="9">
        <f t="shared" si="7"/>
        <v>32406.310588235294</v>
      </c>
      <c r="U6" s="9">
        <f t="shared" si="7"/>
        <v>52012.503529411762</v>
      </c>
      <c r="V6" s="9">
        <f t="shared" si="7"/>
        <v>182625.88235294117</v>
      </c>
      <c r="W6" s="9">
        <f t="shared" si="7"/>
        <v>106176.12192000001</v>
      </c>
    </row>
    <row r="7" spans="1:24" x14ac:dyDescent="0.25">
      <c r="D7" t="s">
        <v>28</v>
      </c>
      <c r="E7" t="s">
        <v>37</v>
      </c>
      <c r="F7" s="14">
        <v>4</v>
      </c>
      <c r="G7" s="15" t="s">
        <v>32</v>
      </c>
      <c r="H7" s="14">
        <v>3</v>
      </c>
      <c r="I7" s="99" t="s">
        <v>121</v>
      </c>
      <c r="J7" s="14">
        <f t="shared" si="0"/>
        <v>12</v>
      </c>
      <c r="K7" s="15">
        <f>J7/8</f>
        <v>1.5</v>
      </c>
      <c r="L7" s="16">
        <f t="shared" si="4"/>
        <v>84924</v>
      </c>
      <c r="M7" s="17">
        <f>J7/24</f>
        <v>0.5</v>
      </c>
      <c r="N7" s="16">
        <f t="shared" si="1"/>
        <v>68010.823529411762</v>
      </c>
      <c r="Q7" t="s">
        <v>38</v>
      </c>
      <c r="R7" t="s">
        <v>39</v>
      </c>
      <c r="S7" t="s">
        <v>39</v>
      </c>
      <c r="T7" t="s">
        <v>40</v>
      </c>
      <c r="U7" t="s">
        <v>39</v>
      </c>
      <c r="V7" t="s">
        <v>38</v>
      </c>
      <c r="W7" t="s">
        <v>39</v>
      </c>
    </row>
    <row r="8" spans="1:24" x14ac:dyDescent="0.25">
      <c r="D8" t="s">
        <v>28</v>
      </c>
      <c r="E8" t="s">
        <v>41</v>
      </c>
      <c r="F8" s="14">
        <v>2</v>
      </c>
      <c r="G8" s="15" t="s">
        <v>32</v>
      </c>
      <c r="H8" s="14">
        <v>2</v>
      </c>
      <c r="I8" s="99" t="s">
        <v>123</v>
      </c>
      <c r="J8" s="14">
        <f t="shared" si="0"/>
        <v>4</v>
      </c>
      <c r="K8" s="15">
        <f>J8/8</f>
        <v>0.5</v>
      </c>
      <c r="L8" s="16">
        <f t="shared" si="4"/>
        <v>28308</v>
      </c>
      <c r="M8" s="17">
        <f>J8/24</f>
        <v>0.16666666666666666</v>
      </c>
      <c r="N8" s="16">
        <f t="shared" si="1"/>
        <v>22670.274509803919</v>
      </c>
      <c r="P8" t="s">
        <v>42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44</v>
      </c>
      <c r="W8" t="s">
        <v>45</v>
      </c>
    </row>
    <row r="9" spans="1:24" ht="15.75" thickBot="1" x14ac:dyDescent="0.3">
      <c r="A9" s="12"/>
      <c r="B9" s="12"/>
      <c r="C9" s="12"/>
      <c r="D9" s="12" t="s">
        <v>28</v>
      </c>
      <c r="E9" s="12" t="s">
        <v>46</v>
      </c>
      <c r="F9" s="25">
        <v>1</v>
      </c>
      <c r="G9" s="26" t="s">
        <v>32</v>
      </c>
      <c r="H9" s="25">
        <v>2</v>
      </c>
      <c r="I9" s="100" t="s">
        <v>123</v>
      </c>
      <c r="J9" s="25">
        <f t="shared" si="0"/>
        <v>2</v>
      </c>
      <c r="K9" s="26">
        <f>J9/8</f>
        <v>0.25</v>
      </c>
      <c r="L9" s="27">
        <f t="shared" si="4"/>
        <v>14154</v>
      </c>
      <c r="M9" s="28">
        <f>J9/24</f>
        <v>8.3333333333333329E-2</v>
      </c>
      <c r="N9" s="27">
        <f t="shared" si="1"/>
        <v>11335.13725490196</v>
      </c>
      <c r="P9" t="s">
        <v>47</v>
      </c>
      <c r="U9" s="9"/>
      <c r="V9" s="5"/>
    </row>
    <row r="10" spans="1:24" ht="15.75" thickTop="1" x14ac:dyDescent="0.25">
      <c r="F10" s="20"/>
      <c r="G10" s="21"/>
      <c r="H10" s="21"/>
      <c r="I10" s="101"/>
      <c r="J10" s="21"/>
      <c r="K10" s="21"/>
      <c r="L10" s="22">
        <f>SUM(L2:L9)</f>
        <v>3245374</v>
      </c>
      <c r="M10" s="21"/>
      <c r="N10" s="22">
        <f>SUM(N2:N9)</f>
        <v>2409787.7995642703</v>
      </c>
      <c r="P10" t="s">
        <v>52</v>
      </c>
      <c r="V10" s="5"/>
    </row>
    <row r="11" spans="1:24" x14ac:dyDescent="0.25">
      <c r="F11" s="14"/>
      <c r="G11" s="15"/>
      <c r="H11" s="15"/>
      <c r="I11" s="99"/>
      <c r="J11" s="15"/>
      <c r="K11" s="15"/>
      <c r="L11" s="15"/>
      <c r="M11" s="19">
        <f>N11/L10</f>
        <v>0.25746992501811183</v>
      </c>
      <c r="N11" s="18">
        <f>L10-N10</f>
        <v>835586.2004357297</v>
      </c>
      <c r="P11" t="s">
        <v>54</v>
      </c>
      <c r="Q11" t="s">
        <v>55</v>
      </c>
      <c r="V11" s="5"/>
    </row>
    <row r="12" spans="1:24" x14ac:dyDescent="0.25">
      <c r="F12" s="23"/>
      <c r="G12" s="24"/>
      <c r="H12" s="24"/>
      <c r="I12" s="102"/>
      <c r="J12" s="24"/>
      <c r="K12" s="24"/>
      <c r="L12" s="96">
        <f>L10*1.68</f>
        <v>5452228.3199999994</v>
      </c>
      <c r="M12" s="97">
        <f>M11*1.68</f>
        <v>0.43254947403042787</v>
      </c>
      <c r="N12" s="96">
        <f>N11*1.68</f>
        <v>1403784.8167320259</v>
      </c>
      <c r="P12" t="s">
        <v>57</v>
      </c>
      <c r="V12" s="5"/>
    </row>
    <row r="13" spans="1:24" x14ac:dyDescent="0.25">
      <c r="F13"/>
      <c r="I13" s="103"/>
      <c r="P13" t="s">
        <v>60</v>
      </c>
    </row>
    <row r="14" spans="1:24" ht="15.75" thickBot="1" x14ac:dyDescent="0.3">
      <c r="A14" s="12"/>
      <c r="B14" s="12"/>
      <c r="C14" s="12"/>
      <c r="D14" s="12"/>
      <c r="E14" s="12"/>
      <c r="F14" s="51"/>
      <c r="G14" s="51"/>
      <c r="H14" s="51"/>
      <c r="I14" s="104"/>
      <c r="J14" s="51"/>
      <c r="K14" s="51"/>
      <c r="L14" s="51"/>
      <c r="M14" s="51"/>
      <c r="N14" s="51"/>
    </row>
    <row r="15" spans="1:24" ht="15.75" thickTop="1" x14ac:dyDescent="0.25">
      <c r="B15" t="s">
        <v>48</v>
      </c>
      <c r="C15" t="s">
        <v>49</v>
      </c>
      <c r="D15" t="s">
        <v>50</v>
      </c>
      <c r="E15" t="s">
        <v>51</v>
      </c>
      <c r="F15" s="29">
        <v>2</v>
      </c>
      <c r="G15" s="30" t="s">
        <v>30</v>
      </c>
      <c r="H15" s="29">
        <v>2</v>
      </c>
      <c r="I15" s="105" t="s">
        <v>124</v>
      </c>
      <c r="J15" s="29">
        <f t="shared" ref="J15:J25" si="8">H15*F15</f>
        <v>4</v>
      </c>
      <c r="K15" s="30">
        <f>J15/8</f>
        <v>0.5</v>
      </c>
      <c r="L15" s="31">
        <f>VLOOKUP(G15,$P$3:$W$4,2,FALSE)*J15</f>
        <v>68868</v>
      </c>
      <c r="M15" s="30">
        <f t="shared" ref="M15:M25" si="9">J15/24</f>
        <v>0.16666666666666666</v>
      </c>
      <c r="N15" s="31">
        <f>(VLOOKUP(G15,$P$3:$W$4,2,FALSE)*(J15/3))+(VLOOKUP(G15,$P$3:$W$4,3,FALSE)*(J15/3))+(VLOOKUP(G15,$P$3:$W$4,5,FALSE)*(J15/3))</f>
        <v>50825.333333333328</v>
      </c>
    </row>
    <row r="16" spans="1:24" x14ac:dyDescent="0.25">
      <c r="D16" t="s">
        <v>50</v>
      </c>
      <c r="E16" t="s">
        <v>53</v>
      </c>
      <c r="F16" s="32">
        <v>1</v>
      </c>
      <c r="G16" s="33" t="s">
        <v>32</v>
      </c>
      <c r="H16" s="32">
        <v>2</v>
      </c>
      <c r="I16" s="106" t="s">
        <v>122</v>
      </c>
      <c r="J16" s="32">
        <f t="shared" si="8"/>
        <v>2</v>
      </c>
      <c r="K16" s="33">
        <f>J16/8</f>
        <v>0.25</v>
      </c>
      <c r="L16" s="34">
        <f t="shared" ref="L16:L20" si="10">VLOOKUP(G16,$P$3:$W$4,2,FALSE)*J16</f>
        <v>14154</v>
      </c>
      <c r="M16" s="33">
        <f t="shared" si="9"/>
        <v>8.3333333333333329E-2</v>
      </c>
      <c r="N16" s="34">
        <f t="shared" ref="N16:N25" si="11">(VLOOKUP(G16,$P$3:$W$4,2,FALSE)*(J16/3))+(VLOOKUP(G16,$P$3:$W$4,3,FALSE)*(J16/3))+(VLOOKUP(G16,$P$3:$W$4,5,FALSE)*(J16/3))</f>
        <v>11335.13725490196</v>
      </c>
    </row>
    <row r="17" spans="1:14" x14ac:dyDescent="0.25">
      <c r="D17" t="s">
        <v>50</v>
      </c>
      <c r="E17" t="s">
        <v>56</v>
      </c>
      <c r="F17" s="32">
        <v>2</v>
      </c>
      <c r="G17" s="33" t="s">
        <v>32</v>
      </c>
      <c r="H17" s="32">
        <v>12</v>
      </c>
      <c r="I17" s="121" t="s">
        <v>127</v>
      </c>
      <c r="J17" s="32">
        <f t="shared" si="8"/>
        <v>24</v>
      </c>
      <c r="K17" s="33">
        <f t="shared" ref="K17:K25" si="12">J17/8</f>
        <v>3</v>
      </c>
      <c r="L17" s="34">
        <f t="shared" si="10"/>
        <v>169848</v>
      </c>
      <c r="M17" s="33">
        <f t="shared" si="9"/>
        <v>1</v>
      </c>
      <c r="N17" s="34">
        <f t="shared" si="11"/>
        <v>136021.64705882352</v>
      </c>
    </row>
    <row r="18" spans="1:14" x14ac:dyDescent="0.25">
      <c r="D18" t="s">
        <v>58</v>
      </c>
      <c r="E18" t="s">
        <v>59</v>
      </c>
      <c r="F18" s="32">
        <v>1</v>
      </c>
      <c r="G18" s="33" t="s">
        <v>30</v>
      </c>
      <c r="H18" s="32">
        <v>4</v>
      </c>
      <c r="I18" s="106" t="s">
        <v>128</v>
      </c>
      <c r="J18" s="32">
        <f t="shared" si="8"/>
        <v>4</v>
      </c>
      <c r="K18" s="33">
        <f t="shared" si="12"/>
        <v>0.5</v>
      </c>
      <c r="L18" s="34">
        <f t="shared" si="10"/>
        <v>68868</v>
      </c>
      <c r="M18" s="33">
        <f t="shared" si="9"/>
        <v>0.16666666666666666</v>
      </c>
      <c r="N18" s="34">
        <f t="shared" si="11"/>
        <v>50825.333333333328</v>
      </c>
    </row>
    <row r="19" spans="1:14" x14ac:dyDescent="0.25">
      <c r="D19" t="s">
        <v>58</v>
      </c>
      <c r="E19" t="s">
        <v>61</v>
      </c>
      <c r="F19" s="32">
        <v>1</v>
      </c>
      <c r="G19" s="33" t="s">
        <v>30</v>
      </c>
      <c r="H19" s="32">
        <v>4</v>
      </c>
      <c r="I19" s="106" t="s">
        <v>119</v>
      </c>
      <c r="J19" s="32">
        <f t="shared" si="8"/>
        <v>4</v>
      </c>
      <c r="K19" s="33">
        <f t="shared" si="12"/>
        <v>0.5</v>
      </c>
      <c r="L19" s="34">
        <f t="shared" si="10"/>
        <v>68868</v>
      </c>
      <c r="M19" s="33">
        <f t="shared" si="9"/>
        <v>0.16666666666666666</v>
      </c>
      <c r="N19" s="34">
        <f t="shared" si="11"/>
        <v>50825.333333333328</v>
      </c>
    </row>
    <row r="20" spans="1:14" ht="45" x14ac:dyDescent="0.25">
      <c r="D20" t="s">
        <v>62</v>
      </c>
      <c r="E20" s="11" t="s">
        <v>63</v>
      </c>
      <c r="F20" s="32">
        <v>2</v>
      </c>
      <c r="G20" s="33" t="s">
        <v>30</v>
      </c>
      <c r="H20" s="32">
        <v>1</v>
      </c>
      <c r="I20" s="121" t="s">
        <v>115</v>
      </c>
      <c r="J20" s="32">
        <f t="shared" si="8"/>
        <v>2</v>
      </c>
      <c r="K20" s="33">
        <f t="shared" si="12"/>
        <v>0.25</v>
      </c>
      <c r="L20" s="34">
        <f t="shared" si="10"/>
        <v>34434</v>
      </c>
      <c r="M20" s="33">
        <f t="shared" si="9"/>
        <v>8.3333333333333329E-2</v>
      </c>
      <c r="N20" s="34">
        <f t="shared" si="11"/>
        <v>25412.666666666664</v>
      </c>
    </row>
    <row r="21" spans="1:14" x14ac:dyDescent="0.25">
      <c r="D21" t="s">
        <v>64</v>
      </c>
      <c r="E21" t="s">
        <v>65</v>
      </c>
      <c r="F21" s="32">
        <v>3</v>
      </c>
      <c r="G21" s="33" t="s">
        <v>30</v>
      </c>
      <c r="H21" s="32">
        <v>1</v>
      </c>
      <c r="I21" s="106" t="s">
        <v>115</v>
      </c>
      <c r="J21" s="32">
        <f t="shared" si="8"/>
        <v>3</v>
      </c>
      <c r="K21" s="33">
        <f t="shared" si="12"/>
        <v>0.375</v>
      </c>
      <c r="L21" s="34">
        <f>VLOOKUP(G21,$P$3:$W$4,2,FALSE)*J21</f>
        <v>51651</v>
      </c>
      <c r="M21" s="33">
        <f t="shared" si="9"/>
        <v>0.125</v>
      </c>
      <c r="N21" s="34">
        <f t="shared" si="11"/>
        <v>38119</v>
      </c>
    </row>
    <row r="22" spans="1:14" x14ac:dyDescent="0.25">
      <c r="D22" t="s">
        <v>64</v>
      </c>
      <c r="E22" t="s">
        <v>66</v>
      </c>
      <c r="F22" s="32">
        <v>6</v>
      </c>
      <c r="G22" s="33" t="s">
        <v>30</v>
      </c>
      <c r="H22" s="32">
        <v>1</v>
      </c>
      <c r="I22" s="106" t="s">
        <v>115</v>
      </c>
      <c r="J22" s="32">
        <f t="shared" si="8"/>
        <v>6</v>
      </c>
      <c r="K22" s="33">
        <f t="shared" si="12"/>
        <v>0.75</v>
      </c>
      <c r="L22" s="34">
        <f>VLOOKUP(G22,$P$3:$W$4,2,FALSE)*J22</f>
        <v>103302</v>
      </c>
      <c r="M22" s="33">
        <f t="shared" si="9"/>
        <v>0.25</v>
      </c>
      <c r="N22" s="34">
        <f t="shared" si="11"/>
        <v>76238</v>
      </c>
    </row>
    <row r="23" spans="1:14" x14ac:dyDescent="0.25">
      <c r="D23" t="s">
        <v>64</v>
      </c>
      <c r="E23" t="s">
        <v>67</v>
      </c>
      <c r="F23" s="32">
        <v>4</v>
      </c>
      <c r="G23" s="33" t="s">
        <v>30</v>
      </c>
      <c r="H23" s="32">
        <v>1</v>
      </c>
      <c r="I23" s="121" t="s">
        <v>126</v>
      </c>
      <c r="J23" s="32">
        <f t="shared" si="8"/>
        <v>4</v>
      </c>
      <c r="K23" s="33">
        <f t="shared" si="12"/>
        <v>0.5</v>
      </c>
      <c r="L23" s="34">
        <f>VLOOKUP(G23,$P$3:$W$4,2,FALSE)*J23</f>
        <v>68868</v>
      </c>
      <c r="M23" s="33">
        <f t="shared" si="9"/>
        <v>0.16666666666666666</v>
      </c>
      <c r="N23" s="34">
        <f t="shared" si="11"/>
        <v>50825.333333333328</v>
      </c>
    </row>
    <row r="24" spans="1:14" ht="45" x14ac:dyDescent="0.25">
      <c r="D24" t="s">
        <v>64</v>
      </c>
      <c r="E24" t="s">
        <v>68</v>
      </c>
      <c r="F24" s="32">
        <v>8</v>
      </c>
      <c r="G24" s="33" t="s">
        <v>30</v>
      </c>
      <c r="H24" s="32">
        <v>3</v>
      </c>
      <c r="I24" s="121" t="s">
        <v>115</v>
      </c>
      <c r="J24" s="32">
        <f t="shared" si="8"/>
        <v>24</v>
      </c>
      <c r="K24" s="33">
        <f t="shared" si="12"/>
        <v>3</v>
      </c>
      <c r="L24" s="34">
        <f>VLOOKUP(G24,$P$3:$W$4,2,FALSE)*J24</f>
        <v>413208</v>
      </c>
      <c r="M24" s="33">
        <f t="shared" si="9"/>
        <v>1</v>
      </c>
      <c r="N24" s="34">
        <f t="shared" si="11"/>
        <v>304952</v>
      </c>
    </row>
    <row r="25" spans="1:14" ht="15.75" thickBot="1" x14ac:dyDescent="0.3">
      <c r="A25" s="12"/>
      <c r="B25" s="12"/>
      <c r="C25" s="12"/>
      <c r="D25" s="12" t="s">
        <v>64</v>
      </c>
      <c r="E25" s="12" t="s">
        <v>69</v>
      </c>
      <c r="F25" s="39">
        <v>8</v>
      </c>
      <c r="G25" s="40" t="s">
        <v>30</v>
      </c>
      <c r="H25" s="39">
        <v>2</v>
      </c>
      <c r="I25" s="107" t="s">
        <v>129</v>
      </c>
      <c r="J25" s="39">
        <f t="shared" si="8"/>
        <v>16</v>
      </c>
      <c r="K25" s="40">
        <f t="shared" si="12"/>
        <v>2</v>
      </c>
      <c r="L25" s="41">
        <f>VLOOKUP(G25,$P$3:$W$4,2,FALSE)*J25</f>
        <v>275472</v>
      </c>
      <c r="M25" s="40">
        <f t="shared" si="9"/>
        <v>0.66666666666666663</v>
      </c>
      <c r="N25" s="41">
        <f t="shared" si="11"/>
        <v>203301.33333333331</v>
      </c>
    </row>
    <row r="26" spans="1:14" ht="15.75" thickTop="1" x14ac:dyDescent="0.25">
      <c r="F26" s="29"/>
      <c r="G26" s="30"/>
      <c r="H26" s="30"/>
      <c r="I26" s="105"/>
      <c r="J26" s="30"/>
      <c r="K26" s="30"/>
      <c r="L26" s="38">
        <f>SUM(L15:L25)</f>
        <v>1337541</v>
      </c>
      <c r="M26" s="30"/>
      <c r="N26" s="38">
        <f>SUM(N15:N25)</f>
        <v>998681.1176470588</v>
      </c>
    </row>
    <row r="27" spans="1:14" x14ac:dyDescent="0.25">
      <c r="F27" s="32"/>
      <c r="G27" s="33"/>
      <c r="H27" s="33"/>
      <c r="I27" s="106"/>
      <c r="J27" s="33"/>
      <c r="K27" s="33"/>
      <c r="L27" s="33"/>
      <c r="M27" s="36">
        <f>N27/L26</f>
        <v>0.25334541696511825</v>
      </c>
      <c r="N27" s="35">
        <f>L26-N26</f>
        <v>338859.8823529412</v>
      </c>
    </row>
    <row r="28" spans="1:14" x14ac:dyDescent="0.25">
      <c r="F28" s="32"/>
      <c r="G28" s="33"/>
      <c r="H28" s="33"/>
      <c r="I28" s="106"/>
      <c r="J28" s="33"/>
      <c r="K28" s="33"/>
      <c r="L28" s="37">
        <f>L26*1.68</f>
        <v>2247068.88</v>
      </c>
      <c r="M28" s="36">
        <f>M27*1.68</f>
        <v>0.42562030050139865</v>
      </c>
      <c r="N28" s="35">
        <f>N27*1.68</f>
        <v>569284.60235294118</v>
      </c>
    </row>
    <row r="29" spans="1:14" x14ac:dyDescent="0.25">
      <c r="F29" s="32"/>
      <c r="G29" s="33"/>
      <c r="H29" s="33"/>
      <c r="I29" s="106"/>
      <c r="J29" s="33"/>
      <c r="K29" s="33"/>
      <c r="L29" s="33"/>
      <c r="M29" s="33"/>
      <c r="N29" s="33"/>
    </row>
    <row r="30" spans="1:14" x14ac:dyDescent="0.25">
      <c r="I30" s="103"/>
    </row>
    <row r="31" spans="1:14" ht="15.75" thickBot="1" x14ac:dyDescent="0.3">
      <c r="A31" s="12"/>
      <c r="B31" s="12"/>
      <c r="C31" s="12"/>
      <c r="D31" s="12"/>
      <c r="E31" s="12"/>
      <c r="F31" s="50"/>
      <c r="G31" s="51"/>
      <c r="H31" s="51"/>
      <c r="I31" s="104"/>
      <c r="J31" s="51"/>
      <c r="K31" s="51"/>
      <c r="L31" s="51"/>
      <c r="M31" s="51"/>
      <c r="N31" s="51"/>
    </row>
    <row r="32" spans="1:14" ht="45.75" thickTop="1" x14ac:dyDescent="0.25">
      <c r="B32" t="s">
        <v>70</v>
      </c>
      <c r="C32" t="s">
        <v>71</v>
      </c>
      <c r="D32" t="s">
        <v>72</v>
      </c>
      <c r="E32" t="s">
        <v>73</v>
      </c>
      <c r="F32" s="52">
        <v>8</v>
      </c>
      <c r="G32" s="53" t="s">
        <v>32</v>
      </c>
      <c r="H32" s="52">
        <v>3</v>
      </c>
      <c r="I32" s="108" t="s">
        <v>115</v>
      </c>
      <c r="J32" s="52">
        <f t="shared" ref="J32:J38" si="13">H32*F32</f>
        <v>24</v>
      </c>
      <c r="K32" s="53">
        <f>J32/8</f>
        <v>3</v>
      </c>
      <c r="L32" s="58">
        <f>VLOOKUP(G32,$P$3:$W$4,2,FALSE)*J32</f>
        <v>169848</v>
      </c>
      <c r="M32" s="53">
        <f>J32/24</f>
        <v>1</v>
      </c>
      <c r="N32" s="58">
        <f>(VLOOKUP(G32,$P$3:$W$4,2,FALSE)*(J32/3))+(VLOOKUP(G32,$P$3:$W$4,3,FALSE)*(J32/3))+(VLOOKUP(G32,$P$3:$W$4,5,FALSE)*(J32/3))</f>
        <v>136021.64705882352</v>
      </c>
    </row>
    <row r="33" spans="1:14" ht="45" x14ac:dyDescent="0.25">
      <c r="D33" t="s">
        <v>72</v>
      </c>
      <c r="E33" t="s">
        <v>74</v>
      </c>
      <c r="F33" s="42">
        <v>16</v>
      </c>
      <c r="G33" s="43" t="s">
        <v>32</v>
      </c>
      <c r="H33" s="42">
        <v>3</v>
      </c>
      <c r="I33" s="109" t="s">
        <v>115</v>
      </c>
      <c r="J33" s="42">
        <f t="shared" si="13"/>
        <v>48</v>
      </c>
      <c r="K33" s="43">
        <f>J33/8</f>
        <v>6</v>
      </c>
      <c r="L33" s="44">
        <f t="shared" ref="L33:L38" si="14">VLOOKUP(G33,$P$3:$W$4,2,FALSE)*J33</f>
        <v>339696</v>
      </c>
      <c r="M33" s="43">
        <f t="shared" ref="M33:M37" si="15">J33/24</f>
        <v>2</v>
      </c>
      <c r="N33" s="44">
        <f>(VLOOKUP(G33,$P$3:$W$4,2,FALSE)*(J33/3))+(VLOOKUP(G33,$P$3:$W$4,3,FALSE)*(J33/3))+(VLOOKUP(G33,$P$3:$W$4,5,FALSE)*(J33/3))</f>
        <v>272043.29411764705</v>
      </c>
    </row>
    <row r="34" spans="1:14" ht="45" x14ac:dyDescent="0.25">
      <c r="D34" t="s">
        <v>72</v>
      </c>
      <c r="E34" t="s">
        <v>75</v>
      </c>
      <c r="F34" s="42">
        <v>4</v>
      </c>
      <c r="G34" s="43" t="s">
        <v>32</v>
      </c>
      <c r="H34" s="42">
        <v>20</v>
      </c>
      <c r="I34" s="109" t="s">
        <v>115</v>
      </c>
      <c r="J34" s="42">
        <f t="shared" si="13"/>
        <v>80</v>
      </c>
      <c r="K34" s="43">
        <f t="shared" ref="K34:K38" si="16">J34/8</f>
        <v>10</v>
      </c>
      <c r="L34" s="44">
        <f t="shared" si="14"/>
        <v>566160</v>
      </c>
      <c r="M34" s="43">
        <f t="shared" si="15"/>
        <v>3.3333333333333335</v>
      </c>
      <c r="N34" s="44">
        <f>(VLOOKUP(G34,$P$3:$W$4,2,FALSE)*(J34/3))+(VLOOKUP(G34,$P$3:$W$4,3,FALSE)*(J34/3))+(VLOOKUP(G34,$P$3:$W$4,5,FALSE)*(J34/3))</f>
        <v>453405.49019607843</v>
      </c>
    </row>
    <row r="35" spans="1:14" ht="45" x14ac:dyDescent="0.25">
      <c r="D35" t="s">
        <v>72</v>
      </c>
      <c r="E35" t="s">
        <v>76</v>
      </c>
      <c r="F35" s="42">
        <v>6</v>
      </c>
      <c r="G35" s="43" t="s">
        <v>30</v>
      </c>
      <c r="H35" s="42">
        <v>15</v>
      </c>
      <c r="I35" s="109" t="s">
        <v>115</v>
      </c>
      <c r="J35" s="42">
        <f t="shared" si="13"/>
        <v>90</v>
      </c>
      <c r="K35" s="43">
        <f t="shared" si="16"/>
        <v>11.25</v>
      </c>
      <c r="L35" s="44">
        <f t="shared" si="14"/>
        <v>1549530</v>
      </c>
      <c r="M35" s="43">
        <f t="shared" si="15"/>
        <v>3.75</v>
      </c>
      <c r="N35" s="44">
        <f t="shared" ref="N35:N38" si="17">(VLOOKUP(G35,$P$3:$W$4,2,FALSE)*(J35/3))+(VLOOKUP(G35,$P$3:$W$4,3,FALSE)*(J35/3))+(VLOOKUP(G35,$P$3:$W$4,5,FALSE)*(J35/3))</f>
        <v>1143570</v>
      </c>
    </row>
    <row r="36" spans="1:14" ht="45" x14ac:dyDescent="0.25">
      <c r="D36" t="s">
        <v>72</v>
      </c>
      <c r="E36" t="s">
        <v>77</v>
      </c>
      <c r="F36" s="42">
        <v>20</v>
      </c>
      <c r="G36" s="43" t="s">
        <v>30</v>
      </c>
      <c r="H36" s="42">
        <v>5</v>
      </c>
      <c r="I36" s="109" t="s">
        <v>115</v>
      </c>
      <c r="J36" s="42">
        <f t="shared" si="13"/>
        <v>100</v>
      </c>
      <c r="K36" s="43">
        <f t="shared" si="16"/>
        <v>12.5</v>
      </c>
      <c r="L36" s="44">
        <f t="shared" si="14"/>
        <v>1721700</v>
      </c>
      <c r="M36" s="43">
        <f t="shared" si="15"/>
        <v>4.166666666666667</v>
      </c>
      <c r="N36" s="44">
        <f t="shared" si="17"/>
        <v>1270633.3333333335</v>
      </c>
    </row>
    <row r="37" spans="1:14" x14ac:dyDescent="0.25">
      <c r="D37" t="s">
        <v>78</v>
      </c>
      <c r="E37" t="s">
        <v>79</v>
      </c>
      <c r="F37" s="42">
        <v>8</v>
      </c>
      <c r="G37" s="43" t="s">
        <v>32</v>
      </c>
      <c r="H37" s="42">
        <v>3</v>
      </c>
      <c r="I37" s="110" t="s">
        <v>119</v>
      </c>
      <c r="J37" s="42">
        <f t="shared" si="13"/>
        <v>24</v>
      </c>
      <c r="K37" s="43">
        <f t="shared" si="16"/>
        <v>3</v>
      </c>
      <c r="L37" s="44">
        <f t="shared" si="14"/>
        <v>169848</v>
      </c>
      <c r="M37" s="43">
        <f t="shared" si="15"/>
        <v>1</v>
      </c>
      <c r="N37" s="44">
        <f t="shared" si="17"/>
        <v>136021.64705882352</v>
      </c>
    </row>
    <row r="38" spans="1:14" ht="45.75" thickBot="1" x14ac:dyDescent="0.3">
      <c r="A38" s="12"/>
      <c r="B38" s="12"/>
      <c r="C38" s="12"/>
      <c r="D38" s="12" t="s">
        <v>78</v>
      </c>
      <c r="E38" s="12" t="s">
        <v>80</v>
      </c>
      <c r="F38" s="55">
        <v>4</v>
      </c>
      <c r="G38" s="56" t="s">
        <v>32</v>
      </c>
      <c r="H38" s="55">
        <v>3</v>
      </c>
      <c r="I38" s="128" t="s">
        <v>115</v>
      </c>
      <c r="J38" s="55">
        <f t="shared" si="13"/>
        <v>12</v>
      </c>
      <c r="K38" s="56">
        <f t="shared" si="16"/>
        <v>1.5</v>
      </c>
      <c r="L38" s="57">
        <f t="shared" si="14"/>
        <v>84924</v>
      </c>
      <c r="M38" s="56">
        <f>J38/24</f>
        <v>0.5</v>
      </c>
      <c r="N38" s="57">
        <f t="shared" si="17"/>
        <v>68010.823529411762</v>
      </c>
    </row>
    <row r="39" spans="1:14" ht="15.75" thickTop="1" x14ac:dyDescent="0.25">
      <c r="F39" s="52"/>
      <c r="G39" s="53"/>
      <c r="H39" s="53"/>
      <c r="I39" s="111"/>
      <c r="J39" s="53"/>
      <c r="K39" s="53"/>
      <c r="L39" s="54">
        <f>SUM(L32:L38)</f>
        <v>4601706</v>
      </c>
      <c r="M39" s="53"/>
      <c r="N39" s="54">
        <f>SUM(N32:N38)</f>
        <v>3479706.2352941176</v>
      </c>
    </row>
    <row r="40" spans="1:14" x14ac:dyDescent="0.25">
      <c r="F40" s="42"/>
      <c r="G40" s="43"/>
      <c r="H40" s="43"/>
      <c r="I40" s="110"/>
      <c r="J40" s="43"/>
      <c r="K40" s="43"/>
      <c r="L40" s="43"/>
      <c r="M40" s="46">
        <f>N40/L39</f>
        <v>0.24382256595833859</v>
      </c>
      <c r="N40" s="45">
        <f>L39-N39</f>
        <v>1121999.7647058824</v>
      </c>
    </row>
    <row r="41" spans="1:14" x14ac:dyDescent="0.25">
      <c r="F41" s="42"/>
      <c r="G41" s="43"/>
      <c r="H41" s="43"/>
      <c r="I41" s="110"/>
      <c r="J41" s="43"/>
      <c r="K41" s="43"/>
      <c r="L41" s="47">
        <f>L39*1.68</f>
        <v>7730866.0800000001</v>
      </c>
      <c r="M41" s="46">
        <f>M40*1.68</f>
        <v>0.40962191081000882</v>
      </c>
      <c r="N41" s="45">
        <f>N40*1.68</f>
        <v>1884959.6047058825</v>
      </c>
    </row>
    <row r="42" spans="1:14" x14ac:dyDescent="0.25">
      <c r="I42" s="103"/>
    </row>
    <row r="43" spans="1:14" x14ac:dyDescent="0.25">
      <c r="I43" s="103"/>
    </row>
    <row r="44" spans="1:14" ht="15.75" thickBot="1" x14ac:dyDescent="0.3">
      <c r="A44" s="12"/>
      <c r="B44" s="12"/>
      <c r="C44" s="12"/>
      <c r="D44" s="12"/>
      <c r="E44" s="12"/>
      <c r="F44" s="50"/>
      <c r="G44" s="51"/>
      <c r="H44" s="51"/>
      <c r="I44" s="104"/>
      <c r="J44" s="51"/>
      <c r="K44" s="51"/>
      <c r="L44" s="51"/>
      <c r="M44" s="51"/>
      <c r="N44" s="51"/>
    </row>
    <row r="45" spans="1:14" ht="45.75" thickTop="1" x14ac:dyDescent="0.25">
      <c r="B45" t="s">
        <v>81</v>
      </c>
      <c r="C45" t="s">
        <v>82</v>
      </c>
      <c r="D45" t="s">
        <v>83</v>
      </c>
      <c r="E45" t="s">
        <v>84</v>
      </c>
      <c r="F45" s="59">
        <v>40</v>
      </c>
      <c r="G45" s="60" t="s">
        <v>30</v>
      </c>
      <c r="H45" s="59">
        <v>12</v>
      </c>
      <c r="I45" s="112" t="s">
        <v>115</v>
      </c>
      <c r="J45" s="59">
        <f t="shared" ref="J45:J50" si="18">H45*F45</f>
        <v>480</v>
      </c>
      <c r="K45" s="60">
        <f>J45/8</f>
        <v>60</v>
      </c>
      <c r="L45" s="61">
        <f>VLOOKUP(G45,$P$3:$W$4,2,FALSE)*J45</f>
        <v>8264160</v>
      </c>
      <c r="M45" s="60">
        <f>J45/24</f>
        <v>20</v>
      </c>
      <c r="N45" s="61">
        <f>(VLOOKUP(G45,$P$3:$W$4,2,FALSE)*(J45/3))+(VLOOKUP(G45,$P$3:$W$4,3,FALSE)*(J45/3))+(VLOOKUP(G45,$P$3:$W$4,5,FALSE)*(J45/3))</f>
        <v>6099040</v>
      </c>
    </row>
    <row r="46" spans="1:14" x14ac:dyDescent="0.25">
      <c r="D46" t="s">
        <v>83</v>
      </c>
      <c r="E46" t="s">
        <v>85</v>
      </c>
      <c r="F46" s="62">
        <v>50</v>
      </c>
      <c r="G46" s="63" t="s">
        <v>32</v>
      </c>
      <c r="H46" s="62">
        <v>1</v>
      </c>
      <c r="I46" s="113" t="s">
        <v>118</v>
      </c>
      <c r="J46" s="62">
        <f t="shared" si="18"/>
        <v>50</v>
      </c>
      <c r="K46" s="63">
        <f>J46/8</f>
        <v>6.25</v>
      </c>
      <c r="L46" s="64">
        <f t="shared" ref="L46:L49" si="19">VLOOKUP(G46,$P$3:$W$4,2,FALSE)*J46</f>
        <v>353850</v>
      </c>
      <c r="M46" s="63">
        <f t="shared" ref="M46:M50" si="20">J46/24</f>
        <v>2.0833333333333335</v>
      </c>
      <c r="N46" s="64">
        <f t="shared" ref="N46:N50" si="21">(VLOOKUP(G46,$P$3:$W$4,2,FALSE)*(J46/3))+(VLOOKUP(G46,$P$3:$W$4,3,FALSE)*(J46/3))+(VLOOKUP(G46,$P$3:$W$4,5,FALSE)*(J46/3))</f>
        <v>283378.43137254904</v>
      </c>
    </row>
    <row r="47" spans="1:14" ht="45" x14ac:dyDescent="0.25">
      <c r="D47" t="s">
        <v>83</v>
      </c>
      <c r="E47" t="s">
        <v>86</v>
      </c>
      <c r="F47" s="62">
        <v>15</v>
      </c>
      <c r="G47" s="63" t="s">
        <v>32</v>
      </c>
      <c r="H47" s="62">
        <v>5</v>
      </c>
      <c r="I47" s="114" t="s">
        <v>115</v>
      </c>
      <c r="J47" s="62">
        <f t="shared" si="18"/>
        <v>75</v>
      </c>
      <c r="K47" s="63">
        <f t="shared" ref="K47:K50" si="22">J47/8</f>
        <v>9.375</v>
      </c>
      <c r="L47" s="64">
        <f t="shared" si="19"/>
        <v>530775</v>
      </c>
      <c r="M47" s="63">
        <f t="shared" si="20"/>
        <v>3.125</v>
      </c>
      <c r="N47" s="64">
        <f t="shared" si="21"/>
        <v>425067.6470588235</v>
      </c>
    </row>
    <row r="48" spans="1:14" ht="45" x14ac:dyDescent="0.25">
      <c r="D48" t="s">
        <v>83</v>
      </c>
      <c r="E48" t="s">
        <v>87</v>
      </c>
      <c r="F48" s="62">
        <v>20</v>
      </c>
      <c r="G48" s="63" t="s">
        <v>30</v>
      </c>
      <c r="H48" s="62">
        <v>4</v>
      </c>
      <c r="I48" s="114" t="s">
        <v>115</v>
      </c>
      <c r="J48" s="62">
        <f t="shared" si="18"/>
        <v>80</v>
      </c>
      <c r="K48" s="63">
        <f t="shared" si="22"/>
        <v>10</v>
      </c>
      <c r="L48" s="64">
        <f t="shared" si="19"/>
        <v>1377360</v>
      </c>
      <c r="M48" s="63">
        <f t="shared" si="20"/>
        <v>3.3333333333333335</v>
      </c>
      <c r="N48" s="64">
        <f t="shared" si="21"/>
        <v>1016506.6666666667</v>
      </c>
    </row>
    <row r="49" spans="1:14" ht="45" x14ac:dyDescent="0.25">
      <c r="D49" t="s">
        <v>83</v>
      </c>
      <c r="E49" t="s">
        <v>88</v>
      </c>
      <c r="F49" s="62">
        <v>15</v>
      </c>
      <c r="G49" s="63" t="s">
        <v>32</v>
      </c>
      <c r="H49" s="62">
        <v>1</v>
      </c>
      <c r="I49" s="114" t="s">
        <v>115</v>
      </c>
      <c r="J49" s="62">
        <f t="shared" si="18"/>
        <v>15</v>
      </c>
      <c r="K49" s="63">
        <f t="shared" si="22"/>
        <v>1.875</v>
      </c>
      <c r="L49" s="64">
        <f t="shared" si="19"/>
        <v>106155</v>
      </c>
      <c r="M49" s="63">
        <f t="shared" si="20"/>
        <v>0.625</v>
      </c>
      <c r="N49" s="64">
        <f t="shared" si="21"/>
        <v>85013.529411764699</v>
      </c>
    </row>
    <row r="50" spans="1:14" ht="45.75" thickBot="1" x14ac:dyDescent="0.3">
      <c r="A50" s="12"/>
      <c r="B50" s="12"/>
      <c r="C50" s="12"/>
      <c r="D50" s="12" t="s">
        <v>83</v>
      </c>
      <c r="E50" s="12" t="s">
        <v>89</v>
      </c>
      <c r="F50" s="65">
        <v>40</v>
      </c>
      <c r="G50" s="66" t="s">
        <v>30</v>
      </c>
      <c r="H50" s="65">
        <v>3</v>
      </c>
      <c r="I50" s="129" t="s">
        <v>115</v>
      </c>
      <c r="J50" s="65">
        <f t="shared" si="18"/>
        <v>120</v>
      </c>
      <c r="K50" s="66">
        <f t="shared" si="22"/>
        <v>15</v>
      </c>
      <c r="L50" s="67">
        <f>VLOOKUP(G50,$P$3:$W$4,2,FALSE)*J50</f>
        <v>2066040</v>
      </c>
      <c r="M50" s="66">
        <f t="shared" si="20"/>
        <v>5</v>
      </c>
      <c r="N50" s="67">
        <f t="shared" si="21"/>
        <v>1524760</v>
      </c>
    </row>
    <row r="51" spans="1:14" ht="15.75" thickTop="1" x14ac:dyDescent="0.25">
      <c r="F51" s="59"/>
      <c r="G51" s="60"/>
      <c r="H51" s="60"/>
      <c r="I51" s="115"/>
      <c r="J51" s="60"/>
      <c r="K51" s="60"/>
      <c r="L51" s="68">
        <f>SUM(L45:L50)</f>
        <v>12698340</v>
      </c>
      <c r="M51" s="60"/>
      <c r="N51" s="68">
        <f>SUM(N45:N50)</f>
        <v>9433766.2745098043</v>
      </c>
    </row>
    <row r="52" spans="1:14" x14ac:dyDescent="0.25">
      <c r="F52" s="62"/>
      <c r="G52" s="63"/>
      <c r="H52" s="63"/>
      <c r="I52" s="113"/>
      <c r="J52" s="63"/>
      <c r="K52" s="63"/>
      <c r="L52" s="63"/>
      <c r="M52" s="69">
        <f>N52/L51</f>
        <v>0.25708665270343961</v>
      </c>
      <c r="N52" s="70">
        <f>L51-N51</f>
        <v>3264573.7254901957</v>
      </c>
    </row>
    <row r="53" spans="1:14" x14ac:dyDescent="0.25">
      <c r="F53" s="62"/>
      <c r="G53" s="63"/>
      <c r="H53" s="63"/>
      <c r="I53" s="113"/>
      <c r="J53" s="63"/>
      <c r="K53" s="63"/>
      <c r="L53" s="71">
        <f>L51*1.68</f>
        <v>21333211.199999999</v>
      </c>
      <c r="M53" s="69">
        <f>M52*1.68</f>
        <v>0.43190557654177852</v>
      </c>
      <c r="N53" s="70">
        <f>N52*1.68</f>
        <v>5484483.8588235285</v>
      </c>
    </row>
    <row r="54" spans="1:14" x14ac:dyDescent="0.25">
      <c r="I54" s="103"/>
    </row>
    <row r="55" spans="1:14" x14ac:dyDescent="0.25">
      <c r="I55" s="103"/>
    </row>
    <row r="56" spans="1:14" ht="15.75" thickBot="1" x14ac:dyDescent="0.3">
      <c r="A56" s="12"/>
      <c r="B56" s="12"/>
      <c r="C56" s="12"/>
      <c r="D56" s="12"/>
      <c r="E56" s="12"/>
      <c r="F56" s="50"/>
      <c r="G56" s="51"/>
      <c r="H56" s="51"/>
      <c r="I56" s="104"/>
      <c r="J56" s="51"/>
      <c r="K56" s="51"/>
      <c r="L56" s="51"/>
      <c r="M56" s="51"/>
      <c r="N56" s="51"/>
    </row>
    <row r="57" spans="1:14" ht="45.75" thickTop="1" x14ac:dyDescent="0.25">
      <c r="B57" t="s">
        <v>90</v>
      </c>
      <c r="C57" t="s">
        <v>91</v>
      </c>
      <c r="D57" t="s">
        <v>92</v>
      </c>
      <c r="E57" t="s">
        <v>93</v>
      </c>
      <c r="F57" s="72">
        <v>3</v>
      </c>
      <c r="G57" s="73" t="s">
        <v>30</v>
      </c>
      <c r="H57" s="72">
        <v>15</v>
      </c>
      <c r="I57" s="116" t="s">
        <v>115</v>
      </c>
      <c r="J57" s="72">
        <f>H57*F57</f>
        <v>45</v>
      </c>
      <c r="K57" s="73">
        <f>J57/8</f>
        <v>5.625</v>
      </c>
      <c r="L57" s="74">
        <f>VLOOKUP(G57,$P$3:$W$3,2,FALSE)*J57</f>
        <v>774765</v>
      </c>
      <c r="M57" s="73">
        <f>J57/24</f>
        <v>1.875</v>
      </c>
      <c r="N57" s="74">
        <f>(VLOOKUP(G57,$P$3:$W$3,2,FALSE)*(J57/3))+(VLOOKUP(G57,$P$3:$W$3,3,FALSE)*(J57/3))+(VLOOKUP(G57,$P$3:$W$3,5,FALSE)*(J57/3))</f>
        <v>571785</v>
      </c>
    </row>
    <row r="58" spans="1:14" ht="45" x14ac:dyDescent="0.25">
      <c r="D58" t="s">
        <v>92</v>
      </c>
      <c r="E58" t="s">
        <v>94</v>
      </c>
      <c r="F58" s="75">
        <v>3</v>
      </c>
      <c r="G58" s="76" t="s">
        <v>30</v>
      </c>
      <c r="H58" s="75">
        <v>5</v>
      </c>
      <c r="I58" s="117" t="s">
        <v>115</v>
      </c>
      <c r="J58" s="75">
        <f>H58*F58</f>
        <v>15</v>
      </c>
      <c r="K58" s="76">
        <f>J58/8</f>
        <v>1.875</v>
      </c>
      <c r="L58" s="77">
        <f t="shared" ref="L58:L61" si="23">VLOOKUP(G58,$P$3:$W$3,2,FALSE)*J58</f>
        <v>258255</v>
      </c>
      <c r="M58" s="76">
        <f t="shared" ref="M58:M61" si="24">J58/24</f>
        <v>0.625</v>
      </c>
      <c r="N58" s="77">
        <f t="shared" ref="N58:N61" si="25">(VLOOKUP(G58,$P$3:$W$3,2,FALSE)*(J58/3))+(VLOOKUP(G58,$P$3:$W$3,3,FALSE)*(J58/3))+(VLOOKUP(G58,$P$3:$W$3,5,FALSE)*(J58/3))</f>
        <v>190595</v>
      </c>
    </row>
    <row r="59" spans="1:14" ht="45" x14ac:dyDescent="0.25">
      <c r="D59" t="s">
        <v>92</v>
      </c>
      <c r="E59" t="s">
        <v>95</v>
      </c>
      <c r="F59" s="75">
        <v>2</v>
      </c>
      <c r="G59" s="76" t="s">
        <v>30</v>
      </c>
      <c r="H59" s="75">
        <v>4</v>
      </c>
      <c r="I59" s="117" t="s">
        <v>115</v>
      </c>
      <c r="J59" s="75">
        <f>H59*F59</f>
        <v>8</v>
      </c>
      <c r="K59" s="76">
        <f t="shared" ref="K59:K61" si="26">J59/8</f>
        <v>1</v>
      </c>
      <c r="L59" s="77">
        <f t="shared" si="23"/>
        <v>137736</v>
      </c>
      <c r="M59" s="76">
        <f t="shared" si="24"/>
        <v>0.33333333333333331</v>
      </c>
      <c r="N59" s="77">
        <f t="shared" si="25"/>
        <v>101650.66666666666</v>
      </c>
    </row>
    <row r="60" spans="1:14" ht="45" x14ac:dyDescent="0.25">
      <c r="D60" t="s">
        <v>92</v>
      </c>
      <c r="E60" t="s">
        <v>96</v>
      </c>
      <c r="F60" s="75">
        <v>4</v>
      </c>
      <c r="G60" s="76" t="s">
        <v>30</v>
      </c>
      <c r="H60" s="75">
        <v>4</v>
      </c>
      <c r="I60" s="117" t="s">
        <v>115</v>
      </c>
      <c r="J60" s="75">
        <f>H60*F60</f>
        <v>16</v>
      </c>
      <c r="K60" s="76">
        <f t="shared" si="26"/>
        <v>2</v>
      </c>
      <c r="L60" s="77">
        <f t="shared" si="23"/>
        <v>275472</v>
      </c>
      <c r="M60" s="76">
        <f t="shared" si="24"/>
        <v>0.66666666666666663</v>
      </c>
      <c r="N60" s="77">
        <f t="shared" si="25"/>
        <v>203301.33333333331</v>
      </c>
    </row>
    <row r="61" spans="1:14" ht="15.75" thickBot="1" x14ac:dyDescent="0.3">
      <c r="A61" s="12"/>
      <c r="B61" s="12"/>
      <c r="C61" s="12"/>
      <c r="D61" s="12" t="s">
        <v>97</v>
      </c>
      <c r="E61" s="12" t="s">
        <v>98</v>
      </c>
      <c r="F61" s="78">
        <v>2</v>
      </c>
      <c r="G61" s="79" t="s">
        <v>30</v>
      </c>
      <c r="H61" s="78">
        <v>1</v>
      </c>
      <c r="I61" s="119" t="s">
        <v>120</v>
      </c>
      <c r="J61" s="78">
        <f>H61*F61</f>
        <v>2</v>
      </c>
      <c r="K61" s="79">
        <f t="shared" si="26"/>
        <v>0.25</v>
      </c>
      <c r="L61" s="80">
        <f t="shared" si="23"/>
        <v>34434</v>
      </c>
      <c r="M61" s="79">
        <f t="shared" si="24"/>
        <v>8.3333333333333329E-2</v>
      </c>
      <c r="N61" s="80">
        <f t="shared" si="25"/>
        <v>25412.666666666664</v>
      </c>
    </row>
    <row r="62" spans="1:14" ht="15.75" thickTop="1" x14ac:dyDescent="0.25">
      <c r="F62" s="72"/>
      <c r="G62" s="73"/>
      <c r="H62" s="73"/>
      <c r="I62" s="120"/>
      <c r="J62" s="73"/>
      <c r="K62" s="73"/>
      <c r="L62" s="74">
        <f>SUM(L57:L61)</f>
        <v>1480662</v>
      </c>
      <c r="M62" s="73"/>
      <c r="N62" s="74">
        <f>SUM(N57:N61)</f>
        <v>1092744.6666666667</v>
      </c>
    </row>
    <row r="63" spans="1:14" x14ac:dyDescent="0.25">
      <c r="F63" s="75"/>
      <c r="G63" s="76"/>
      <c r="H63" s="76"/>
      <c r="I63" s="118"/>
      <c r="J63" s="76"/>
      <c r="K63" s="76"/>
      <c r="L63" s="76"/>
      <c r="M63" s="81">
        <f>N63/L62</f>
        <v>0.2619891192813304</v>
      </c>
      <c r="N63" s="77">
        <f>L62-N62</f>
        <v>387917.33333333326</v>
      </c>
    </row>
    <row r="64" spans="1:14" x14ac:dyDescent="0.25">
      <c r="F64" s="75"/>
      <c r="G64" s="76"/>
      <c r="H64" s="76"/>
      <c r="I64" s="118"/>
      <c r="J64" s="76"/>
      <c r="K64" s="76"/>
      <c r="L64" s="82">
        <f>L62*1.68</f>
        <v>2487512.1599999997</v>
      </c>
      <c r="M64" s="81">
        <f>M63*1.68</f>
        <v>0.44014172039263505</v>
      </c>
      <c r="N64" s="77">
        <f>N63*1.68</f>
        <v>651701.11999999988</v>
      </c>
    </row>
    <row r="65" spans="1:14" x14ac:dyDescent="0.25">
      <c r="I65" s="103"/>
    </row>
    <row r="66" spans="1:14" ht="15.75" thickBot="1" x14ac:dyDescent="0.3">
      <c r="A66" s="12"/>
      <c r="B66" s="12"/>
      <c r="C66" s="12"/>
      <c r="D66" s="12"/>
      <c r="E66" s="12"/>
      <c r="F66" s="50"/>
      <c r="G66" s="51"/>
      <c r="H66" s="51"/>
      <c r="I66" s="104"/>
      <c r="J66" s="51"/>
      <c r="K66" s="51"/>
      <c r="L66" s="51"/>
      <c r="M66" s="51"/>
      <c r="N66" s="51"/>
    </row>
    <row r="67" spans="1:14" ht="45.75" thickTop="1" x14ac:dyDescent="0.25">
      <c r="B67" t="s">
        <v>99</v>
      </c>
      <c r="C67" t="s">
        <v>100</v>
      </c>
      <c r="D67" t="s">
        <v>101</v>
      </c>
      <c r="E67" t="s">
        <v>102</v>
      </c>
      <c r="F67" s="29">
        <v>4</v>
      </c>
      <c r="G67" s="30" t="s">
        <v>30</v>
      </c>
      <c r="H67" s="29">
        <v>10</v>
      </c>
      <c r="I67" s="127" t="s">
        <v>115</v>
      </c>
      <c r="J67" s="29">
        <f>H67*F67</f>
        <v>40</v>
      </c>
      <c r="K67" s="30">
        <f>J67/8</f>
        <v>5</v>
      </c>
      <c r="L67" s="31">
        <f>VLOOKUP(G67,$P$3:$W$3,2,FALSE)*J67</f>
        <v>688680</v>
      </c>
      <c r="M67" s="30">
        <f>J67/24</f>
        <v>1.6666666666666667</v>
      </c>
      <c r="N67" s="31">
        <f>(VLOOKUP(G67,$P$3:$W$3,2,FALSE)*(J67/3))+(VLOOKUP(G67,$P$3:$W$3,3,FALSE)*(J67/3))+(VLOOKUP(G67,$P$3:$W$3,5,FALSE)*(J67/3))</f>
        <v>508253.33333333337</v>
      </c>
    </row>
    <row r="68" spans="1:14" ht="45" x14ac:dyDescent="0.25">
      <c r="D68" t="s">
        <v>101</v>
      </c>
      <c r="E68" t="s">
        <v>103</v>
      </c>
      <c r="F68" s="32">
        <v>5</v>
      </c>
      <c r="G68" s="33" t="s">
        <v>30</v>
      </c>
      <c r="H68" s="32">
        <v>10</v>
      </c>
      <c r="I68" s="121" t="s">
        <v>115</v>
      </c>
      <c r="J68" s="32">
        <f>H68*F68</f>
        <v>50</v>
      </c>
      <c r="K68" s="33">
        <f>J68/8</f>
        <v>6.25</v>
      </c>
      <c r="L68" s="34">
        <f t="shared" ref="L68:L70" si="27">VLOOKUP(G68,$P$3:$W$3,2,FALSE)*J68</f>
        <v>860850</v>
      </c>
      <c r="M68" s="33">
        <f t="shared" ref="M68:M70" si="28">J68/24</f>
        <v>2.0833333333333335</v>
      </c>
      <c r="N68" s="34">
        <f t="shared" ref="N68:N70" si="29">(VLOOKUP(G68,$P$3:$W$3,2,FALSE)*(J68/3))+(VLOOKUP(G68,$P$3:$W$3,3,FALSE)*(J68/3))+(VLOOKUP(G68,$P$3:$W$3,5,FALSE)*(J68/3))</f>
        <v>635316.66666666674</v>
      </c>
    </row>
    <row r="69" spans="1:14" ht="45" x14ac:dyDescent="0.25">
      <c r="D69" t="s">
        <v>101</v>
      </c>
      <c r="E69" t="s">
        <v>104</v>
      </c>
      <c r="F69" s="32">
        <v>7</v>
      </c>
      <c r="G69" s="33" t="s">
        <v>30</v>
      </c>
      <c r="H69" s="32">
        <v>5</v>
      </c>
      <c r="I69" s="121" t="s">
        <v>115</v>
      </c>
      <c r="J69" s="32">
        <f>H69*F69</f>
        <v>35</v>
      </c>
      <c r="K69" s="33">
        <f>J69/8</f>
        <v>4.375</v>
      </c>
      <c r="L69" s="34">
        <f t="shared" si="27"/>
        <v>602595</v>
      </c>
      <c r="M69" s="33">
        <f t="shared" si="28"/>
        <v>1.4583333333333333</v>
      </c>
      <c r="N69" s="34">
        <f t="shared" si="29"/>
        <v>444721.66666666663</v>
      </c>
    </row>
    <row r="70" spans="1:14" ht="45.75" thickBot="1" x14ac:dyDescent="0.3">
      <c r="A70" s="12"/>
      <c r="B70" s="12"/>
      <c r="C70" s="12"/>
      <c r="D70" s="12" t="s">
        <v>105</v>
      </c>
      <c r="E70" s="12" t="s">
        <v>106</v>
      </c>
      <c r="F70" s="39">
        <v>5</v>
      </c>
      <c r="G70" s="40" t="s">
        <v>30</v>
      </c>
      <c r="H70" s="39">
        <v>5</v>
      </c>
      <c r="I70" s="107" t="s">
        <v>115</v>
      </c>
      <c r="J70" s="39">
        <f>H70*F70</f>
        <v>25</v>
      </c>
      <c r="K70" s="40">
        <f>J70/8</f>
        <v>3.125</v>
      </c>
      <c r="L70" s="41">
        <f t="shared" si="27"/>
        <v>430425</v>
      </c>
      <c r="M70" s="40">
        <f t="shared" si="28"/>
        <v>1.0416666666666667</v>
      </c>
      <c r="N70" s="41">
        <f t="shared" si="29"/>
        <v>317658.33333333337</v>
      </c>
    </row>
    <row r="71" spans="1:14" ht="15.75" thickTop="1" x14ac:dyDescent="0.25">
      <c r="F71" s="29"/>
      <c r="G71" s="30"/>
      <c r="H71" s="30"/>
      <c r="I71" s="105"/>
      <c r="J71" s="30"/>
      <c r="K71" s="30"/>
      <c r="L71" s="38">
        <f>SUM(L67:L70)</f>
        <v>2582550</v>
      </c>
      <c r="M71" s="30"/>
      <c r="N71" s="38">
        <f>SUM(N67:N70)</f>
        <v>1905950</v>
      </c>
    </row>
    <row r="72" spans="1:14" x14ac:dyDescent="0.25">
      <c r="F72" s="32"/>
      <c r="G72" s="33"/>
      <c r="H72" s="33"/>
      <c r="I72" s="106"/>
      <c r="J72" s="33"/>
      <c r="K72" s="33"/>
      <c r="L72" s="33"/>
      <c r="M72" s="36">
        <f>N72/L71</f>
        <v>0.26198911928133045</v>
      </c>
      <c r="N72" s="35">
        <f>L71-N71</f>
        <v>676600</v>
      </c>
    </row>
    <row r="73" spans="1:14" x14ac:dyDescent="0.25">
      <c r="F73" s="32"/>
      <c r="G73" s="33"/>
      <c r="H73" s="33"/>
      <c r="I73" s="106"/>
      <c r="J73" s="33"/>
      <c r="K73" s="33"/>
      <c r="L73" s="37">
        <f>L71*1.68</f>
        <v>4338684</v>
      </c>
      <c r="M73" s="36">
        <f>M72*1.68</f>
        <v>0.44014172039263516</v>
      </c>
      <c r="N73" s="35">
        <f>N72*1.68</f>
        <v>1136688</v>
      </c>
    </row>
    <row r="74" spans="1:14" ht="15.75" thickBot="1" x14ac:dyDescent="0.3">
      <c r="A74" s="12"/>
      <c r="B74" s="12"/>
      <c r="C74" s="12"/>
      <c r="D74" s="12"/>
      <c r="E74" s="12"/>
      <c r="F74" s="48"/>
      <c r="G74" s="49"/>
      <c r="H74" s="49"/>
      <c r="I74" s="122"/>
      <c r="J74" s="49"/>
      <c r="K74" s="49"/>
      <c r="L74" s="49"/>
      <c r="M74" s="49"/>
      <c r="N74" s="49"/>
    </row>
    <row r="75" spans="1:14" ht="45.75" thickTop="1" x14ac:dyDescent="0.25">
      <c r="B75" t="s">
        <v>107</v>
      </c>
      <c r="C75" t="s">
        <v>108</v>
      </c>
      <c r="D75" t="s">
        <v>109</v>
      </c>
      <c r="E75" t="s">
        <v>110</v>
      </c>
      <c r="F75" s="83">
        <v>50</v>
      </c>
      <c r="G75" s="84" t="s">
        <v>30</v>
      </c>
      <c r="H75" s="83">
        <v>4</v>
      </c>
      <c r="I75" s="123" t="s">
        <v>115</v>
      </c>
      <c r="J75" s="83">
        <f>H75*F75</f>
        <v>200</v>
      </c>
      <c r="K75" s="84">
        <f>J75/8</f>
        <v>25</v>
      </c>
      <c r="L75" s="85">
        <f>VLOOKUP(G75,$P$3:$W$3,2,FALSE)*J75</f>
        <v>3443400</v>
      </c>
      <c r="M75" s="84">
        <f>J75/24</f>
        <v>8.3333333333333339</v>
      </c>
      <c r="N75" s="85">
        <f>(VLOOKUP(G75,$P$3:$W$3,2,FALSE)*(J75/3))+(VLOOKUP(G75,$P$3:$W$3,3,FALSE)*(J75/3))+(VLOOKUP(G75,$P$3:$W$3,5,FALSE)*(J75/3))</f>
        <v>2541266.666666667</v>
      </c>
    </row>
    <row r="76" spans="1:14" ht="45" x14ac:dyDescent="0.25">
      <c r="D76" t="s">
        <v>109</v>
      </c>
      <c r="E76" t="s">
        <v>111</v>
      </c>
      <c r="F76" s="86">
        <v>4</v>
      </c>
      <c r="G76" s="87" t="s">
        <v>30</v>
      </c>
      <c r="H76" s="86">
        <v>4</v>
      </c>
      <c r="I76" s="124" t="s">
        <v>115</v>
      </c>
      <c r="J76" s="86">
        <f>H76*F76</f>
        <v>16</v>
      </c>
      <c r="K76" s="87">
        <f>J76/8</f>
        <v>2</v>
      </c>
      <c r="L76" s="88">
        <f t="shared" ref="L76:L79" si="30">VLOOKUP(G76,$P$3:$W$3,2,FALSE)*J76</f>
        <v>275472</v>
      </c>
      <c r="M76" s="87">
        <f t="shared" ref="M76:M79" si="31">J76/24</f>
        <v>0.66666666666666663</v>
      </c>
      <c r="N76" s="88">
        <f t="shared" ref="N76:N79" si="32">(VLOOKUP(G76,$P$3:$W$3,2,FALSE)*(J76/3))+(VLOOKUP(G76,$P$3:$W$3,3,FALSE)*(J76/3))+(VLOOKUP(G76,$P$3:$W$3,5,FALSE)*(J76/3))</f>
        <v>203301.33333333331</v>
      </c>
    </row>
    <row r="77" spans="1:14" ht="45" x14ac:dyDescent="0.25">
      <c r="D77" t="s">
        <v>109</v>
      </c>
      <c r="E77" t="s">
        <v>112</v>
      </c>
      <c r="F77" s="86">
        <v>40</v>
      </c>
      <c r="G77" s="87" t="s">
        <v>30</v>
      </c>
      <c r="H77" s="86">
        <v>1</v>
      </c>
      <c r="I77" s="124" t="s">
        <v>115</v>
      </c>
      <c r="J77" s="86">
        <f>H77*F77</f>
        <v>40</v>
      </c>
      <c r="K77" s="87">
        <f t="shared" ref="K77:K79" si="33">J77/8</f>
        <v>5</v>
      </c>
      <c r="L77" s="88">
        <f t="shared" si="30"/>
        <v>688680</v>
      </c>
      <c r="M77" s="87">
        <f t="shared" si="31"/>
        <v>1.6666666666666667</v>
      </c>
      <c r="N77" s="88">
        <f t="shared" si="32"/>
        <v>508253.33333333337</v>
      </c>
    </row>
    <row r="78" spans="1:14" ht="45" x14ac:dyDescent="0.25">
      <c r="D78" t="s">
        <v>107</v>
      </c>
      <c r="E78" t="s">
        <v>113</v>
      </c>
      <c r="F78" s="86">
        <v>3</v>
      </c>
      <c r="G78" s="87" t="s">
        <v>30</v>
      </c>
      <c r="H78" s="86">
        <v>1</v>
      </c>
      <c r="I78" s="124" t="s">
        <v>115</v>
      </c>
      <c r="J78" s="86">
        <f>H78*F78</f>
        <v>3</v>
      </c>
      <c r="K78" s="87">
        <f t="shared" si="33"/>
        <v>0.375</v>
      </c>
      <c r="L78" s="88">
        <f t="shared" si="30"/>
        <v>51651</v>
      </c>
      <c r="M78" s="87">
        <f t="shared" si="31"/>
        <v>0.125</v>
      </c>
      <c r="N78" s="88">
        <f t="shared" si="32"/>
        <v>38119</v>
      </c>
    </row>
    <row r="79" spans="1:14" ht="45.75" thickBot="1" x14ac:dyDescent="0.3">
      <c r="D79" t="s">
        <v>107</v>
      </c>
      <c r="E79" t="s">
        <v>114</v>
      </c>
      <c r="F79" s="86">
        <v>4</v>
      </c>
      <c r="G79" s="87" t="s">
        <v>30</v>
      </c>
      <c r="H79" s="86">
        <v>4</v>
      </c>
      <c r="I79" s="124" t="s">
        <v>115</v>
      </c>
      <c r="J79" s="86">
        <f>H79*F79</f>
        <v>16</v>
      </c>
      <c r="K79" s="87">
        <f t="shared" si="33"/>
        <v>2</v>
      </c>
      <c r="L79" s="88">
        <f t="shared" si="30"/>
        <v>275472</v>
      </c>
      <c r="M79" s="87">
        <f t="shared" si="31"/>
        <v>0.66666666666666663</v>
      </c>
      <c r="N79" s="88">
        <f t="shared" si="32"/>
        <v>203301.33333333331</v>
      </c>
    </row>
    <row r="80" spans="1:14" ht="15.75" thickTop="1" x14ac:dyDescent="0.25">
      <c r="A80" s="13"/>
      <c r="B80" s="13"/>
      <c r="C80" s="13"/>
      <c r="D80" s="13"/>
      <c r="E80" s="13"/>
      <c r="F80" s="86"/>
      <c r="G80" s="87"/>
      <c r="H80" s="87"/>
      <c r="I80" s="125"/>
      <c r="J80" s="87"/>
      <c r="K80" s="87"/>
      <c r="L80" s="89">
        <f>SUM(L75:L79)</f>
        <v>4734675</v>
      </c>
      <c r="M80" s="87"/>
      <c r="N80" s="89">
        <f>SUM(N75:N79)</f>
        <v>3494241.6666666674</v>
      </c>
    </row>
    <row r="81" spans="6:14" x14ac:dyDescent="0.25">
      <c r="F81" s="86"/>
      <c r="G81" s="87"/>
      <c r="H81" s="87"/>
      <c r="I81" s="125"/>
      <c r="J81" s="87"/>
      <c r="K81" s="87"/>
      <c r="L81" s="87"/>
      <c r="M81" s="90">
        <f>N81/L80</f>
        <v>0.26198911928133028</v>
      </c>
      <c r="N81" s="89">
        <f>L80-N80</f>
        <v>1240433.3333333326</v>
      </c>
    </row>
    <row r="82" spans="6:14" ht="15.75" thickBot="1" x14ac:dyDescent="0.3">
      <c r="F82" s="91"/>
      <c r="G82" s="92"/>
      <c r="H82" s="92"/>
      <c r="I82" s="126"/>
      <c r="J82" s="92"/>
      <c r="K82" s="92"/>
      <c r="L82" s="93">
        <f>L80*1.68</f>
        <v>7954254</v>
      </c>
      <c r="M82" s="94">
        <f>M81*1.68</f>
        <v>0.44014172039263488</v>
      </c>
      <c r="N82" s="95">
        <f>N81*1.68</f>
        <v>2083927.9999999986</v>
      </c>
    </row>
  </sheetData>
  <conditionalFormatting sqref="Q5:W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ESTIMACION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Harold Adrian Bolaños Rodriguez</dc:creator>
  <cp:keywords/>
  <dc:description/>
  <cp:lastModifiedBy>Nicolas Berrocal</cp:lastModifiedBy>
  <cp:revision/>
  <dcterms:created xsi:type="dcterms:W3CDTF">2020-11-04T23:31:45Z</dcterms:created>
  <dcterms:modified xsi:type="dcterms:W3CDTF">2020-11-17T04:17:18Z</dcterms:modified>
  <cp:category/>
  <cp:contentStatus/>
</cp:coreProperties>
</file>