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lquesada\Documents\RPA\Frameworks\Auxis-ReFramework V0.1.11\Documentation\"/>
    </mc:Choice>
  </mc:AlternateContent>
  <xr:revisionPtr revIDLastSave="0" documentId="13_ncr:1_{A250BB0F-E0B9-4CC9-9997-3E6D9DC6E1A7}" xr6:coauthVersionLast="46" xr6:coauthVersionMax="46" xr10:uidLastSave="{00000000-0000-0000-0000-000000000000}"/>
  <bookViews>
    <workbookView xWindow="-120" yWindow="-120" windowWidth="29040" windowHeight="15840" activeTab="4" xr2:uid="{00000000-000D-0000-FFFF-FFFF00000000}"/>
  </bookViews>
  <sheets>
    <sheet name="General" sheetId="1" r:id="rId1"/>
    <sheet name="Project Estimates" sheetId="10" r:id="rId2"/>
    <sheet name="Diagram" sheetId="6" r:id="rId3"/>
    <sheet name="TransactionData" sheetId="9" r:id="rId4"/>
    <sheet name="Workflows" sheetId="4" r:id="rId5"/>
    <sheet name="Reference" sheetId="11" state="hidden" r:id="rId6"/>
    <sheet name="Assets" sheetId="2" r:id="rId7"/>
    <sheet name="Notifications"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4" l="1"/>
  <c r="J2" i="4"/>
  <c r="K3" i="11"/>
  <c r="L3" i="11"/>
  <c r="K4" i="11"/>
  <c r="L4" i="11" s="1"/>
  <c r="K5" i="11"/>
  <c r="L5" i="11"/>
  <c r="K6" i="11"/>
  <c r="L6" i="11" s="1"/>
  <c r="K7" i="11"/>
  <c r="L7" i="11" s="1"/>
  <c r="K8" i="11"/>
  <c r="L8" i="11" s="1"/>
  <c r="K9" i="11"/>
  <c r="L9" i="11" s="1"/>
  <c r="L2" i="4" l="1"/>
  <c r="M2" i="4" s="1"/>
  <c r="C48" i="10"/>
  <c r="C47" i="10"/>
  <c r="C46" i="10"/>
  <c r="C43" i="10"/>
  <c r="C42" i="10"/>
  <c r="C41" i="10"/>
  <c r="C40" i="10"/>
  <c r="C39" i="10"/>
  <c r="C38" i="10"/>
  <c r="C36" i="10"/>
  <c r="C35" i="10"/>
  <c r="C34" i="10"/>
  <c r="C33" i="10"/>
  <c r="C30" i="10"/>
  <c r="C25" i="10"/>
  <c r="C22" i="10"/>
  <c r="C21" i="10"/>
  <c r="C20" i="10"/>
  <c r="C13" i="10"/>
  <c r="C12" i="10"/>
  <c r="C11" i="10"/>
  <c r="C10" i="10"/>
  <c r="C9" i="10"/>
  <c r="C8" i="10"/>
  <c r="F41" i="11"/>
  <c r="F40" i="11" s="1"/>
  <c r="E41" i="11"/>
  <c r="E40" i="11" s="1"/>
  <c r="D41" i="11"/>
  <c r="D40" i="11" s="1"/>
  <c r="C41" i="11"/>
  <c r="C40" i="11" s="1"/>
  <c r="F33" i="11"/>
  <c r="E33" i="11"/>
  <c r="D33" i="11"/>
  <c r="C33" i="11"/>
  <c r="F28" i="11"/>
  <c r="F27" i="11" s="1"/>
  <c r="E28" i="11"/>
  <c r="E27" i="11" s="1"/>
  <c r="D28" i="11"/>
  <c r="D27" i="11" s="1"/>
  <c r="C28" i="11"/>
  <c r="C27" i="11" s="1"/>
  <c r="F25" i="11"/>
  <c r="C29" i="10" s="1"/>
  <c r="E25" i="11"/>
  <c r="D25" i="11"/>
  <c r="C25" i="11"/>
  <c r="F24" i="11"/>
  <c r="C28" i="10" s="1"/>
  <c r="E24" i="11"/>
  <c r="D24" i="11"/>
  <c r="C24" i="11"/>
  <c r="F20" i="11"/>
  <c r="F22" i="11" s="1"/>
  <c r="E20" i="11"/>
  <c r="E22" i="11" s="1"/>
  <c r="D20" i="11"/>
  <c r="D23" i="11" s="1"/>
  <c r="C20" i="11"/>
  <c r="C23" i="11" s="1"/>
  <c r="F15" i="11"/>
  <c r="F14" i="11" s="1"/>
  <c r="E15" i="11"/>
  <c r="E14" i="11" s="1"/>
  <c r="D15" i="11"/>
  <c r="D14" i="11" s="1"/>
  <c r="C15" i="11"/>
  <c r="C14" i="11" s="1"/>
  <c r="F13" i="11"/>
  <c r="E13" i="11"/>
  <c r="D13" i="11"/>
  <c r="C13" i="11"/>
  <c r="F12" i="11"/>
  <c r="E12" i="11"/>
  <c r="D12" i="11"/>
  <c r="C12" i="11"/>
  <c r="F2" i="11"/>
  <c r="E2" i="11"/>
  <c r="D2" i="11"/>
  <c r="C2" i="11"/>
  <c r="E10" i="11" l="1"/>
  <c r="F10" i="11"/>
  <c r="D10" i="11"/>
  <c r="D22" i="11"/>
  <c r="D19" i="11" s="1"/>
  <c r="D45" i="11" s="1"/>
  <c r="D46" i="11" s="1"/>
  <c r="C22" i="11"/>
  <c r="C19" i="11"/>
  <c r="C10" i="11"/>
  <c r="C45" i="11" s="1"/>
  <c r="C46" i="11" s="1"/>
  <c r="M3" i="4"/>
  <c r="B1" i="10" s="1"/>
  <c r="C15" i="10" s="1"/>
  <c r="C37" i="10"/>
  <c r="E23" i="11"/>
  <c r="E19" i="11" s="1"/>
  <c r="F23" i="11"/>
  <c r="F19" i="11" s="1"/>
  <c r="C45" i="10" l="1"/>
  <c r="C44" i="10" s="1"/>
  <c r="C24" i="10"/>
  <c r="C27" i="10" s="1"/>
  <c r="C16" i="10"/>
  <c r="C17" i="10"/>
  <c r="C32" i="10"/>
  <c r="C31" i="10" s="1"/>
  <c r="C19" i="10"/>
  <c r="C18" i="10" s="1"/>
  <c r="F45" i="11"/>
  <c r="F46" i="11" s="1"/>
  <c r="E45" i="11"/>
  <c r="E46" i="11" s="1"/>
  <c r="C26" i="10" l="1"/>
  <c r="C23" i="10" s="1"/>
  <c r="C14" i="10"/>
  <c r="G3" i="4" l="1"/>
  <c r="B2" i="10" s="1"/>
  <c r="C7" i="10" s="1"/>
  <c r="C6" i="10" s="1"/>
  <c r="C49" i="10" l="1"/>
  <c r="C50" i="10" s="1"/>
</calcChain>
</file>

<file path=xl/sharedStrings.xml><?xml version="1.0" encoding="utf-8"?>
<sst xmlns="http://schemas.openxmlformats.org/spreadsheetml/2006/main" count="286" uniqueCount="152">
  <si>
    <t>General</t>
  </si>
  <si>
    <t>Name</t>
  </si>
  <si>
    <t>Content</t>
  </si>
  <si>
    <t>ID</t>
  </si>
  <si>
    <t>NotificationID</t>
  </si>
  <si>
    <t>NotificationTo</t>
  </si>
  <si>
    <t>NotificationCC</t>
  </si>
  <si>
    <t>NotificationSubject</t>
  </si>
  <si>
    <t>NotificationBody</t>
  </si>
  <si>
    <t>Purpose</t>
  </si>
  <si>
    <t>UnexpectedError</t>
  </si>
  <si>
    <t>EndProcess</t>
  </si>
  <si>
    <t>Resolution to be used for development and the robot is 1920x1080.</t>
  </si>
  <si>
    <t>LoginError</t>
  </si>
  <si>
    <t>Input</t>
  </si>
  <si>
    <t>Output</t>
  </si>
  <si>
    <t>When a notification needs to be sent, it needs to be sent using the SendNotification activity, for which a data table with the notifications and the ID of the notification need to be provided.</t>
  </si>
  <si>
    <t>The Auxis.Misc activity needs to be installed. Each reference to WriteToLog needs to be made using the activity, not the workflow.</t>
  </si>
  <si>
    <t>Capture the time at which the robot started and ended its execution, it will be added to the final email once it completes running along with the TransactionData table, which needs to be saved as Results_YYYYMMDD_HHMMSS.xlsx and attached to the email. Use the SendResults activity for this purpose.
The results file can be saved in the \Data folder.</t>
  </si>
  <si>
    <t>If any unexpected error is detected while executing, send an email attaching a screenshot and mark the transaction as failed (throw an ApplicationException).</t>
  </si>
  <si>
    <t>All the process values need to be stored in Orchestrator, the config file should be used to map the assets with the values inside the code. The names of the assets in Orchestrator can't be harcoded in the project.</t>
  </si>
  <si>
    <t>Development</t>
  </si>
  <si>
    <t>Use a flag to detect System Exceptions during Initizalization, Processing or End of the project. If this flag is marked as true (meaning an exception was detected), then throw an exception at the end of the execution to mark the process as failed in Orchestrator.</t>
  </si>
  <si>
    <t>Status</t>
  </si>
  <si>
    <t>StartTime</t>
  </si>
  <si>
    <t>EndTime</t>
  </si>
  <si>
    <t>RPASupport@auxis.com</t>
  </si>
  <si>
    <t>{Process} - {0} login error</t>
  </si>
  <si>
    <t>Hi,&lt;br /&gt;
&lt;br /&gt;
The RPA process encountered an error when trying to login to {0}. Please validate if the webpage is working and the credentials.&lt;br /&gt;
&lt;br /&gt;
&lt;br /&gt;
Thank you</t>
  </si>
  <si>
    <t>{Process} - Unexpected error</t>
  </si>
  <si>
    <t>Hi,&lt;br /&gt;
&lt;br /&gt;
An unexpected error ocurred while processing.&lt;br /&gt;
&lt;b&gt;Activity:&lt;/b&gt; {0}.&lt;br /&gt;
&lt;b&gt;Error message:&lt;/b&gt; {1}.&lt;br /&gt;
&lt;br /&gt;
&lt;br /&gt;
Thank you</t>
  </si>
  <si>
    <t>RPAResults@auxis.com</t>
  </si>
  <si>
    <t>{Process} - Process completed</t>
  </si>
  <si>
    <t>Hi,&lt;br /&gt;
&lt;br /&gt;
The process completed executing. Attached you can find the results.&lt;br /&gt;
&lt;br /&gt;
&lt;br /&gt;
Thank you</t>
  </si>
  <si>
    <t>EndProcessNoData</t>
  </si>
  <si>
    <t>{Process} - Process completed - No data</t>
  </si>
  <si>
    <t>Hi,&lt;br /&gt;
&lt;br /&gt;
The process completed executing but there were no transactions.&lt;br /&gt;
&lt;br /&gt;
&lt;br /&gt;
Thank you</t>
  </si>
  <si>
    <t>Notifications need to be stored in a sepparate file (Notifications.xlsx). It should contain 5 columns: NotificationID, NotificationTo, NotificationCC, NotificationSubject, NotificationBody.
The notifications can have placeholders for the Subject or the Body, which need to be provided as an array of values in the arguments section: in_SubjectValues and in_BodyValues.
Attachments can be also defined, which will be passed an an array containing the file paths and will be dinamycally attached to the email.</t>
  </si>
  <si>
    <t>The TransactionData should contain 4 additional columns: Status, StartTime, EndTime and ErrorMessage. The StartTime needs to be populated when each transaction starts while the Status and EndTime need to be populated once the transaction completes; the ErrorMessage is only populated if an exception is detected.</t>
  </si>
  <si>
    <t>ErrorMessage</t>
  </si>
  <si>
    <t>Application</t>
  </si>
  <si>
    <t>Username</t>
  </si>
  <si>
    <t>The name of the project should be Amerant-PasswordReset and it has to be developed using the Auxis ReFramework.</t>
  </si>
  <si>
    <t>Reuse the existing library for the Service Now activities, created for the PTO project.</t>
  </si>
  <si>
    <t>A list with possible passwords for AS400 will be created, with at least 50 options and the robot will choose one of them randomly when doing a password reset. They will have a number at the end that will be randomly added when creating the password, between 0 and 9.
The guidelines for the AS400 passwords are:
- Between 8 and 10 characters
- One number, anywhere in the text
- Uppercase
- Do not use any of the previous 10 passwords (AS400 indicates at the bottom if you're using one of the previous passwords)</t>
  </si>
  <si>
    <t>AS400 for now</t>
  </si>
  <si>
    <t>TaskNumber</t>
  </si>
  <si>
    <t>UserEmail</t>
  </si>
  <si>
    <r>
      <rPr>
        <b/>
        <sz val="11"/>
        <color theme="1"/>
        <rFont val="Calibri"/>
        <family val="2"/>
        <scheme val="minor"/>
      </rPr>
      <t xml:space="preserve">Important: </t>
    </r>
    <r>
      <rPr>
        <sz val="11"/>
        <color theme="1"/>
        <rFont val="Calibri"/>
        <family val="2"/>
        <scheme val="minor"/>
      </rPr>
      <t>the password should not be stored anywhere. As soon as it is generated and tested in AS400, it needs to be sent in an email. It can't be tracked in the logs or stored in the Transaction Data.</t>
    </r>
  </si>
  <si>
    <t>PR_AS400_PasswordsFile</t>
  </si>
  <si>
    <t>File containing the possible passwords to use when resetting an accoun in AS400.</t>
  </si>
  <si>
    <t>PR_ServiceNow_Credential</t>
  </si>
  <si>
    <t>PR_ServiceNow_URL</t>
  </si>
  <si>
    <t>PR_ServiceNow_Secret</t>
  </si>
  <si>
    <t>PR_ServiceNow_Queue</t>
  </si>
  <si>
    <t>Credential to use to connect to ServiceNow.</t>
  </si>
  <si>
    <t>URL for ServiceNow.</t>
  </si>
  <si>
    <t>Secret and API keys for the ServiceNow API.</t>
  </si>
  <si>
    <t>Queue from where to pull the requests from ServiceNow.</t>
  </si>
  <si>
    <t>PR_ServiceNow_ReassignmentQueue</t>
  </si>
  <si>
    <t>Queue to which the tasks are assigned in case an error is detected.</t>
  </si>
  <si>
    <t>Project size</t>
  </si>
  <si>
    <t>Development effort (hrs)</t>
  </si>
  <si>
    <t>Task</t>
  </si>
  <si>
    <t>Owner</t>
  </si>
  <si>
    <t>Simple</t>
  </si>
  <si>
    <t>Low</t>
  </si>
  <si>
    <t>Medium</t>
  </si>
  <si>
    <t>High</t>
  </si>
  <si>
    <t>Highlights</t>
  </si>
  <si>
    <t>4. Solution Design</t>
  </si>
  <si>
    <t>4.02. Review PDD with developer and Support Team</t>
  </si>
  <si>
    <t>Business Analyst</t>
  </si>
  <si>
    <t>4.03. Review DSD with developer and Support Team</t>
  </si>
  <si>
    <t>Solutions Architect</t>
  </si>
  <si>
    <t>4.06. Process walkthrough</t>
  </si>
  <si>
    <t>Developer</t>
  </si>
  <si>
    <t>4.07. Define project estimates</t>
  </si>
  <si>
    <t>4.08. Review estimates with the Solutions Architect</t>
  </si>
  <si>
    <t>4.09. Review estimates with the SCRUM Master</t>
  </si>
  <si>
    <t>4.13. Information uploaded to MS Teams</t>
  </si>
  <si>
    <t>5. Build RPA Solution (1st pass)</t>
  </si>
  <si>
    <t>5.01. All relevant ards in Monday.com are complete</t>
  </si>
  <si>
    <t>Includes coding, unit testing and integration testing</t>
  </si>
  <si>
    <t>5.03. End-to-end testing is complete</t>
  </si>
  <si>
    <t>10% of the original development time</t>
  </si>
  <si>
    <t>5.06. Code review is complete</t>
  </si>
  <si>
    <t>5% of the original development time</t>
  </si>
  <si>
    <t>6. UAT (1st pass)</t>
  </si>
  <si>
    <t>6.03. All test cases were completed</t>
  </si>
  <si>
    <t>6.04. Test results tracked</t>
  </si>
  <si>
    <t>6.06. Process execution time was benchmarked</t>
  </si>
  <si>
    <t>6.09. Information uploaded to MS Teams</t>
  </si>
  <si>
    <t>5. Build RPA Solution (2nd pass)</t>
  </si>
  <si>
    <t>20% of the original development time</t>
  </si>
  <si>
    <t>5.02. Latest code pushed to GitHub</t>
  </si>
  <si>
    <t>20% of the 2nd. development time</t>
  </si>
  <si>
    <t>10% of the 2nd. development time</t>
  </si>
  <si>
    <t>5.07. SDD is up-to-date</t>
  </si>
  <si>
    <t>5.09. Exception SOPs were created</t>
  </si>
  <si>
    <t>5.10. Information uploaded to MS Teams</t>
  </si>
  <si>
    <t>6. UAT (2nd pass)</t>
  </si>
  <si>
    <t>6.08. Robot execution video</t>
  </si>
  <si>
    <t>7. Go Live</t>
  </si>
  <si>
    <t>7.03. Deployment guide was completed</t>
  </si>
  <si>
    <t>7.04. Accounts stored in PMP</t>
  </si>
  <si>
    <t>Infrastructure Team</t>
  </si>
  <si>
    <t>7.06. Assets and queues created in Orchestrator</t>
  </si>
  <si>
    <t>7.07. Packages and libraries uploaded to Orchestrator</t>
  </si>
  <si>
    <t>7.08. Triggers created in Orchestrator</t>
  </si>
  <si>
    <t>7.12. Information uploaded to MS Teams</t>
  </si>
  <si>
    <t>8. Transition to support</t>
  </si>
  <si>
    <t>8.01. Validate process is stable</t>
  </si>
  <si>
    <t>8.02. Transition session coordinated with Support Team</t>
  </si>
  <si>
    <t>8.06. Code walkthrough</t>
  </si>
  <si>
    <t>8.07. Exception SOPs review</t>
  </si>
  <si>
    <t>Meetings</t>
  </si>
  <si>
    <t>3 hours per week</t>
  </si>
  <si>
    <t>Total</t>
  </si>
  <si>
    <t>Effort SA</t>
  </si>
  <si>
    <t>Effort Dev</t>
  </si>
  <si>
    <t>Time (hrs)</t>
  </si>
  <si>
    <t>Revised Effort</t>
  </si>
  <si>
    <t>Testing</t>
  </si>
  <si>
    <t>Complexity</t>
  </si>
  <si>
    <t>Unit Testing</t>
  </si>
  <si>
    <t>Total effort</t>
  </si>
  <si>
    <t>Reused</t>
  </si>
  <si>
    <t>Multipliers</t>
  </si>
  <si>
    <t>Type</t>
  </si>
  <si>
    <t>Multiplier</t>
  </si>
  <si>
    <t>Java</t>
  </si>
  <si>
    <t>Citrix\RDP</t>
  </si>
  <si>
    <t>Image recognition</t>
  </si>
  <si>
    <t>System</t>
  </si>
  <si>
    <t>Comments</t>
  </si>
  <si>
    <t>Misc</t>
  </si>
  <si>
    <t>Terminal\Console</t>
  </si>
  <si>
    <t>Technology</t>
  </si>
  <si>
    <t>Very simple (&lt;=5 steps)</t>
  </si>
  <si>
    <t>Extremely complex (&gt; 25 steps)</t>
  </si>
  <si>
    <t>Very high (21-25 steps)</t>
  </si>
  <si>
    <t>High (16-20 steps)</t>
  </si>
  <si>
    <t>Medium (11-15 steps)</t>
  </si>
  <si>
    <t>Simple (6-10 steps)</t>
  </si>
  <si>
    <t>Complex app.</t>
  </si>
  <si>
    <t>Standard app.</t>
  </si>
  <si>
    <t>Business logic (no app.)</t>
  </si>
  <si>
    <t>out_dt_Notifications</t>
  </si>
  <si>
    <t>in_NotificationsFile</t>
  </si>
  <si>
    <t>Load the notifcations</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</si>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</sst>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s>
  <fills count="12">
    <fill>
      <patternFill patternType="none"/>
    </fill>
    <fill>
      <patternFill patternType="gray125"/>
    </fill>
    <fill>
      <patternFill patternType="solid">
        <fgColor theme="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5" tint="0.39997558519241921"/>
        <bgColor indexed="64"/>
      </patternFill>
    </fill>
    <fill>
      <patternFill patternType="solid">
        <fgColor theme="5" tint="0.79998168889431442"/>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double">
        <color theme="4"/>
      </top>
      <bottom/>
      <diagonal/>
    </border>
  </borders>
  <cellStyleXfs count="7">
    <xf numFmtId="0" fontId="0" fillId="0" borderId="0"/>
    <xf numFmtId="0" fontId="2" fillId="0" borderId="0" applyNumberFormat="0" applyFill="0" applyBorder="0" applyAlignment="0" applyProtection="0"/>
    <xf numFmtId="0" fontId="5"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cellStyleXfs>
  <cellXfs count="45">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2" fillId="0" borderId="0" xfId="1"/>
    <xf numFmtId="0" fontId="4" fillId="7" borderId="2" xfId="0" applyFont="1" applyFill="1" applyBorder="1" applyAlignment="1">
      <alignment vertical="top"/>
    </xf>
    <xf numFmtId="0" fontId="0" fillId="8" borderId="1" xfId="0" applyFont="1" applyFill="1" applyBorder="1" applyAlignment="1">
      <alignment vertical="top"/>
    </xf>
    <xf numFmtId="0" fontId="0" fillId="0" borderId="1" xfId="0" applyFont="1" applyBorder="1" applyAlignment="1">
      <alignment vertical="top"/>
    </xf>
    <xf numFmtId="0" fontId="0" fillId="9" borderId="0" xfId="0" applyFill="1"/>
    <xf numFmtId="2" fontId="0" fillId="9" borderId="0" xfId="0" applyNumberFormat="1" applyFill="1"/>
    <xf numFmtId="0" fontId="0" fillId="0" borderId="0" xfId="0" applyAlignment="1">
      <alignment horizontal="left" indent="1"/>
    </xf>
    <xf numFmtId="0" fontId="0" fillId="0" borderId="0" xfId="0" applyAlignment="1">
      <alignment horizontal="left"/>
    </xf>
    <xf numFmtId="2" fontId="0" fillId="0" borderId="0" xfId="0" applyNumberFormat="1"/>
    <xf numFmtId="0" fontId="0" fillId="0" borderId="0" xfId="0" applyAlignment="1"/>
    <xf numFmtId="2" fontId="6" fillId="10" borderId="0" xfId="2" applyNumberFormat="1" applyFont="1" applyFill="1"/>
    <xf numFmtId="2" fontId="0" fillId="10" borderId="0" xfId="0" applyNumberFormat="1" applyFill="1"/>
    <xf numFmtId="2" fontId="3" fillId="11" borderId="0" xfId="4" applyNumberFormat="1" applyFill="1"/>
    <xf numFmtId="2" fontId="0" fillId="11" borderId="0" xfId="0" applyNumberFormat="1" applyFill="1"/>
    <xf numFmtId="0" fontId="0" fillId="9" borderId="0" xfId="0" applyFill="1" applyAlignment="1"/>
    <xf numFmtId="0" fontId="0" fillId="9" borderId="2" xfId="0" applyFont="1" applyFill="1" applyBorder="1"/>
    <xf numFmtId="2" fontId="0" fillId="9" borderId="2" xfId="0" applyNumberFormat="1" applyFont="1" applyFill="1" applyBorder="1"/>
    <xf numFmtId="0" fontId="0" fillId="0" borderId="2" xfId="0" applyFont="1" applyBorder="1" applyAlignment="1">
      <alignment horizontal="left"/>
    </xf>
    <xf numFmtId="2" fontId="0" fillId="0" borderId="2" xfId="0" applyNumberFormat="1" applyFont="1" applyBorder="1"/>
    <xf numFmtId="0" fontId="0" fillId="8" borderId="2" xfId="0" applyFont="1" applyFill="1" applyBorder="1" applyAlignment="1">
      <alignment horizontal="left"/>
    </xf>
    <xf numFmtId="0" fontId="0" fillId="8" borderId="2" xfId="0" applyFont="1" applyFill="1" applyBorder="1" applyAlignment="1"/>
    <xf numFmtId="0" fontId="0" fillId="0" borderId="2" xfId="0" applyFont="1" applyBorder="1" applyAlignment="1"/>
    <xf numFmtId="2" fontId="6" fillId="10" borderId="2" xfId="2" applyNumberFormat="1" applyFont="1" applyFill="1" applyBorder="1"/>
    <xf numFmtId="2" fontId="0" fillId="11" borderId="2" xfId="4" applyNumberFormat="1" applyFont="1" applyFill="1" applyBorder="1"/>
    <xf numFmtId="2" fontId="0" fillId="11" borderId="2" xfId="0" applyNumberFormat="1" applyFont="1" applyFill="1" applyBorder="1"/>
    <xf numFmtId="0" fontId="0" fillId="9" borderId="2" xfId="0" applyFont="1" applyFill="1" applyBorder="1" applyAlignment="1"/>
    <xf numFmtId="0" fontId="0" fillId="0" borderId="2" xfId="0" applyFont="1" applyBorder="1" applyAlignment="1">
      <alignment horizontal="left" indent="1"/>
    </xf>
    <xf numFmtId="0" fontId="0" fillId="8" borderId="2" xfId="0" applyFont="1" applyFill="1" applyBorder="1" applyAlignment="1">
      <alignment horizontal="left" indent="1"/>
    </xf>
    <xf numFmtId="0" fontId="4" fillId="7" borderId="3" xfId="0" applyFont="1" applyFill="1" applyBorder="1"/>
    <xf numFmtId="0" fontId="1" fillId="0" borderId="4" xfId="0" applyFont="1" applyBorder="1"/>
    <xf numFmtId="2" fontId="1" fillId="0" borderId="4" xfId="0" applyNumberFormat="1" applyFont="1" applyBorder="1"/>
    <xf numFmtId="0" fontId="3" fillId="3" borderId="0" xfId="3" applyAlignment="1">
      <alignment vertical="top"/>
    </xf>
    <xf numFmtId="0" fontId="3" fillId="6" borderId="0" xfId="6" applyAlignment="1">
      <alignment vertical="top" wrapText="1"/>
    </xf>
    <xf numFmtId="0" fontId="1" fillId="0" borderId="0" xfId="0" applyFont="1"/>
    <xf numFmtId="1" fontId="0" fillId="0" borderId="0" xfId="0" applyNumberFormat="1"/>
    <xf numFmtId="164" fontId="0" fillId="0" borderId="0" xfId="0" applyNumberFormat="1"/>
    <xf numFmtId="4" fontId="0" fillId="0" borderId="0" xfId="0" applyNumberFormat="1" applyAlignment="1">
      <alignment vertical="top"/>
    </xf>
    <xf numFmtId="4" fontId="3" fillId="5" borderId="0" xfId="5" applyNumberFormat="1" applyAlignment="1">
      <alignment vertical="top" wrapText="1"/>
    </xf>
    <xf numFmtId="4" fontId="3" fillId="6" borderId="0" xfId="6" applyNumberFormat="1" applyAlignment="1">
      <alignment vertical="top" wrapText="1"/>
    </xf>
    <xf numFmtId="4" fontId="1" fillId="5" borderId="0" xfId="5" applyNumberFormat="1" applyFont="1" applyAlignment="1">
      <alignment vertical="top" wrapText="1"/>
    </xf>
    <xf numFmtId="4" fontId="0" fillId="0" borderId="0" xfId="0" applyNumberFormat="1" applyAlignment="1">
      <alignment vertical="top" wrapText="1"/>
    </xf>
  </cellXfs>
  <cellStyles count="7">
    <cellStyle name="20% - Accent3" xfId="4" builtinId="38"/>
    <cellStyle name="20% - Accent4" xfId="6" builtinId="42"/>
    <cellStyle name="40% - Accent2" xfId="3" builtinId="35"/>
    <cellStyle name="40% - Accent3" xfId="5" builtinId="39"/>
    <cellStyle name="Accent2" xfId="2" builtinId="33"/>
    <cellStyle name="Hyperlink" xfId="1" builtinId="8"/>
    <cellStyle name="Normal" xfId="0" builtinId="0"/>
  </cellStyles>
  <dxfs count="54">
    <dxf>
      <numFmt numFmtId="4" formatCode="#,##0.00"/>
      <alignment horizontal="general" vertical="top" textRotation="0" wrapText="1" indent="0" justifyLastLine="0" shrinkToFit="0" readingOrder="0"/>
    </dxf>
    <dxf>
      <numFmt numFmtId="4" formatCode="#,##0.00"/>
      <alignment horizontal="general" vertical="top" textRotation="0" wrapText="1" indent="0" justifyLastLine="0" shrinkToFit="0" readingOrder="0"/>
    </dxf>
    <dxf>
      <numFmt numFmtId="4" formatCode="#,##0.00"/>
      <alignment horizontal="general" vertical="top" textRotation="0" wrapText="1" indent="0" justifyLastLine="0" shrinkToFit="0" readingOrder="0"/>
    </dxf>
    <dxf>
      <numFmt numFmtId="4" formatCode="#,##0.00"/>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0.0"/>
    </dxf>
    <dxf>
      <numFmt numFmtId="164" formatCode="0.0"/>
    </dxf>
    <dxf>
      <numFmt numFmtId="164"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general" vertical="bottom" textRotation="0" wrapText="0" indent="0" justifyLastLine="0" shrinkToFit="0" readingOrder="0"/>
    </dxf>
    <dxf>
      <font>
        <b/>
      </font>
      <numFmt numFmtId="4" formatCode="#,##0.00"/>
      <alignment horizontal="general" vertical="top" textRotation="0" wrapText="1" indent="0" justifyLastLine="0" shrinkToFit="0" readingOrder="0"/>
    </dxf>
    <dxf>
      <numFmt numFmtId="4" formatCode="#,##0.00"/>
      <alignment horizontal="general" vertical="top" textRotation="0" wrapText="1" indent="0" justifyLastLine="0" shrinkToFit="0" readingOrder="0"/>
    </dxf>
    <dxf>
      <numFmt numFmtId="4" formatCode="#,##0.00"/>
      <alignment horizontal="general" vertical="top" textRotation="0" wrapText="1" indent="0" justifyLastLine="0" shrinkToFit="0" readingOrder="0"/>
    </dxf>
    <dxf>
      <numFmt numFmtId="4" formatCode="#,##0.00"/>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3"/>
      <tableStyleElement type="headerRow"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0</xdr:row>
      <xdr:rowOff>0</xdr:rowOff>
    </xdr:from>
    <xdr:to>
      <xdr:col>25</xdr:col>
      <xdr:colOff>412750</xdr:colOff>
      <xdr:row>40</xdr:row>
      <xdr:rowOff>57150</xdr:rowOff>
    </xdr:to>
    <xdr:pic>
      <xdr:nvPicPr>
        <xdr:cNvPr id="10" name="Picture 9">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0" y="0"/>
          <a:ext cx="6508750" cy="7423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13</xdr:col>
      <xdr:colOff>527050</xdr:colOff>
      <xdr:row>33</xdr:row>
      <xdr:rowOff>82550</xdr:rowOff>
    </xdr:to>
    <xdr:pic>
      <xdr:nvPicPr>
        <xdr:cNvPr id="11" name="Picture 10">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8451850" cy="615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B14" totalsRowShown="0" headerRowDxfId="51" dataDxfId="50">
  <autoFilter ref="A1:B14" xr:uid="{00000000-0009-0000-0100-000002000000}"/>
  <tableColumns count="2">
    <tableColumn id="2" xr3:uid="{00000000-0010-0000-0000-000002000000}" name="ID" dataDxfId="49"/>
    <tableColumn id="1" xr3:uid="{00000000-0010-0000-0000-000001000000}" name="General" dataDxfId="4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5:C50" totalsRowShown="0" headerRowDxfId="47" headerRowBorderDxfId="46" tableBorderDxfId="45">
  <autoFilter ref="A5:C50" xr:uid="{00000000-0009-0000-0100-000006000000}"/>
  <tableColumns count="3">
    <tableColumn id="1" xr3:uid="{00000000-0010-0000-0100-000001000000}" name="Task"/>
    <tableColumn id="2" xr3:uid="{00000000-0010-0000-0100-000002000000}" name="Owner"/>
    <tableColumn id="3" xr3:uid="{00000000-0010-0000-0100-000003000000}" name="Time (hr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710" displayName="Table710" ref="A1:H2" totalsRowShown="0">
  <autoFilter ref="A1:H2" xr:uid="{00000000-0009-0000-0100-000009000000}"/>
  <tableColumns count="8">
    <tableColumn id="1" xr3:uid="{00000000-0010-0000-0200-000001000000}" name="TaskNumber"/>
    <tableColumn id="2" xr3:uid="{00000000-0010-0000-0200-000002000000}" name="Application"/>
    <tableColumn id="3" xr3:uid="{00000000-0010-0000-0200-000003000000}" name="Username"/>
    <tableColumn id="4" xr3:uid="{00000000-0010-0000-0200-000004000000}" name="UserEmail"/>
    <tableColumn id="5" xr3:uid="{00000000-0010-0000-0200-000005000000}" name="Status"/>
    <tableColumn id="6" xr3:uid="{00000000-0010-0000-0200-000006000000}" name="StartTime"/>
    <tableColumn id="7" xr3:uid="{00000000-0010-0000-0200-000007000000}" name="EndTime"/>
    <tableColumn id="8" xr3:uid="{00000000-0010-0000-0200-000008000000}" name="ErrorMessag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M3" totalsRowCount="1" headerRowDxfId="44" dataDxfId="43" totalsRowDxfId="42">
  <autoFilter ref="A1:M2" xr:uid="{00000000-0009-0000-0100-000004000000}"/>
  <tableColumns count="13">
    <tableColumn id="15" xr3:uid="{00000000-0010-0000-0300-00000F000000}" name="System" dataDxfId="41" totalsRowDxfId="12"/>
    <tableColumn id="1" xr3:uid="{00000000-0010-0000-0300-000001000000}" name="Name" dataDxfId="40" totalsRowDxfId="11"/>
    <tableColumn id="2" xr3:uid="{00000000-0010-0000-0300-000002000000}" name="Purpose" dataDxfId="39" totalsRowDxfId="10"/>
    <tableColumn id="5" xr3:uid="{00000000-0010-0000-0300-000005000000}" name="Input" dataDxfId="38" totalsRowDxfId="9"/>
    <tableColumn id="4" xr3:uid="{00000000-0010-0000-0300-000004000000}" name="Output" dataDxfId="37" totalsRowDxfId="8"/>
    <tableColumn id="3" xr3:uid="{00000000-0010-0000-0300-000003000000}" name="Comments" totalsRowLabel="Development" dataDxfId="36" totalsRowDxfId="7"/>
    <tableColumn id="6" xr3:uid="{00000000-0010-0000-0300-000006000000}" name="Effort SA" totalsRowFunction="sum" dataDxfId="35" totalsRowDxfId="6" dataCellStyle="40% - Accent2"/>
    <tableColumn id="14" xr3:uid="{00000000-0010-0000-0300-00000E000000}" name="Technology" dataDxfId="34" totalsRowDxfId="5" dataCellStyle="20% - Accent4"/>
    <tableColumn id="21" xr3:uid="{00000000-0010-0000-0300-000015000000}" name="Complexity" dataDxfId="33" totalsRowDxfId="4" dataCellStyle="20% - Accent4"/>
    <tableColumn id="12" xr3:uid="{00000000-0010-0000-0300-00000C000000}" name="Development" dataDxfId="32" totalsRowDxfId="3" dataCellStyle="40% - Accent3">
      <calculatedColumnFormula>IFERROR(VLOOKUP(Table4[[#This Row],[Complexity]],Table48[#All],2,FALSE)*IF(Table4[[#This Row],[Complexity]]&lt;&gt;"Reused",VLOOKUP(Table4[[#This Row],[Technology]],Table3[#All],2,FALSE),1),"")</calculatedColumnFormula>
    </tableColumn>
    <tableColumn id="10" xr3:uid="{00000000-0010-0000-0300-00000A000000}" name="Testing" dataDxfId="31" totalsRowDxfId="2" dataCellStyle="40% - Accent3">
      <calculatedColumnFormula>IFERROR(VLOOKUP(Table4[[#This Row],[Complexity]],Table48[#All],3,FALSE)*IF(Table4[[#This Row],[Complexity]]&lt;&gt;"Reused",VLOOKUP(Table4[[#This Row],[Technology]],Table3[#All],2,FALSE),1),"")</calculatedColumnFormula>
    </tableColumn>
    <tableColumn id="19" xr3:uid="{00000000-0010-0000-0300-000013000000}" name="Effort Dev" dataDxfId="30" totalsRowDxfId="1" dataCellStyle="20% - Accent4">
      <calculatedColumnFormula>IF(Table4[[#This Row],[Development]]&lt;&gt;"",Table4[[#This Row],[Development]]+Table4[[#This Row],[Testing]],"")</calculatedColumnFormula>
    </tableColumn>
    <tableColumn id="8" xr3:uid="{00000000-0010-0000-0300-000008000000}" name="Revised Effort" totalsRowFunction="sum" dataDxfId="29" totalsRowDxfId="0" dataCellStyle="40% - Accent3">
      <calculatedColumnFormula>IF(Table4[[#This Row],[Effort Dev]]&lt;&gt;"",Table4[[#This Row],[Effort Dev]],Table4[[#This Row],[Effort SA]])</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24" displayName="Table24" ref="A1:G46" totalsRowCount="1">
  <autoFilter ref="A1:G45" xr:uid="{00000000-0009-0000-0100-000003000000}"/>
  <tableColumns count="7">
    <tableColumn id="1" xr3:uid="{00000000-0010-0000-0400-000001000000}" name="Task" totalsRowLabel="Total"/>
    <tableColumn id="7" xr3:uid="{00000000-0010-0000-0400-000007000000}" name="Owner" dataDxfId="28"/>
    <tableColumn id="2" xr3:uid="{00000000-0010-0000-0400-000002000000}" name="Simple" totalsRowFunction="custom" dataDxfId="27" totalsRowDxfId="26">
      <totalsRowFormula>C2+C10+C14+C19+C27+C33+C40+C45</totalsRowFormula>
    </tableColumn>
    <tableColumn id="3" xr3:uid="{00000000-0010-0000-0400-000003000000}" name="Low" totalsRowFunction="custom" dataDxfId="25" totalsRowDxfId="24">
      <totalsRowFormula>D2+D10+D14+D19+D27+D33+D40+D45</totalsRowFormula>
    </tableColumn>
    <tableColumn id="4" xr3:uid="{00000000-0010-0000-0400-000004000000}" name="Medium" totalsRowFunction="custom" dataDxfId="23" totalsRowDxfId="22">
      <totalsRowFormula>E2+E10+E14+E19+E27+E33+E40+E45</totalsRowFormula>
    </tableColumn>
    <tableColumn id="5" xr3:uid="{00000000-0010-0000-0400-000005000000}" name="High" totalsRowFunction="custom" dataDxfId="21" totalsRowDxfId="20">
      <totalsRowFormula>F2+F10+F14+F19+F27+F33+F40+F45</totalsRowFormula>
    </tableColumn>
    <tableColumn id="8" xr3:uid="{00000000-0010-0000-0400-000008000000}" name="Highlights" dataDxfId="1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 displayName="Table3" ref="I13:J20" totalsRowShown="0">
  <autoFilter ref="I13:J20" xr:uid="{00000000-0009-0000-0100-000008000000}"/>
  <tableColumns count="2">
    <tableColumn id="1" xr3:uid="{00000000-0010-0000-0500-000001000000}" name="Type"/>
    <tableColumn id="2" xr3:uid="{00000000-0010-0000-0500-000002000000}" name="Multiplier"/>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48" displayName="Table48" ref="I2:L9" totalsRowShown="0">
  <autoFilter ref="I2:L9" xr:uid="{00000000-0009-0000-0100-000007000000}"/>
  <tableColumns count="4">
    <tableColumn id="1" xr3:uid="{00000000-0010-0000-0600-000001000000}" name="Complexity"/>
    <tableColumn id="4" xr3:uid="{00000000-0010-0000-0600-000004000000}" name="Development" dataDxfId="18"/>
    <tableColumn id="2" xr3:uid="{00000000-0010-0000-0600-000002000000}" name="Unit Testing" dataDxfId="17">
      <calculatedColumnFormula>Table48[[#This Row],[Development]]*0.25</calculatedColumnFormula>
    </tableColumn>
    <tableColumn id="3" xr3:uid="{00000000-0010-0000-0600-000003000000}" name="Total effort" dataDxfId="16">
      <calculatedColumnFormula>SUM(Table48[[#This Row],[Development]:[Unit Testing]])</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7000000}" name="Table1" displayName="Table1" ref="A1:B7" totalsRowShown="0">
  <autoFilter ref="A1:B7" xr:uid="{00000000-0009-0000-0100-000001000000}"/>
  <sortState xmlns:xlrd2="http://schemas.microsoft.com/office/spreadsheetml/2017/richdata2" ref="A2:B12">
    <sortCondition ref="A5"/>
  </sortState>
  <tableColumns count="2">
    <tableColumn id="1" xr3:uid="{00000000-0010-0000-0700-000001000000}" name="Name"/>
    <tableColumn id="2" xr3:uid="{00000000-0010-0000-0700-000002000000}" name="Content" dataDxfId="1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8000000}" name="Table36" displayName="Table36" ref="A1:E5" totalsRowShown="0">
  <autoFilter ref="A1:E5" xr:uid="{00000000-0009-0000-0100-000005000000}"/>
  <tableColumns count="5">
    <tableColumn id="1" xr3:uid="{00000000-0010-0000-0800-000001000000}" name="NotificationID"/>
    <tableColumn id="2" xr3:uid="{00000000-0010-0000-0800-000002000000}" name="NotificationTo"/>
    <tableColumn id="3" xr3:uid="{00000000-0010-0000-0800-000003000000}" name="NotificationCC"/>
    <tableColumn id="4" xr3:uid="{00000000-0010-0000-0800-000004000000}" name="NotificationSubject" dataDxfId="14"/>
    <tableColumn id="5" xr3:uid="{00000000-0010-0000-0800-000005000000}" name="NotificationBody"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hyperlink" Target="mailto:RPAResults@auxis.com" TargetMode="External"/><Relationship Id="rId2" Type="http://schemas.openxmlformats.org/officeDocument/2006/relationships/hyperlink" Target="mailto:RPAResults@auxis.com" TargetMode="External"/><Relationship Id="rId1" Type="http://schemas.openxmlformats.org/officeDocument/2006/relationships/hyperlink" Target="mailto:RPASupport@auxis.com" TargetMode="External"/><Relationship Id="rId6" Type="http://schemas.openxmlformats.org/officeDocument/2006/relationships/table" Target="../tables/table9.xml"/><Relationship Id="rId5" Type="http://schemas.openxmlformats.org/officeDocument/2006/relationships/printerSettings" Target="../printerSettings/printerSettings5.bin"/><Relationship Id="rId4" Type="http://schemas.openxmlformats.org/officeDocument/2006/relationships/hyperlink" Target="mailto:RPASupport@auxi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A14" sqref="A14"/>
    </sheetView>
  </sheetViews>
  <sheetFormatPr defaultRowHeight="15" x14ac:dyDescent="0.25"/>
  <cols>
    <col min="1" max="1" width="5.140625" bestFit="1" customWidth="1"/>
    <col min="2" max="2" width="150.7109375" customWidth="1"/>
  </cols>
  <sheetData>
    <row r="1" spans="1:2" x14ac:dyDescent="0.25">
      <c r="A1" s="1" t="s">
        <v>3</v>
      </c>
      <c r="B1" s="1" t="s">
        <v>0</v>
      </c>
    </row>
    <row r="2" spans="1:2" ht="75" x14ac:dyDescent="0.25">
      <c r="A2" s="1">
        <v>1</v>
      </c>
      <c r="B2" s="1" t="s">
        <v>37</v>
      </c>
    </row>
    <row r="3" spans="1:2" x14ac:dyDescent="0.25">
      <c r="A3" s="1">
        <v>2</v>
      </c>
      <c r="B3" s="1" t="s">
        <v>17</v>
      </c>
    </row>
    <row r="4" spans="1:2" x14ac:dyDescent="0.25">
      <c r="A4" s="1">
        <v>3</v>
      </c>
      <c r="B4" s="1" t="s">
        <v>12</v>
      </c>
    </row>
    <row r="5" spans="1:2" ht="30" x14ac:dyDescent="0.25">
      <c r="A5" s="1">
        <v>4</v>
      </c>
      <c r="B5" s="1" t="s">
        <v>16</v>
      </c>
    </row>
    <row r="6" spans="1:2" ht="45" x14ac:dyDescent="0.25">
      <c r="A6" s="1">
        <v>5</v>
      </c>
      <c r="B6" s="1" t="s">
        <v>18</v>
      </c>
    </row>
    <row r="7" spans="1:2" x14ac:dyDescent="0.25">
      <c r="A7" s="1">
        <v>6</v>
      </c>
      <c r="B7" s="1" t="s">
        <v>19</v>
      </c>
    </row>
    <row r="8" spans="1:2" ht="30" x14ac:dyDescent="0.25">
      <c r="A8" s="1">
        <v>7</v>
      </c>
      <c r="B8" s="1" t="s">
        <v>22</v>
      </c>
    </row>
    <row r="9" spans="1:2" ht="30" x14ac:dyDescent="0.25">
      <c r="A9" s="1">
        <v>8</v>
      </c>
      <c r="B9" s="1" t="s">
        <v>20</v>
      </c>
    </row>
    <row r="10" spans="1:2" ht="30" x14ac:dyDescent="0.25">
      <c r="A10" s="1">
        <v>9</v>
      </c>
      <c r="B10" s="1" t="s">
        <v>38</v>
      </c>
    </row>
    <row r="11" spans="1:2" x14ac:dyDescent="0.25">
      <c r="A11" s="1">
        <v>11</v>
      </c>
      <c r="B11" s="1" t="s">
        <v>42</v>
      </c>
    </row>
    <row r="12" spans="1:2" x14ac:dyDescent="0.25">
      <c r="A12" s="1">
        <v>12</v>
      </c>
      <c r="B12" s="1" t="s">
        <v>43</v>
      </c>
    </row>
    <row r="13" spans="1:2" ht="105" x14ac:dyDescent="0.25">
      <c r="A13" s="1">
        <v>13</v>
      </c>
      <c r="B13" s="1" t="s">
        <v>44</v>
      </c>
    </row>
    <row r="14" spans="1:2" ht="30" x14ac:dyDescent="0.25">
      <c r="A14" s="1">
        <v>14</v>
      </c>
      <c r="B14" s="1" t="s">
        <v>48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0"/>
  <sheetViews>
    <sheetView workbookViewId="0">
      <selection activeCell="B2" sqref="B2"/>
    </sheetView>
  </sheetViews>
  <sheetFormatPr defaultRowHeight="15" x14ac:dyDescent="0.25"/>
  <cols>
    <col min="1" max="1" width="49.28515625" bestFit="1" customWidth="1"/>
    <col min="2" max="2" width="17.5703125" bestFit="1" customWidth="1"/>
    <col min="3" max="3" width="11.28515625" customWidth="1"/>
  </cols>
  <sheetData>
    <row r="1" spans="1:3" x14ac:dyDescent="0.25">
      <c r="A1" s="5" t="s">
        <v>62</v>
      </c>
      <c r="B1" s="6">
        <f>Table4[[#Totals],[Revised Effort]]</f>
        <v>3</v>
      </c>
    </row>
    <row r="2" spans="1:3" x14ac:dyDescent="0.25">
      <c r="A2" s="5" t="s">
        <v>61</v>
      </c>
      <c r="B2" s="7" t="str">
        <f>IF(B1&lt;=Reference!C11, Table24[[#Headers],[Simple]], IF(B1&lt;=Reference!D11,Table24[[#Headers],[Low]],IF(B1&lt;=Reference!E11,Table24[[#Headers],[Medium]],Table24[[#Headers],[High]])))</f>
        <v>Simple</v>
      </c>
    </row>
    <row r="5" spans="1:3" x14ac:dyDescent="0.25">
      <c r="A5" s="32" t="s">
        <v>63</v>
      </c>
      <c r="B5" s="32" t="s">
        <v>64</v>
      </c>
      <c r="C5" s="32" t="s">
        <v>121</v>
      </c>
    </row>
    <row r="6" spans="1:3" x14ac:dyDescent="0.25">
      <c r="A6" s="19" t="s">
        <v>70</v>
      </c>
      <c r="B6" s="19"/>
      <c r="C6" s="20">
        <f>SUM(C7:C13)</f>
        <v>19</v>
      </c>
    </row>
    <row r="7" spans="1:3" x14ac:dyDescent="0.25">
      <c r="A7" s="30" t="s">
        <v>71</v>
      </c>
      <c r="B7" s="21" t="s">
        <v>72</v>
      </c>
      <c r="C7" s="22">
        <f>IF(B2="Simple",Reference!C3,IF(B2="Low",Reference!D3,IF(B2="Medium",Reference!E3,Reference!F3)))</f>
        <v>1</v>
      </c>
    </row>
    <row r="8" spans="1:3" x14ac:dyDescent="0.25">
      <c r="A8" s="31" t="s">
        <v>73</v>
      </c>
      <c r="B8" s="23" t="s">
        <v>74</v>
      </c>
      <c r="C8" s="22">
        <f>IF(B3="Simple",Reference!C4,IF(B3="Low",Reference!D4,IF(B3="Medium",Reference!E4,Reference!F4)))</f>
        <v>2</v>
      </c>
    </row>
    <row r="9" spans="1:3" x14ac:dyDescent="0.25">
      <c r="A9" s="30" t="s">
        <v>75</v>
      </c>
      <c r="B9" s="21" t="s">
        <v>76</v>
      </c>
      <c r="C9" s="22">
        <f>IF(B4="Simple",Reference!C5,IF(B4="Low",Reference!D5,IF(B4="Medium",Reference!E5,Reference!F5)))</f>
        <v>12</v>
      </c>
    </row>
    <row r="10" spans="1:3" x14ac:dyDescent="0.25">
      <c r="A10" s="31" t="s">
        <v>77</v>
      </c>
      <c r="B10" s="24" t="s">
        <v>76</v>
      </c>
      <c r="C10" s="22">
        <f>IF(B5="Simple",Reference!C6,IF(B5="Low",Reference!D6,IF(B5="Medium",Reference!E6,Reference!F6)))</f>
        <v>1.5</v>
      </c>
    </row>
    <row r="11" spans="1:3" x14ac:dyDescent="0.25">
      <c r="A11" s="30" t="s">
        <v>78</v>
      </c>
      <c r="B11" s="25" t="s">
        <v>76</v>
      </c>
      <c r="C11" s="22">
        <f>IF(B6="Simple",Reference!C7,IF(B6="Low",Reference!D7,IF(B6="Medium",Reference!E7,Reference!F7)))</f>
        <v>1</v>
      </c>
    </row>
    <row r="12" spans="1:3" x14ac:dyDescent="0.25">
      <c r="A12" s="31" t="s">
        <v>79</v>
      </c>
      <c r="B12" s="24" t="s">
        <v>76</v>
      </c>
      <c r="C12" s="22">
        <f>IF(B7="Simple",Reference!C8,IF(B7="Low",Reference!D8,IF(B7="Medium",Reference!E8,Reference!F8)))</f>
        <v>1</v>
      </c>
    </row>
    <row r="13" spans="1:3" x14ac:dyDescent="0.25">
      <c r="A13" s="30" t="s">
        <v>80</v>
      </c>
      <c r="B13" s="25" t="s">
        <v>76</v>
      </c>
      <c r="C13" s="22">
        <f>IF(B8="Simple",Reference!C9,IF(B8="Low",Reference!D9,IF(B8="Medium",Reference!E9,Reference!F9)))</f>
        <v>0.5</v>
      </c>
    </row>
    <row r="14" spans="1:3" x14ac:dyDescent="0.25">
      <c r="A14" s="19" t="s">
        <v>81</v>
      </c>
      <c r="B14" s="19"/>
      <c r="C14" s="20">
        <f>SUM(C15:C17)</f>
        <v>3.4499999999999997</v>
      </c>
    </row>
    <row r="15" spans="1:3" x14ac:dyDescent="0.25">
      <c r="A15" s="30" t="s">
        <v>82</v>
      </c>
      <c r="B15" s="21" t="s">
        <v>76</v>
      </c>
      <c r="C15" s="26">
        <f>B1</f>
        <v>3</v>
      </c>
    </row>
    <row r="16" spans="1:3" x14ac:dyDescent="0.25">
      <c r="A16" s="31" t="s">
        <v>84</v>
      </c>
      <c r="B16" s="24" t="s">
        <v>76</v>
      </c>
      <c r="C16" s="27">
        <f>C15*0.1</f>
        <v>0.30000000000000004</v>
      </c>
    </row>
    <row r="17" spans="1:3" x14ac:dyDescent="0.25">
      <c r="A17" s="30" t="s">
        <v>86</v>
      </c>
      <c r="B17" s="25" t="s">
        <v>76</v>
      </c>
      <c r="C17" s="27">
        <f>C15*0.05</f>
        <v>0.15000000000000002</v>
      </c>
    </row>
    <row r="18" spans="1:3" x14ac:dyDescent="0.25">
      <c r="A18" s="19" t="s">
        <v>88</v>
      </c>
      <c r="B18" s="19"/>
      <c r="C18" s="20">
        <f>SUM(C19:C22)</f>
        <v>4.8</v>
      </c>
    </row>
    <row r="19" spans="1:3" x14ac:dyDescent="0.25">
      <c r="A19" s="30" t="s">
        <v>89</v>
      </c>
      <c r="B19" s="25" t="s">
        <v>76</v>
      </c>
      <c r="C19" s="28">
        <f>C15*0.1</f>
        <v>0.30000000000000004</v>
      </c>
    </row>
    <row r="20" spans="1:3" x14ac:dyDescent="0.25">
      <c r="A20" s="31" t="s">
        <v>90</v>
      </c>
      <c r="B20" s="24" t="s">
        <v>76</v>
      </c>
      <c r="C20" s="22">
        <f>IF(B15="Simple",Reference!C16,IF(B15="Low",Reference!D16,IF(B15="Medium",Reference!E16,Reference!F16)))</f>
        <v>2</v>
      </c>
    </row>
    <row r="21" spans="1:3" x14ac:dyDescent="0.25">
      <c r="A21" s="30" t="s">
        <v>91</v>
      </c>
      <c r="B21" s="25" t="s">
        <v>76</v>
      </c>
      <c r="C21" s="22">
        <f>IF(B16="Simple",Reference!C17,IF(B16="Low",Reference!D17,IF(B16="Medium",Reference!E17,Reference!F17)))</f>
        <v>2</v>
      </c>
    </row>
    <row r="22" spans="1:3" x14ac:dyDescent="0.25">
      <c r="A22" s="31" t="s">
        <v>92</v>
      </c>
      <c r="B22" s="24" t="s">
        <v>76</v>
      </c>
      <c r="C22" s="22">
        <f>IF(B17="Simple",Reference!C18,IF(B17="Low",Reference!D18,IF(B17="Medium",Reference!E18,Reference!F18)))</f>
        <v>0.5</v>
      </c>
    </row>
    <row r="23" spans="1:3" x14ac:dyDescent="0.25">
      <c r="A23" s="19" t="s">
        <v>93</v>
      </c>
      <c r="B23" s="19"/>
      <c r="C23" s="20">
        <f>SUM(C24:C30)</f>
        <v>17.78</v>
      </c>
    </row>
    <row r="24" spans="1:3" x14ac:dyDescent="0.25">
      <c r="A24" s="31" t="s">
        <v>82</v>
      </c>
      <c r="B24" s="23" t="s">
        <v>76</v>
      </c>
      <c r="C24" s="28">
        <f>C15*0.2</f>
        <v>0.60000000000000009</v>
      </c>
    </row>
    <row r="25" spans="1:3" x14ac:dyDescent="0.25">
      <c r="A25" s="30" t="s">
        <v>95</v>
      </c>
      <c r="B25" s="21" t="s">
        <v>76</v>
      </c>
      <c r="C25" s="22">
        <f>IF(B20="Simple",Reference!C21,IF(B20="Low",Reference!D21,IF(B20="Medium",Reference!E21,Reference!F21)))</f>
        <v>0.5</v>
      </c>
    </row>
    <row r="26" spans="1:3" x14ac:dyDescent="0.25">
      <c r="A26" s="31" t="s">
        <v>84</v>
      </c>
      <c r="B26" s="24" t="s">
        <v>76</v>
      </c>
      <c r="C26" s="28">
        <f>C24*0.2</f>
        <v>0.12000000000000002</v>
      </c>
    </row>
    <row r="27" spans="1:3" x14ac:dyDescent="0.25">
      <c r="A27" s="30" t="s">
        <v>86</v>
      </c>
      <c r="B27" s="25" t="s">
        <v>76</v>
      </c>
      <c r="C27" s="28">
        <f>C24*0.1</f>
        <v>6.0000000000000012E-2</v>
      </c>
    </row>
    <row r="28" spans="1:3" x14ac:dyDescent="0.25">
      <c r="A28" s="31" t="s">
        <v>98</v>
      </c>
      <c r="B28" s="24" t="s">
        <v>76</v>
      </c>
      <c r="C28" s="22">
        <f>IF(B23="Simple",Reference!C24,IF(B23="Low",Reference!D24,IF(B23="Medium",Reference!E24,Reference!F24)))</f>
        <v>8</v>
      </c>
    </row>
    <row r="29" spans="1:3" x14ac:dyDescent="0.25">
      <c r="A29" s="30" t="s">
        <v>99</v>
      </c>
      <c r="B29" s="25" t="s">
        <v>76</v>
      </c>
      <c r="C29" s="22">
        <f>IF(B24="Simple",Reference!C25,IF(B24="Low",Reference!D25,IF(B24="Medium",Reference!E25,Reference!F25)))</f>
        <v>8</v>
      </c>
    </row>
    <row r="30" spans="1:3" x14ac:dyDescent="0.25">
      <c r="A30" s="31" t="s">
        <v>100</v>
      </c>
      <c r="B30" s="24" t="s">
        <v>76</v>
      </c>
      <c r="C30" s="22">
        <f>IF(B25="Simple",Reference!C26,IF(B25="Low",Reference!D26,IF(B25="Medium",Reference!E26,Reference!F26)))</f>
        <v>0.5</v>
      </c>
    </row>
    <row r="31" spans="1:3" x14ac:dyDescent="0.25">
      <c r="A31" s="19" t="s">
        <v>101</v>
      </c>
      <c r="B31" s="19"/>
      <c r="C31" s="20">
        <f>SUM(C32:C36)</f>
        <v>6.8</v>
      </c>
    </row>
    <row r="32" spans="1:3" x14ac:dyDescent="0.25">
      <c r="A32" s="31" t="s">
        <v>89</v>
      </c>
      <c r="B32" s="24" t="s">
        <v>76</v>
      </c>
      <c r="C32" s="28">
        <f>C15*0.1</f>
        <v>0.30000000000000004</v>
      </c>
    </row>
    <row r="33" spans="1:3" x14ac:dyDescent="0.25">
      <c r="A33" s="30" t="s">
        <v>90</v>
      </c>
      <c r="B33" s="25" t="s">
        <v>76</v>
      </c>
      <c r="C33" s="22">
        <f>IF(B28="Simple",Reference!C29,IF(B28="Low",Reference!D29,IF(B28="Medium",Reference!E29,Reference!F29)))</f>
        <v>2</v>
      </c>
    </row>
    <row r="34" spans="1:3" x14ac:dyDescent="0.25">
      <c r="A34" s="31" t="s">
        <v>91</v>
      </c>
      <c r="B34" s="24" t="s">
        <v>76</v>
      </c>
      <c r="C34" s="22">
        <f>IF(B29="Simple",Reference!C30,IF(B29="Low",Reference!D30,IF(B29="Medium",Reference!E30,Reference!F30)))</f>
        <v>2</v>
      </c>
    </row>
    <row r="35" spans="1:3" x14ac:dyDescent="0.25">
      <c r="A35" s="30" t="s">
        <v>102</v>
      </c>
      <c r="B35" s="25" t="s">
        <v>76</v>
      </c>
      <c r="C35" s="22">
        <f>IF(B30="Simple",Reference!C31,IF(B30="Low",Reference!D31,IF(B30="Medium",Reference!E31,Reference!F31)))</f>
        <v>2</v>
      </c>
    </row>
    <row r="36" spans="1:3" x14ac:dyDescent="0.25">
      <c r="A36" s="31" t="s">
        <v>92</v>
      </c>
      <c r="B36" s="24" t="s">
        <v>76</v>
      </c>
      <c r="C36" s="22">
        <f>IF(B31="Simple",Reference!C32,IF(B31="Low",Reference!D32,IF(B31="Medium",Reference!E32,Reference!F32)))</f>
        <v>0.5</v>
      </c>
    </row>
    <row r="37" spans="1:3" x14ac:dyDescent="0.25">
      <c r="A37" s="29" t="s">
        <v>103</v>
      </c>
      <c r="B37" s="29"/>
      <c r="C37" s="20">
        <f>SUM(C38:C43)</f>
        <v>9.5</v>
      </c>
    </row>
    <row r="38" spans="1:3" x14ac:dyDescent="0.25">
      <c r="A38" s="31" t="s">
        <v>104</v>
      </c>
      <c r="B38" s="24" t="s">
        <v>76</v>
      </c>
      <c r="C38" s="22">
        <f>IF(B33="Simple",Reference!C34,IF(B33="Low",Reference!D34,IF(B33="Medium",Reference!E34,Reference!F34)))</f>
        <v>4</v>
      </c>
    </row>
    <row r="39" spans="1:3" x14ac:dyDescent="0.25">
      <c r="A39" s="30" t="s">
        <v>105</v>
      </c>
      <c r="B39" s="25" t="s">
        <v>106</v>
      </c>
      <c r="C39" s="22">
        <f>IF(B34="Simple",Reference!C35,IF(B34="Low",Reference!D35,IF(B34="Medium",Reference!E35,Reference!F35)))</f>
        <v>1</v>
      </c>
    </row>
    <row r="40" spans="1:3" x14ac:dyDescent="0.25">
      <c r="A40" s="31" t="s">
        <v>107</v>
      </c>
      <c r="B40" s="24" t="s">
        <v>76</v>
      </c>
      <c r="C40" s="22">
        <f>IF(B35="Simple",Reference!C36,IF(B35="Low",Reference!D36,IF(B35="Medium",Reference!E36,Reference!F36)))</f>
        <v>2</v>
      </c>
    </row>
    <row r="41" spans="1:3" x14ac:dyDescent="0.25">
      <c r="A41" s="30" t="s">
        <v>108</v>
      </c>
      <c r="B41" s="25" t="s">
        <v>76</v>
      </c>
      <c r="C41" s="22">
        <f>IF(B36="Simple",Reference!C37,IF(B36="Low",Reference!D37,IF(B36="Medium",Reference!E37,Reference!F37)))</f>
        <v>1</v>
      </c>
    </row>
    <row r="42" spans="1:3" x14ac:dyDescent="0.25">
      <c r="A42" s="31" t="s">
        <v>109</v>
      </c>
      <c r="B42" s="24" t="s">
        <v>76</v>
      </c>
      <c r="C42" s="22">
        <f>IF(B37="Simple",Reference!C38,IF(B37="Low",Reference!D38,IF(B37="Medium",Reference!E38,Reference!F38)))</f>
        <v>1</v>
      </c>
    </row>
    <row r="43" spans="1:3" x14ac:dyDescent="0.25">
      <c r="A43" s="30" t="s">
        <v>110</v>
      </c>
      <c r="B43" s="25" t="s">
        <v>76</v>
      </c>
      <c r="C43" s="22">
        <f>IF(B38="Simple",Reference!C39,IF(B38="Low",Reference!D39,IF(B38="Medium",Reference!E39,Reference!F39)))</f>
        <v>0.5</v>
      </c>
    </row>
    <row r="44" spans="1:3" x14ac:dyDescent="0.25">
      <c r="A44" s="29" t="s">
        <v>111</v>
      </c>
      <c r="B44" s="29"/>
      <c r="C44" s="20">
        <f>SUM(C45:C48)</f>
        <v>6.8</v>
      </c>
    </row>
    <row r="45" spans="1:3" x14ac:dyDescent="0.25">
      <c r="A45" s="30" t="s">
        <v>112</v>
      </c>
      <c r="B45" s="25" t="s">
        <v>76</v>
      </c>
      <c r="C45" s="28">
        <f>C15*0.1</f>
        <v>0.30000000000000004</v>
      </c>
    </row>
    <row r="46" spans="1:3" x14ac:dyDescent="0.25">
      <c r="A46" s="31" t="s">
        <v>113</v>
      </c>
      <c r="B46" s="24" t="s">
        <v>76</v>
      </c>
      <c r="C46" s="22">
        <f>IF(B41="Simple",Reference!C42,IF(B41="Low",Reference!D42,IF(B41="Medium",Reference!E42,Reference!F42)))</f>
        <v>0.5</v>
      </c>
    </row>
    <row r="47" spans="1:3" x14ac:dyDescent="0.25">
      <c r="A47" s="30" t="s">
        <v>114</v>
      </c>
      <c r="B47" s="25" t="s">
        <v>76</v>
      </c>
      <c r="C47" s="22">
        <f>IF(B42="Simple",Reference!C43,IF(B42="Low",Reference!D43,IF(B42="Medium",Reference!E43,Reference!F43)))</f>
        <v>4</v>
      </c>
    </row>
    <row r="48" spans="1:3" x14ac:dyDescent="0.25">
      <c r="A48" s="31" t="s">
        <v>115</v>
      </c>
      <c r="B48" s="24" t="s">
        <v>76</v>
      </c>
      <c r="C48" s="22">
        <f>IF(B43="Simple",Reference!C44,IF(B43="Low",Reference!D44,IF(B43="Medium",Reference!E44,Reference!F44)))</f>
        <v>2</v>
      </c>
    </row>
    <row r="49" spans="1:3" ht="15.75" thickBot="1" x14ac:dyDescent="0.3">
      <c r="A49" s="29" t="s">
        <v>116</v>
      </c>
      <c r="B49" s="29"/>
      <c r="C49" s="20">
        <f>_xlfn.CEILING.MATH(SUM(C6,C14,C18,C23,C31,C37,C44)/34*3, 0.1)</f>
        <v>6.1000000000000005</v>
      </c>
    </row>
    <row r="50" spans="1:3" ht="15.75" thickTop="1" x14ac:dyDescent="0.25">
      <c r="A50" s="33" t="s">
        <v>118</v>
      </c>
      <c r="B50" s="33"/>
      <c r="C50" s="34">
        <f>C6+C14+C18+C23+C31+C37+C44+C49</f>
        <v>74.22999999999999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workbookViewId="0">
      <selection activeCell="D7" sqref="D7"/>
    </sheetView>
  </sheetViews>
  <sheetFormatPr defaultRowHeight="15" x14ac:dyDescent="0.25"/>
  <cols>
    <col min="1" max="1" width="13.42578125" bestFit="1" customWidth="1"/>
    <col min="2" max="2" width="12.5703125" bestFit="1" customWidth="1"/>
    <col min="3" max="3" width="11.5703125" bestFit="1" customWidth="1"/>
    <col min="4" max="4" width="14.42578125" bestFit="1" customWidth="1"/>
    <col min="5" max="5" width="8.42578125" bestFit="1" customWidth="1"/>
    <col min="6" max="6" width="11.28515625" bestFit="1" customWidth="1"/>
    <col min="7" max="7" width="10.42578125" bestFit="1" customWidth="1"/>
    <col min="8" max="8" width="14.5703125" bestFit="1" customWidth="1"/>
  </cols>
  <sheetData>
    <row r="1" spans="1:8" x14ac:dyDescent="0.25">
      <c r="A1" t="s">
        <v>46</v>
      </c>
      <c r="B1" t="s">
        <v>40</v>
      </c>
      <c r="C1" t="s">
        <v>41</v>
      </c>
      <c r="D1" t="s">
        <v>47</v>
      </c>
      <c r="E1" t="s">
        <v>23</v>
      </c>
      <c r="F1" t="s">
        <v>24</v>
      </c>
      <c r="G1" t="s">
        <v>25</v>
      </c>
      <c r="H1" t="s">
        <v>39</v>
      </c>
    </row>
    <row r="2" spans="1:8" x14ac:dyDescent="0.25">
      <c r="B2" t="s">
        <v>45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
  <sheetViews>
    <sheetView tabSelected="1" workbookViewId="0">
      <selection activeCell="C6" sqref="C6"/>
    </sheetView>
  </sheetViews>
  <sheetFormatPr defaultColWidth="8.7109375" defaultRowHeight="15" x14ac:dyDescent="0.25"/>
  <cols>
    <col min="1" max="1" width="10.42578125" style="3" bestFit="1" customWidth="1"/>
    <col min="2" max="2" width="31" style="3" bestFit="1" customWidth="1"/>
    <col min="3" max="3" width="29.5703125" style="3" bestFit="1" customWidth="1"/>
    <col min="4" max="4" width="30.5703125" style="2" bestFit="1" customWidth="1"/>
    <col min="5" max="5" width="30.5703125" style="2" customWidth="1"/>
    <col min="6" max="6" width="37" style="2" customWidth="1"/>
    <col min="7" max="7" width="10.42578125" style="2" bestFit="1" customWidth="1"/>
    <col min="8" max="8" width="20.42578125" style="2" bestFit="1" customWidth="1"/>
    <col min="9" max="9" width="26.85546875" style="2" bestFit="1" customWidth="1"/>
    <col min="10" max="10" width="14.42578125" style="40" bestFit="1" customWidth="1"/>
    <col min="11" max="11" width="9.140625" style="40" bestFit="1" customWidth="1"/>
    <col min="12" max="12" width="11.5703125" style="40" bestFit="1" customWidth="1"/>
    <col min="13" max="13" width="14.7109375" style="40" bestFit="1" customWidth="1"/>
    <col min="14" max="16384" width="8.7109375" style="2"/>
  </cols>
  <sheetData>
    <row r="1" spans="1:13" x14ac:dyDescent="0.25">
      <c r="A1" s="2" t="s">
        <v>134</v>
      </c>
      <c r="B1" s="2" t="s">
        <v>1</v>
      </c>
      <c r="C1" s="3" t="s">
        <v>9</v>
      </c>
      <c r="D1" s="3" t="s">
        <v>14</v>
      </c>
      <c r="E1" s="3" t="s">
        <v>15</v>
      </c>
      <c r="F1" s="2" t="s">
        <v>135</v>
      </c>
      <c r="G1" s="2" t="s">
        <v>119</v>
      </c>
      <c r="H1" s="2" t="s">
        <v>138</v>
      </c>
      <c r="I1" s="3" t="s">
        <v>124</v>
      </c>
      <c r="J1" s="40" t="s">
        <v>21</v>
      </c>
      <c r="K1" s="40" t="s">
        <v>123</v>
      </c>
      <c r="L1" s="40" t="s">
        <v>120</v>
      </c>
      <c r="M1" s="40" t="s">
        <v>122</v>
      </c>
    </row>
    <row r="2" spans="1:13" ht="30" x14ac:dyDescent="0.25">
      <c r="A2" s="2" t="s">
        <v>136</v>
      </c>
      <c r="B2" s="2" t="s">
        <v>151</v>
      </c>
      <c r="C2" s="3" t="s">
        <v>151</v>
      </c>
      <c r="D2" s="3" t="s">
        <v>149</v>
      </c>
      <c r="E2" s="3" t="s">
        <v>148</v>
      </c>
      <c r="F2" s="3" t="s">
        <v>150</v>
      </c>
      <c r="G2" s="35">
        <v>3</v>
      </c>
      <c r="H2" s="36" t="s">
        <v>147</v>
      </c>
      <c r="I2" s="36"/>
      <c r="J2" s="41" t="str">
        <f>IFERROR(VLOOKUP(Table4[[#This Row],[Complexity]],Table48[#All],2,FALSE)*IF(Table4[[#This Row],[Complexity]]&lt;&gt;"Reused",VLOOKUP(Table4[[#This Row],[Technology]],Table3[#All],2,FALSE),1),"")</f>
        <v/>
      </c>
      <c r="K2" s="41" t="str">
        <f>IFERROR(VLOOKUP(Table4[[#This Row],[Complexity]],Table48[#All],3,FALSE)*IF(Table4[[#This Row],[Complexity]]&lt;&gt;"Reused",VLOOKUP(Table4[[#This Row],[Technology]],Table3[#All],2,FALSE),1),"")</f>
        <v/>
      </c>
      <c r="L2" s="42" t="str">
        <f>IF(Table4[[#This Row],[Development]]&lt;&gt;"",Table4[[#This Row],[Development]]+Table4[[#This Row],[Testing]],"")</f>
        <v/>
      </c>
      <c r="M2" s="43">
        <f>IF(Table4[[#This Row],[Effort Dev]]&lt;&gt;"",Table4[[#This Row],[Effort Dev]],Table4[[#This Row],[Effort SA]])</f>
        <v>3</v>
      </c>
    </row>
    <row r="3" spans="1:13" x14ac:dyDescent="0.25">
      <c r="B3" s="2"/>
      <c r="D3" s="3"/>
      <c r="E3" s="3"/>
      <c r="F3" s="2" t="s">
        <v>21</v>
      </c>
      <c r="G3" s="2">
        <f>SUBTOTAL(109,Table4[Effort SA])</f>
        <v>3</v>
      </c>
      <c r="H3" s="3"/>
      <c r="I3" s="3"/>
      <c r="J3" s="44"/>
      <c r="K3" s="44"/>
      <c r="L3" s="44"/>
      <c r="M3" s="44">
        <f>SUBTOTAL(109,Table4[Revised Effort])</f>
        <v>3</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Reference!$I$3:$I$9</xm:f>
          </x14:formula1>
          <xm:sqref>I2</xm:sqref>
        </x14:dataValidation>
        <x14:dataValidation type="list" allowBlank="1" showInputMessage="1" showErrorMessage="1" xr:uid="{00000000-0002-0000-0400-000001000000}">
          <x14:formula1>
            <xm:f>Reference!$I$14:$I$20</xm:f>
          </x14:formula1>
          <xm:sqref>H2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6"/>
  <sheetViews>
    <sheetView workbookViewId="0">
      <selection activeCell="I14" sqref="I14"/>
    </sheetView>
  </sheetViews>
  <sheetFormatPr defaultRowHeight="15" x14ac:dyDescent="0.25"/>
  <cols>
    <col min="1" max="1" width="49.28515625" bestFit="1" customWidth="1"/>
    <col min="2" max="2" width="17.5703125" bestFit="1" customWidth="1"/>
    <col min="3" max="3" width="8.5703125" bestFit="1" customWidth="1"/>
    <col min="4" max="4" width="6.42578125" bestFit="1" customWidth="1"/>
    <col min="5" max="5" width="10.140625" bestFit="1" customWidth="1"/>
    <col min="6" max="6" width="6.85546875" bestFit="1" customWidth="1"/>
    <col min="7" max="7" width="43.7109375" bestFit="1" customWidth="1"/>
    <col min="9" max="9" width="26.85546875" bestFit="1" customWidth="1"/>
    <col min="10" max="10" width="12" bestFit="1" customWidth="1"/>
    <col min="11" max="11" width="13.140625" bestFit="1" customWidth="1"/>
    <col min="12" max="12" width="12.5703125" bestFit="1" customWidth="1"/>
    <col min="13" max="13" width="13.140625" bestFit="1" customWidth="1"/>
    <col min="14" max="14" width="12.5703125" bestFit="1" customWidth="1"/>
  </cols>
  <sheetData>
    <row r="1" spans="1:12" x14ac:dyDescent="0.25">
      <c r="A1" t="s">
        <v>63</v>
      </c>
      <c r="B1" t="s">
        <v>64</v>
      </c>
      <c r="C1" t="s">
        <v>65</v>
      </c>
      <c r="D1" t="s">
        <v>66</v>
      </c>
      <c r="E1" t="s">
        <v>67</v>
      </c>
      <c r="F1" t="s">
        <v>68</v>
      </c>
      <c r="G1" t="s">
        <v>69</v>
      </c>
      <c r="I1" s="37" t="s">
        <v>124</v>
      </c>
    </row>
    <row r="2" spans="1:12" x14ac:dyDescent="0.25">
      <c r="A2" s="8" t="s">
        <v>70</v>
      </c>
      <c r="B2" s="8"/>
      <c r="C2" s="9">
        <f>SUM(C3:C9)</f>
        <v>6</v>
      </c>
      <c r="D2" s="9">
        <f>SUM(D3:D9)</f>
        <v>9</v>
      </c>
      <c r="E2" s="9">
        <f>SUM(E3:E9)</f>
        <v>16</v>
      </c>
      <c r="F2" s="9">
        <f>SUM(F3:F9)</f>
        <v>24</v>
      </c>
      <c r="G2" s="9"/>
      <c r="I2" t="s">
        <v>124</v>
      </c>
      <c r="J2" t="s">
        <v>21</v>
      </c>
      <c r="K2" t="s">
        <v>125</v>
      </c>
      <c r="L2" t="s">
        <v>126</v>
      </c>
    </row>
    <row r="3" spans="1:12" x14ac:dyDescent="0.25">
      <c r="A3" s="10" t="s">
        <v>71</v>
      </c>
      <c r="B3" s="11" t="s">
        <v>72</v>
      </c>
      <c r="C3" s="12">
        <v>1</v>
      </c>
      <c r="D3" s="12">
        <v>2</v>
      </c>
      <c r="E3" s="12">
        <v>4</v>
      </c>
      <c r="F3" s="12">
        <v>6</v>
      </c>
      <c r="G3" s="12"/>
      <c r="I3" t="s">
        <v>139</v>
      </c>
      <c r="J3" s="39">
        <v>2</v>
      </c>
      <c r="K3" s="39">
        <f>Table48[[#This Row],[Development]]*0.25</f>
        <v>0.5</v>
      </c>
      <c r="L3" s="39">
        <f>SUM(Table48[[#This Row],[Development]:[Unit Testing]])</f>
        <v>2.5</v>
      </c>
    </row>
    <row r="4" spans="1:12" x14ac:dyDescent="0.25">
      <c r="A4" s="10" t="s">
        <v>73</v>
      </c>
      <c r="B4" s="11" t="s">
        <v>74</v>
      </c>
      <c r="C4" s="12">
        <v>1</v>
      </c>
      <c r="D4" s="12">
        <v>1</v>
      </c>
      <c r="E4" s="12">
        <v>1.5</v>
      </c>
      <c r="F4" s="12">
        <v>2</v>
      </c>
      <c r="G4" s="12"/>
      <c r="I4" t="s">
        <v>144</v>
      </c>
      <c r="J4" s="39">
        <v>4</v>
      </c>
      <c r="K4" s="39">
        <f>Table48[[#This Row],[Development]]*0.25</f>
        <v>1</v>
      </c>
      <c r="L4" s="39">
        <f>SUM(Table48[[#This Row],[Development]:[Unit Testing]])</f>
        <v>5</v>
      </c>
    </row>
    <row r="5" spans="1:12" x14ac:dyDescent="0.25">
      <c r="A5" s="10" t="s">
        <v>75</v>
      </c>
      <c r="B5" s="11" t="s">
        <v>76</v>
      </c>
      <c r="C5" s="12">
        <v>2</v>
      </c>
      <c r="D5" s="12">
        <v>4</v>
      </c>
      <c r="E5" s="12">
        <v>8</v>
      </c>
      <c r="F5" s="12">
        <v>12</v>
      </c>
      <c r="G5" s="12"/>
      <c r="I5" t="s">
        <v>143</v>
      </c>
      <c r="J5" s="39">
        <v>6</v>
      </c>
      <c r="K5" s="39">
        <f>Table48[[#This Row],[Development]]*0.25</f>
        <v>1.5</v>
      </c>
      <c r="L5" s="39">
        <f>SUM(Table48[[#This Row],[Development]:[Unit Testing]])</f>
        <v>7.5</v>
      </c>
    </row>
    <row r="6" spans="1:12" x14ac:dyDescent="0.25">
      <c r="A6" s="10" t="s">
        <v>77</v>
      </c>
      <c r="B6" s="13" t="s">
        <v>76</v>
      </c>
      <c r="C6" s="12">
        <v>0.5</v>
      </c>
      <c r="D6" s="12">
        <v>0.5</v>
      </c>
      <c r="E6" s="12">
        <v>1</v>
      </c>
      <c r="F6" s="12">
        <v>1.5</v>
      </c>
      <c r="G6" s="12"/>
      <c r="I6" t="s">
        <v>142</v>
      </c>
      <c r="J6" s="39">
        <v>8</v>
      </c>
      <c r="K6" s="39">
        <f>Table48[[#This Row],[Development]]*0.25</f>
        <v>2</v>
      </c>
      <c r="L6" s="39">
        <f>SUM(Table48[[#This Row],[Development]:[Unit Testing]])</f>
        <v>10</v>
      </c>
    </row>
    <row r="7" spans="1:12" x14ac:dyDescent="0.25">
      <c r="A7" s="10" t="s">
        <v>78</v>
      </c>
      <c r="B7" s="13" t="s">
        <v>76</v>
      </c>
      <c r="C7" s="12">
        <v>0.5</v>
      </c>
      <c r="D7" s="12">
        <v>0.5</v>
      </c>
      <c r="E7" s="12">
        <v>0.5</v>
      </c>
      <c r="F7" s="12">
        <v>1</v>
      </c>
      <c r="G7" s="12"/>
      <c r="I7" t="s">
        <v>141</v>
      </c>
      <c r="J7" s="39">
        <v>12</v>
      </c>
      <c r="K7" s="39">
        <f>Table48[[#This Row],[Development]]*0.25</f>
        <v>3</v>
      </c>
      <c r="L7" s="39">
        <f>SUM(Table48[[#This Row],[Development]:[Unit Testing]])</f>
        <v>15</v>
      </c>
    </row>
    <row r="8" spans="1:12" x14ac:dyDescent="0.25">
      <c r="A8" s="10" t="s">
        <v>79</v>
      </c>
      <c r="B8" s="13" t="s">
        <v>76</v>
      </c>
      <c r="C8" s="12">
        <v>0.5</v>
      </c>
      <c r="D8" s="12">
        <v>0.5</v>
      </c>
      <c r="E8" s="12">
        <v>0.5</v>
      </c>
      <c r="F8" s="12">
        <v>1</v>
      </c>
      <c r="G8" s="12"/>
      <c r="I8" t="s">
        <v>140</v>
      </c>
      <c r="J8" s="39">
        <v>16</v>
      </c>
      <c r="K8" s="39">
        <f>Table48[[#This Row],[Development]]*0.25</f>
        <v>4</v>
      </c>
      <c r="L8" s="39">
        <f>SUM(Table48[[#This Row],[Development]:[Unit Testing]])</f>
        <v>20</v>
      </c>
    </row>
    <row r="9" spans="1:12" x14ac:dyDescent="0.25">
      <c r="A9" s="10" t="s">
        <v>80</v>
      </c>
      <c r="B9" s="13" t="s">
        <v>76</v>
      </c>
      <c r="C9" s="12">
        <v>0.5</v>
      </c>
      <c r="D9" s="12">
        <v>0.5</v>
      </c>
      <c r="E9" s="12">
        <v>0.5</v>
      </c>
      <c r="F9" s="12">
        <v>0.5</v>
      </c>
      <c r="G9" s="12"/>
      <c r="I9" s="38" t="s">
        <v>127</v>
      </c>
      <c r="J9" s="39">
        <v>1</v>
      </c>
      <c r="K9" s="39">
        <f>Table48[[#This Row],[Development]]*0.5</f>
        <v>0.5</v>
      </c>
      <c r="L9" s="39">
        <f>SUM(Table48[[#This Row],[Development]:[Unit Testing]])</f>
        <v>1.5</v>
      </c>
    </row>
    <row r="10" spans="1:12" x14ac:dyDescent="0.25">
      <c r="A10" s="8" t="s">
        <v>81</v>
      </c>
      <c r="B10" s="8"/>
      <c r="C10" s="9">
        <f>SUM(C11:C13)</f>
        <v>50.6</v>
      </c>
      <c r="D10" s="9">
        <f>SUM(D11:D13)</f>
        <v>116.14999999999999</v>
      </c>
      <c r="E10" s="9">
        <f>SUM(E11:E13)</f>
        <v>194.35</v>
      </c>
      <c r="F10" s="9">
        <f>SUM(F11:F13)</f>
        <v>319.7</v>
      </c>
      <c r="G10" s="9"/>
    </row>
    <row r="11" spans="1:12" x14ac:dyDescent="0.25">
      <c r="A11" s="10" t="s">
        <v>82</v>
      </c>
      <c r="B11" s="11" t="s">
        <v>76</v>
      </c>
      <c r="C11" s="14">
        <v>44</v>
      </c>
      <c r="D11" s="14">
        <v>101</v>
      </c>
      <c r="E11" s="14">
        <v>169</v>
      </c>
      <c r="F11" s="14">
        <v>278</v>
      </c>
      <c r="G11" s="15" t="s">
        <v>83</v>
      </c>
    </row>
    <row r="12" spans="1:12" x14ac:dyDescent="0.25">
      <c r="A12" s="10" t="s">
        <v>84</v>
      </c>
      <c r="B12" s="13" t="s">
        <v>76</v>
      </c>
      <c r="C12" s="16">
        <f>C11*0.1</f>
        <v>4.4000000000000004</v>
      </c>
      <c r="D12" s="16">
        <f>D11*0.1</f>
        <v>10.100000000000001</v>
      </c>
      <c r="E12" s="16">
        <f>E11*0.1</f>
        <v>16.900000000000002</v>
      </c>
      <c r="F12" s="16">
        <f>F11*0.1</f>
        <v>27.8</v>
      </c>
      <c r="G12" s="17" t="s">
        <v>85</v>
      </c>
      <c r="I12" s="37" t="s">
        <v>128</v>
      </c>
    </row>
    <row r="13" spans="1:12" x14ac:dyDescent="0.25">
      <c r="A13" s="10" t="s">
        <v>86</v>
      </c>
      <c r="B13" s="13" t="s">
        <v>76</v>
      </c>
      <c r="C13" s="16">
        <f>C11*0.05</f>
        <v>2.2000000000000002</v>
      </c>
      <c r="D13" s="16">
        <f>D11*0.05</f>
        <v>5.0500000000000007</v>
      </c>
      <c r="E13" s="16">
        <f>E11*0.05</f>
        <v>8.4500000000000011</v>
      </c>
      <c r="F13" s="16">
        <f>F11*0.05</f>
        <v>13.9</v>
      </c>
      <c r="G13" s="17" t="s">
        <v>87</v>
      </c>
      <c r="I13" t="s">
        <v>129</v>
      </c>
      <c r="J13" t="s">
        <v>130</v>
      </c>
    </row>
    <row r="14" spans="1:12" x14ac:dyDescent="0.25">
      <c r="A14" s="8" t="s">
        <v>88</v>
      </c>
      <c r="B14" s="8"/>
      <c r="C14" s="9">
        <f>SUM(C15:C18)</f>
        <v>5.9</v>
      </c>
      <c r="D14" s="9">
        <f>SUM(D15:D18)</f>
        <v>11.600000000000001</v>
      </c>
      <c r="E14" s="9">
        <f>SUM(E15:E18)</f>
        <v>19.400000000000002</v>
      </c>
      <c r="F14" s="9">
        <f>SUM(F15:F18)</f>
        <v>32.299999999999997</v>
      </c>
      <c r="G14" s="9"/>
      <c r="I14" t="s">
        <v>147</v>
      </c>
      <c r="J14">
        <v>0.75</v>
      </c>
    </row>
    <row r="15" spans="1:12" x14ac:dyDescent="0.25">
      <c r="A15" s="10" t="s">
        <v>89</v>
      </c>
      <c r="B15" s="13" t="s">
        <v>76</v>
      </c>
      <c r="C15" s="17">
        <f>C11*0.1</f>
        <v>4.4000000000000004</v>
      </c>
      <c r="D15" s="17">
        <f>D11*0.1</f>
        <v>10.100000000000001</v>
      </c>
      <c r="E15" s="17">
        <f>E11*0.1</f>
        <v>16.900000000000002</v>
      </c>
      <c r="F15" s="17">
        <f>F11*0.1</f>
        <v>27.8</v>
      </c>
      <c r="G15" s="17" t="s">
        <v>85</v>
      </c>
      <c r="I15" t="s">
        <v>146</v>
      </c>
      <c r="J15">
        <v>1</v>
      </c>
    </row>
    <row r="16" spans="1:12" x14ac:dyDescent="0.25">
      <c r="A16" s="10" t="s">
        <v>90</v>
      </c>
      <c r="B16" s="13" t="s">
        <v>76</v>
      </c>
      <c r="C16" s="12">
        <v>0.5</v>
      </c>
      <c r="D16" s="12">
        <v>0.5</v>
      </c>
      <c r="E16" s="12">
        <v>1</v>
      </c>
      <c r="F16" s="12">
        <v>2</v>
      </c>
      <c r="G16" s="12"/>
      <c r="I16" t="s">
        <v>145</v>
      </c>
      <c r="J16">
        <v>1.25</v>
      </c>
    </row>
    <row r="17" spans="1:10" x14ac:dyDescent="0.25">
      <c r="A17" s="10" t="s">
        <v>91</v>
      </c>
      <c r="B17" s="13" t="s">
        <v>76</v>
      </c>
      <c r="C17" s="12">
        <v>0.5</v>
      </c>
      <c r="D17" s="12">
        <v>0.5</v>
      </c>
      <c r="E17" s="12">
        <v>1</v>
      </c>
      <c r="F17" s="12">
        <v>2</v>
      </c>
      <c r="G17" s="12"/>
      <c r="I17" t="s">
        <v>131</v>
      </c>
      <c r="J17">
        <v>1.25</v>
      </c>
    </row>
    <row r="18" spans="1:10" x14ac:dyDescent="0.25">
      <c r="A18" s="10" t="s">
        <v>92</v>
      </c>
      <c r="B18" s="13" t="s">
        <v>76</v>
      </c>
      <c r="C18" s="12">
        <v>0.5</v>
      </c>
      <c r="D18" s="12">
        <v>0.5</v>
      </c>
      <c r="E18" s="12">
        <v>0.5</v>
      </c>
      <c r="F18" s="12">
        <v>0.5</v>
      </c>
      <c r="G18" s="12"/>
      <c r="I18" t="s">
        <v>132</v>
      </c>
      <c r="J18">
        <v>1.5</v>
      </c>
    </row>
    <row r="19" spans="1:10" x14ac:dyDescent="0.25">
      <c r="A19" s="8" t="s">
        <v>93</v>
      </c>
      <c r="B19" s="8"/>
      <c r="C19" s="9">
        <f>SUM(C20:C26)</f>
        <v>20.440000000000001</v>
      </c>
      <c r="D19" s="9">
        <f>SUM(D20:D26)</f>
        <v>35.260000000000005</v>
      </c>
      <c r="E19" s="9">
        <f>SUM(E20:E26)</f>
        <v>56.940000000000005</v>
      </c>
      <c r="F19" s="9">
        <f>SUM(F20:F26)</f>
        <v>89.28</v>
      </c>
      <c r="G19" s="9"/>
      <c r="I19" t="s">
        <v>137</v>
      </c>
      <c r="J19">
        <v>1.5</v>
      </c>
    </row>
    <row r="20" spans="1:10" x14ac:dyDescent="0.25">
      <c r="A20" s="10" t="s">
        <v>82</v>
      </c>
      <c r="B20" s="11" t="s">
        <v>76</v>
      </c>
      <c r="C20" s="17">
        <f>C11*0.2</f>
        <v>8.8000000000000007</v>
      </c>
      <c r="D20" s="17">
        <f>D11*0.2</f>
        <v>20.200000000000003</v>
      </c>
      <c r="E20" s="17">
        <f>E11*0.2</f>
        <v>33.800000000000004</v>
      </c>
      <c r="F20" s="17">
        <f>F11*0.2</f>
        <v>55.6</v>
      </c>
      <c r="G20" s="17" t="s">
        <v>94</v>
      </c>
      <c r="I20" t="s">
        <v>133</v>
      </c>
      <c r="J20">
        <v>1.5</v>
      </c>
    </row>
    <row r="21" spans="1:10" x14ac:dyDescent="0.25">
      <c r="A21" s="10" t="s">
        <v>95</v>
      </c>
      <c r="B21" s="11" t="s">
        <v>76</v>
      </c>
      <c r="C21" s="12">
        <v>0.5</v>
      </c>
      <c r="D21" s="12">
        <v>0.5</v>
      </c>
      <c r="E21" s="12">
        <v>0.5</v>
      </c>
      <c r="F21" s="12">
        <v>0.5</v>
      </c>
      <c r="G21" s="12"/>
    </row>
    <row r="22" spans="1:10" x14ac:dyDescent="0.25">
      <c r="A22" s="10" t="s">
        <v>84</v>
      </c>
      <c r="B22" s="13" t="s">
        <v>76</v>
      </c>
      <c r="C22" s="17">
        <f>C20*0.2</f>
        <v>1.7600000000000002</v>
      </c>
      <c r="D22" s="17">
        <f>D20*0.2</f>
        <v>4.0400000000000009</v>
      </c>
      <c r="E22" s="17">
        <f>E20*0.2</f>
        <v>6.7600000000000016</v>
      </c>
      <c r="F22" s="17">
        <f>F20*0.2</f>
        <v>11.120000000000001</v>
      </c>
      <c r="G22" s="17" t="s">
        <v>96</v>
      </c>
    </row>
    <row r="23" spans="1:10" x14ac:dyDescent="0.25">
      <c r="A23" s="10" t="s">
        <v>86</v>
      </c>
      <c r="B23" s="13" t="s">
        <v>76</v>
      </c>
      <c r="C23" s="17">
        <f>C20*0.1</f>
        <v>0.88000000000000012</v>
      </c>
      <c r="D23" s="17">
        <f>D20*0.1</f>
        <v>2.0200000000000005</v>
      </c>
      <c r="E23" s="17">
        <f>E20*0.1</f>
        <v>3.3800000000000008</v>
      </c>
      <c r="F23" s="17">
        <f>F20*0.1</f>
        <v>5.5600000000000005</v>
      </c>
      <c r="G23" s="17" t="s">
        <v>97</v>
      </c>
    </row>
    <row r="24" spans="1:10" x14ac:dyDescent="0.25">
      <c r="A24" s="10" t="s">
        <v>98</v>
      </c>
      <c r="B24" s="13" t="s">
        <v>76</v>
      </c>
      <c r="C24" s="12">
        <f>C4*4</f>
        <v>4</v>
      </c>
      <c r="D24" s="12">
        <f>D4*4</f>
        <v>4</v>
      </c>
      <c r="E24" s="12">
        <f>E4*4</f>
        <v>6</v>
      </c>
      <c r="F24" s="12">
        <f>F4*4</f>
        <v>8</v>
      </c>
      <c r="G24" s="12"/>
    </row>
    <row r="25" spans="1:10" x14ac:dyDescent="0.25">
      <c r="A25" s="10" t="s">
        <v>99</v>
      </c>
      <c r="B25" s="13" t="s">
        <v>76</v>
      </c>
      <c r="C25" s="12">
        <f>C4*4</f>
        <v>4</v>
      </c>
      <c r="D25" s="12">
        <f>D4*4</f>
        <v>4</v>
      </c>
      <c r="E25" s="12">
        <f>E4*4</f>
        <v>6</v>
      </c>
      <c r="F25" s="12">
        <f>F4*4</f>
        <v>8</v>
      </c>
      <c r="G25" s="12"/>
    </row>
    <row r="26" spans="1:10" x14ac:dyDescent="0.25">
      <c r="A26" s="10" t="s">
        <v>100</v>
      </c>
      <c r="B26" s="13" t="s">
        <v>76</v>
      </c>
      <c r="C26" s="12">
        <v>0.5</v>
      </c>
      <c r="D26" s="12">
        <v>0.5</v>
      </c>
      <c r="E26" s="12">
        <v>0.5</v>
      </c>
      <c r="F26" s="12">
        <v>0.5</v>
      </c>
      <c r="G26" s="12"/>
    </row>
    <row r="27" spans="1:10" x14ac:dyDescent="0.25">
      <c r="A27" s="8" t="s">
        <v>101</v>
      </c>
      <c r="B27" s="8"/>
      <c r="C27" s="9">
        <f>SUM(C28:C32)</f>
        <v>6.9</v>
      </c>
      <c r="D27" s="9">
        <f>SUM(D28:D32)</f>
        <v>12.600000000000001</v>
      </c>
      <c r="E27" s="9">
        <f>SUM(E28:E32)</f>
        <v>21.400000000000002</v>
      </c>
      <c r="F27" s="9">
        <f>SUM(F28:F32)</f>
        <v>34.299999999999997</v>
      </c>
      <c r="G27" s="9"/>
    </row>
    <row r="28" spans="1:10" x14ac:dyDescent="0.25">
      <c r="A28" s="10" t="s">
        <v>89</v>
      </c>
      <c r="B28" s="13" t="s">
        <v>76</v>
      </c>
      <c r="C28" s="17">
        <f>C11*0.1</f>
        <v>4.4000000000000004</v>
      </c>
      <c r="D28" s="17">
        <f>D11*0.1</f>
        <v>10.100000000000001</v>
      </c>
      <c r="E28" s="17">
        <f>E11*0.1</f>
        <v>16.900000000000002</v>
      </c>
      <c r="F28" s="17">
        <f>F11*0.1</f>
        <v>27.8</v>
      </c>
      <c r="G28" s="17" t="s">
        <v>85</v>
      </c>
    </row>
    <row r="29" spans="1:10" x14ac:dyDescent="0.25">
      <c r="A29" s="10" t="s">
        <v>90</v>
      </c>
      <c r="B29" s="13" t="s">
        <v>76</v>
      </c>
      <c r="C29" s="12">
        <v>0.5</v>
      </c>
      <c r="D29" s="12">
        <v>0.5</v>
      </c>
      <c r="E29" s="12">
        <v>1</v>
      </c>
      <c r="F29" s="12">
        <v>2</v>
      </c>
      <c r="G29" s="12"/>
    </row>
    <row r="30" spans="1:10" x14ac:dyDescent="0.25">
      <c r="A30" s="10" t="s">
        <v>91</v>
      </c>
      <c r="B30" s="13" t="s">
        <v>76</v>
      </c>
      <c r="C30" s="12">
        <v>0.5</v>
      </c>
      <c r="D30" s="12">
        <v>0.5</v>
      </c>
      <c r="E30" s="12">
        <v>1</v>
      </c>
      <c r="F30" s="12">
        <v>2</v>
      </c>
      <c r="G30" s="12"/>
    </row>
    <row r="31" spans="1:10" x14ac:dyDescent="0.25">
      <c r="A31" s="10" t="s">
        <v>102</v>
      </c>
      <c r="B31" s="13" t="s">
        <v>76</v>
      </c>
      <c r="C31" s="12">
        <v>1</v>
      </c>
      <c r="D31" s="12">
        <v>1</v>
      </c>
      <c r="E31" s="12">
        <v>2</v>
      </c>
      <c r="F31" s="12">
        <v>2</v>
      </c>
      <c r="G31" s="12"/>
    </row>
    <row r="32" spans="1:10" x14ac:dyDescent="0.25">
      <c r="A32" s="10" t="s">
        <v>92</v>
      </c>
      <c r="B32" s="13" t="s">
        <v>76</v>
      </c>
      <c r="C32" s="12">
        <v>0.5</v>
      </c>
      <c r="D32" s="12">
        <v>0.5</v>
      </c>
      <c r="E32" s="12">
        <v>0.5</v>
      </c>
      <c r="F32" s="12">
        <v>0.5</v>
      </c>
      <c r="G32" s="12"/>
    </row>
    <row r="33" spans="1:7" x14ac:dyDescent="0.25">
      <c r="A33" s="18" t="s">
        <v>103</v>
      </c>
      <c r="B33" s="18"/>
      <c r="C33" s="9">
        <f>SUM(C34:C39)</f>
        <v>5</v>
      </c>
      <c r="D33" s="9">
        <f>SUM(D34:D39)</f>
        <v>5.5</v>
      </c>
      <c r="E33" s="9">
        <f>SUM(E34:E39)</f>
        <v>9.5</v>
      </c>
      <c r="F33" s="9">
        <f>SUM(F34:F39)</f>
        <v>9.5</v>
      </c>
      <c r="G33" s="9"/>
    </row>
    <row r="34" spans="1:7" x14ac:dyDescent="0.25">
      <c r="A34" s="10" t="s">
        <v>104</v>
      </c>
      <c r="B34" s="13" t="s">
        <v>76</v>
      </c>
      <c r="C34" s="12">
        <v>2</v>
      </c>
      <c r="D34" s="12">
        <v>2</v>
      </c>
      <c r="E34" s="12">
        <v>4</v>
      </c>
      <c r="F34" s="12">
        <v>4</v>
      </c>
      <c r="G34" s="12"/>
    </row>
    <row r="35" spans="1:7" x14ac:dyDescent="0.25">
      <c r="A35" s="10" t="s">
        <v>105</v>
      </c>
      <c r="B35" s="13" t="s">
        <v>106</v>
      </c>
      <c r="C35" s="12">
        <v>0.5</v>
      </c>
      <c r="D35" s="12">
        <v>1</v>
      </c>
      <c r="E35" s="12">
        <v>1</v>
      </c>
      <c r="F35" s="12">
        <v>1</v>
      </c>
      <c r="G35" s="12"/>
    </row>
    <row r="36" spans="1:7" x14ac:dyDescent="0.25">
      <c r="A36" s="10" t="s">
        <v>107</v>
      </c>
      <c r="B36" s="13" t="s">
        <v>76</v>
      </c>
      <c r="C36" s="12">
        <v>1</v>
      </c>
      <c r="D36" s="12">
        <v>1</v>
      </c>
      <c r="E36" s="12">
        <v>2</v>
      </c>
      <c r="F36" s="12">
        <v>2</v>
      </c>
      <c r="G36" s="12"/>
    </row>
    <row r="37" spans="1:7" x14ac:dyDescent="0.25">
      <c r="A37" s="10" t="s">
        <v>108</v>
      </c>
      <c r="B37" s="13" t="s">
        <v>76</v>
      </c>
      <c r="C37" s="12">
        <v>0.5</v>
      </c>
      <c r="D37" s="12">
        <v>0.5</v>
      </c>
      <c r="E37" s="12">
        <v>1</v>
      </c>
      <c r="F37" s="12">
        <v>1</v>
      </c>
      <c r="G37" s="12"/>
    </row>
    <row r="38" spans="1:7" x14ac:dyDescent="0.25">
      <c r="A38" s="10" t="s">
        <v>109</v>
      </c>
      <c r="B38" s="13" t="s">
        <v>76</v>
      </c>
      <c r="C38" s="12">
        <v>0.5</v>
      </c>
      <c r="D38" s="12">
        <v>0.5</v>
      </c>
      <c r="E38" s="12">
        <v>1</v>
      </c>
      <c r="F38" s="12">
        <v>1</v>
      </c>
      <c r="G38" s="12"/>
    </row>
    <row r="39" spans="1:7" x14ac:dyDescent="0.25">
      <c r="A39" s="10" t="s">
        <v>110</v>
      </c>
      <c r="B39" s="13" t="s">
        <v>76</v>
      </c>
      <c r="C39" s="12">
        <v>0.5</v>
      </c>
      <c r="D39" s="12">
        <v>0.5</v>
      </c>
      <c r="E39" s="12">
        <v>0.5</v>
      </c>
      <c r="F39" s="12">
        <v>0.5</v>
      </c>
      <c r="G39" s="12"/>
    </row>
    <row r="40" spans="1:7" x14ac:dyDescent="0.25">
      <c r="A40" s="18" t="s">
        <v>111</v>
      </c>
      <c r="B40" s="18"/>
      <c r="C40" s="9">
        <f>SUM(C41:C44)</f>
        <v>6.9</v>
      </c>
      <c r="D40" s="9">
        <f>SUM(D41:D44)</f>
        <v>13.600000000000001</v>
      </c>
      <c r="E40" s="9">
        <f>SUM(E41:E44)</f>
        <v>22.400000000000002</v>
      </c>
      <c r="F40" s="9">
        <f>SUM(F41:F44)</f>
        <v>34.299999999999997</v>
      </c>
      <c r="G40" s="9"/>
    </row>
    <row r="41" spans="1:7" x14ac:dyDescent="0.25">
      <c r="A41" s="10" t="s">
        <v>112</v>
      </c>
      <c r="B41" s="13" t="s">
        <v>76</v>
      </c>
      <c r="C41" s="17">
        <f>C11*0.1</f>
        <v>4.4000000000000004</v>
      </c>
      <c r="D41" s="17">
        <f>D11*0.1</f>
        <v>10.100000000000001</v>
      </c>
      <c r="E41" s="17">
        <f>E11*0.1</f>
        <v>16.900000000000002</v>
      </c>
      <c r="F41" s="17">
        <f>F11*0.1</f>
        <v>27.8</v>
      </c>
      <c r="G41" s="17" t="s">
        <v>85</v>
      </c>
    </row>
    <row r="42" spans="1:7" x14ac:dyDescent="0.25">
      <c r="A42" s="10" t="s">
        <v>113</v>
      </c>
      <c r="B42" s="13" t="s">
        <v>76</v>
      </c>
      <c r="C42" s="12">
        <v>0.5</v>
      </c>
      <c r="D42" s="12">
        <v>0.5</v>
      </c>
      <c r="E42" s="12">
        <v>0.5</v>
      </c>
      <c r="F42" s="12">
        <v>0.5</v>
      </c>
      <c r="G42" s="12"/>
    </row>
    <row r="43" spans="1:7" x14ac:dyDescent="0.25">
      <c r="A43" s="10" t="s">
        <v>114</v>
      </c>
      <c r="B43" s="13" t="s">
        <v>76</v>
      </c>
      <c r="C43" s="12">
        <v>1</v>
      </c>
      <c r="D43" s="12">
        <v>2</v>
      </c>
      <c r="E43" s="12">
        <v>3</v>
      </c>
      <c r="F43" s="12">
        <v>4</v>
      </c>
      <c r="G43" s="12"/>
    </row>
    <row r="44" spans="1:7" x14ac:dyDescent="0.25">
      <c r="A44" s="10" t="s">
        <v>115</v>
      </c>
      <c r="B44" s="13" t="s">
        <v>76</v>
      </c>
      <c r="C44" s="12">
        <v>1</v>
      </c>
      <c r="D44" s="12">
        <v>1</v>
      </c>
      <c r="E44" s="12">
        <v>2</v>
      </c>
      <c r="F44" s="12">
        <v>2</v>
      </c>
      <c r="G44" s="12"/>
    </row>
    <row r="45" spans="1:7" x14ac:dyDescent="0.25">
      <c r="A45" s="18" t="s">
        <v>116</v>
      </c>
      <c r="B45" s="18"/>
      <c r="C45" s="9">
        <f>_xlfn.CEILING.MATH(SUM(C2,C10,C14,C19,C27,C33,C40)/34*3, 0.1)</f>
        <v>9</v>
      </c>
      <c r="D45" s="9">
        <f>_xlfn.CEILING.MATH(SUM(D2,D10,D14,D19,D27,D33,D40)/34*3, 0.1)</f>
        <v>18</v>
      </c>
      <c r="E45" s="9">
        <f>_xlfn.CEILING.MATH(SUM(E2,E10,E14,E19,E27,E33,E40)/34*3, 0.1)</f>
        <v>30</v>
      </c>
      <c r="F45" s="9">
        <f>_xlfn.CEILING.MATH(SUM(F2,F10,F14,F19,F27,F33,F40)/34*3, 0.1)</f>
        <v>48</v>
      </c>
      <c r="G45" s="9" t="s">
        <v>117</v>
      </c>
    </row>
    <row r="46" spans="1:7" x14ac:dyDescent="0.25">
      <c r="A46" t="s">
        <v>118</v>
      </c>
      <c r="C46" s="12">
        <f>C2+C10+C14+C19+C27+C33+C40+C45</f>
        <v>110.74000000000001</v>
      </c>
      <c r="D46" s="12">
        <f>D2+D10+D14+D19+D27+D33+D40+D45</f>
        <v>221.70999999999998</v>
      </c>
      <c r="E46" s="12">
        <f>E2+E10+E14+E19+E27+E33+E40+E45</f>
        <v>369.98999999999995</v>
      </c>
      <c r="F46" s="12">
        <f>F2+F10+F14+F19+F27+F33+F40+F45</f>
        <v>591.38</v>
      </c>
    </row>
  </sheetData>
  <pageMargins left="0.7" right="0.7" top="0.75" bottom="0.75" header="0.3" footer="0.3"/>
  <pageSetup orientation="portrait"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election activeCell="B15" sqref="B15"/>
    </sheetView>
  </sheetViews>
  <sheetFormatPr defaultRowHeight="15" x14ac:dyDescent="0.25"/>
  <cols>
    <col min="1" max="1" width="32.85546875" bestFit="1" customWidth="1"/>
    <col min="2" max="2" width="100.85546875" style="1" customWidth="1"/>
  </cols>
  <sheetData>
    <row r="1" spans="1:2" x14ac:dyDescent="0.25">
      <c r="A1" t="s">
        <v>1</v>
      </c>
      <c r="B1" s="1" t="s">
        <v>2</v>
      </c>
    </row>
    <row r="2" spans="1:2" x14ac:dyDescent="0.25">
      <c r="A2" t="s">
        <v>49</v>
      </c>
      <c r="B2" s="1" t="s">
        <v>50</v>
      </c>
    </row>
    <row r="3" spans="1:2" x14ac:dyDescent="0.25">
      <c r="A3" t="s">
        <v>51</v>
      </c>
      <c r="B3" s="1" t="s">
        <v>55</v>
      </c>
    </row>
    <row r="4" spans="1:2" x14ac:dyDescent="0.25">
      <c r="A4" t="s">
        <v>52</v>
      </c>
      <c r="B4" s="1" t="s">
        <v>56</v>
      </c>
    </row>
    <row r="5" spans="1:2" x14ac:dyDescent="0.25">
      <c r="A5" t="s">
        <v>53</v>
      </c>
      <c r="B5" s="1" t="s">
        <v>57</v>
      </c>
    </row>
    <row r="6" spans="1:2" x14ac:dyDescent="0.25">
      <c r="A6" t="s">
        <v>54</v>
      </c>
      <c r="B6" s="1" t="s">
        <v>58</v>
      </c>
    </row>
    <row r="7" spans="1:2" x14ac:dyDescent="0.25">
      <c r="A7" t="s">
        <v>59</v>
      </c>
      <c r="B7" s="1" t="s">
        <v>60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
  <sheetViews>
    <sheetView workbookViewId="0">
      <selection activeCell="E2" sqref="E2"/>
    </sheetView>
  </sheetViews>
  <sheetFormatPr defaultRowHeight="15" x14ac:dyDescent="0.25"/>
  <cols>
    <col min="1" max="2" width="16.140625" bestFit="1" customWidth="1"/>
    <col min="3" max="3" width="16.28515625" bestFit="1" customWidth="1"/>
    <col min="4" max="4" width="33.5703125" bestFit="1" customWidth="1"/>
    <col min="5" max="5" width="103.140625" style="1" bestFit="1" customWidth="1"/>
  </cols>
  <sheetData>
    <row r="1" spans="1:5" x14ac:dyDescent="0.25">
      <c r="A1" t="s">
        <v>4</v>
      </c>
      <c r="B1" t="s">
        <v>5</v>
      </c>
      <c r="C1" t="s">
        <v>6</v>
      </c>
      <c r="D1" s="1" t="s">
        <v>7</v>
      </c>
      <c r="E1" s="1" t="s">
        <v>8</v>
      </c>
    </row>
    <row r="2" spans="1:5" ht="105" x14ac:dyDescent="0.25">
      <c r="A2" t="s">
        <v>13</v>
      </c>
      <c r="B2" s="4" t="s">
        <v>26</v>
      </c>
      <c r="D2" s="1" t="s">
        <v>27</v>
      </c>
      <c r="E2" s="1" t="s">
        <v>28</v>
      </c>
    </row>
    <row r="3" spans="1:5" ht="120" x14ac:dyDescent="0.25">
      <c r="A3" t="s">
        <v>10</v>
      </c>
      <c r="B3" s="4" t="s">
        <v>26</v>
      </c>
      <c r="D3" s="1" t="s">
        <v>29</v>
      </c>
      <c r="E3" s="1" t="s">
        <v>30</v>
      </c>
    </row>
    <row r="4" spans="1:5" ht="90" x14ac:dyDescent="0.25">
      <c r="A4" t="s">
        <v>11</v>
      </c>
      <c r="B4" s="4" t="s">
        <v>31</v>
      </c>
      <c r="D4" s="1" t="s">
        <v>32</v>
      </c>
      <c r="E4" s="1" t="s">
        <v>33</v>
      </c>
    </row>
    <row r="5" spans="1:5" ht="90" x14ac:dyDescent="0.25">
      <c r="A5" t="s">
        <v>34</v>
      </c>
      <c r="B5" s="4" t="s">
        <v>31</v>
      </c>
      <c r="D5" s="1" t="s">
        <v>35</v>
      </c>
      <c r="E5" s="1" t="s">
        <v>36</v>
      </c>
    </row>
  </sheetData>
  <hyperlinks>
    <hyperlink ref="B2" r:id="rId1" xr:uid="{00000000-0004-0000-0700-000000000000}"/>
    <hyperlink ref="B5" r:id="rId2" xr:uid="{00000000-0004-0000-0700-000001000000}"/>
    <hyperlink ref="B4" r:id="rId3" xr:uid="{00000000-0004-0000-0700-000002000000}"/>
    <hyperlink ref="B3" r:id="rId4" xr:uid="{00000000-0004-0000-0700-000003000000}"/>
  </hyperlinks>
  <pageMargins left="0.7" right="0.7" top="0.75" bottom="0.75" header="0.3" footer="0.3"/>
  <pageSetup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General</vt:lpstr>
      <vt:lpstr>Project Estimates</vt:lpstr>
      <vt:lpstr>Diagram</vt:lpstr>
      <vt:lpstr>TransactionData</vt:lpstr>
      <vt:lpstr>Workflows</vt:lpstr>
      <vt:lpstr>Reference</vt:lpstr>
      <vt:lpstr>Assets</vt:lpstr>
      <vt:lpstr>Notifications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Alvarado</dc:creator>
  <cp:lastModifiedBy>Luis Quesada</cp:lastModifiedBy>
  <dcterms:created xsi:type="dcterms:W3CDTF">2020-02-02T22:28:43Z</dcterms:created>
  <dcterms:modified xsi:type="dcterms:W3CDTF">2021-04-27T17:42:15Z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87e9cc78-98b5-4754-8df5-c0794e687c05</vt:lpwstr>
  </property>
</Properties>
</file>