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教學\110-1\大學部\"/>
    </mc:Choice>
  </mc:AlternateContent>
  <xr:revisionPtr revIDLastSave="0" documentId="13_ncr:1_{F7B3C4CE-4428-4647-8C41-6A2F245F1064}" xr6:coauthVersionLast="36" xr6:coauthVersionMax="36" xr10:uidLastSave="{00000000-0000-0000-0000-000000000000}"/>
  <bookViews>
    <workbookView xWindow="28680" yWindow="-120" windowWidth="29040" windowHeight="15840" xr2:uid="{00000000-000D-0000-FFFF-FFFF00000000}"/>
  </bookViews>
  <sheets>
    <sheet name="練習題三" sheetId="5" r:id="rId1"/>
    <sheet name="練習題四" sheetId="6" r:id="rId2"/>
  </sheets>
  <calcPr calcId="191029"/>
</workbook>
</file>

<file path=xl/calcChain.xml><?xml version="1.0" encoding="utf-8"?>
<calcChain xmlns="http://schemas.openxmlformats.org/spreadsheetml/2006/main">
  <c r="C82" i="6" l="1"/>
  <c r="B10" i="6"/>
  <c r="B39" i="5"/>
  <c r="D14" i="5"/>
  <c r="E14" i="5"/>
  <c r="C14" i="5"/>
  <c r="I76" i="6" l="1"/>
  <c r="I73" i="6"/>
  <c r="I74" i="6"/>
  <c r="J80" i="6"/>
  <c r="B78" i="6"/>
  <c r="B77" i="6"/>
  <c r="B73" i="6"/>
  <c r="F72" i="6"/>
  <c r="F71" i="6"/>
  <c r="F70" i="6"/>
  <c r="B71" i="6"/>
  <c r="B76" i="6"/>
  <c r="B75" i="6"/>
  <c r="B69" i="6"/>
  <c r="B65" i="6"/>
  <c r="B62" i="6"/>
  <c r="B61" i="6"/>
  <c r="J53" i="6"/>
  <c r="J51" i="6"/>
  <c r="J49" i="6"/>
  <c r="B51" i="6"/>
  <c r="B50" i="6"/>
  <c r="G49" i="6"/>
  <c r="G5" i="6"/>
  <c r="G6" i="6" s="1"/>
  <c r="G8" i="6" s="1"/>
  <c r="B9" i="6" s="1"/>
  <c r="B7" i="6"/>
  <c r="L25" i="6"/>
  <c r="L24" i="6"/>
  <c r="C28" i="6"/>
  <c r="D28" i="6" s="1"/>
  <c r="E28" i="6" s="1"/>
  <c r="F28" i="6" s="1"/>
  <c r="C27" i="6"/>
  <c r="D27" i="6" s="1"/>
  <c r="E27" i="6" s="1"/>
  <c r="F27" i="6" s="1"/>
  <c r="B5" i="6"/>
  <c r="B6" i="6" s="1"/>
  <c r="G50" i="6"/>
  <c r="L4" i="6"/>
  <c r="B35" i="5"/>
  <c r="B34" i="5"/>
  <c r="B33" i="5"/>
  <c r="D17" i="5"/>
  <c r="E17" i="5"/>
  <c r="C17" i="5"/>
  <c r="B7" i="5"/>
  <c r="B6" i="5"/>
  <c r="C13" i="5" s="1"/>
  <c r="B27" i="5"/>
  <c r="E26" i="5"/>
  <c r="E28" i="5" s="1"/>
  <c r="F25" i="5" l="1"/>
  <c r="D13" i="5"/>
  <c r="C15" i="5"/>
  <c r="G51" i="6"/>
  <c r="G53" i="6" s="1"/>
  <c r="C39" i="6"/>
  <c r="D39" i="6" s="1"/>
  <c r="E39" i="6" s="1"/>
  <c r="K24" i="6"/>
  <c r="F31" i="6"/>
  <c r="D31" i="6"/>
  <c r="K25" i="6"/>
  <c r="K26" i="6"/>
  <c r="K27" i="6"/>
  <c r="C31" i="6"/>
  <c r="E31" i="6"/>
  <c r="B21" i="6"/>
  <c r="B8" i="5"/>
  <c r="B80" i="6" l="1"/>
  <c r="C16" i="5"/>
  <c r="C18" i="5" s="1"/>
  <c r="D15" i="5"/>
  <c r="D16" i="5" s="1"/>
  <c r="D18" i="5" s="1"/>
  <c r="E13" i="5"/>
  <c r="E15" i="5" s="1"/>
  <c r="E16" i="5" s="1"/>
  <c r="E18" i="5" s="1"/>
  <c r="B48" i="6"/>
  <c r="F39" i="6"/>
  <c r="F32" i="6"/>
  <c r="M27" i="6"/>
  <c r="F38" i="6" s="1"/>
  <c r="D32" i="6"/>
  <c r="D33" i="6" s="1"/>
  <c r="D34" i="6" s="1"/>
  <c r="M25" i="6"/>
  <c r="D38" i="6" s="1"/>
  <c r="E32" i="6"/>
  <c r="E33" i="6" s="1"/>
  <c r="E34" i="6" s="1"/>
  <c r="M26" i="6"/>
  <c r="E38" i="6" s="1"/>
  <c r="C32" i="6"/>
  <c r="C33" i="6" s="1"/>
  <c r="C34" i="6" s="1"/>
  <c r="C35" i="6" s="1"/>
  <c r="M24" i="6"/>
  <c r="C38" i="6" s="1"/>
  <c r="F33" i="6"/>
  <c r="F34" i="6" s="1"/>
  <c r="F35" i="6" s="1"/>
  <c r="E35" i="6" l="1"/>
  <c r="D35" i="6"/>
  <c r="F37" i="6"/>
  <c r="F40" i="6" s="1"/>
  <c r="C37" i="6"/>
  <c r="C40" i="6" s="1"/>
  <c r="E37" i="6" l="1"/>
  <c r="E40" i="6" s="1"/>
  <c r="D37" i="6"/>
  <c r="D40" i="6" s="1"/>
</calcChain>
</file>

<file path=xl/sharedStrings.xml><?xml version="1.0" encoding="utf-8"?>
<sst xmlns="http://schemas.openxmlformats.org/spreadsheetml/2006/main" count="113" uniqueCount="82">
  <si>
    <t>解答：</t>
  </si>
  <si>
    <t>銷貨收入</t>
    <phoneticPr fontId="2" type="noConversion"/>
  </si>
  <si>
    <t>折舊費用</t>
    <phoneticPr fontId="2" type="noConversion"/>
  </si>
  <si>
    <t>稅前淨利</t>
    <phoneticPr fontId="2" type="noConversion"/>
  </si>
  <si>
    <t>稅</t>
    <phoneticPr fontId="2" type="noConversion"/>
  </si>
  <si>
    <t>稅後淨利</t>
    <phoneticPr fontId="2" type="noConversion"/>
  </si>
  <si>
    <t>資產的處分</t>
    <phoneticPr fontId="2" type="noConversion"/>
  </si>
  <si>
    <t>淨營運資金回收</t>
    <phoneticPr fontId="2" type="noConversion"/>
  </si>
  <si>
    <t>淨營運資金投入</t>
    <phoneticPr fontId="2" type="noConversion"/>
  </si>
  <si>
    <t>資產處分所得稅影響數</t>
    <phoneticPr fontId="2" type="noConversion"/>
  </si>
  <si>
    <t>賣價</t>
    <phoneticPr fontId="2" type="noConversion"/>
  </si>
  <si>
    <t>帳面價值</t>
    <phoneticPr fontId="2" type="noConversion"/>
  </si>
  <si>
    <t>利得</t>
    <phoneticPr fontId="2" type="noConversion"/>
  </si>
  <si>
    <t>稅率</t>
    <phoneticPr fontId="2" type="noConversion"/>
  </si>
  <si>
    <t>NPV=</t>
    <phoneticPr fontId="2" type="noConversion"/>
  </si>
  <si>
    <t>營運現金流量</t>
    <phoneticPr fontId="2" type="noConversion"/>
  </si>
  <si>
    <t>期末現金流量</t>
    <phoneticPr fontId="2" type="noConversion"/>
  </si>
  <si>
    <t>新機器成本</t>
    <phoneticPr fontId="2" type="noConversion"/>
  </si>
  <si>
    <t>年</t>
    <phoneticPr fontId="2" type="noConversion"/>
  </si>
  <si>
    <t>New</t>
    <phoneticPr fontId="2" type="noConversion"/>
  </si>
  <si>
    <t>Old</t>
    <phoneticPr fontId="2" type="noConversion"/>
  </si>
  <si>
    <t>New-Old</t>
    <phoneticPr fontId="2" type="noConversion"/>
  </si>
  <si>
    <r>
      <t>(</t>
    </r>
    <r>
      <rPr>
        <sz val="12"/>
        <color theme="1"/>
        <rFont val="微軟正黑體"/>
        <family val="2"/>
        <charset val="136"/>
      </rPr>
      <t>一</t>
    </r>
    <r>
      <rPr>
        <sz val="12"/>
        <color theme="1"/>
        <rFont val="Times New Roman"/>
        <family val="1"/>
      </rPr>
      <t xml:space="preserve">) </t>
    </r>
    <r>
      <rPr>
        <sz val="12"/>
        <color theme="1"/>
        <rFont val="微軟正黑體"/>
        <family val="2"/>
        <charset val="136"/>
      </rPr>
      <t>期初投資現金流量</t>
    </r>
    <phoneticPr fontId="2" type="noConversion"/>
  </si>
  <si>
    <r>
      <rPr>
        <sz val="12"/>
        <color theme="1"/>
        <rFont val="微軟正黑體"/>
        <family val="2"/>
        <charset val="136"/>
      </rPr>
      <t>年</t>
    </r>
    <phoneticPr fontId="2" type="noConversion"/>
  </si>
  <si>
    <r>
      <rPr>
        <sz val="12"/>
        <color theme="1"/>
        <rFont val="微軟正黑體"/>
        <family val="2"/>
        <charset val="136"/>
      </rPr>
      <t>賣價</t>
    </r>
    <phoneticPr fontId="2" type="noConversion"/>
  </si>
  <si>
    <r>
      <t>OLD</t>
    </r>
    <r>
      <rPr>
        <sz val="12"/>
        <color theme="1"/>
        <rFont val="微軟正黑體"/>
        <family val="2"/>
        <charset val="136"/>
      </rPr>
      <t>帳面價值</t>
    </r>
    <r>
      <rPr>
        <sz val="12"/>
        <color theme="1"/>
        <rFont val="Times New Roman"/>
        <family val="1"/>
      </rPr>
      <t>=</t>
    </r>
    <phoneticPr fontId="2" type="noConversion"/>
  </si>
  <si>
    <r>
      <rPr>
        <sz val="12"/>
        <color theme="1"/>
        <rFont val="微軟正黑體"/>
        <family val="2"/>
        <charset val="136"/>
      </rPr>
      <t>新機器成本</t>
    </r>
    <phoneticPr fontId="2" type="noConversion"/>
  </si>
  <si>
    <r>
      <rPr>
        <sz val="12"/>
        <color theme="1"/>
        <rFont val="微軟正黑體"/>
        <family val="2"/>
        <charset val="136"/>
      </rPr>
      <t>帳面價值</t>
    </r>
    <phoneticPr fontId="2" type="noConversion"/>
  </si>
  <si>
    <r>
      <rPr>
        <sz val="12"/>
        <color theme="1"/>
        <rFont val="微軟正黑體"/>
        <family val="2"/>
        <charset val="136"/>
      </rPr>
      <t>淨營運資金投入</t>
    </r>
    <phoneticPr fontId="2" type="noConversion"/>
  </si>
  <si>
    <r>
      <rPr>
        <sz val="12"/>
        <color theme="1"/>
        <rFont val="微軟正黑體"/>
        <family val="2"/>
        <charset val="136"/>
      </rPr>
      <t>利得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損失</t>
    </r>
    <r>
      <rPr>
        <sz val="12"/>
        <color theme="1"/>
        <rFont val="Times New Roman"/>
        <family val="1"/>
      </rPr>
      <t>)</t>
    </r>
    <phoneticPr fontId="2" type="noConversion"/>
  </si>
  <si>
    <r>
      <t>OLD</t>
    </r>
    <r>
      <rPr>
        <sz val="12"/>
        <color theme="1"/>
        <rFont val="微軟正黑體"/>
        <family val="2"/>
        <charset val="136"/>
      </rPr>
      <t>資產的處分</t>
    </r>
    <phoneticPr fontId="2" type="noConversion"/>
  </si>
  <si>
    <r>
      <rPr>
        <sz val="12"/>
        <color theme="1"/>
        <rFont val="微軟正黑體"/>
        <family val="2"/>
        <charset val="136"/>
      </rPr>
      <t>稅率</t>
    </r>
    <phoneticPr fontId="2" type="noConversion"/>
  </si>
  <si>
    <r>
      <rPr>
        <sz val="12"/>
        <color theme="1"/>
        <rFont val="微軟正黑體"/>
        <family val="2"/>
        <charset val="136"/>
      </rPr>
      <t>資產處分所得稅影響數</t>
    </r>
    <phoneticPr fontId="2" type="noConversion"/>
  </si>
  <si>
    <r>
      <rPr>
        <sz val="12"/>
        <color theme="1"/>
        <rFont val="微軟正黑體"/>
        <family val="2"/>
        <charset val="136"/>
      </rPr>
      <t>稅</t>
    </r>
    <phoneticPr fontId="2" type="noConversion"/>
  </si>
  <si>
    <r>
      <t>(</t>
    </r>
    <r>
      <rPr>
        <sz val="12"/>
        <color theme="1"/>
        <rFont val="微軟正黑體"/>
        <family val="2"/>
        <charset val="136"/>
      </rPr>
      <t>二</t>
    </r>
    <r>
      <rPr>
        <sz val="12"/>
        <color theme="1"/>
        <rFont val="Times New Roman"/>
        <family val="1"/>
      </rPr>
      <t>)</t>
    </r>
    <r>
      <rPr>
        <sz val="12"/>
        <color theme="1"/>
        <rFont val="微軟正黑體"/>
        <family val="2"/>
        <charset val="136"/>
      </rPr>
      <t>營運現金流量</t>
    </r>
    <phoneticPr fontId="2" type="noConversion"/>
  </si>
  <si>
    <r>
      <rPr>
        <sz val="12"/>
        <color theme="1"/>
        <rFont val="微軟正黑體"/>
        <family val="2"/>
        <charset val="136"/>
      </rPr>
      <t>折舊費用</t>
    </r>
    <phoneticPr fontId="2" type="noConversion"/>
  </si>
  <si>
    <r>
      <rPr>
        <sz val="12"/>
        <color theme="1"/>
        <rFont val="微軟正黑體"/>
        <family val="2"/>
        <charset val="136"/>
      </rPr>
      <t>稅</t>
    </r>
    <r>
      <rPr>
        <sz val="12"/>
        <color theme="1"/>
        <rFont val="Times New Roman"/>
        <family val="1"/>
      </rPr>
      <t>(40%)</t>
    </r>
    <phoneticPr fontId="2" type="noConversion"/>
  </si>
  <si>
    <r>
      <t>(</t>
    </r>
    <r>
      <rPr>
        <sz val="12"/>
        <color theme="1"/>
        <rFont val="微軟正黑體"/>
        <family val="2"/>
        <charset val="136"/>
      </rPr>
      <t>三</t>
    </r>
    <r>
      <rPr>
        <sz val="12"/>
        <color theme="1"/>
        <rFont val="Times New Roman"/>
        <family val="1"/>
      </rPr>
      <t>)</t>
    </r>
    <r>
      <rPr>
        <sz val="12"/>
        <color theme="1"/>
        <rFont val="微軟正黑體"/>
        <family val="2"/>
        <charset val="136"/>
      </rPr>
      <t>期末現金流量</t>
    </r>
    <phoneticPr fontId="2" type="noConversion"/>
  </si>
  <si>
    <r>
      <rPr>
        <sz val="12"/>
        <color theme="1"/>
        <rFont val="微軟正黑體"/>
        <family val="2"/>
        <charset val="136"/>
      </rPr>
      <t>淨營運資金回收</t>
    </r>
    <phoneticPr fontId="2" type="noConversion"/>
  </si>
  <si>
    <r>
      <rPr>
        <sz val="12"/>
        <color theme="1"/>
        <rFont val="微軟正黑體"/>
        <family val="2"/>
        <charset val="136"/>
      </rPr>
      <t>資產的處分</t>
    </r>
    <phoneticPr fontId="2" type="noConversion"/>
  </si>
  <si>
    <r>
      <rPr>
        <sz val="12"/>
        <color theme="1"/>
        <rFont val="微軟正黑體"/>
        <family val="2"/>
        <charset val="136"/>
      </rPr>
      <t>期末現金流量</t>
    </r>
    <phoneticPr fontId="2" type="noConversion"/>
  </si>
  <si>
    <t>稅前息前折舊前利潤</t>
    <phoneticPr fontId="2" type="noConversion"/>
  </si>
  <si>
    <t>機會成本</t>
    <phoneticPr fontId="2" type="noConversion"/>
  </si>
  <si>
    <r>
      <t>稅</t>
    </r>
    <r>
      <rPr>
        <sz val="12"/>
        <color theme="1"/>
        <rFont val="微軟正黑體"/>
        <family val="1"/>
        <charset val="136"/>
      </rPr>
      <t>(40%)</t>
    </r>
    <phoneticPr fontId="2" type="noConversion"/>
  </si>
  <si>
    <t>(一)</t>
    <phoneticPr fontId="2" type="noConversion"/>
  </si>
  <si>
    <t>1. 期初投資現金流量</t>
    <phoneticPr fontId="2" type="noConversion"/>
  </si>
  <si>
    <t>2. 營運現金流量</t>
    <phoneticPr fontId="2" type="noConversion"/>
  </si>
  <si>
    <t>3. 期末現金流量</t>
    <phoneticPr fontId="2" type="noConversion"/>
  </si>
  <si>
    <r>
      <t>(</t>
    </r>
    <r>
      <rPr>
        <sz val="12"/>
        <color theme="1"/>
        <rFont val="新細明體"/>
        <family val="1"/>
        <charset val="136"/>
      </rPr>
      <t>二</t>
    </r>
    <r>
      <rPr>
        <sz val="12"/>
        <color theme="1"/>
        <rFont val="Times New Roman"/>
        <family val="1"/>
      </rPr>
      <t>)</t>
    </r>
    <phoneticPr fontId="2" type="noConversion"/>
  </si>
  <si>
    <t>負債的成本=</t>
    <phoneticPr fontId="2" type="noConversion"/>
  </si>
  <si>
    <t>權益的成本=</t>
    <phoneticPr fontId="2" type="noConversion"/>
  </si>
  <si>
    <t>WACC=</t>
    <phoneticPr fontId="2" type="noConversion"/>
  </si>
  <si>
    <t>(三)</t>
    <phoneticPr fontId="2" type="noConversion"/>
  </si>
  <si>
    <r>
      <rPr>
        <sz val="12"/>
        <color theme="1"/>
        <rFont val="Times New Roman"/>
        <family val="1"/>
      </rPr>
      <t>&gt;0</t>
    </r>
    <r>
      <rPr>
        <sz val="12"/>
        <color theme="1"/>
        <rFont val="新細明體"/>
        <family val="2"/>
        <charset val="136"/>
      </rPr>
      <t>，</t>
    </r>
    <r>
      <rPr>
        <sz val="12"/>
        <color theme="1"/>
        <rFont val="Microsoft JhengHei Light"/>
        <family val="2"/>
        <charset val="136"/>
      </rPr>
      <t>所以可以採行此計畫。</t>
    </r>
    <phoneticPr fontId="2" type="noConversion"/>
  </si>
  <si>
    <t>投資租稅抵減</t>
    <phoneticPr fontId="2" type="noConversion"/>
  </si>
  <si>
    <t>固定成本</t>
    <phoneticPr fontId="2" type="noConversion"/>
  </si>
  <si>
    <t>變動成本</t>
    <phoneticPr fontId="2" type="noConversion"/>
  </si>
  <si>
    <t>稅前折舊前利潤</t>
    <phoneticPr fontId="2" type="noConversion"/>
  </si>
  <si>
    <r>
      <rPr>
        <sz val="12"/>
        <color theme="1"/>
        <rFont val="微軟正黑體"/>
        <family val="2"/>
        <charset val="136"/>
      </rPr>
      <t>稅後淨利</t>
    </r>
    <r>
      <rPr>
        <sz val="12"/>
        <color theme="1"/>
        <rFont val="Times New Roman"/>
        <family val="1"/>
      </rPr>
      <t>(New)</t>
    </r>
    <phoneticPr fontId="2" type="noConversion"/>
  </si>
  <si>
    <r>
      <rPr>
        <sz val="12"/>
        <color theme="1"/>
        <rFont val="新細明體"/>
        <family val="1"/>
        <charset val="136"/>
      </rPr>
      <t>稅後淨利</t>
    </r>
    <r>
      <rPr>
        <sz val="12"/>
        <color theme="1"/>
        <rFont val="Times New Roman"/>
        <family val="1"/>
      </rPr>
      <t>(Old)</t>
    </r>
    <phoneticPr fontId="2" type="noConversion"/>
  </si>
  <si>
    <r>
      <rPr>
        <sz val="12"/>
        <color theme="1"/>
        <rFont val="新細明體"/>
        <family val="1"/>
        <charset val="136"/>
      </rPr>
      <t>稅後淨利</t>
    </r>
    <r>
      <rPr>
        <sz val="12"/>
        <color theme="1"/>
        <rFont val="Times New Roman"/>
        <family val="1"/>
      </rPr>
      <t>(New-Old)</t>
    </r>
    <phoneticPr fontId="2" type="noConversion"/>
  </si>
  <si>
    <r>
      <rPr>
        <sz val="12"/>
        <color theme="1"/>
        <rFont val="微軟正黑體"/>
        <family val="2"/>
        <charset val="136"/>
      </rPr>
      <t>折舊費用</t>
    </r>
    <r>
      <rPr>
        <sz val="12"/>
        <color theme="1"/>
        <rFont val="Times New Roman"/>
        <family val="1"/>
      </rPr>
      <t>(New-Old)</t>
    </r>
    <phoneticPr fontId="2" type="noConversion"/>
  </si>
  <si>
    <r>
      <rPr>
        <sz val="12"/>
        <color theme="1"/>
        <rFont val="Microsoft JhengHei Light"/>
        <family val="2"/>
        <charset val="136"/>
      </rPr>
      <t>淨營運資金的變動</t>
    </r>
    <r>
      <rPr>
        <sz val="12"/>
        <color theme="1"/>
        <rFont val="Times New Roman"/>
        <family val="2"/>
      </rPr>
      <t>(New-Old)</t>
    </r>
    <phoneticPr fontId="2" type="noConversion"/>
  </si>
  <si>
    <r>
      <rPr>
        <sz val="12"/>
        <color rgb="FFFF0000"/>
        <rFont val="微軟正黑體"/>
        <family val="2"/>
        <charset val="136"/>
      </rPr>
      <t>營運現金流量</t>
    </r>
    <r>
      <rPr>
        <sz val="12"/>
        <color rgb="FFFF0000"/>
        <rFont val="Times New Roman"/>
        <family val="1"/>
      </rPr>
      <t>(New-Old)</t>
    </r>
    <phoneticPr fontId="2" type="noConversion"/>
  </si>
  <si>
    <r>
      <rPr>
        <sz val="12"/>
        <color theme="1"/>
        <rFont val="新細明體"/>
        <family val="1"/>
        <charset val="136"/>
      </rPr>
      <t>保留盈餘</t>
    </r>
    <r>
      <rPr>
        <sz val="12"/>
        <color theme="1"/>
        <rFont val="Times New Roman"/>
        <family val="1"/>
      </rPr>
      <t>RE=</t>
    </r>
    <phoneticPr fontId="2" type="noConversion"/>
  </si>
  <si>
    <t>公司所需要的資金是</t>
    <phoneticPr fontId="2" type="noConversion"/>
  </si>
  <si>
    <t>皆小於兩個突破點，因此</t>
    <phoneticPr fontId="2" type="noConversion"/>
  </si>
  <si>
    <t>負債的突破點</t>
    <phoneticPr fontId="2" type="noConversion"/>
  </si>
  <si>
    <r>
      <rPr>
        <sz val="12"/>
        <color theme="1"/>
        <rFont val="Times New Roman"/>
        <family val="1"/>
      </rPr>
      <t>RE</t>
    </r>
    <r>
      <rPr>
        <sz val="12"/>
        <color theme="1"/>
        <rFont val="Microsoft JhengHei Light"/>
        <family val="2"/>
        <charset val="136"/>
      </rPr>
      <t>的突破點</t>
    </r>
    <phoneticPr fontId="2" type="noConversion"/>
  </si>
  <si>
    <t>突破點前成本</t>
    <phoneticPr fontId="2" type="noConversion"/>
  </si>
  <si>
    <t>突破點後成本</t>
    <phoneticPr fontId="2" type="noConversion"/>
  </si>
  <si>
    <t>發行新普通股成本</t>
    <phoneticPr fontId="2" type="noConversion"/>
  </si>
  <si>
    <t>特別股成本</t>
    <phoneticPr fontId="2" type="noConversion"/>
  </si>
  <si>
    <t>WACC</t>
    <phoneticPr fontId="2" type="noConversion"/>
  </si>
  <si>
    <t>最適資本結構</t>
    <phoneticPr fontId="2" type="noConversion"/>
  </si>
  <si>
    <t>負債</t>
    <phoneticPr fontId="2" type="noConversion"/>
  </si>
  <si>
    <t>特別股</t>
    <phoneticPr fontId="2" type="noConversion"/>
  </si>
  <si>
    <t>普通股</t>
    <phoneticPr fontId="2" type="noConversion"/>
  </si>
  <si>
    <t>30%*9%*(1-40%)+20%*9.4%+50%*17%=</t>
    <phoneticPr fontId="2" type="noConversion"/>
  </si>
  <si>
    <r>
      <t>&gt;0</t>
    </r>
    <r>
      <rPr>
        <sz val="12"/>
        <color theme="1"/>
        <rFont val="新細明體"/>
        <family val="1"/>
        <charset val="136"/>
      </rPr>
      <t>，</t>
    </r>
    <r>
      <rPr>
        <sz val="12"/>
        <color theme="1"/>
        <rFont val="Microsoft JhengHei Light"/>
        <family val="2"/>
        <charset val="136"/>
      </rPr>
      <t>因此公司可執行此重置計畫，即可汰舊換新。</t>
    </r>
    <phoneticPr fontId="2" type="noConversion"/>
  </si>
  <si>
    <r>
      <rPr>
        <sz val="12"/>
        <color theme="1"/>
        <rFont val="Times New Roman"/>
        <family val="1"/>
      </rPr>
      <t>RE</t>
    </r>
    <r>
      <rPr>
        <sz val="12"/>
        <color theme="1"/>
        <rFont val="新細明體"/>
        <family val="1"/>
        <charset val="136"/>
      </rPr>
      <t>成本</t>
    </r>
    <phoneticPr fontId="2" type="noConversion"/>
  </si>
  <si>
    <t>折舊費用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</si>
</sst>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#,##0.00_);[Red]\(#,##0.00\)"/>
    <numFmt numFmtId="177" formatCode="#,##0_);[Red]\(#,##0\)"/>
    <numFmt numFmtId="178" formatCode="_-* #,##0_-;\-* #,##0_-;_-* &quot;-&quot;??_-;_-@_-"/>
    <numFmt numFmtId="179" formatCode="0.0000%"/>
    <numFmt numFmtId="180" formatCode="0.000%"/>
    <numFmt numFmtId="183" formatCode="#,##0.0000_);[Red]\(#,##0.0000\)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微軟正黑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12"/>
      <color theme="1"/>
      <name val="Times New Roman"/>
      <family val="2"/>
    </font>
    <font>
      <sz val="12"/>
      <color rgb="FFFF0000"/>
      <name val="Times New Roman"/>
      <family val="2"/>
      <charset val="136"/>
    </font>
    <font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4" fillId="0" borderId="0" xfId="0" applyNumberFormat="1" applyFont="1" applyAlignment="1">
      <alignment horizontal="justify" vertical="center"/>
    </xf>
    <xf numFmtId="176" fontId="0" fillId="0" borderId="0" xfId="0" applyNumberFormat="1" applyBorder="1">
      <alignment vertical="center"/>
    </xf>
    <xf numFmtId="176" fontId="5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2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Border="1">
      <alignment vertical="center"/>
    </xf>
    <xf numFmtId="177" fontId="3" fillId="0" borderId="0" xfId="1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177" fontId="3" fillId="0" borderId="0" xfId="2" applyNumberFormat="1" applyFont="1" applyBorder="1">
      <alignment vertical="center"/>
    </xf>
    <xf numFmtId="177" fontId="3" fillId="0" borderId="1" xfId="2" applyNumberFormat="1" applyFont="1" applyBorder="1">
      <alignment vertical="center"/>
    </xf>
    <xf numFmtId="176" fontId="5" fillId="0" borderId="0" xfId="0" applyNumberFormat="1" applyFont="1" applyBorder="1" applyAlignment="1">
      <alignment horizontal="right"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Border="1">
      <alignment vertical="center"/>
    </xf>
    <xf numFmtId="177" fontId="3" fillId="3" borderId="0" xfId="1" applyNumberFormat="1" applyFont="1" applyFill="1" applyBorder="1">
      <alignment vertical="center"/>
    </xf>
    <xf numFmtId="176" fontId="3" fillId="3" borderId="0" xfId="0" applyNumberFormat="1" applyFont="1" applyFill="1" applyBorder="1">
      <alignment vertical="center"/>
    </xf>
    <xf numFmtId="177" fontId="7" fillId="0" borderId="0" xfId="1" applyNumberFormat="1" applyFont="1" applyBorder="1">
      <alignment vertical="center"/>
    </xf>
    <xf numFmtId="177" fontId="7" fillId="0" borderId="0" xfId="2" applyNumberFormat="1" applyFont="1" applyBorder="1">
      <alignment vertical="center"/>
    </xf>
    <xf numFmtId="177" fontId="7" fillId="3" borderId="0" xfId="2" applyNumberFormat="1" applyFont="1" applyFill="1" applyBorder="1">
      <alignment vertical="center"/>
    </xf>
    <xf numFmtId="177" fontId="7" fillId="3" borderId="1" xfId="2" applyNumberFormat="1" applyFont="1" applyFill="1" applyBorder="1">
      <alignment vertical="center"/>
    </xf>
    <xf numFmtId="177" fontId="7" fillId="2" borderId="0" xfId="1" applyNumberFormat="1" applyFont="1" applyFill="1" applyBorder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177" fontId="3" fillId="4" borderId="0" xfId="0" applyNumberFormat="1" applyFont="1" applyFill="1" applyBorder="1">
      <alignment vertical="center"/>
    </xf>
    <xf numFmtId="177" fontId="3" fillId="4" borderId="0" xfId="2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5" fillId="3" borderId="0" xfId="0" applyNumberFormat="1" applyFont="1" applyFill="1" applyBorder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0" xfId="2" applyNumberFormat="1" applyFont="1" applyFill="1" applyBorder="1">
      <alignment vertical="center"/>
    </xf>
    <xf numFmtId="177" fontId="3" fillId="3" borderId="1" xfId="2" applyNumberFormat="1" applyFont="1" applyFill="1" applyBorder="1">
      <alignment vertical="center"/>
    </xf>
    <xf numFmtId="176" fontId="3" fillId="3" borderId="0" xfId="2" applyNumberFormat="1" applyFont="1" applyFill="1" applyBorder="1">
      <alignment vertical="center"/>
    </xf>
    <xf numFmtId="177" fontId="3" fillId="3" borderId="0" xfId="0" applyNumberFormat="1" applyFont="1" applyFill="1" applyBorder="1">
      <alignment vertical="center"/>
    </xf>
    <xf numFmtId="176" fontId="3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Border="1" applyAlignment="1">
      <alignment horizontal="right" vertical="center"/>
    </xf>
    <xf numFmtId="176" fontId="10" fillId="0" borderId="0" xfId="0" applyNumberFormat="1" applyFont="1" applyBorder="1">
      <alignment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11" fillId="0" borderId="0" xfId="0" applyNumberFormat="1" applyFont="1" applyBorder="1">
      <alignment vertical="center"/>
    </xf>
    <xf numFmtId="177" fontId="7" fillId="0" borderId="0" xfId="0" applyNumberFormat="1" applyFont="1" applyBorder="1">
      <alignment vertical="center"/>
    </xf>
    <xf numFmtId="176" fontId="11" fillId="0" borderId="0" xfId="0" applyNumberFormat="1" applyFont="1" applyFill="1" applyBorder="1">
      <alignment vertical="center"/>
    </xf>
    <xf numFmtId="177" fontId="13" fillId="0" borderId="0" xfId="1" applyNumberFormat="1" applyFont="1" applyBorder="1">
      <alignment vertical="center"/>
    </xf>
    <xf numFmtId="177" fontId="13" fillId="0" borderId="1" xfId="1" applyNumberFormat="1" applyFont="1" applyBorder="1">
      <alignment vertical="center"/>
    </xf>
    <xf numFmtId="177" fontId="13" fillId="0" borderId="0" xfId="2" applyNumberFormat="1" applyFont="1" applyBorder="1">
      <alignment vertical="center"/>
    </xf>
    <xf numFmtId="177" fontId="13" fillId="0" borderId="1" xfId="2" applyNumberFormat="1" applyFont="1" applyBorder="1">
      <alignment vertical="center"/>
    </xf>
    <xf numFmtId="177" fontId="13" fillId="3" borderId="0" xfId="2" applyNumberFormat="1" applyFont="1" applyFill="1" applyBorder="1">
      <alignment vertical="center"/>
    </xf>
    <xf numFmtId="176" fontId="12" fillId="3" borderId="0" xfId="0" applyNumberFormat="1" applyFont="1" applyFill="1" applyBorder="1">
      <alignment vertical="center"/>
    </xf>
    <xf numFmtId="176" fontId="12" fillId="3" borderId="1" xfId="0" applyNumberFormat="1" applyFont="1" applyFill="1" applyBorder="1">
      <alignment vertical="center"/>
    </xf>
    <xf numFmtId="177" fontId="7" fillId="5" borderId="0" xfId="2" applyNumberFormat="1" applyFont="1" applyFill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177" fontId="13" fillId="3" borderId="1" xfId="2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176" fontId="15" fillId="5" borderId="0" xfId="0" applyNumberFormat="1" applyFont="1" applyFill="1" applyBorder="1">
      <alignment vertical="center"/>
    </xf>
    <xf numFmtId="177" fontId="3" fillId="0" borderId="1" xfId="0" applyNumberFormat="1" applyFont="1" applyBorder="1" applyAlignment="1">
      <alignment horizontal="right" vertical="center"/>
    </xf>
    <xf numFmtId="177" fontId="13" fillId="3" borderId="0" xfId="1" applyNumberFormat="1" applyFont="1" applyFill="1" applyBorder="1">
      <alignment vertical="center"/>
    </xf>
    <xf numFmtId="9" fontId="3" fillId="0" borderId="0" xfId="2" applyFont="1">
      <alignment vertical="center"/>
    </xf>
    <xf numFmtId="178" fontId="3" fillId="0" borderId="0" xfId="1" applyNumberFormat="1" applyFont="1">
      <alignment vertical="center"/>
    </xf>
    <xf numFmtId="178" fontId="3" fillId="0" borderId="0" xfId="0" applyNumberFormat="1" applyFont="1">
      <alignment vertical="center"/>
    </xf>
    <xf numFmtId="178" fontId="13" fillId="0" borderId="0" xfId="0" applyNumberFormat="1" applyFont="1" applyBorder="1">
      <alignment vertical="center"/>
    </xf>
    <xf numFmtId="0" fontId="7" fillId="5" borderId="0" xfId="0" applyFont="1" applyFill="1">
      <alignment vertical="center"/>
    </xf>
    <xf numFmtId="177" fontId="7" fillId="5" borderId="0" xfId="1" applyNumberFormat="1" applyFont="1" applyFill="1" applyBorder="1">
      <alignment vertical="center"/>
    </xf>
    <xf numFmtId="177" fontId="7" fillId="3" borderId="0" xfId="0" applyNumberFormat="1" applyFont="1" applyFill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2" applyNumberFormat="1" applyFont="1">
      <alignment vertical="center"/>
    </xf>
    <xf numFmtId="0" fontId="11" fillId="0" borderId="0" xfId="0" applyFont="1" applyAlignment="1">
      <alignment horizontal="right" vertical="center"/>
    </xf>
    <xf numFmtId="176" fontId="9" fillId="0" borderId="0" xfId="0" applyNumberFormat="1" applyFont="1" applyBorder="1" applyAlignment="1">
      <alignment horizontal="right" vertical="center"/>
    </xf>
    <xf numFmtId="183" fontId="3" fillId="0" borderId="0" xfId="0" applyNumberFormat="1" applyFont="1" applyBorder="1">
      <alignment vertical="center"/>
    </xf>
    <xf numFmtId="43" fontId="3" fillId="0" borderId="0" xfId="1" applyFon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5B50-F69A-44C8-A967-0CBC06A15736}">
  <dimension ref="A1:J39"/>
  <sheetViews>
    <sheetView tabSelected="1" topLeftCell="A28" workbookViewId="0">
      <selection activeCell="B39" sqref="B39"/>
    </sheetView>
  </sheetViews>
  <sheetFormatPr defaultColWidth="9" defaultRowHeight="16.2" x14ac:dyDescent="0.3"/>
  <cols>
    <col min="1" max="1" width="25.109375" style="2" bestFit="1" customWidth="1"/>
    <col min="2" max="2" width="20.5546875" style="2" customWidth="1"/>
    <col min="3" max="5" width="14" style="2" bestFit="1" customWidth="1"/>
    <col min="6" max="6" width="14" style="45" bestFit="1" customWidth="1"/>
    <col min="7" max="7" width="11.33203125" style="45" bestFit="1" customWidth="1"/>
    <col min="8" max="8" width="9" style="45"/>
    <col min="9" max="9" width="22.77734375" style="45" bestFit="1" customWidth="1"/>
    <col min="10" max="10" width="28.21875" style="45" customWidth="1"/>
    <col min="11" max="16384" width="9" style="2"/>
  </cols>
  <sheetData>
    <row r="1" spans="1:10" x14ac:dyDescent="0.3">
      <c r="A1" s="1" t="s">
        <v>0</v>
      </c>
    </row>
    <row r="2" spans="1:10" x14ac:dyDescent="0.3">
      <c r="A2" s="2" t="s">
        <v>44</v>
      </c>
    </row>
    <row r="3" spans="1:10" s="3" customFormat="1" ht="15.6" x14ac:dyDescent="0.3">
      <c r="A3" s="3" t="s">
        <v>45</v>
      </c>
      <c r="F3" s="46"/>
      <c r="G3" s="46"/>
      <c r="H3" s="46"/>
      <c r="I3" s="46"/>
      <c r="J3" s="46"/>
    </row>
    <row r="4" spans="1:10" s="3" customFormat="1" ht="15.6" x14ac:dyDescent="0.3">
      <c r="F4" s="46"/>
      <c r="G4" s="46"/>
      <c r="H4" s="46"/>
      <c r="I4" s="46"/>
      <c r="J4" s="46"/>
    </row>
    <row r="5" spans="1:10" s="4" customFormat="1" ht="15.6" x14ac:dyDescent="0.3">
      <c r="A5" s="19" t="s">
        <v>18</v>
      </c>
      <c r="B5" s="7">
        <v>0</v>
      </c>
      <c r="F5" s="22"/>
      <c r="G5" s="22"/>
      <c r="H5" s="22"/>
      <c r="I5" s="22"/>
      <c r="J5" s="22"/>
    </row>
    <row r="6" spans="1:10" s="4" customFormat="1" ht="15.6" x14ac:dyDescent="0.3">
      <c r="A6" s="14" t="s">
        <v>17</v>
      </c>
      <c r="B6" s="9">
        <f>4000000+500000</f>
        <v>4500000</v>
      </c>
      <c r="F6" s="22"/>
      <c r="G6" s="22"/>
      <c r="H6" s="22"/>
      <c r="I6" s="22"/>
      <c r="J6" s="22"/>
    </row>
    <row r="7" spans="1:10" s="4" customFormat="1" ht="15.6" x14ac:dyDescent="0.3">
      <c r="A7" s="14" t="s">
        <v>8</v>
      </c>
      <c r="B7" s="10">
        <f>200000+100000-50000</f>
        <v>250000</v>
      </c>
      <c r="F7" s="22"/>
      <c r="G7" s="22"/>
      <c r="H7" s="22"/>
      <c r="I7" s="22"/>
      <c r="J7" s="22"/>
    </row>
    <row r="8" spans="1:10" s="4" customFormat="1" ht="15.6" x14ac:dyDescent="0.3">
      <c r="A8" s="3"/>
      <c r="B8" s="43">
        <f>B6+B7</f>
        <v>4750000</v>
      </c>
      <c r="F8" s="22"/>
      <c r="G8" s="22"/>
      <c r="H8" s="22"/>
      <c r="I8" s="22"/>
      <c r="J8" s="22"/>
    </row>
    <row r="9" spans="1:10" s="4" customFormat="1" ht="15.6" x14ac:dyDescent="0.3">
      <c r="A9" s="3"/>
      <c r="F9" s="22"/>
      <c r="G9" s="22"/>
      <c r="H9" s="22"/>
      <c r="I9" s="22"/>
      <c r="J9" s="22"/>
    </row>
    <row r="10" spans="1:10" s="3" customFormat="1" ht="15.6" x14ac:dyDescent="0.3">
      <c r="A10" s="3" t="s">
        <v>46</v>
      </c>
      <c r="F10" s="46"/>
      <c r="G10" s="46"/>
      <c r="H10" s="46"/>
      <c r="I10" s="46"/>
      <c r="J10" s="46"/>
    </row>
    <row r="11" spans="1:10" s="4" customFormat="1" ht="15.6" x14ac:dyDescent="0.3">
      <c r="B11" s="19" t="s">
        <v>18</v>
      </c>
      <c r="C11" s="7">
        <v>1</v>
      </c>
      <c r="D11" s="7">
        <v>2</v>
      </c>
      <c r="E11" s="7">
        <v>3</v>
      </c>
      <c r="F11" s="47"/>
      <c r="G11" s="47"/>
      <c r="H11" s="22"/>
      <c r="I11" s="22"/>
      <c r="J11" s="22"/>
    </row>
    <row r="12" spans="1:10" s="4" customFormat="1" ht="15.6" x14ac:dyDescent="0.3">
      <c r="B12" s="3" t="s">
        <v>41</v>
      </c>
      <c r="C12" s="9">
        <v>2500000</v>
      </c>
      <c r="D12" s="9">
        <v>2500000</v>
      </c>
      <c r="E12" s="9">
        <v>2500000</v>
      </c>
      <c r="F12" s="21"/>
      <c r="G12" s="21"/>
      <c r="H12" s="22"/>
      <c r="I12" s="22"/>
      <c r="J12" s="22"/>
    </row>
    <row r="13" spans="1:10" s="4" customFormat="1" ht="15.6" x14ac:dyDescent="0.3">
      <c r="B13" s="3" t="s">
        <v>81</v>
      </c>
      <c r="C13" s="9">
        <f>(B6-0)/3</f>
        <v>1500000</v>
      </c>
      <c r="D13" s="9">
        <f>C13</f>
        <v>1500000</v>
      </c>
      <c r="E13" s="9">
        <f>D13</f>
        <v>1500000</v>
      </c>
      <c r="F13" s="21"/>
      <c r="G13" s="21"/>
      <c r="H13" s="22"/>
      <c r="I13" s="22"/>
      <c r="J13" s="22"/>
    </row>
    <row r="14" spans="1:10" s="4" customFormat="1" ht="15.6" x14ac:dyDescent="0.3">
      <c r="B14" s="3" t="s">
        <v>3</v>
      </c>
      <c r="C14" s="12">
        <f>C12-C13</f>
        <v>1000000</v>
      </c>
      <c r="D14" s="12">
        <f t="shared" ref="D14:E14" si="0">D12-D13</f>
        <v>1000000</v>
      </c>
      <c r="E14" s="12">
        <f t="shared" si="0"/>
        <v>1000000</v>
      </c>
      <c r="F14" s="48"/>
      <c r="G14" s="48"/>
      <c r="H14" s="22"/>
      <c r="I14" s="22"/>
      <c r="J14" s="22"/>
    </row>
    <row r="15" spans="1:10" s="4" customFormat="1" ht="15.6" x14ac:dyDescent="0.3">
      <c r="B15" s="3" t="s">
        <v>43</v>
      </c>
      <c r="C15" s="13">
        <f>+C14*0.4</f>
        <v>400000</v>
      </c>
      <c r="D15" s="13">
        <f t="shared" ref="D15:E15" si="1">+D14*0.4</f>
        <v>400000</v>
      </c>
      <c r="E15" s="13">
        <f t="shared" si="1"/>
        <v>400000</v>
      </c>
      <c r="F15" s="49"/>
      <c r="G15" s="49"/>
      <c r="H15" s="22"/>
      <c r="I15" s="22"/>
      <c r="J15" s="22"/>
    </row>
    <row r="16" spans="1:10" s="22" customFormat="1" ht="15.6" x14ac:dyDescent="0.3">
      <c r="B16" s="46" t="s">
        <v>5</v>
      </c>
      <c r="C16" s="48">
        <f>C14-C15</f>
        <v>600000</v>
      </c>
      <c r="D16" s="48">
        <f t="shared" ref="D16:E16" si="2">D14-D15</f>
        <v>600000</v>
      </c>
      <c r="E16" s="48">
        <f t="shared" si="2"/>
        <v>600000</v>
      </c>
      <c r="F16" s="48"/>
      <c r="G16" s="48"/>
    </row>
    <row r="17" spans="1:10" s="4" customFormat="1" ht="15.6" x14ac:dyDescent="0.3">
      <c r="B17" s="6" t="s">
        <v>2</v>
      </c>
      <c r="C17" s="13">
        <f>(4500000-0)/3</f>
        <v>1500000</v>
      </c>
      <c r="D17" s="13">
        <f t="shared" ref="D17:E17" si="3">(4500000-0)/3</f>
        <v>1500000</v>
      </c>
      <c r="E17" s="13">
        <f t="shared" si="3"/>
        <v>1500000</v>
      </c>
      <c r="F17" s="49"/>
      <c r="G17" s="49"/>
      <c r="H17" s="22"/>
      <c r="I17" s="22"/>
      <c r="J17" s="22"/>
    </row>
    <row r="18" spans="1:10" s="4" customFormat="1" ht="15.6" x14ac:dyDescent="0.3">
      <c r="B18" s="3" t="s">
        <v>15</v>
      </c>
      <c r="C18" s="44">
        <f>C16+C17</f>
        <v>2100000</v>
      </c>
      <c r="D18" s="44">
        <f t="shared" ref="D18:E18" si="4">D16+D17</f>
        <v>2100000</v>
      </c>
      <c r="E18" s="44">
        <f t="shared" si="4"/>
        <v>2100000</v>
      </c>
      <c r="F18" s="48"/>
      <c r="G18" s="48"/>
      <c r="H18" s="22"/>
      <c r="I18" s="22"/>
      <c r="J18" s="22"/>
    </row>
    <row r="19" spans="1:10" s="4" customFormat="1" ht="15.6" x14ac:dyDescent="0.3">
      <c r="B19" s="3"/>
      <c r="C19" s="5"/>
      <c r="D19" s="5"/>
      <c r="E19" s="5"/>
      <c r="F19" s="50"/>
      <c r="G19" s="50"/>
      <c r="H19" s="22"/>
      <c r="I19" s="22"/>
      <c r="J19" s="22"/>
    </row>
    <row r="20" spans="1:10" s="4" customFormat="1" ht="15.6" x14ac:dyDescent="0.3">
      <c r="B20" s="3"/>
      <c r="C20" s="12"/>
      <c r="D20" s="12"/>
      <c r="E20" s="12"/>
      <c r="F20" s="48"/>
      <c r="G20" s="50"/>
      <c r="H20" s="22"/>
      <c r="I20" s="22"/>
      <c r="J20" s="22"/>
    </row>
    <row r="21" spans="1:10" s="3" customFormat="1" ht="15.6" x14ac:dyDescent="0.3">
      <c r="A21" s="3" t="s">
        <v>47</v>
      </c>
      <c r="F21" s="46"/>
      <c r="G21" s="46"/>
      <c r="H21" s="46"/>
      <c r="I21" s="46"/>
      <c r="J21" s="46"/>
    </row>
    <row r="22" spans="1:10" s="3" customFormat="1" ht="15.6" x14ac:dyDescent="0.3">
      <c r="F22" s="46"/>
      <c r="G22" s="46"/>
      <c r="H22" s="46"/>
      <c r="I22" s="46"/>
      <c r="J22" s="46"/>
    </row>
    <row r="23" spans="1:10" s="4" customFormat="1" ht="15.6" x14ac:dyDescent="0.3">
      <c r="A23" s="19" t="s">
        <v>18</v>
      </c>
      <c r="B23" s="7">
        <v>5</v>
      </c>
      <c r="C23" s="11"/>
      <c r="D23" s="11"/>
      <c r="E23" s="11"/>
      <c r="F23" s="51"/>
      <c r="G23" s="22"/>
      <c r="H23" s="22"/>
      <c r="I23" s="22"/>
      <c r="J23" s="22"/>
    </row>
    <row r="24" spans="1:10" s="4" customFormat="1" ht="15.6" x14ac:dyDescent="0.3">
      <c r="A24" s="14" t="s">
        <v>7</v>
      </c>
      <c r="B24" s="11">
        <v>250000</v>
      </c>
      <c r="D24" s="14" t="s">
        <v>10</v>
      </c>
      <c r="E24" s="11">
        <v>100000</v>
      </c>
      <c r="F24" s="22"/>
      <c r="G24" s="22"/>
      <c r="H24" s="22"/>
      <c r="I24" s="22"/>
      <c r="J24" s="22"/>
    </row>
    <row r="25" spans="1:10" s="4" customFormat="1" ht="15.6" x14ac:dyDescent="0.3">
      <c r="A25" s="14" t="s">
        <v>6</v>
      </c>
      <c r="B25" s="11">
        <v>100000</v>
      </c>
      <c r="D25" s="18" t="s">
        <v>11</v>
      </c>
      <c r="E25" s="15">
        <v>0</v>
      </c>
      <c r="F25" s="51">
        <f>B6-(C17+D17+E17)</f>
        <v>0</v>
      </c>
      <c r="G25" s="22"/>
      <c r="H25" s="22"/>
      <c r="I25" s="22"/>
      <c r="J25" s="22"/>
    </row>
    <row r="26" spans="1:10" s="4" customFormat="1" ht="15.6" x14ac:dyDescent="0.3">
      <c r="A26" s="14" t="s">
        <v>9</v>
      </c>
      <c r="B26" s="15">
        <v>40000</v>
      </c>
      <c r="D26" s="14" t="s">
        <v>12</v>
      </c>
      <c r="E26" s="11">
        <f>E24-E25</f>
        <v>100000</v>
      </c>
      <c r="F26" s="22"/>
      <c r="G26" s="22"/>
      <c r="H26" s="22"/>
      <c r="I26" s="22"/>
      <c r="J26" s="22"/>
    </row>
    <row r="27" spans="1:10" s="4" customFormat="1" ht="15.6" x14ac:dyDescent="0.3">
      <c r="A27" s="14" t="s">
        <v>16</v>
      </c>
      <c r="B27" s="43">
        <f>B24+B25-B26</f>
        <v>310000</v>
      </c>
      <c r="D27" s="18" t="s">
        <v>13</v>
      </c>
      <c r="E27" s="20">
        <v>0.4</v>
      </c>
      <c r="F27" s="22"/>
      <c r="G27" s="22"/>
      <c r="H27" s="22"/>
      <c r="I27" s="22"/>
      <c r="J27" s="22"/>
    </row>
    <row r="28" spans="1:10" s="4" customFormat="1" ht="15.6" x14ac:dyDescent="0.3">
      <c r="D28" s="14" t="s">
        <v>4</v>
      </c>
      <c r="E28" s="11">
        <f>E26*E27</f>
        <v>40000</v>
      </c>
      <c r="F28" s="22"/>
      <c r="G28" s="22"/>
      <c r="H28" s="22"/>
      <c r="I28" s="22"/>
      <c r="J28" s="22"/>
    </row>
    <row r="29" spans="1:10" s="4" customFormat="1" ht="15.6" x14ac:dyDescent="0.3">
      <c r="D29" s="14"/>
      <c r="F29" s="22"/>
      <c r="G29" s="22"/>
      <c r="H29" s="22"/>
      <c r="I29" s="22"/>
      <c r="J29" s="22"/>
    </row>
    <row r="30" spans="1:10" s="4" customFormat="1" ht="15.6" x14ac:dyDescent="0.3">
      <c r="A30" s="16"/>
      <c r="F30" s="22"/>
      <c r="G30" s="22"/>
      <c r="H30" s="22"/>
      <c r="I30" s="22"/>
      <c r="J30" s="22"/>
    </row>
    <row r="31" spans="1:10" s="4" customFormat="1" x14ac:dyDescent="0.3">
      <c r="A31" s="52" t="s">
        <v>48</v>
      </c>
      <c r="B31" s="11"/>
      <c r="D31" s="8"/>
      <c r="F31" s="22"/>
      <c r="G31" s="22"/>
      <c r="H31" s="22"/>
      <c r="I31" s="22"/>
      <c r="J31" s="22"/>
    </row>
    <row r="33" spans="1:3" x14ac:dyDescent="0.3">
      <c r="A33" s="54" t="s">
        <v>49</v>
      </c>
      <c r="B33" s="4">
        <f>0.05+0.8*0.1</f>
        <v>0.13</v>
      </c>
    </row>
    <row r="34" spans="1:3" x14ac:dyDescent="0.3">
      <c r="A34" s="54" t="s">
        <v>50</v>
      </c>
      <c r="B34" s="4">
        <f>0.05+1.2*0.1</f>
        <v>0.16999999999999998</v>
      </c>
    </row>
    <row r="35" spans="1:3" x14ac:dyDescent="0.3">
      <c r="A35" s="16" t="s">
        <v>51</v>
      </c>
      <c r="B35" s="91">
        <f>0.25*0.13*(1-0.4)+0.75*0.17</f>
        <v>0.14699999999999999</v>
      </c>
    </row>
    <row r="38" spans="1:3" x14ac:dyDescent="0.3">
      <c r="A38" s="3" t="s">
        <v>52</v>
      </c>
    </row>
    <row r="39" spans="1:3" x14ac:dyDescent="0.3">
      <c r="A39" s="16" t="s">
        <v>14</v>
      </c>
      <c r="B39" s="11">
        <f>C18*(1/1.147)+D18*(1/1.147)^2+(E18+B27)*(1/1.147)^3-B8</f>
        <v>274162.4916338902</v>
      </c>
      <c r="C39" s="55" t="s">
        <v>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681C-7AFF-4C17-A657-229A89FD4E21}">
  <dimension ref="A1:M87"/>
  <sheetViews>
    <sheetView topLeftCell="A69" workbookViewId="0">
      <selection activeCell="C87" sqref="C87:F88"/>
    </sheetView>
  </sheetViews>
  <sheetFormatPr defaultColWidth="8.77734375" defaultRowHeight="15.6" x14ac:dyDescent="0.3"/>
  <cols>
    <col min="1" max="1" width="24.6640625" style="29" bestFit="1" customWidth="1"/>
    <col min="2" max="2" width="28.88671875" style="29" customWidth="1"/>
    <col min="3" max="3" width="16.44140625" style="29" bestFit="1" customWidth="1"/>
    <col min="4" max="5" width="12.5546875" style="29" bestFit="1" customWidth="1"/>
    <col min="6" max="6" width="13.77734375" style="29" bestFit="1" customWidth="1"/>
    <col min="7" max="7" width="12.21875" style="33" bestFit="1" customWidth="1"/>
    <col min="8" max="8" width="8.77734375" style="29"/>
    <col min="9" max="9" width="10.44140625" style="29" bestFit="1" customWidth="1"/>
    <col min="10" max="10" width="12.5546875" style="29" bestFit="1" customWidth="1"/>
    <col min="11" max="11" width="17.21875" style="29" bestFit="1" customWidth="1"/>
    <col min="12" max="12" width="14.77734375" style="29" bestFit="1" customWidth="1"/>
    <col min="13" max="13" width="12.5546875" style="29" bestFit="1" customWidth="1"/>
    <col min="14" max="16384" width="8.77734375" style="29"/>
  </cols>
  <sheetData>
    <row r="1" spans="1:12" s="4" customFormat="1" x14ac:dyDescent="0.3">
      <c r="A1" s="4" t="s">
        <v>22</v>
      </c>
      <c r="G1" s="11"/>
    </row>
    <row r="2" spans="1:12" s="4" customFormat="1" x14ac:dyDescent="0.3">
      <c r="G2" s="11"/>
    </row>
    <row r="3" spans="1:12" s="4" customFormat="1" x14ac:dyDescent="0.3">
      <c r="A3" s="29" t="s">
        <v>19</v>
      </c>
      <c r="G3" s="11"/>
    </row>
    <row r="4" spans="1:12" s="4" customFormat="1" x14ac:dyDescent="0.3">
      <c r="A4" s="30" t="s">
        <v>23</v>
      </c>
      <c r="B4" s="7">
        <v>0</v>
      </c>
      <c r="F4" s="16" t="s">
        <v>24</v>
      </c>
      <c r="G4" s="11">
        <v>400000</v>
      </c>
      <c r="K4" s="31" t="s">
        <v>25</v>
      </c>
      <c r="L4" s="11">
        <f>500000-100000*3</f>
        <v>200000</v>
      </c>
    </row>
    <row r="5" spans="1:12" s="4" customFormat="1" x14ac:dyDescent="0.3">
      <c r="A5" s="16" t="s">
        <v>26</v>
      </c>
      <c r="B5" s="9">
        <f>80000000+5000000</f>
        <v>85000000</v>
      </c>
      <c r="F5" s="31" t="s">
        <v>27</v>
      </c>
      <c r="G5" s="11">
        <f>5000000-1000000*3</f>
        <v>2000000</v>
      </c>
    </row>
    <row r="6" spans="1:12" s="4" customFormat="1" ht="16.2" x14ac:dyDescent="0.3">
      <c r="A6" s="53" t="s">
        <v>54</v>
      </c>
      <c r="B6" s="9">
        <f>B5*0.03</f>
        <v>2550000</v>
      </c>
      <c r="F6" s="16" t="s">
        <v>29</v>
      </c>
      <c r="G6" s="11">
        <f>G4-G5</f>
        <v>-1600000</v>
      </c>
    </row>
    <row r="7" spans="1:12" x14ac:dyDescent="0.3">
      <c r="A7" s="16" t="s">
        <v>28</v>
      </c>
      <c r="B7" s="27">
        <f>1500000+2000000-2500000</f>
        <v>1000000</v>
      </c>
      <c r="F7" s="31" t="s">
        <v>31</v>
      </c>
      <c r="G7" s="32">
        <v>0.4</v>
      </c>
    </row>
    <row r="8" spans="1:12" x14ac:dyDescent="0.3">
      <c r="A8" s="16" t="s">
        <v>30</v>
      </c>
      <c r="B8" s="21">
        <v>400000</v>
      </c>
      <c r="F8" s="16" t="s">
        <v>33</v>
      </c>
      <c r="G8" s="33">
        <f>G6*G7</f>
        <v>-640000</v>
      </c>
    </row>
    <row r="9" spans="1:12" x14ac:dyDescent="0.3">
      <c r="A9" s="31" t="s">
        <v>32</v>
      </c>
      <c r="B9" s="15">
        <f>G8</f>
        <v>-640000</v>
      </c>
    </row>
    <row r="10" spans="1:12" x14ac:dyDescent="0.3">
      <c r="B10" s="34">
        <f>B5-B6+B7-B8+B9</f>
        <v>82410000</v>
      </c>
    </row>
    <row r="12" spans="1:12" x14ac:dyDescent="0.3">
      <c r="A12" s="29" t="s">
        <v>20</v>
      </c>
    </row>
    <row r="13" spans="1:12" x14ac:dyDescent="0.3">
      <c r="B13" s="29">
        <v>0</v>
      </c>
    </row>
    <row r="14" spans="1:12" x14ac:dyDescent="0.3">
      <c r="B14" s="29">
        <v>0</v>
      </c>
    </row>
    <row r="15" spans="1:12" x14ac:dyDescent="0.3">
      <c r="A15" s="35"/>
      <c r="B15" s="36">
        <v>0</v>
      </c>
    </row>
    <row r="16" spans="1:12" x14ac:dyDescent="0.3">
      <c r="B16" s="37">
        <v>0</v>
      </c>
    </row>
    <row r="19" spans="1:13" s="38" customFormat="1" x14ac:dyDescent="0.3">
      <c r="A19" s="29"/>
      <c r="B19" s="29"/>
      <c r="C19" s="29"/>
      <c r="D19" s="29"/>
      <c r="E19" s="29"/>
      <c r="F19" s="29"/>
      <c r="G19" s="33"/>
      <c r="H19" s="29"/>
      <c r="I19" s="29"/>
      <c r="J19" s="29"/>
    </row>
    <row r="20" spans="1:13" x14ac:dyDescent="0.3">
      <c r="G20" s="39"/>
      <c r="H20" s="38"/>
      <c r="I20" s="38"/>
      <c r="J20" s="38"/>
    </row>
    <row r="21" spans="1:13" x14ac:dyDescent="0.3">
      <c r="A21" s="38" t="s">
        <v>21</v>
      </c>
      <c r="B21" s="72">
        <f>B10-B16</f>
        <v>82410000</v>
      </c>
      <c r="C21" s="38"/>
      <c r="D21" s="38"/>
      <c r="E21" s="38"/>
      <c r="F21" s="38"/>
    </row>
    <row r="23" spans="1:13" x14ac:dyDescent="0.3">
      <c r="J23" s="30" t="s">
        <v>35</v>
      </c>
      <c r="K23" s="40" t="s">
        <v>19</v>
      </c>
      <c r="L23" s="40" t="s">
        <v>20</v>
      </c>
      <c r="M23" s="41" t="s">
        <v>21</v>
      </c>
    </row>
    <row r="24" spans="1:13" x14ac:dyDescent="0.3">
      <c r="G24" s="4"/>
      <c r="J24" s="28">
        <v>1</v>
      </c>
      <c r="K24" s="28">
        <f>B5*4/10</f>
        <v>34000000</v>
      </c>
      <c r="L24" s="28">
        <f>5000000/5</f>
        <v>1000000</v>
      </c>
      <c r="M24" s="59">
        <f>K24-L24</f>
        <v>33000000</v>
      </c>
    </row>
    <row r="25" spans="1:13" x14ac:dyDescent="0.3">
      <c r="A25" s="4" t="s">
        <v>34</v>
      </c>
      <c r="B25" s="4"/>
      <c r="C25" s="4"/>
      <c r="D25" s="4"/>
      <c r="E25" s="4"/>
      <c r="F25" s="4"/>
      <c r="G25" s="56"/>
      <c r="J25" s="28">
        <v>2</v>
      </c>
      <c r="K25" s="28">
        <f>B5*3/10</f>
        <v>25500000</v>
      </c>
      <c r="L25" s="28">
        <f>5000000/5</f>
        <v>1000000</v>
      </c>
      <c r="M25" s="59">
        <f t="shared" ref="M25:M27" si="0">K25-L25</f>
        <v>24500000</v>
      </c>
    </row>
    <row r="26" spans="1:13" x14ac:dyDescent="0.3">
      <c r="A26" s="4"/>
      <c r="B26" s="30" t="s">
        <v>23</v>
      </c>
      <c r="C26" s="7">
        <v>1</v>
      </c>
      <c r="D26" s="7">
        <v>2</v>
      </c>
      <c r="E26" s="7">
        <v>3</v>
      </c>
      <c r="F26" s="7">
        <v>4</v>
      </c>
      <c r="G26" s="23"/>
      <c r="J26" s="28">
        <v>3</v>
      </c>
      <c r="K26" s="28">
        <f>B5*2/10</f>
        <v>17000000</v>
      </c>
      <c r="L26" s="28">
        <v>0</v>
      </c>
      <c r="M26" s="59">
        <f t="shared" si="0"/>
        <v>17000000</v>
      </c>
    </row>
    <row r="27" spans="1:13" x14ac:dyDescent="0.3">
      <c r="A27" s="4"/>
      <c r="B27" s="58" t="s">
        <v>1</v>
      </c>
      <c r="C27" s="61">
        <f>70000*1000</f>
        <v>70000000</v>
      </c>
      <c r="D27" s="61">
        <f>C27*(1+0.15)</f>
        <v>80500000</v>
      </c>
      <c r="E27" s="61">
        <f t="shared" ref="E27:F27" si="1">D27*(1+0.15)</f>
        <v>92575000</v>
      </c>
      <c r="F27" s="61">
        <f t="shared" si="1"/>
        <v>106461249.99999999</v>
      </c>
      <c r="G27" s="23"/>
      <c r="J27" s="28">
        <v>4</v>
      </c>
      <c r="K27" s="28">
        <f>B5*1/10</f>
        <v>8500000</v>
      </c>
      <c r="L27" s="28">
        <v>0</v>
      </c>
      <c r="M27" s="59">
        <f t="shared" si="0"/>
        <v>8500000</v>
      </c>
    </row>
    <row r="28" spans="1:13" x14ac:dyDescent="0.3">
      <c r="A28" s="4"/>
      <c r="B28" s="58" t="s">
        <v>56</v>
      </c>
      <c r="C28" s="61">
        <f>25000*1000</f>
        <v>25000000</v>
      </c>
      <c r="D28" s="61">
        <f>C28*(1+0.1)</f>
        <v>27500000.000000004</v>
      </c>
      <c r="E28" s="61">
        <f t="shared" ref="E28:F28" si="2">D28*(1+0.1)</f>
        <v>30250000.000000007</v>
      </c>
      <c r="F28" s="61">
        <f t="shared" si="2"/>
        <v>33275000.000000011</v>
      </c>
      <c r="G28" s="24"/>
      <c r="K28" s="28"/>
      <c r="L28" s="28"/>
      <c r="M28" s="59"/>
    </row>
    <row r="29" spans="1:13" x14ac:dyDescent="0.3">
      <c r="A29" s="4"/>
      <c r="B29" s="60" t="s">
        <v>55</v>
      </c>
      <c r="C29" s="61">
        <v>600000</v>
      </c>
      <c r="D29" s="61">
        <v>600000</v>
      </c>
      <c r="E29" s="61">
        <v>600000</v>
      </c>
      <c r="F29" s="61">
        <v>600000</v>
      </c>
      <c r="G29" s="25"/>
      <c r="J29" s="28"/>
      <c r="L29" s="57"/>
      <c r="M29" s="57"/>
    </row>
    <row r="30" spans="1:13" x14ac:dyDescent="0.3">
      <c r="A30" s="4"/>
      <c r="B30" s="69" t="s">
        <v>42</v>
      </c>
      <c r="C30" s="62">
        <v>1000000</v>
      </c>
      <c r="D30" s="62">
        <v>1000000</v>
      </c>
      <c r="E30" s="62">
        <v>1000000</v>
      </c>
      <c r="F30" s="62">
        <v>1000000</v>
      </c>
      <c r="G30" s="25"/>
    </row>
    <row r="31" spans="1:13" s="42" customFormat="1" x14ac:dyDescent="0.3">
      <c r="A31" s="4"/>
      <c r="B31" s="58" t="s">
        <v>57</v>
      </c>
      <c r="C31" s="63">
        <f>C27-C28-C29-C30</f>
        <v>43400000</v>
      </c>
      <c r="D31" s="63">
        <f t="shared" ref="D31:F31" si="3">D27-D28-D29-D30</f>
        <v>51400000</v>
      </c>
      <c r="E31" s="63">
        <f t="shared" si="3"/>
        <v>60724999.999999993</v>
      </c>
      <c r="F31" s="63">
        <f t="shared" si="3"/>
        <v>71586249.99999997</v>
      </c>
      <c r="G31" s="25"/>
      <c r="H31" s="29"/>
      <c r="I31" s="29"/>
      <c r="J31" s="29"/>
    </row>
    <row r="32" spans="1:13" s="42" customFormat="1" x14ac:dyDescent="0.3">
      <c r="A32" s="4"/>
      <c r="B32" s="70" t="s">
        <v>2</v>
      </c>
      <c r="C32" s="64">
        <f>K24</f>
        <v>34000000</v>
      </c>
      <c r="D32" s="64">
        <f>K25</f>
        <v>25500000</v>
      </c>
      <c r="E32" s="64">
        <f>K26</f>
        <v>17000000</v>
      </c>
      <c r="F32" s="64">
        <f>K27</f>
        <v>8500000</v>
      </c>
      <c r="G32" s="25"/>
    </row>
    <row r="33" spans="1:13" s="42" customFormat="1" x14ac:dyDescent="0.3">
      <c r="A33" s="22"/>
      <c r="B33" s="58" t="s">
        <v>3</v>
      </c>
      <c r="C33" s="63">
        <f>C31-C32</f>
        <v>9400000</v>
      </c>
      <c r="D33" s="63">
        <f t="shared" ref="D33:F33" si="4">D31-D32</f>
        <v>25900000</v>
      </c>
      <c r="E33" s="63">
        <f t="shared" si="4"/>
        <v>43724999.999999993</v>
      </c>
      <c r="F33" s="63">
        <f t="shared" si="4"/>
        <v>63086249.99999997</v>
      </c>
      <c r="G33" s="25"/>
    </row>
    <row r="34" spans="1:13" s="42" customFormat="1" x14ac:dyDescent="0.3">
      <c r="A34" s="22"/>
      <c r="B34" s="17" t="s">
        <v>36</v>
      </c>
      <c r="C34" s="64">
        <f>C33*0.4</f>
        <v>3760000</v>
      </c>
      <c r="D34" s="64">
        <f t="shared" ref="D34:F34" si="5">D33*0.4</f>
        <v>10360000</v>
      </c>
      <c r="E34" s="64">
        <f t="shared" si="5"/>
        <v>17489999.999999996</v>
      </c>
      <c r="F34" s="64">
        <f t="shared" si="5"/>
        <v>25234499.999999989</v>
      </c>
      <c r="G34" s="25"/>
    </row>
    <row r="35" spans="1:13" x14ac:dyDescent="0.3">
      <c r="A35" s="22"/>
      <c r="B35" s="66" t="s">
        <v>58</v>
      </c>
      <c r="C35" s="65">
        <f>C33-C34</f>
        <v>5640000</v>
      </c>
      <c r="D35" s="65">
        <f t="shared" ref="D35:F35" si="6">D33-D34</f>
        <v>15540000</v>
      </c>
      <c r="E35" s="65">
        <f t="shared" si="6"/>
        <v>26234999.999999996</v>
      </c>
      <c r="F35" s="65">
        <f t="shared" si="6"/>
        <v>37851749.999999985</v>
      </c>
      <c r="G35" s="51"/>
      <c r="H35" s="42"/>
      <c r="I35" s="42"/>
      <c r="J35" s="42"/>
    </row>
    <row r="36" spans="1:13" ht="16.2" x14ac:dyDescent="0.3">
      <c r="A36" s="42"/>
      <c r="B36" s="67" t="s">
        <v>59</v>
      </c>
      <c r="C36" s="71">
        <v>3000000</v>
      </c>
      <c r="D36" s="71">
        <v>3000000</v>
      </c>
      <c r="E36" s="71">
        <v>3000000</v>
      </c>
      <c r="F36" s="71">
        <v>3000000</v>
      </c>
      <c r="G36" s="34"/>
    </row>
    <row r="37" spans="1:13" ht="16.2" x14ac:dyDescent="0.3">
      <c r="A37" s="42"/>
      <c r="B37" s="66" t="s">
        <v>60</v>
      </c>
      <c r="C37" s="25">
        <f>C35-C36</f>
        <v>2640000</v>
      </c>
      <c r="D37" s="25">
        <f t="shared" ref="D37:F37" si="7">D35-D36</f>
        <v>12540000</v>
      </c>
      <c r="E37" s="25">
        <f t="shared" si="7"/>
        <v>23234999.999999996</v>
      </c>
      <c r="F37" s="25">
        <f t="shared" si="7"/>
        <v>34851749.999999985</v>
      </c>
      <c r="G37" s="34"/>
    </row>
    <row r="38" spans="1:13" x14ac:dyDescent="0.3">
      <c r="B38" s="66" t="s">
        <v>61</v>
      </c>
      <c r="C38" s="25">
        <f>M24</f>
        <v>33000000</v>
      </c>
      <c r="D38" s="25">
        <f>M25</f>
        <v>24500000</v>
      </c>
      <c r="E38" s="25">
        <f>M26</f>
        <v>17000000</v>
      </c>
      <c r="F38" s="25">
        <f>M27</f>
        <v>8500000</v>
      </c>
      <c r="G38" s="34"/>
    </row>
    <row r="39" spans="1:13" x14ac:dyDescent="0.3">
      <c r="B39" s="67" t="s">
        <v>62</v>
      </c>
      <c r="C39" s="26">
        <f>C27*0.3-B7</f>
        <v>20000000</v>
      </c>
      <c r="D39" s="26">
        <f>D27*0.3-B7-C39</f>
        <v>3150000</v>
      </c>
      <c r="E39" s="26">
        <f>E27*0.3-B7-D39-C39</f>
        <v>3622500</v>
      </c>
      <c r="F39" s="26">
        <f>F27*0.3-B7-C39-D39-E39</f>
        <v>4165874.9999999925</v>
      </c>
    </row>
    <row r="40" spans="1:13" x14ac:dyDescent="0.3">
      <c r="B40" s="73" t="s">
        <v>63</v>
      </c>
      <c r="C40" s="68">
        <f>C37+C38-C39</f>
        <v>15640000</v>
      </c>
      <c r="D40" s="68">
        <f t="shared" ref="D40:F40" si="8">D37+D38-D39</f>
        <v>33890000</v>
      </c>
      <c r="E40" s="68">
        <f t="shared" si="8"/>
        <v>36612500</v>
      </c>
      <c r="F40" s="68">
        <f t="shared" si="8"/>
        <v>39185874.999999993</v>
      </c>
    </row>
    <row r="41" spans="1:13" x14ac:dyDescent="0.3">
      <c r="B41" s="66"/>
      <c r="C41" s="25"/>
      <c r="D41" s="25"/>
      <c r="E41" s="25"/>
      <c r="F41" s="25"/>
    </row>
    <row r="42" spans="1:13" x14ac:dyDescent="0.3">
      <c r="C42" s="25"/>
      <c r="D42" s="25"/>
      <c r="E42" s="25"/>
      <c r="F42" s="25"/>
    </row>
    <row r="43" spans="1:13" x14ac:dyDescent="0.3">
      <c r="A43" s="4" t="s">
        <v>37</v>
      </c>
      <c r="B43" s="42"/>
      <c r="C43" s="42"/>
      <c r="D43" s="42"/>
      <c r="E43" s="42"/>
      <c r="F43" s="42"/>
      <c r="K43" s="4"/>
      <c r="L43" s="4"/>
      <c r="M43" s="4"/>
    </row>
    <row r="44" spans="1:13" x14ac:dyDescent="0.3">
      <c r="G44" s="11"/>
      <c r="H44" s="4"/>
      <c r="I44" s="4"/>
      <c r="L44" s="11"/>
      <c r="M44" s="4"/>
    </row>
    <row r="45" spans="1:13" x14ac:dyDescent="0.3">
      <c r="A45" s="29" t="s">
        <v>19</v>
      </c>
      <c r="G45" s="29"/>
      <c r="H45" s="4"/>
      <c r="I45" s="4"/>
      <c r="L45" s="4"/>
      <c r="M45" s="4"/>
    </row>
    <row r="46" spans="1:13" x14ac:dyDescent="0.3">
      <c r="A46" s="30" t="s">
        <v>23</v>
      </c>
      <c r="G46" s="29"/>
      <c r="H46" s="4"/>
      <c r="I46" s="4"/>
      <c r="L46" s="4"/>
      <c r="M46" s="4"/>
    </row>
    <row r="47" spans="1:13" x14ac:dyDescent="0.3">
      <c r="A47" s="16"/>
      <c r="B47" s="33"/>
      <c r="G47" s="29"/>
      <c r="H47" s="4"/>
      <c r="I47" s="4"/>
    </row>
    <row r="48" spans="1:13" x14ac:dyDescent="0.3">
      <c r="A48" s="16" t="s">
        <v>38</v>
      </c>
      <c r="B48" s="11">
        <f>B7+C39+D39+E39+F39</f>
        <v>31938374.999999993</v>
      </c>
      <c r="C48" s="4"/>
      <c r="D48" s="4"/>
      <c r="E48" s="4"/>
      <c r="F48" s="4" t="s">
        <v>19</v>
      </c>
      <c r="G48" s="29"/>
      <c r="I48" s="4" t="s">
        <v>20</v>
      </c>
      <c r="J48" s="11"/>
    </row>
    <row r="49" spans="1:13" x14ac:dyDescent="0.3">
      <c r="A49" s="16" t="s">
        <v>39</v>
      </c>
      <c r="B49" s="74">
        <v>900000</v>
      </c>
      <c r="C49" s="4"/>
      <c r="D49" s="4"/>
      <c r="E49" s="4"/>
      <c r="F49" s="16" t="s">
        <v>24</v>
      </c>
      <c r="G49" s="11">
        <f>B49</f>
        <v>900000</v>
      </c>
      <c r="I49" s="16" t="s">
        <v>24</v>
      </c>
      <c r="J49" s="11">
        <f>B60</f>
        <v>100000</v>
      </c>
    </row>
    <row r="50" spans="1:13" x14ac:dyDescent="0.3">
      <c r="A50" s="16" t="s">
        <v>32</v>
      </c>
      <c r="B50" s="9">
        <f>G53</f>
        <v>360000</v>
      </c>
      <c r="C50" s="4"/>
      <c r="D50" s="4"/>
      <c r="E50" s="4"/>
      <c r="F50" s="31" t="s">
        <v>27</v>
      </c>
      <c r="G50" s="11">
        <f>1000000-200000*5</f>
        <v>0</v>
      </c>
      <c r="I50" s="31" t="s">
        <v>27</v>
      </c>
      <c r="J50" s="11">
        <v>0</v>
      </c>
    </row>
    <row r="51" spans="1:13" x14ac:dyDescent="0.3">
      <c r="A51" s="16" t="s">
        <v>40</v>
      </c>
      <c r="B51" s="75">
        <f>B48+B49-B50</f>
        <v>32478374.999999993</v>
      </c>
      <c r="C51" s="4"/>
      <c r="D51" s="4"/>
      <c r="E51" s="4"/>
      <c r="F51" s="16" t="s">
        <v>29</v>
      </c>
      <c r="G51" s="11">
        <f>G49-G50</f>
        <v>900000</v>
      </c>
      <c r="I51" s="16" t="s">
        <v>29</v>
      </c>
      <c r="J51" s="11">
        <f>J49-J50</f>
        <v>100000</v>
      </c>
    </row>
    <row r="52" spans="1:13" x14ac:dyDescent="0.3">
      <c r="B52" s="21"/>
      <c r="F52" s="31" t="s">
        <v>31</v>
      </c>
      <c r="G52" s="32">
        <v>0.4</v>
      </c>
      <c r="I52" s="31" t="s">
        <v>31</v>
      </c>
      <c r="J52" s="76">
        <v>0.4</v>
      </c>
    </row>
    <row r="53" spans="1:13" x14ac:dyDescent="0.3">
      <c r="B53" s="21"/>
      <c r="F53" s="16" t="s">
        <v>33</v>
      </c>
      <c r="G53" s="33">
        <f>G51*G52</f>
        <v>360000</v>
      </c>
      <c r="I53" s="16" t="s">
        <v>33</v>
      </c>
      <c r="J53" s="77">
        <f>J51*J52</f>
        <v>40000</v>
      </c>
    </row>
    <row r="54" spans="1:13" x14ac:dyDescent="0.3">
      <c r="B54" s="21"/>
    </row>
    <row r="55" spans="1:13" x14ac:dyDescent="0.3">
      <c r="B55" s="21"/>
    </row>
    <row r="56" spans="1:13" x14ac:dyDescent="0.3">
      <c r="B56" s="21"/>
    </row>
    <row r="57" spans="1:13" x14ac:dyDescent="0.3">
      <c r="B57" s="21"/>
    </row>
    <row r="58" spans="1:13" x14ac:dyDescent="0.3">
      <c r="A58" s="29" t="s">
        <v>20</v>
      </c>
      <c r="B58" s="15"/>
      <c r="K58" s="38"/>
      <c r="L58" s="38"/>
      <c r="M58" s="38"/>
    </row>
    <row r="59" spans="1:13" x14ac:dyDescent="0.3">
      <c r="A59" s="16" t="s">
        <v>38</v>
      </c>
      <c r="B59" s="34">
        <v>0</v>
      </c>
      <c r="G59" s="39"/>
      <c r="H59" s="38"/>
      <c r="I59" s="38"/>
      <c r="J59" s="38"/>
    </row>
    <row r="60" spans="1:13" x14ac:dyDescent="0.3">
      <c r="A60" s="16" t="s">
        <v>39</v>
      </c>
      <c r="B60" s="77">
        <v>100000</v>
      </c>
    </row>
    <row r="61" spans="1:13" x14ac:dyDescent="0.3">
      <c r="A61" s="16" t="s">
        <v>32</v>
      </c>
      <c r="B61" s="78">
        <f>J53</f>
        <v>40000</v>
      </c>
    </row>
    <row r="62" spans="1:13" x14ac:dyDescent="0.3">
      <c r="A62" s="16" t="s">
        <v>40</v>
      </c>
      <c r="B62" s="79">
        <f>B59+B60-B61</f>
        <v>60000</v>
      </c>
    </row>
    <row r="63" spans="1:13" x14ac:dyDescent="0.3">
      <c r="B63" s="21"/>
      <c r="F63" s="38"/>
      <c r="G63" s="4"/>
      <c r="H63" s="4"/>
      <c r="I63" s="4"/>
      <c r="J63" s="4"/>
    </row>
    <row r="64" spans="1:13" x14ac:dyDescent="0.3">
      <c r="B64" s="21"/>
      <c r="G64" s="4"/>
      <c r="H64" s="4"/>
      <c r="I64" s="4"/>
      <c r="J64" s="4"/>
    </row>
    <row r="65" spans="1:10" x14ac:dyDescent="0.3">
      <c r="A65" s="80" t="s">
        <v>21</v>
      </c>
      <c r="B65" s="81">
        <f>B51-B62</f>
        <v>32418374.999999993</v>
      </c>
    </row>
    <row r="67" spans="1:10" x14ac:dyDescent="0.3">
      <c r="B67" s="42"/>
      <c r="F67" s="4"/>
    </row>
    <row r="68" spans="1:10" x14ac:dyDescent="0.3">
      <c r="A68" s="29" t="s">
        <v>73</v>
      </c>
      <c r="B68" s="82"/>
      <c r="C68" s="38"/>
      <c r="D68" s="38"/>
      <c r="E68" s="38"/>
      <c r="F68" s="4"/>
    </row>
    <row r="69" spans="1:10" x14ac:dyDescent="0.3">
      <c r="A69" s="14" t="s">
        <v>67</v>
      </c>
      <c r="B69" s="77">
        <f>27000000/0.3</f>
        <v>90000000</v>
      </c>
      <c r="E69" s="83" t="s">
        <v>74</v>
      </c>
    </row>
    <row r="70" spans="1:10" x14ac:dyDescent="0.3">
      <c r="A70" s="14" t="s">
        <v>69</v>
      </c>
      <c r="B70" s="76">
        <v>0.09</v>
      </c>
      <c r="E70" s="83" t="s">
        <v>75</v>
      </c>
      <c r="F70" s="76">
        <f>120000000/400000000</f>
        <v>0.3</v>
      </c>
    </row>
    <row r="71" spans="1:10" x14ac:dyDescent="0.3">
      <c r="A71" s="14" t="s">
        <v>70</v>
      </c>
      <c r="B71" s="85">
        <f>B70+2*0.25%</f>
        <v>9.5000000000000001E-2</v>
      </c>
      <c r="E71" s="83" t="s">
        <v>76</v>
      </c>
      <c r="F71" s="76">
        <f>80000000/400000000</f>
        <v>0.2</v>
      </c>
    </row>
    <row r="72" spans="1:10" x14ac:dyDescent="0.3">
      <c r="A72" s="16"/>
      <c r="E72" s="83" t="s">
        <v>77</v>
      </c>
      <c r="F72" s="76">
        <f>200000000/400000000</f>
        <v>0.5</v>
      </c>
    </row>
    <row r="73" spans="1:10" x14ac:dyDescent="0.3">
      <c r="A73" s="14" t="s">
        <v>72</v>
      </c>
      <c r="B73" s="85">
        <f>(100*7.05%)/75</f>
        <v>9.3999999999999986E-2</v>
      </c>
      <c r="I73" s="88">
        <f>F70*B70*0.6</f>
        <v>1.6199999999999999E-2</v>
      </c>
    </row>
    <row r="74" spans="1:10" x14ac:dyDescent="0.3">
      <c r="I74" s="87">
        <f>F71*B73</f>
        <v>1.8799999999999997E-2</v>
      </c>
    </row>
    <row r="75" spans="1:10" ht="16.2" x14ac:dyDescent="0.3">
      <c r="A75" s="14" t="s">
        <v>64</v>
      </c>
      <c r="B75" s="11">
        <f>65000000*(1-0.3)</f>
        <v>45500000</v>
      </c>
      <c r="C75" s="4"/>
      <c r="D75" s="4"/>
      <c r="E75" s="4"/>
    </row>
    <row r="76" spans="1:10" x14ac:dyDescent="0.3">
      <c r="A76" s="14" t="s">
        <v>68</v>
      </c>
      <c r="B76" s="77">
        <f>B75/0.5</f>
        <v>91000000</v>
      </c>
      <c r="C76" s="4"/>
      <c r="D76" s="4"/>
      <c r="E76" s="4"/>
      <c r="I76" s="87">
        <f>I73+I74</f>
        <v>3.4999999999999996E-2</v>
      </c>
    </row>
    <row r="77" spans="1:10" ht="16.2" x14ac:dyDescent="0.3">
      <c r="A77" s="90" t="s">
        <v>80</v>
      </c>
      <c r="B77" s="86">
        <f>(2.2/22)+7%</f>
        <v>0.17</v>
      </c>
    </row>
    <row r="78" spans="1:10" x14ac:dyDescent="0.3">
      <c r="A78" s="14" t="s">
        <v>71</v>
      </c>
      <c r="B78" s="86">
        <f>(2.2/(22-2))+7%</f>
        <v>0.18000000000000002</v>
      </c>
    </row>
    <row r="80" spans="1:10" x14ac:dyDescent="0.3">
      <c r="A80" s="89" t="s">
        <v>65</v>
      </c>
      <c r="B80" s="33">
        <f>B21</f>
        <v>82410000</v>
      </c>
      <c r="C80" s="83" t="s">
        <v>66</v>
      </c>
      <c r="E80" s="84" t="s">
        <v>51</v>
      </c>
      <c r="F80" s="29" t="s">
        <v>78</v>
      </c>
      <c r="J80" s="86">
        <f>F70*B70*(1-40%)+F71*B73+F72*B77</f>
        <v>0.12</v>
      </c>
    </row>
    <row r="82" spans="2:4" ht="16.2" x14ac:dyDescent="0.3">
      <c r="B82" s="84" t="s">
        <v>14</v>
      </c>
      <c r="C82" s="92">
        <f>C40*0.8929+D40*0.7972+E40*0.7118+(F40+B65)*0.6355-B21</f>
        <v>30137342.374999985</v>
      </c>
      <c r="D82" s="29" t="s">
        <v>79</v>
      </c>
    </row>
    <row r="87" spans="2:4" x14ac:dyDescent="0.3">
      <c r="C87" s="9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練習題三</vt:lpstr>
      <vt:lpstr>練習題四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2020-12-23T09:06:17Z</dcterms:created>
  <dcterms:modified xsi:type="dcterms:W3CDTF">2022-01-05T16:55:32Z</dcterms:modified>
</cp:coreProperties>
</file>