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CDBC25-3DA2-41DB-A8F8-F4D9A6B7720D}" xr6:coauthVersionLast="36" xr6:coauthVersionMax="36" xr10:uidLastSave="{00000000-0000-0000-0000-000000000000}"/>
  <bookViews>
    <workbookView xWindow="0" yWindow="0" windowWidth="28800" windowHeight="11190" activeTab="3" xr2:uid="{00000000-000D-0000-FFFF-FFFF00000000}"/>
  </bookViews>
  <sheets>
    <sheet name="110-1例題2" sheetId="9" r:id="rId1"/>
    <sheet name="110-1例題3" sheetId="8" r:id="rId2"/>
    <sheet name="110-1例題5" sheetId="2" r:id="rId3"/>
    <sheet name="110-1例題6" sheetId="5" r:id="rId4"/>
  </sheets>
  <calcPr calcId="191029"/>
</workbook>
</file>

<file path=xl/calcChain.xml><?xml version="1.0" encoding="utf-8"?>
<calcChain xmlns="http://schemas.openxmlformats.org/spreadsheetml/2006/main">
  <c r="B28" i="5" l="1"/>
  <c r="B27" i="9"/>
  <c r="E21" i="5"/>
  <c r="M14" i="5"/>
  <c r="M15" i="5"/>
  <c r="M16" i="5"/>
  <c r="M17" i="5"/>
  <c r="C25" i="2"/>
  <c r="B53" i="8" l="1"/>
  <c r="B52" i="8"/>
  <c r="B49" i="8"/>
  <c r="B47" i="8"/>
  <c r="B16" i="8"/>
  <c r="B37" i="8"/>
  <c r="B36" i="8"/>
  <c r="B45" i="8"/>
  <c r="I24" i="8"/>
  <c r="I28" i="8" s="1"/>
  <c r="H24" i="8"/>
  <c r="H28" i="8" s="1"/>
  <c r="G24" i="8"/>
  <c r="G28" i="8" s="1"/>
  <c r="D23" i="8"/>
  <c r="E23" i="8"/>
  <c r="E25" i="8" s="1"/>
  <c r="F23" i="8"/>
  <c r="G23" i="8"/>
  <c r="G25" i="8" s="1"/>
  <c r="H23" i="8"/>
  <c r="I23" i="8"/>
  <c r="N28" i="8"/>
  <c r="M23" i="8"/>
  <c r="M24" i="8"/>
  <c r="N24" i="8" s="1"/>
  <c r="E24" i="8" s="1"/>
  <c r="E28" i="8" s="1"/>
  <c r="M25" i="8"/>
  <c r="M26" i="8"/>
  <c r="M22" i="8"/>
  <c r="L28" i="8"/>
  <c r="L27" i="8"/>
  <c r="N27" i="8" s="1"/>
  <c r="L26" i="8"/>
  <c r="N26" i="8" s="1"/>
  <c r="L25" i="8"/>
  <c r="L22" i="8"/>
  <c r="N22" i="8" s="1"/>
  <c r="C24" i="8" s="1"/>
  <c r="C28" i="8" s="1"/>
  <c r="L23" i="8"/>
  <c r="N23" i="8" s="1"/>
  <c r="D24" i="8" s="1"/>
  <c r="L24" i="8"/>
  <c r="B10" i="8"/>
  <c r="E7" i="8"/>
  <c r="E8" i="8" s="1"/>
  <c r="E10" i="8" s="1"/>
  <c r="B29" i="9"/>
  <c r="B28" i="9"/>
  <c r="E28" i="9"/>
  <c r="G15" i="9"/>
  <c r="E27" i="9"/>
  <c r="D21" i="9"/>
  <c r="E21" i="9"/>
  <c r="F21" i="9"/>
  <c r="C21" i="9"/>
  <c r="F20" i="9"/>
  <c r="E20" i="9"/>
  <c r="D20" i="9"/>
  <c r="C20" i="9"/>
  <c r="K14" i="9"/>
  <c r="J14" i="9"/>
  <c r="I17" i="9"/>
  <c r="J17" i="9" s="1"/>
  <c r="I16" i="9"/>
  <c r="J16" i="9" s="1"/>
  <c r="I14" i="9"/>
  <c r="F15" i="9"/>
  <c r="F19" i="9" s="1"/>
  <c r="E15" i="9"/>
  <c r="D15" i="9"/>
  <c r="D19" i="9" s="1"/>
  <c r="C15" i="9"/>
  <c r="C19" i="9" s="1"/>
  <c r="D13" i="9"/>
  <c r="E13" i="9"/>
  <c r="F13" i="9"/>
  <c r="C13" i="9"/>
  <c r="D12" i="9"/>
  <c r="I15" i="9" s="1"/>
  <c r="J15" i="9" s="1"/>
  <c r="K15" i="9" s="1"/>
  <c r="E12" i="9"/>
  <c r="F12" i="9"/>
  <c r="C12" i="9"/>
  <c r="F28" i="9"/>
  <c r="E19" i="9"/>
  <c r="B8" i="9"/>
  <c r="E37" i="8"/>
  <c r="E39" i="8" s="1"/>
  <c r="C23" i="8"/>
  <c r="B38" i="8" l="1"/>
  <c r="G27" i="8"/>
  <c r="G29" i="8" s="1"/>
  <c r="G26" i="8"/>
  <c r="D25" i="8"/>
  <c r="D28" i="8"/>
  <c r="E26" i="8"/>
  <c r="E27" i="8"/>
  <c r="E29" i="8" s="1"/>
  <c r="I25" i="8"/>
  <c r="C25" i="8"/>
  <c r="C26" i="8" s="1"/>
  <c r="C27" i="8" s="1"/>
  <c r="C29" i="8" s="1"/>
  <c r="H25" i="8"/>
  <c r="N25" i="8"/>
  <c r="F24" i="8" s="1"/>
  <c r="F28" i="8" s="1"/>
  <c r="B30" i="9"/>
  <c r="B33" i="9" s="1"/>
  <c r="E29" i="9"/>
  <c r="E31" i="9" s="1"/>
  <c r="K17" i="9"/>
  <c r="K16" i="9"/>
  <c r="F14" i="9"/>
  <c r="F16" i="9" s="1"/>
  <c r="F17" i="9" s="1"/>
  <c r="E14" i="9"/>
  <c r="E16" i="9" s="1"/>
  <c r="E17" i="9" s="1"/>
  <c r="D14" i="9"/>
  <c r="D16" i="9" s="1"/>
  <c r="C14" i="9"/>
  <c r="C16" i="9" s="1"/>
  <c r="B37" i="9" l="1"/>
  <c r="B36" i="9"/>
  <c r="I26" i="8"/>
  <c r="I27" i="8"/>
  <c r="I29" i="8" s="1"/>
  <c r="D26" i="8"/>
  <c r="D27" i="8"/>
  <c r="D29" i="8" s="1"/>
  <c r="F25" i="8"/>
  <c r="H26" i="8"/>
  <c r="H27" i="8"/>
  <c r="H29" i="8" s="1"/>
  <c r="F18" i="9"/>
  <c r="E18" i="9"/>
  <c r="C18" i="9"/>
  <c r="C17" i="9"/>
  <c r="D17" i="9"/>
  <c r="D18" i="9" s="1"/>
  <c r="D15" i="2"/>
  <c r="D14" i="2"/>
  <c r="I22" i="5"/>
  <c r="D22" i="5"/>
  <c r="B41" i="5" s="1"/>
  <c r="G22" i="5"/>
  <c r="C22" i="5"/>
  <c r="G21" i="5"/>
  <c r="F21" i="5"/>
  <c r="F22" i="5" s="1"/>
  <c r="E22" i="5"/>
  <c r="D21" i="5"/>
  <c r="C21" i="5"/>
  <c r="M13" i="5"/>
  <c r="L14" i="5"/>
  <c r="L15" i="5"/>
  <c r="L16" i="5"/>
  <c r="L17" i="5"/>
  <c r="L13" i="5"/>
  <c r="K17" i="5"/>
  <c r="K16" i="5"/>
  <c r="K15" i="5"/>
  <c r="K14" i="5"/>
  <c r="K13" i="5"/>
  <c r="C28" i="2"/>
  <c r="J20" i="2"/>
  <c r="I20" i="2"/>
  <c r="H20" i="2"/>
  <c r="G20" i="2"/>
  <c r="F20" i="2"/>
  <c r="E20" i="2"/>
  <c r="D20" i="2"/>
  <c r="C20" i="2"/>
  <c r="F26" i="2"/>
  <c r="F28" i="2" s="1"/>
  <c r="B42" i="5" l="1"/>
  <c r="F26" i="8"/>
  <c r="F27" i="8" s="1"/>
  <c r="F29" i="8" s="1"/>
  <c r="N14" i="2"/>
  <c r="O14" i="2" s="1"/>
  <c r="N15" i="2"/>
  <c r="O15" i="2" s="1"/>
  <c r="M20" i="2"/>
  <c r="N20" i="2" s="1"/>
  <c r="M19" i="2"/>
  <c r="N19" i="2" s="1"/>
  <c r="M18" i="2"/>
  <c r="N18" i="2" s="1"/>
  <c r="O18" i="2" s="1"/>
  <c r="M17" i="2"/>
  <c r="N17" i="2" s="1"/>
  <c r="M16" i="2"/>
  <c r="N16" i="2" s="1"/>
  <c r="O16" i="2" s="1"/>
  <c r="M15" i="2"/>
  <c r="M14" i="2"/>
  <c r="M13" i="2"/>
  <c r="N13" i="2" s="1"/>
  <c r="O13" i="2" s="1"/>
  <c r="H13" i="2"/>
  <c r="O17" i="2" l="1"/>
  <c r="O19" i="2"/>
  <c r="O20" i="2"/>
  <c r="E29" i="5"/>
  <c r="E28" i="5"/>
  <c r="B30" i="5"/>
  <c r="I16" i="5"/>
  <c r="H16" i="5"/>
  <c r="D15" i="5"/>
  <c r="C15" i="5"/>
  <c r="G16" i="5"/>
  <c r="G20" i="5" s="1"/>
  <c r="F16" i="5"/>
  <c r="F20" i="5" s="1"/>
  <c r="E16" i="5"/>
  <c r="D16" i="5"/>
  <c r="C16" i="5"/>
  <c r="G13" i="5"/>
  <c r="F13" i="5"/>
  <c r="E13" i="5"/>
  <c r="D13" i="5"/>
  <c r="C13" i="5"/>
  <c r="G12" i="5"/>
  <c r="F12" i="5"/>
  <c r="E12" i="5"/>
  <c r="D12" i="5"/>
  <c r="C12" i="5"/>
  <c r="E20" i="5"/>
  <c r="D20" i="5"/>
  <c r="C20" i="5"/>
  <c r="B8" i="5"/>
  <c r="E30" i="5" l="1"/>
  <c r="E32" i="5" s="1"/>
  <c r="G14" i="5"/>
  <c r="G17" i="5" s="1"/>
  <c r="G18" i="5" s="1"/>
  <c r="C14" i="5"/>
  <c r="E14" i="5"/>
  <c r="F14" i="5"/>
  <c r="F17" i="5" s="1"/>
  <c r="F18" i="5" s="1"/>
  <c r="D14" i="5"/>
  <c r="D17" i="5" s="1"/>
  <c r="D18" i="5" s="1"/>
  <c r="J12" i="2"/>
  <c r="J14" i="2" s="1"/>
  <c r="J16" i="2" s="1"/>
  <c r="I12" i="2"/>
  <c r="I14" i="2" s="1"/>
  <c r="I16" i="2" s="1"/>
  <c r="H12" i="2"/>
  <c r="H14" i="2" s="1"/>
  <c r="H16" i="2" s="1"/>
  <c r="G12" i="2"/>
  <c r="F12" i="2"/>
  <c r="J15" i="2"/>
  <c r="J19" i="2" s="1"/>
  <c r="I15" i="2"/>
  <c r="I19" i="2" s="1"/>
  <c r="H15" i="2"/>
  <c r="H19" i="2" s="1"/>
  <c r="G15" i="2"/>
  <c r="F15" i="2"/>
  <c r="E15" i="2"/>
  <c r="C15" i="2"/>
  <c r="J13" i="2"/>
  <c r="I13" i="2"/>
  <c r="G13" i="2"/>
  <c r="F13" i="2"/>
  <c r="E13" i="2"/>
  <c r="D13" i="2"/>
  <c r="C13" i="2"/>
  <c r="E12" i="2"/>
  <c r="D12" i="2"/>
  <c r="C12" i="2"/>
  <c r="B31" i="5" l="1"/>
  <c r="B34" i="5" s="1"/>
  <c r="C17" i="5"/>
  <c r="C18" i="5" s="1"/>
  <c r="E19" i="5"/>
  <c r="E17" i="5"/>
  <c r="E18" i="5" s="1"/>
  <c r="G19" i="5"/>
  <c r="F19" i="5"/>
  <c r="D19" i="5"/>
  <c r="H17" i="2"/>
  <c r="H18" i="2" s="1"/>
  <c r="J17" i="2"/>
  <c r="J18" i="2" s="1"/>
  <c r="I17" i="2"/>
  <c r="I18" i="2" s="1"/>
  <c r="D19" i="2"/>
  <c r="E19" i="2"/>
  <c r="F19" i="2"/>
  <c r="G19" i="2"/>
  <c r="C19" i="2"/>
  <c r="D16" i="2"/>
  <c r="D17" i="2" s="1"/>
  <c r="E14" i="2"/>
  <c r="E16" i="2" s="1"/>
  <c r="E17" i="2" s="1"/>
  <c r="F14" i="2"/>
  <c r="F16" i="2" s="1"/>
  <c r="F17" i="2" s="1"/>
  <c r="G14" i="2"/>
  <c r="G16" i="2" s="1"/>
  <c r="G17" i="2" s="1"/>
  <c r="C14" i="2"/>
  <c r="C16" i="2" s="1"/>
  <c r="C17" i="2" s="1"/>
  <c r="B8" i="2"/>
  <c r="B37" i="5" l="1"/>
  <c r="B38" i="5"/>
  <c r="H21" i="2"/>
  <c r="C19" i="5"/>
  <c r="J21" i="2"/>
  <c r="I21" i="2"/>
  <c r="G18" i="2"/>
  <c r="G21" i="2" s="1"/>
  <c r="F18" i="2"/>
  <c r="F21" i="2" s="1"/>
  <c r="E18" i="2"/>
  <c r="E21" i="2" s="1"/>
  <c r="D18" i="2"/>
  <c r="D21" i="2" s="1"/>
  <c r="B30" i="2" s="1"/>
  <c r="C18" i="2"/>
  <c r="C21" i="2" s="1"/>
</calcChain>
</file>

<file path=xl/sharedStrings.xml><?xml version="1.0" encoding="utf-8"?>
<sst xmlns="http://schemas.openxmlformats.org/spreadsheetml/2006/main" count="167" uniqueCount="57">
  <si>
    <t>解答：</t>
  </si>
  <si>
    <t>(一) 期初投資現金流量</t>
    <phoneticPr fontId="2" type="noConversion"/>
  </si>
  <si>
    <t>(二)營運現金流量</t>
    <phoneticPr fontId="2" type="noConversion"/>
  </si>
  <si>
    <t>銷貨收入</t>
    <phoneticPr fontId="2" type="noConversion"/>
  </si>
  <si>
    <t>銷貨成本</t>
    <phoneticPr fontId="2" type="noConversion"/>
  </si>
  <si>
    <t>毛利</t>
    <phoneticPr fontId="2" type="noConversion"/>
  </si>
  <si>
    <t>折舊費用</t>
    <phoneticPr fontId="2" type="noConversion"/>
  </si>
  <si>
    <t>稅前淨利</t>
    <phoneticPr fontId="2" type="noConversion"/>
  </si>
  <si>
    <t>稅</t>
    <phoneticPr fontId="2" type="noConversion"/>
  </si>
  <si>
    <t>稅後淨利</t>
    <phoneticPr fontId="2" type="noConversion"/>
  </si>
  <si>
    <t>(三)期末現金流量</t>
    <phoneticPr fontId="2" type="noConversion"/>
  </si>
  <si>
    <t>資產的處分</t>
    <phoneticPr fontId="2" type="noConversion"/>
  </si>
  <si>
    <t>淨營運資金回收</t>
    <phoneticPr fontId="2" type="noConversion"/>
  </si>
  <si>
    <t>淨營運資金投入</t>
    <phoneticPr fontId="2" type="noConversion"/>
  </si>
  <si>
    <t>資產處分所得稅影響數</t>
    <phoneticPr fontId="2" type="noConversion"/>
  </si>
  <si>
    <t>賣價</t>
    <phoneticPr fontId="2" type="noConversion"/>
  </si>
  <si>
    <t>帳面價值</t>
    <phoneticPr fontId="2" type="noConversion"/>
  </si>
  <si>
    <t>利得</t>
    <phoneticPr fontId="2" type="noConversion"/>
  </si>
  <si>
    <t>稅率</t>
    <phoneticPr fontId="2" type="noConversion"/>
  </si>
  <si>
    <t>NPV=</t>
    <phoneticPr fontId="2" type="noConversion"/>
  </si>
  <si>
    <t>營運現金流量</t>
    <phoneticPr fontId="2" type="noConversion"/>
  </si>
  <si>
    <t>期末現金流量</t>
    <phoneticPr fontId="2" type="noConversion"/>
  </si>
  <si>
    <t>新機器成本</t>
    <phoneticPr fontId="2" type="noConversion"/>
  </si>
  <si>
    <t>年</t>
    <phoneticPr fontId="2" type="noConversion"/>
  </si>
  <si>
    <t>PI1=</t>
    <phoneticPr fontId="2" type="noConversion"/>
  </si>
  <si>
    <t>PI2=</t>
    <phoneticPr fontId="2" type="noConversion"/>
  </si>
  <si>
    <r>
      <rPr>
        <sz val="12"/>
        <color theme="1"/>
        <rFont val="微軟正黑體"/>
        <family val="2"/>
        <charset val="136"/>
      </rPr>
      <t>淨營運資金回收</t>
    </r>
    <phoneticPr fontId="2" type="noConversion"/>
  </si>
  <si>
    <r>
      <t>稅</t>
    </r>
    <r>
      <rPr>
        <sz val="12"/>
        <color theme="1"/>
        <rFont val="Times New Roman"/>
        <family val="1"/>
      </rPr>
      <t>(34%)</t>
    </r>
    <phoneticPr fontId="2" type="noConversion"/>
  </si>
  <si>
    <t>淨營運資金的變動</t>
    <phoneticPr fontId="2" type="noConversion"/>
  </si>
  <si>
    <t>副作用</t>
    <phoneticPr fontId="2" type="noConversion"/>
  </si>
  <si>
    <r>
      <t>稅</t>
    </r>
    <r>
      <rPr>
        <sz val="12"/>
        <color theme="1"/>
        <rFont val="Times New Roman"/>
        <family val="1"/>
      </rPr>
      <t>(35%)</t>
    </r>
    <phoneticPr fontId="2" type="noConversion"/>
  </si>
  <si>
    <t>淨營運資金的變動</t>
    <phoneticPr fontId="2" type="noConversion"/>
  </si>
  <si>
    <t>還本期間法</t>
    <phoneticPr fontId="2" type="noConversion"/>
  </si>
  <si>
    <t>單位：年</t>
    <phoneticPr fontId="2" type="noConversion"/>
  </si>
  <si>
    <r>
      <t>(</t>
    </r>
    <r>
      <rPr>
        <sz val="12"/>
        <color theme="1"/>
        <rFont val="細明體"/>
        <family val="3"/>
        <charset val="136"/>
      </rPr>
      <t>三</t>
    </r>
    <r>
      <rPr>
        <sz val="12"/>
        <color theme="1"/>
        <rFont val="Times New Roman"/>
        <family val="1"/>
      </rPr>
      <t>)</t>
    </r>
    <r>
      <rPr>
        <sz val="12"/>
        <color theme="1"/>
        <rFont val="細明體"/>
        <family val="3"/>
        <charset val="136"/>
      </rPr>
      <t>期末現金流量</t>
    </r>
    <phoneticPr fontId="2" type="noConversion"/>
  </si>
  <si>
    <t>年</t>
    <phoneticPr fontId="2" type="noConversion"/>
  </si>
  <si>
    <t>銷貨收入</t>
    <phoneticPr fontId="2" type="noConversion"/>
  </si>
  <si>
    <t>淨營運資金</t>
    <phoneticPr fontId="2" type="noConversion"/>
  </si>
  <si>
    <t>現金流量</t>
    <phoneticPr fontId="2" type="noConversion"/>
  </si>
  <si>
    <t>資產的處分</t>
    <phoneticPr fontId="2" type="noConversion"/>
  </si>
  <si>
    <t>淨營運資金的變動</t>
    <phoneticPr fontId="2" type="noConversion"/>
  </si>
  <si>
    <t>淨營運資金變動</t>
    <phoneticPr fontId="2" type="noConversion"/>
  </si>
  <si>
    <r>
      <t>稅</t>
    </r>
    <r>
      <rPr>
        <sz val="12"/>
        <color theme="1"/>
        <rFont val="Times New Roman"/>
        <family val="1"/>
      </rPr>
      <t>(25%)</t>
    </r>
    <phoneticPr fontId="2" type="noConversion"/>
  </si>
  <si>
    <r>
      <t>稅</t>
    </r>
    <r>
      <rPr>
        <sz val="12"/>
        <color theme="1"/>
        <rFont val="微軟正黑體"/>
        <family val="1"/>
        <charset val="136"/>
      </rPr>
      <t>(34%)</t>
    </r>
    <phoneticPr fontId="2" type="noConversion"/>
  </si>
  <si>
    <t>NEW</t>
    <phoneticPr fontId="2" type="noConversion"/>
  </si>
  <si>
    <t>購置新機器成本</t>
    <phoneticPr fontId="2" type="noConversion"/>
  </si>
  <si>
    <t>淨營運資金的投入</t>
    <phoneticPr fontId="2" type="noConversion"/>
  </si>
  <si>
    <t>處分舊資產</t>
    <phoneticPr fontId="2" type="noConversion"/>
  </si>
  <si>
    <t>OLD</t>
    <phoneticPr fontId="2" type="noConversion"/>
  </si>
  <si>
    <t>折舊</t>
    <phoneticPr fontId="2" type="noConversion"/>
  </si>
  <si>
    <t>新機器折舊</t>
    <phoneticPr fontId="2" type="noConversion"/>
  </si>
  <si>
    <t>舊機器折舊</t>
    <phoneticPr fontId="2" type="noConversion"/>
  </si>
  <si>
    <t>新-舊</t>
    <phoneticPr fontId="2" type="noConversion"/>
  </si>
  <si>
    <t>NEW-OLD=</t>
    <phoneticPr fontId="2" type="noConversion"/>
  </si>
  <si>
    <t>(二)營運現金流量(NEW-OLD)</t>
    <phoneticPr fontId="2" type="noConversion"/>
  </si>
  <si>
    <r>
      <t>&gt;0</t>
    </r>
    <r>
      <rPr>
        <sz val="12"/>
        <color theme="1"/>
        <rFont val="新細明體"/>
        <family val="1"/>
        <charset val="136"/>
      </rPr>
      <t>，</t>
    </r>
    <r>
      <rPr>
        <sz val="12"/>
        <color theme="1"/>
        <rFont val="微軟正黑體"/>
        <family val="2"/>
        <charset val="136"/>
      </rPr>
      <t>所以公司應執行此投資案</t>
    </r>
    <phoneticPr fontId="2" type="noConversion"/>
  </si>
  <si>
    <r>
      <rPr>
        <sz val="12"/>
        <color theme="1"/>
        <rFont val="Times New Roman"/>
        <family val="1"/>
      </rPr>
      <t>&gt;0</t>
    </r>
    <r>
      <rPr>
        <sz val="12"/>
        <color theme="1"/>
        <rFont val="新細明體"/>
        <family val="2"/>
        <charset val="136"/>
        <scheme val="minor"/>
      </rPr>
      <t>，</t>
    </r>
    <r>
      <rPr>
        <sz val="12"/>
        <color theme="1"/>
        <rFont val="微軟正黑體"/>
        <family val="2"/>
        <charset val="136"/>
      </rPr>
      <t>所以公司應執行此重置計畫，汰舊換新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</si>
</sst>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#,##0.00_);[Red]\(#,##0.00\)"/>
    <numFmt numFmtId="177" formatCode="#,##0_);[Red]\(#,##0\)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b/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70C0"/>
      </right>
      <top style="thin">
        <color indexed="64"/>
      </top>
      <bottom/>
      <diagonal/>
    </border>
    <border>
      <left style="medium">
        <color rgb="FF0070C0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176" fontId="4" fillId="0" borderId="0" xfId="0" applyNumberFormat="1" applyFont="1" applyAlignment="1">
      <alignment horizontal="justify" vertical="center"/>
    </xf>
    <xf numFmtId="176" fontId="0" fillId="0" borderId="0" xfId="0" applyNumberFormat="1" applyBorder="1">
      <alignment vertical="center"/>
    </xf>
    <xf numFmtId="176" fontId="5" fillId="0" borderId="0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0" xfId="2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177" fontId="3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Border="1">
      <alignment vertical="center"/>
    </xf>
    <xf numFmtId="177" fontId="3" fillId="0" borderId="0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0" xfId="0" applyNumberFormat="1" applyFont="1" applyBorder="1">
      <alignment vertical="center"/>
    </xf>
    <xf numFmtId="177" fontId="3" fillId="0" borderId="0" xfId="2" applyNumberFormat="1" applyFont="1" applyBorder="1">
      <alignment vertical="center"/>
    </xf>
    <xf numFmtId="177" fontId="3" fillId="0" borderId="1" xfId="2" applyNumberFormat="1" applyFont="1" applyBorder="1">
      <alignment vertical="center"/>
    </xf>
    <xf numFmtId="176" fontId="5" fillId="0" borderId="0" xfId="0" applyNumberFormat="1" applyFont="1" applyBorder="1" applyAlignment="1">
      <alignment horizontal="right" vertical="center"/>
    </xf>
    <xf numFmtId="177" fontId="3" fillId="0" borderId="1" xfId="0" applyNumberFormat="1" applyFont="1" applyBorder="1">
      <alignment vertical="center"/>
    </xf>
    <xf numFmtId="176" fontId="3" fillId="0" borderId="0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center" vertical="center"/>
    </xf>
    <xf numFmtId="177" fontId="3" fillId="2" borderId="0" xfId="0" applyNumberFormat="1" applyFont="1" applyFill="1" applyBorder="1">
      <alignment vertical="center"/>
    </xf>
    <xf numFmtId="9" fontId="3" fillId="0" borderId="0" xfId="0" applyNumberFormat="1" applyFont="1" applyBorder="1">
      <alignment vertical="center"/>
    </xf>
    <xf numFmtId="176" fontId="5" fillId="0" borderId="2" xfId="0" applyNumberFormat="1" applyFont="1" applyBorder="1">
      <alignment vertical="center"/>
    </xf>
    <xf numFmtId="177" fontId="3" fillId="0" borderId="2" xfId="2" applyNumberFormat="1" applyFont="1" applyBorder="1">
      <alignment vertical="center"/>
    </xf>
    <xf numFmtId="176" fontId="5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7" fontId="3" fillId="0" borderId="2" xfId="1" applyNumberFormat="1" applyFont="1" applyBorder="1">
      <alignment vertical="center"/>
    </xf>
    <xf numFmtId="177" fontId="3" fillId="0" borderId="2" xfId="0" applyNumberFormat="1" applyFont="1" applyBorder="1">
      <alignment vertical="center"/>
    </xf>
    <xf numFmtId="177" fontId="3" fillId="2" borderId="2" xfId="2" applyNumberFormat="1" applyFont="1" applyFill="1" applyBorder="1">
      <alignment vertical="center"/>
    </xf>
    <xf numFmtId="176" fontId="7" fillId="0" borderId="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5" fillId="0" borderId="0" xfId="0" applyNumberFormat="1" applyFont="1" applyBorder="1">
      <alignment vertical="center"/>
    </xf>
    <xf numFmtId="176" fontId="5" fillId="0" borderId="2" xfId="0" applyNumberFormat="1" applyFont="1" applyBorder="1" applyAlignment="1">
      <alignment horizontal="right"/>
    </xf>
    <xf numFmtId="177" fontId="3" fillId="0" borderId="0" xfId="2" applyNumberFormat="1" applyFont="1" applyBorder="1" applyAlignment="1">
      <alignment horizontal="center" vertical="center"/>
    </xf>
    <xf numFmtId="176" fontId="8" fillId="0" borderId="0" xfId="0" applyNumberFormat="1" applyFont="1" applyBorder="1">
      <alignment vertical="center"/>
    </xf>
    <xf numFmtId="176" fontId="3" fillId="0" borderId="0" xfId="0" applyNumberFormat="1" applyFont="1" applyFill="1" applyBorder="1">
      <alignment vertical="center"/>
    </xf>
    <xf numFmtId="176" fontId="5" fillId="0" borderId="2" xfId="0" applyNumberFormat="1" applyFont="1" applyFill="1" applyBorder="1">
      <alignment vertical="center"/>
    </xf>
    <xf numFmtId="177" fontId="3" fillId="0" borderId="2" xfId="2" applyNumberFormat="1" applyFont="1" applyFill="1" applyBorder="1">
      <alignment vertical="center"/>
    </xf>
    <xf numFmtId="176" fontId="8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Fill="1" applyBorder="1">
      <alignment vertical="center"/>
    </xf>
    <xf numFmtId="177" fontId="3" fillId="0" borderId="0" xfId="2" applyNumberFormat="1" applyFont="1" applyFill="1" applyBorder="1">
      <alignment vertical="center"/>
    </xf>
    <xf numFmtId="177" fontId="3" fillId="0" borderId="3" xfId="0" applyNumberFormat="1" applyFont="1" applyBorder="1">
      <alignment vertical="center"/>
    </xf>
    <xf numFmtId="177" fontId="3" fillId="0" borderId="3" xfId="0" applyNumberFormat="1" applyFont="1" applyFill="1" applyBorder="1">
      <alignment vertical="center"/>
    </xf>
    <xf numFmtId="177" fontId="3" fillId="0" borderId="4" xfId="0" applyNumberFormat="1" applyFont="1" applyBorder="1">
      <alignment vertical="center"/>
    </xf>
    <xf numFmtId="177" fontId="3" fillId="0" borderId="4" xfId="1" applyNumberFormat="1" applyFont="1" applyBorder="1">
      <alignment vertical="center"/>
    </xf>
    <xf numFmtId="176" fontId="8" fillId="0" borderId="5" xfId="0" applyNumberFormat="1" applyFont="1" applyBorder="1">
      <alignment vertical="center"/>
    </xf>
    <xf numFmtId="176" fontId="8" fillId="0" borderId="6" xfId="0" applyNumberFormat="1" applyFont="1" applyBorder="1">
      <alignment vertical="center"/>
    </xf>
    <xf numFmtId="177" fontId="3" fillId="2" borderId="0" xfId="2" applyNumberFormat="1" applyFont="1" applyFill="1" applyBorder="1">
      <alignment vertical="center"/>
    </xf>
    <xf numFmtId="177" fontId="7" fillId="0" borderId="0" xfId="2" applyNumberFormat="1" applyFont="1" applyBorder="1">
      <alignment vertical="center"/>
    </xf>
    <xf numFmtId="177" fontId="3" fillId="0" borderId="0" xfId="0" applyNumberFormat="1" applyFont="1" applyFill="1" applyBorder="1">
      <alignment vertical="center"/>
    </xf>
    <xf numFmtId="9" fontId="3" fillId="0" borderId="0" xfId="2" applyFont="1" applyBorder="1">
      <alignment vertical="center"/>
    </xf>
    <xf numFmtId="176" fontId="8" fillId="0" borderId="2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177" fontId="3" fillId="0" borderId="1" xfId="0" applyNumberFormat="1" applyFont="1" applyFill="1" applyBorder="1">
      <alignment vertical="center"/>
    </xf>
    <xf numFmtId="176" fontId="10" fillId="0" borderId="0" xfId="0" applyNumberFormat="1" applyFont="1" applyBorder="1">
      <alignment vertical="center"/>
    </xf>
    <xf numFmtId="176" fontId="3" fillId="0" borderId="7" xfId="0" applyNumberFormat="1" applyFont="1" applyBorder="1" applyAlignment="1">
      <alignment horizontal="right" vertical="center"/>
    </xf>
    <xf numFmtId="177" fontId="3" fillId="0" borderId="8" xfId="2" applyNumberFormat="1" applyFont="1" applyBorder="1">
      <alignment vertical="center"/>
    </xf>
    <xf numFmtId="177" fontId="3" fillId="0" borderId="9" xfId="0" applyNumberFormat="1" applyFont="1" applyBorder="1">
      <alignment vertical="center"/>
    </xf>
    <xf numFmtId="177" fontId="3" fillId="0" borderId="10" xfId="0" applyNumberFormat="1" applyFont="1" applyBorder="1">
      <alignment vertical="center"/>
    </xf>
    <xf numFmtId="177" fontId="3" fillId="0" borderId="11" xfId="0" applyNumberFormat="1" applyFont="1" applyBorder="1">
      <alignment vertical="center"/>
    </xf>
    <xf numFmtId="176" fontId="5" fillId="0" borderId="7" xfId="0" applyNumberFormat="1" applyFont="1" applyBorder="1" applyAlignment="1">
      <alignment horizontal="right" vertical="center"/>
    </xf>
    <xf numFmtId="177" fontId="3" fillId="0" borderId="8" xfId="0" applyNumberFormat="1" applyFont="1" applyBorder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1497-4CDB-4BBD-ACFC-DEBEC81EDC56}">
  <dimension ref="A1:K37"/>
  <sheetViews>
    <sheetView topLeftCell="A13" zoomScaleNormal="100" workbookViewId="0">
      <selection activeCell="B30" sqref="B30"/>
    </sheetView>
  </sheetViews>
  <sheetFormatPr defaultColWidth="9" defaultRowHeight="16.5" x14ac:dyDescent="0.25"/>
  <cols>
    <col min="1" max="1" width="25.125" style="2" bestFit="1" customWidth="1"/>
    <col min="2" max="2" width="18.75" style="2" bestFit="1" customWidth="1"/>
    <col min="3" max="6" width="14" style="2" bestFit="1" customWidth="1"/>
    <col min="7" max="7" width="12.5" style="2" customWidth="1"/>
    <col min="8" max="8" width="9" style="2"/>
    <col min="9" max="9" width="22.75" style="2" bestFit="1" customWidth="1"/>
    <col min="10" max="10" width="28.25" style="2" customWidth="1"/>
    <col min="11" max="11" width="13.5" style="2" bestFit="1" customWidth="1"/>
    <col min="12" max="16384" width="9" style="2"/>
  </cols>
  <sheetData>
    <row r="1" spans="1:11" x14ac:dyDescent="0.25">
      <c r="A1" s="1" t="s">
        <v>0</v>
      </c>
    </row>
    <row r="3" spans="1:11" s="3" customFormat="1" ht="15.75" x14ac:dyDescent="0.25">
      <c r="A3" s="3" t="s">
        <v>1</v>
      </c>
    </row>
    <row r="4" spans="1:11" s="3" customFormat="1" ht="15.75" x14ac:dyDescent="0.25"/>
    <row r="5" spans="1:11" s="4" customFormat="1" ht="15.75" x14ac:dyDescent="0.25">
      <c r="A5" s="18" t="s">
        <v>23</v>
      </c>
      <c r="B5" s="7">
        <v>0</v>
      </c>
    </row>
    <row r="6" spans="1:11" s="4" customFormat="1" ht="15.75" x14ac:dyDescent="0.25">
      <c r="A6" s="14" t="s">
        <v>22</v>
      </c>
      <c r="B6" s="9">
        <v>-1100000</v>
      </c>
    </row>
    <row r="7" spans="1:11" s="4" customFormat="1" ht="15.75" x14ac:dyDescent="0.25">
      <c r="A7" s="14" t="s">
        <v>13</v>
      </c>
      <c r="B7" s="10">
        <v>-900000</v>
      </c>
    </row>
    <row r="8" spans="1:11" s="4" customFormat="1" ht="15.75" x14ac:dyDescent="0.25">
      <c r="A8" s="3"/>
      <c r="B8" s="19">
        <f>B6+B7</f>
        <v>-2000000</v>
      </c>
    </row>
    <row r="9" spans="1:11" s="4" customFormat="1" ht="15.75" x14ac:dyDescent="0.25">
      <c r="A9" s="3"/>
    </row>
    <row r="10" spans="1:11" s="3" customFormat="1" ht="15.75" x14ac:dyDescent="0.25">
      <c r="A10" s="3" t="s">
        <v>2</v>
      </c>
    </row>
    <row r="11" spans="1:11" s="4" customFormat="1" x14ac:dyDescent="0.25">
      <c r="B11" s="18" t="s">
        <v>23</v>
      </c>
      <c r="C11" s="7">
        <v>1</v>
      </c>
      <c r="D11" s="7">
        <v>2</v>
      </c>
      <c r="E11" s="7">
        <v>3</v>
      </c>
      <c r="F11" s="7">
        <v>4</v>
      </c>
      <c r="G11" s="24"/>
      <c r="H11" s="33" t="s">
        <v>28</v>
      </c>
    </row>
    <row r="12" spans="1:11" s="4" customFormat="1" x14ac:dyDescent="0.25">
      <c r="B12" s="3" t="s">
        <v>3</v>
      </c>
      <c r="C12" s="9">
        <f>500*10000</f>
        <v>5000000</v>
      </c>
      <c r="D12" s="9">
        <f t="shared" ref="D12:F12" si="0">500*10000</f>
        <v>5000000</v>
      </c>
      <c r="E12" s="9">
        <f t="shared" si="0"/>
        <v>5000000</v>
      </c>
      <c r="F12" s="9">
        <f t="shared" si="0"/>
        <v>5000000</v>
      </c>
      <c r="G12" s="9"/>
      <c r="H12" s="33" t="s">
        <v>23</v>
      </c>
      <c r="I12" s="33" t="s">
        <v>3</v>
      </c>
      <c r="J12" s="33" t="s">
        <v>37</v>
      </c>
      <c r="K12" s="33" t="s">
        <v>38</v>
      </c>
    </row>
    <row r="13" spans="1:11" s="4" customFormat="1" ht="15.75" x14ac:dyDescent="0.25">
      <c r="B13" s="6" t="s">
        <v>4</v>
      </c>
      <c r="C13" s="10">
        <f>500*5000+610000</f>
        <v>3110000</v>
      </c>
      <c r="D13" s="10">
        <f t="shared" ref="D13:F13" si="1">500*5000+610000</f>
        <v>3110000</v>
      </c>
      <c r="E13" s="10">
        <f t="shared" si="1"/>
        <v>3110000</v>
      </c>
      <c r="F13" s="10">
        <f t="shared" si="1"/>
        <v>3110000</v>
      </c>
      <c r="G13" s="9"/>
      <c r="H13" s="11">
        <v>0</v>
      </c>
      <c r="I13" s="11"/>
      <c r="J13" s="11">
        <v>900000</v>
      </c>
      <c r="K13" s="11">
        <v>-900000</v>
      </c>
    </row>
    <row r="14" spans="1:11" s="4" customFormat="1" ht="15.75" x14ac:dyDescent="0.25">
      <c r="B14" s="3" t="s">
        <v>5</v>
      </c>
      <c r="C14" s="12">
        <f>C12-C13</f>
        <v>1890000</v>
      </c>
      <c r="D14" s="12">
        <f t="shared" ref="D14:F14" si="2">D12-D13</f>
        <v>1890000</v>
      </c>
      <c r="E14" s="12">
        <f t="shared" si="2"/>
        <v>1890000</v>
      </c>
      <c r="F14" s="12">
        <f t="shared" si="2"/>
        <v>1890000</v>
      </c>
      <c r="G14" s="12"/>
      <c r="H14" s="11">
        <v>1</v>
      </c>
      <c r="I14" s="11">
        <f>C12</f>
        <v>5000000</v>
      </c>
      <c r="J14" s="11">
        <f>I14*0.3</f>
        <v>1500000</v>
      </c>
      <c r="K14" s="11">
        <f>J14-J13</f>
        <v>600000</v>
      </c>
    </row>
    <row r="15" spans="1:11" s="4" customFormat="1" ht="15.75" x14ac:dyDescent="0.25">
      <c r="B15" s="6" t="s">
        <v>6</v>
      </c>
      <c r="C15" s="13">
        <f>1100000*0.1429</f>
        <v>157190</v>
      </c>
      <c r="D15" s="13">
        <f>1100000*0.2449</f>
        <v>269390</v>
      </c>
      <c r="E15" s="13">
        <f>1100000*0.1749</f>
        <v>192390</v>
      </c>
      <c r="F15" s="13">
        <f>1100000*0.1249</f>
        <v>137390</v>
      </c>
      <c r="G15" s="47">
        <f>SUM(C15:F15)</f>
        <v>756360</v>
      </c>
      <c r="H15" s="11">
        <v>2</v>
      </c>
      <c r="I15" s="11">
        <f>D12</f>
        <v>5000000</v>
      </c>
      <c r="J15" s="11">
        <f t="shared" ref="J15:J17" si="3">I15*0.3</f>
        <v>1500000</v>
      </c>
      <c r="K15" s="11">
        <f t="shared" ref="K15:K17" si="4">J15-J14</f>
        <v>0</v>
      </c>
    </row>
    <row r="16" spans="1:11" s="4" customFormat="1" ht="15.75" x14ac:dyDescent="0.25">
      <c r="B16" s="3" t="s">
        <v>7</v>
      </c>
      <c r="C16" s="12">
        <f>C14-C15</f>
        <v>1732810</v>
      </c>
      <c r="D16" s="12">
        <f t="shared" ref="D16:F16" si="5">D14-D15</f>
        <v>1620610</v>
      </c>
      <c r="E16" s="12">
        <f t="shared" si="5"/>
        <v>1697610</v>
      </c>
      <c r="F16" s="12">
        <f t="shared" si="5"/>
        <v>1752610</v>
      </c>
      <c r="G16" s="12"/>
      <c r="H16" s="11">
        <v>3</v>
      </c>
      <c r="I16" s="11">
        <f>E12</f>
        <v>5000000</v>
      </c>
      <c r="J16" s="11">
        <f t="shared" si="3"/>
        <v>1500000</v>
      </c>
      <c r="K16" s="11">
        <f t="shared" si="4"/>
        <v>0</v>
      </c>
    </row>
    <row r="17" spans="1:11" s="4" customFormat="1" ht="15.75" x14ac:dyDescent="0.25">
      <c r="B17" s="3" t="s">
        <v>43</v>
      </c>
      <c r="C17" s="13">
        <f>+C16*0.34</f>
        <v>589155.4</v>
      </c>
      <c r="D17" s="13">
        <f t="shared" ref="D17:F17" si="6">+D16*0.34</f>
        <v>551007.4</v>
      </c>
      <c r="E17" s="13">
        <f t="shared" si="6"/>
        <v>577187.4</v>
      </c>
      <c r="F17" s="13">
        <f t="shared" si="6"/>
        <v>595887.4</v>
      </c>
      <c r="G17" s="12"/>
      <c r="H17" s="11">
        <v>4</v>
      </c>
      <c r="I17" s="11">
        <f>F12</f>
        <v>5000000</v>
      </c>
      <c r="J17" s="11">
        <f t="shared" si="3"/>
        <v>1500000</v>
      </c>
      <c r="K17" s="11">
        <f t="shared" si="4"/>
        <v>0</v>
      </c>
    </row>
    <row r="18" spans="1:11" s="34" customFormat="1" ht="15.75" x14ac:dyDescent="0.25">
      <c r="B18" s="35" t="s">
        <v>9</v>
      </c>
      <c r="C18" s="39">
        <f>C16-C17</f>
        <v>1143654.6000000001</v>
      </c>
      <c r="D18" s="39">
        <f t="shared" ref="D18:F18" si="7">D16-D17</f>
        <v>1069602.6000000001</v>
      </c>
      <c r="E18" s="39">
        <f t="shared" si="7"/>
        <v>1120422.6000000001</v>
      </c>
      <c r="F18" s="39">
        <f t="shared" si="7"/>
        <v>1156722.6000000001</v>
      </c>
      <c r="G18" s="39"/>
    </row>
    <row r="19" spans="1:11" s="4" customFormat="1" ht="15.75" x14ac:dyDescent="0.25">
      <c r="B19" s="3" t="s">
        <v>6</v>
      </c>
      <c r="C19" s="12">
        <f>C15</f>
        <v>157190</v>
      </c>
      <c r="D19" s="12">
        <f>D15</f>
        <v>269390</v>
      </c>
      <c r="E19" s="12">
        <f>E15</f>
        <v>192390</v>
      </c>
      <c r="F19" s="12">
        <f>F15</f>
        <v>137390</v>
      </c>
      <c r="G19" s="12"/>
    </row>
    <row r="20" spans="1:11" s="4" customFormat="1" ht="15.75" x14ac:dyDescent="0.25">
      <c r="B20" s="6" t="s">
        <v>28</v>
      </c>
      <c r="C20" s="13">
        <f>K14</f>
        <v>600000</v>
      </c>
      <c r="D20" s="13">
        <f>K15</f>
        <v>0</v>
      </c>
      <c r="E20" s="13">
        <f>K16</f>
        <v>0</v>
      </c>
      <c r="F20" s="13">
        <f>K17</f>
        <v>0</v>
      </c>
      <c r="G20" s="12"/>
    </row>
    <row r="21" spans="1:11" s="4" customFormat="1" ht="15.75" x14ac:dyDescent="0.25">
      <c r="B21" s="3" t="s">
        <v>20</v>
      </c>
      <c r="C21" s="46">
        <f>C18+C19-C20</f>
        <v>700844.60000000009</v>
      </c>
      <c r="D21" s="46">
        <f t="shared" ref="D21:F21" si="8">D18+D19-D20</f>
        <v>1338992.6000000001</v>
      </c>
      <c r="E21" s="46">
        <f t="shared" si="8"/>
        <v>1312812.6000000001</v>
      </c>
      <c r="F21" s="46">
        <f t="shared" si="8"/>
        <v>1294112.6000000001</v>
      </c>
      <c r="G21" s="39"/>
    </row>
    <row r="22" spans="1:11" s="4" customFormat="1" ht="15.75" x14ac:dyDescent="0.25">
      <c r="B22" s="3"/>
      <c r="C22" s="5"/>
      <c r="D22" s="5"/>
      <c r="E22" s="5"/>
      <c r="F22" s="5"/>
      <c r="G22" s="5"/>
    </row>
    <row r="23" spans="1:11" s="4" customFormat="1" ht="15.75" x14ac:dyDescent="0.25">
      <c r="B23" s="3"/>
      <c r="C23" s="12"/>
      <c r="D23" s="12"/>
      <c r="E23" s="12"/>
      <c r="F23" s="12"/>
      <c r="G23" s="5"/>
    </row>
    <row r="24" spans="1:11" s="3" customFormat="1" ht="15.75" x14ac:dyDescent="0.25">
      <c r="A24" s="3" t="s">
        <v>10</v>
      </c>
    </row>
    <row r="25" spans="1:11" s="3" customFormat="1" ht="15.75" x14ac:dyDescent="0.25"/>
    <row r="26" spans="1:11" s="4" customFormat="1" ht="15.75" x14ac:dyDescent="0.25">
      <c r="A26" s="18" t="s">
        <v>23</v>
      </c>
      <c r="B26" s="7">
        <v>4</v>
      </c>
      <c r="C26" s="11"/>
      <c r="D26" s="11"/>
      <c r="E26" s="11"/>
      <c r="F26" s="11"/>
    </row>
    <row r="27" spans="1:11" s="4" customFormat="1" thickBot="1" x14ac:dyDescent="0.3">
      <c r="A27" s="59" t="s">
        <v>12</v>
      </c>
      <c r="B27" s="60">
        <f>J17</f>
        <v>1500000</v>
      </c>
      <c r="D27" s="14" t="s">
        <v>15</v>
      </c>
      <c r="E27" s="11">
        <f>1100000*0.5</f>
        <v>550000</v>
      </c>
    </row>
    <row r="28" spans="1:11" s="4" customFormat="1" ht="15.75" x14ac:dyDescent="0.25">
      <c r="A28" s="14" t="s">
        <v>11</v>
      </c>
      <c r="B28" s="11">
        <f>E27</f>
        <v>550000</v>
      </c>
      <c r="D28" s="17" t="s">
        <v>16</v>
      </c>
      <c r="E28" s="15">
        <f>1100000-G15</f>
        <v>343640</v>
      </c>
      <c r="F28" s="11">
        <f>12000000-2400000*5</f>
        <v>0</v>
      </c>
    </row>
    <row r="29" spans="1:11" s="4" customFormat="1" ht="15.75" x14ac:dyDescent="0.25">
      <c r="A29" s="14" t="s">
        <v>14</v>
      </c>
      <c r="B29" s="15">
        <f>E31</f>
        <v>70162.400000000009</v>
      </c>
      <c r="D29" s="14" t="s">
        <v>17</v>
      </c>
      <c r="E29" s="11">
        <f>E27-E28</f>
        <v>206360</v>
      </c>
    </row>
    <row r="30" spans="1:11" s="4" customFormat="1" ht="15.75" x14ac:dyDescent="0.25">
      <c r="A30" s="14" t="s">
        <v>21</v>
      </c>
      <c r="B30" s="11">
        <f>B27+B28-B29</f>
        <v>1979837.6</v>
      </c>
      <c r="D30" s="17" t="s">
        <v>18</v>
      </c>
      <c r="E30" s="20">
        <v>0.34</v>
      </c>
    </row>
    <row r="31" spans="1:11" s="4" customFormat="1" ht="15.75" x14ac:dyDescent="0.25">
      <c r="D31" s="14" t="s">
        <v>8</v>
      </c>
      <c r="E31" s="11">
        <f>E29*E30</f>
        <v>70162.400000000009</v>
      </c>
    </row>
    <row r="32" spans="1:11" s="4" customFormat="1" ht="15.75" x14ac:dyDescent="0.25">
      <c r="D32" s="14"/>
    </row>
    <row r="33" spans="1:4" s="4" customFormat="1" x14ac:dyDescent="0.25">
      <c r="A33" s="16" t="s">
        <v>19</v>
      </c>
      <c r="B33" s="4">
        <f>B8+C21*0.9091+D21*0.8264+E21*0.7513+F21*0.683+B30*0.683</f>
        <v>2966105.4034800008</v>
      </c>
      <c r="C33" s="4" t="s">
        <v>55</v>
      </c>
    </row>
    <row r="34" spans="1:4" s="4" customFormat="1" x14ac:dyDescent="0.25">
      <c r="A34" s="16"/>
      <c r="B34" s="11"/>
      <c r="D34" s="8"/>
    </row>
    <row r="36" spans="1:4" x14ac:dyDescent="0.25">
      <c r="A36" s="16" t="s">
        <v>24</v>
      </c>
      <c r="B36" s="4">
        <f>(B33+2000000)/2000000</f>
        <v>2.4830527017400006</v>
      </c>
    </row>
    <row r="37" spans="1:4" x14ac:dyDescent="0.25">
      <c r="A37" s="16" t="s">
        <v>25</v>
      </c>
      <c r="B37" s="4">
        <f>B33/2000000</f>
        <v>1.4830527017400004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6299-23AA-4D73-9527-403E8794C091}">
  <dimension ref="A1:N53"/>
  <sheetViews>
    <sheetView topLeftCell="A25" zoomScaleNormal="100" workbookViewId="0">
      <selection activeCell="K30" sqref="K30"/>
    </sheetView>
  </sheetViews>
  <sheetFormatPr defaultColWidth="9" defaultRowHeight="16.5" x14ac:dyDescent="0.25"/>
  <cols>
    <col min="1" max="1" width="25.125" style="2" bestFit="1" customWidth="1"/>
    <col min="2" max="2" width="18.75" style="2" bestFit="1" customWidth="1"/>
    <col min="3" max="4" width="14" style="2" bestFit="1" customWidth="1"/>
    <col min="5" max="5" width="15.25" style="2" bestFit="1" customWidth="1"/>
    <col min="6" max="6" width="14" style="2" bestFit="1" customWidth="1"/>
    <col min="7" max="7" width="14.5" style="2" customWidth="1"/>
    <col min="8" max="8" width="11.625" style="2" customWidth="1"/>
    <col min="9" max="9" width="14.75" style="2" customWidth="1"/>
    <col min="10" max="10" width="8.5" style="2" customWidth="1"/>
    <col min="11" max="11" width="16" style="2" customWidth="1"/>
    <col min="12" max="12" width="14.625" style="2" customWidth="1"/>
    <col min="13" max="13" width="15.5" style="2" customWidth="1"/>
    <col min="14" max="14" width="18" style="2" customWidth="1"/>
    <col min="15" max="16384" width="9" style="2"/>
  </cols>
  <sheetData>
    <row r="1" spans="1:5" x14ac:dyDescent="0.25">
      <c r="A1" s="1" t="s">
        <v>0</v>
      </c>
    </row>
    <row r="3" spans="1:5" s="3" customFormat="1" ht="15.75" x14ac:dyDescent="0.25">
      <c r="A3" s="3" t="s">
        <v>1</v>
      </c>
    </row>
    <row r="4" spans="1:5" s="3" customFormat="1" ht="15.75" x14ac:dyDescent="0.25">
      <c r="A4" s="3" t="s">
        <v>44</v>
      </c>
    </row>
    <row r="5" spans="1:5" s="4" customFormat="1" ht="15.75" x14ac:dyDescent="0.25">
      <c r="A5" s="18" t="s">
        <v>23</v>
      </c>
      <c r="B5" s="7">
        <v>0</v>
      </c>
    </row>
    <row r="6" spans="1:5" s="4" customFormat="1" x14ac:dyDescent="0.25">
      <c r="A6" s="14" t="s">
        <v>45</v>
      </c>
      <c r="B6" s="9">
        <v>-2800000</v>
      </c>
      <c r="D6" s="33" t="s">
        <v>15</v>
      </c>
      <c r="E6" s="4">
        <v>500000</v>
      </c>
    </row>
    <row r="7" spans="1:5" s="4" customFormat="1" x14ac:dyDescent="0.25">
      <c r="A7" s="14" t="s">
        <v>46</v>
      </c>
      <c r="B7" s="9">
        <v>-400000</v>
      </c>
      <c r="D7" s="33" t="s">
        <v>16</v>
      </c>
      <c r="E7" s="4">
        <f>2100000-(2100000/7*2)</f>
        <v>1500000</v>
      </c>
    </row>
    <row r="8" spans="1:5" s="4" customFormat="1" x14ac:dyDescent="0.25">
      <c r="A8" s="14" t="s">
        <v>47</v>
      </c>
      <c r="B8" s="48">
        <v>500000</v>
      </c>
      <c r="D8" s="50" t="s">
        <v>17</v>
      </c>
      <c r="E8" s="51">
        <f>E6-E7</f>
        <v>-1000000</v>
      </c>
    </row>
    <row r="9" spans="1:5" s="4" customFormat="1" x14ac:dyDescent="0.25">
      <c r="A9" s="17" t="s">
        <v>14</v>
      </c>
      <c r="B9" s="52">
        <v>250000</v>
      </c>
      <c r="D9" s="33" t="s">
        <v>18</v>
      </c>
      <c r="E9" s="49">
        <v>0.25</v>
      </c>
    </row>
    <row r="10" spans="1:5" s="4" customFormat="1" x14ac:dyDescent="0.25">
      <c r="A10" s="3"/>
      <c r="B10" s="48">
        <f>B6+B7+B8+B9</f>
        <v>-2450000</v>
      </c>
      <c r="D10" s="33" t="s">
        <v>8</v>
      </c>
      <c r="E10" s="4">
        <f>E8*E9</f>
        <v>-250000</v>
      </c>
    </row>
    <row r="11" spans="1:5" s="4" customFormat="1" ht="15.75" x14ac:dyDescent="0.25">
      <c r="A11" s="3" t="s">
        <v>48</v>
      </c>
      <c r="B11" s="48"/>
    </row>
    <row r="12" spans="1:5" s="4" customFormat="1" ht="15.75" x14ac:dyDescent="0.25">
      <c r="A12" s="18" t="s">
        <v>23</v>
      </c>
      <c r="B12" s="7">
        <v>0</v>
      </c>
    </row>
    <row r="13" spans="1:5" s="4" customFormat="1" ht="15.75" x14ac:dyDescent="0.25">
      <c r="A13" s="14" t="s">
        <v>45</v>
      </c>
      <c r="B13" s="9">
        <v>0</v>
      </c>
    </row>
    <row r="14" spans="1:5" s="4" customFormat="1" ht="15.75" x14ac:dyDescent="0.25">
      <c r="A14" s="17" t="s">
        <v>46</v>
      </c>
      <c r="B14" s="10">
        <v>0</v>
      </c>
    </row>
    <row r="15" spans="1:5" s="4" customFormat="1" ht="15.75" x14ac:dyDescent="0.25">
      <c r="A15" s="14"/>
      <c r="B15" s="48">
        <v>0</v>
      </c>
    </row>
    <row r="16" spans="1:5" s="4" customFormat="1" ht="15.75" x14ac:dyDescent="0.25">
      <c r="A16" s="14" t="s">
        <v>53</v>
      </c>
      <c r="B16" s="48">
        <f>B10-B15</f>
        <v>-2450000</v>
      </c>
    </row>
    <row r="17" spans="1:14" s="4" customFormat="1" ht="15.75" x14ac:dyDescent="0.25">
      <c r="A17" s="3"/>
      <c r="B17" s="48"/>
    </row>
    <row r="18" spans="1:14" s="4" customFormat="1" ht="15.75" x14ac:dyDescent="0.25">
      <c r="A18" s="3"/>
    </row>
    <row r="19" spans="1:14" s="3" customFormat="1" ht="15.75" x14ac:dyDescent="0.25">
      <c r="A19" s="3" t="s">
        <v>54</v>
      </c>
    </row>
    <row r="20" spans="1:14" s="4" customFormat="1" x14ac:dyDescent="0.25">
      <c r="B20" s="18" t="s">
        <v>23</v>
      </c>
      <c r="C20" s="7">
        <v>1</v>
      </c>
      <c r="D20" s="7">
        <v>2</v>
      </c>
      <c r="E20" s="7">
        <v>3</v>
      </c>
      <c r="F20" s="7">
        <v>4</v>
      </c>
      <c r="G20" s="7">
        <v>5</v>
      </c>
      <c r="H20" s="15">
        <v>6</v>
      </c>
      <c r="I20" s="15">
        <v>7</v>
      </c>
      <c r="K20" s="33" t="s">
        <v>49</v>
      </c>
    </row>
    <row r="21" spans="1:14" s="4" customFormat="1" x14ac:dyDescent="0.25">
      <c r="B21" s="3" t="s">
        <v>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K21" s="33" t="s">
        <v>23</v>
      </c>
      <c r="L21" s="33" t="s">
        <v>50</v>
      </c>
      <c r="M21" s="33" t="s">
        <v>51</v>
      </c>
      <c r="N21" s="33" t="s">
        <v>52</v>
      </c>
    </row>
    <row r="22" spans="1:14" s="4" customFormat="1" ht="15.75" x14ac:dyDescent="0.25">
      <c r="B22" s="6" t="s">
        <v>4</v>
      </c>
      <c r="C22" s="10">
        <v>-800000</v>
      </c>
      <c r="D22" s="10">
        <v>-800000</v>
      </c>
      <c r="E22" s="10">
        <v>-800000</v>
      </c>
      <c r="F22" s="10">
        <v>-800000</v>
      </c>
      <c r="G22" s="10">
        <v>-800000</v>
      </c>
      <c r="H22" s="10">
        <v>-800000</v>
      </c>
      <c r="I22" s="10">
        <v>-800000</v>
      </c>
      <c r="K22" s="11">
        <v>1</v>
      </c>
      <c r="L22" s="11">
        <f>2800000/28*7</f>
        <v>700000</v>
      </c>
      <c r="M22" s="11">
        <f>2100000/7</f>
        <v>300000</v>
      </c>
      <c r="N22" s="11">
        <f>L22-M22</f>
        <v>400000</v>
      </c>
    </row>
    <row r="23" spans="1:14" s="4" customFormat="1" ht="15.75" x14ac:dyDescent="0.25">
      <c r="B23" s="3" t="s">
        <v>5</v>
      </c>
      <c r="C23" s="12">
        <f>C21-C22</f>
        <v>800000</v>
      </c>
      <c r="D23" s="12">
        <f t="shared" ref="D23:I23" si="0">D21-D22</f>
        <v>800000</v>
      </c>
      <c r="E23" s="12">
        <f t="shared" si="0"/>
        <v>800000</v>
      </c>
      <c r="F23" s="12">
        <f t="shared" si="0"/>
        <v>800000</v>
      </c>
      <c r="G23" s="12">
        <f t="shared" si="0"/>
        <v>800000</v>
      </c>
      <c r="H23" s="12">
        <f t="shared" si="0"/>
        <v>800000</v>
      </c>
      <c r="I23" s="12">
        <f t="shared" si="0"/>
        <v>800000</v>
      </c>
      <c r="K23" s="11">
        <v>2</v>
      </c>
      <c r="L23" s="11">
        <f>2800000/28*6</f>
        <v>600000</v>
      </c>
      <c r="M23" s="11">
        <f t="shared" ref="M23:M26" si="1">2100000/7</f>
        <v>300000</v>
      </c>
      <c r="N23" s="11">
        <f t="shared" ref="N23:N28" si="2">L23-M23</f>
        <v>300000</v>
      </c>
    </row>
    <row r="24" spans="1:14" s="4" customFormat="1" ht="15.75" x14ac:dyDescent="0.25">
      <c r="B24" s="6" t="s">
        <v>6</v>
      </c>
      <c r="C24" s="13">
        <f>N22</f>
        <v>400000</v>
      </c>
      <c r="D24" s="13">
        <f>N23</f>
        <v>300000</v>
      </c>
      <c r="E24" s="13">
        <f>N24</f>
        <v>200000</v>
      </c>
      <c r="F24" s="13">
        <f>N25</f>
        <v>100000</v>
      </c>
      <c r="G24" s="13">
        <f>N26</f>
        <v>0</v>
      </c>
      <c r="H24" s="15">
        <f>N27</f>
        <v>200000</v>
      </c>
      <c r="I24" s="15">
        <f>N28</f>
        <v>100000</v>
      </c>
      <c r="K24" s="11">
        <v>3</v>
      </c>
      <c r="L24" s="11">
        <f>2800000/28*5</f>
        <v>500000</v>
      </c>
      <c r="M24" s="11">
        <f t="shared" si="1"/>
        <v>300000</v>
      </c>
      <c r="N24" s="11">
        <f t="shared" si="2"/>
        <v>200000</v>
      </c>
    </row>
    <row r="25" spans="1:14" s="4" customFormat="1" ht="15.75" x14ac:dyDescent="0.25">
      <c r="B25" s="3" t="s">
        <v>7</v>
      </c>
      <c r="C25" s="12">
        <f>C23-C24</f>
        <v>400000</v>
      </c>
      <c r="D25" s="12">
        <f t="shared" ref="D25:I25" si="3">D23-D24</f>
        <v>500000</v>
      </c>
      <c r="E25" s="12">
        <f t="shared" si="3"/>
        <v>600000</v>
      </c>
      <c r="F25" s="12">
        <f t="shared" si="3"/>
        <v>700000</v>
      </c>
      <c r="G25" s="12">
        <f t="shared" si="3"/>
        <v>800000</v>
      </c>
      <c r="H25" s="12">
        <f t="shared" si="3"/>
        <v>600000</v>
      </c>
      <c r="I25" s="12">
        <f t="shared" si="3"/>
        <v>700000</v>
      </c>
      <c r="K25" s="11">
        <v>4</v>
      </c>
      <c r="L25" s="11">
        <f>2800000/28*4</f>
        <v>400000</v>
      </c>
      <c r="M25" s="11">
        <f t="shared" si="1"/>
        <v>300000</v>
      </c>
      <c r="N25" s="11">
        <f t="shared" si="2"/>
        <v>100000</v>
      </c>
    </row>
    <row r="26" spans="1:14" s="4" customFormat="1" ht="15.75" x14ac:dyDescent="0.25">
      <c r="B26" s="3" t="s">
        <v>42</v>
      </c>
      <c r="C26" s="13">
        <f>+C25*0.25</f>
        <v>100000</v>
      </c>
      <c r="D26" s="13">
        <f t="shared" ref="D26:I26" si="4">+D25*0.25</f>
        <v>125000</v>
      </c>
      <c r="E26" s="13">
        <f t="shared" si="4"/>
        <v>150000</v>
      </c>
      <c r="F26" s="13">
        <f t="shared" si="4"/>
        <v>175000</v>
      </c>
      <c r="G26" s="13">
        <f t="shared" si="4"/>
        <v>200000</v>
      </c>
      <c r="H26" s="13">
        <f t="shared" si="4"/>
        <v>150000</v>
      </c>
      <c r="I26" s="13">
        <f t="shared" si="4"/>
        <v>175000</v>
      </c>
      <c r="K26" s="11">
        <v>5</v>
      </c>
      <c r="L26" s="11">
        <f>2800000/28*3</f>
        <v>300000</v>
      </c>
      <c r="M26" s="11">
        <f t="shared" si="1"/>
        <v>300000</v>
      </c>
      <c r="N26" s="11">
        <f t="shared" si="2"/>
        <v>0</v>
      </c>
    </row>
    <row r="27" spans="1:14" s="34" customFormat="1" ht="15.75" x14ac:dyDescent="0.25">
      <c r="B27" s="38" t="s">
        <v>9</v>
      </c>
      <c r="C27" s="39">
        <f>C25-C26</f>
        <v>300000</v>
      </c>
      <c r="D27" s="39">
        <f t="shared" ref="D27:I27" si="5">D25-D26</f>
        <v>375000</v>
      </c>
      <c r="E27" s="39">
        <f t="shared" si="5"/>
        <v>450000</v>
      </c>
      <c r="F27" s="39">
        <f t="shared" si="5"/>
        <v>525000</v>
      </c>
      <c r="G27" s="39">
        <f t="shared" si="5"/>
        <v>600000</v>
      </c>
      <c r="H27" s="39">
        <f t="shared" si="5"/>
        <v>450000</v>
      </c>
      <c r="I27" s="39">
        <f t="shared" si="5"/>
        <v>525000</v>
      </c>
      <c r="K27" s="48">
        <v>6</v>
      </c>
      <c r="L27" s="48">
        <f>2800000/28*2</f>
        <v>200000</v>
      </c>
      <c r="M27" s="48">
        <v>0</v>
      </c>
      <c r="N27" s="11">
        <f t="shared" si="2"/>
        <v>200000</v>
      </c>
    </row>
    <row r="28" spans="1:14" s="4" customFormat="1" ht="15.75" x14ac:dyDescent="0.25">
      <c r="B28" s="6" t="s">
        <v>6</v>
      </c>
      <c r="C28" s="13">
        <f>C24</f>
        <v>400000</v>
      </c>
      <c r="D28" s="13">
        <f t="shared" ref="D28:I28" si="6">D24</f>
        <v>300000</v>
      </c>
      <c r="E28" s="13">
        <f t="shared" si="6"/>
        <v>200000</v>
      </c>
      <c r="F28" s="13">
        <f t="shared" si="6"/>
        <v>100000</v>
      </c>
      <c r="G28" s="13">
        <f t="shared" si="6"/>
        <v>0</v>
      </c>
      <c r="H28" s="13">
        <f t="shared" si="6"/>
        <v>200000</v>
      </c>
      <c r="I28" s="13">
        <f t="shared" si="6"/>
        <v>100000</v>
      </c>
      <c r="K28" s="11">
        <v>7</v>
      </c>
      <c r="L28" s="11">
        <f>2800000/28*1</f>
        <v>100000</v>
      </c>
      <c r="M28" s="11">
        <v>0</v>
      </c>
      <c r="N28" s="11">
        <f t="shared" si="2"/>
        <v>100000</v>
      </c>
    </row>
    <row r="29" spans="1:14" s="4" customFormat="1" ht="15.75" x14ac:dyDescent="0.25">
      <c r="B29" s="3" t="s">
        <v>20</v>
      </c>
      <c r="C29" s="46">
        <f>C27+C28</f>
        <v>700000</v>
      </c>
      <c r="D29" s="46">
        <f t="shared" ref="D29:I29" si="7">D27+D28</f>
        <v>675000</v>
      </c>
      <c r="E29" s="46">
        <f t="shared" si="7"/>
        <v>650000</v>
      </c>
      <c r="F29" s="46">
        <f t="shared" si="7"/>
        <v>625000</v>
      </c>
      <c r="G29" s="46">
        <f t="shared" si="7"/>
        <v>600000</v>
      </c>
      <c r="H29" s="46">
        <f t="shared" si="7"/>
        <v>650000</v>
      </c>
      <c r="I29" s="46">
        <f t="shared" si="7"/>
        <v>625000</v>
      </c>
    </row>
    <row r="30" spans="1:14" s="4" customFormat="1" ht="15.75" x14ac:dyDescent="0.25">
      <c r="B30" s="3"/>
      <c r="C30" s="5"/>
      <c r="D30" s="5"/>
      <c r="E30" s="5"/>
      <c r="F30" s="5"/>
      <c r="G30" s="5"/>
    </row>
    <row r="31" spans="1:14" s="4" customFormat="1" ht="15.75" x14ac:dyDescent="0.25">
      <c r="B31" s="3"/>
      <c r="C31" s="12"/>
      <c r="D31" s="12"/>
      <c r="E31" s="12"/>
      <c r="F31" s="12"/>
      <c r="G31" s="5"/>
    </row>
    <row r="32" spans="1:14" s="3" customFormat="1" ht="15.75" x14ac:dyDescent="0.25">
      <c r="A32" s="3" t="s">
        <v>10</v>
      </c>
    </row>
    <row r="33" spans="1:6" s="3" customFormat="1" ht="15.75" x14ac:dyDescent="0.25">
      <c r="A33" s="3" t="s">
        <v>44</v>
      </c>
    </row>
    <row r="34" spans="1:6" s="4" customFormat="1" ht="15.75" x14ac:dyDescent="0.25">
      <c r="A34" s="18" t="s">
        <v>23</v>
      </c>
      <c r="B34" s="7">
        <v>7</v>
      </c>
      <c r="C34" s="11"/>
      <c r="D34" s="11"/>
      <c r="E34" s="11"/>
      <c r="F34" s="11"/>
    </row>
    <row r="35" spans="1:6" s="4" customFormat="1" ht="15.75" x14ac:dyDescent="0.25">
      <c r="A35" s="14" t="s">
        <v>12</v>
      </c>
      <c r="B35" s="11">
        <v>400000</v>
      </c>
      <c r="D35" s="14" t="s">
        <v>15</v>
      </c>
      <c r="E35" s="11">
        <v>400000</v>
      </c>
    </row>
    <row r="36" spans="1:6" s="4" customFormat="1" ht="15.75" x14ac:dyDescent="0.25">
      <c r="A36" s="14" t="s">
        <v>11</v>
      </c>
      <c r="B36" s="11">
        <f>E37</f>
        <v>400000</v>
      </c>
      <c r="D36" s="17" t="s">
        <v>16</v>
      </c>
      <c r="E36" s="15">
        <v>0</v>
      </c>
      <c r="F36" s="11"/>
    </row>
    <row r="37" spans="1:6" s="4" customFormat="1" ht="15.75" x14ac:dyDescent="0.25">
      <c r="A37" s="17" t="s">
        <v>14</v>
      </c>
      <c r="B37" s="15">
        <f>E39</f>
        <v>100000</v>
      </c>
      <c r="D37" s="14" t="s">
        <v>17</v>
      </c>
      <c r="E37" s="11">
        <f>E35-E36</f>
        <v>400000</v>
      </c>
    </row>
    <row r="38" spans="1:6" s="4" customFormat="1" ht="15.75" x14ac:dyDescent="0.25">
      <c r="A38" s="14" t="s">
        <v>21</v>
      </c>
      <c r="B38" s="11">
        <f>B35+B36-B37</f>
        <v>700000</v>
      </c>
      <c r="D38" s="17" t="s">
        <v>18</v>
      </c>
      <c r="E38" s="20">
        <v>0.25</v>
      </c>
    </row>
    <row r="39" spans="1:6" s="4" customFormat="1" ht="15.75" x14ac:dyDescent="0.25">
      <c r="D39" s="14" t="s">
        <v>8</v>
      </c>
      <c r="E39" s="11">
        <f>E37*E38</f>
        <v>100000</v>
      </c>
    </row>
    <row r="40" spans="1:6" s="4" customFormat="1" ht="15.75" x14ac:dyDescent="0.25">
      <c r="A40" s="4" t="s">
        <v>48</v>
      </c>
      <c r="D40" s="14"/>
    </row>
    <row r="41" spans="1:6" s="4" customFormat="1" ht="15.75" x14ac:dyDescent="0.25">
      <c r="A41" s="18" t="s">
        <v>23</v>
      </c>
      <c r="B41" s="7">
        <v>7</v>
      </c>
    </row>
    <row r="42" spans="1:6" s="4" customFormat="1" x14ac:dyDescent="0.25">
      <c r="A42" s="14" t="s">
        <v>12</v>
      </c>
      <c r="B42" s="11">
        <v>0</v>
      </c>
      <c r="D42" s="8"/>
    </row>
    <row r="43" spans="1:6" x14ac:dyDescent="0.25">
      <c r="A43" s="14" t="s">
        <v>11</v>
      </c>
      <c r="B43" s="11">
        <v>0</v>
      </c>
    </row>
    <row r="44" spans="1:6" x14ac:dyDescent="0.25">
      <c r="A44" s="17" t="s">
        <v>14</v>
      </c>
      <c r="B44" s="15">
        <v>0</v>
      </c>
    </row>
    <row r="45" spans="1:6" x14ac:dyDescent="0.25">
      <c r="A45" s="14" t="s">
        <v>21</v>
      </c>
      <c r="B45" s="11">
        <f>B42+B43-B44</f>
        <v>0</v>
      </c>
    </row>
    <row r="46" spans="1:6" x14ac:dyDescent="0.25">
      <c r="A46" s="14"/>
      <c r="B46" s="11"/>
    </row>
    <row r="47" spans="1:6" x14ac:dyDescent="0.25">
      <c r="A47" s="14" t="s">
        <v>53</v>
      </c>
      <c r="B47" s="11">
        <f>B38-B45</f>
        <v>700000</v>
      </c>
    </row>
    <row r="48" spans="1:6" x14ac:dyDescent="0.25">
      <c r="A48" s="14"/>
      <c r="B48" s="11"/>
    </row>
    <row r="49" spans="1:3" x14ac:dyDescent="0.25">
      <c r="A49" s="16" t="s">
        <v>19</v>
      </c>
      <c r="B49" s="4">
        <f>B16+C29*0.8929+D29*0.7972+E29*0.7118+F29*0.6355+G29*0.5674+H29*0.5066+I29*0.4523+B47*0.4523</f>
        <v>842025</v>
      </c>
      <c r="C49" s="53" t="s">
        <v>56</v>
      </c>
    </row>
    <row r="50" spans="1:3" x14ac:dyDescent="0.25">
      <c r="A50" s="16"/>
      <c r="B50" s="11"/>
    </row>
    <row r="52" spans="1:3" x14ac:dyDescent="0.25">
      <c r="A52" s="16" t="s">
        <v>24</v>
      </c>
      <c r="B52" s="4">
        <f>(B49+2450000)/2450000</f>
        <v>1.3436836734693878</v>
      </c>
    </row>
    <row r="53" spans="1:3" x14ac:dyDescent="0.25">
      <c r="A53" s="16" t="s">
        <v>25</v>
      </c>
      <c r="B53" s="4">
        <f>B49/2450000</f>
        <v>0.34368367346938777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topLeftCell="A7" zoomScaleNormal="100" workbookViewId="0">
      <selection activeCell="J24" sqref="J24"/>
    </sheetView>
  </sheetViews>
  <sheetFormatPr defaultColWidth="9" defaultRowHeight="16.5" x14ac:dyDescent="0.25"/>
  <cols>
    <col min="1" max="1" width="25.125" style="2" bestFit="1" customWidth="1"/>
    <col min="2" max="2" width="18.75" style="2" bestFit="1" customWidth="1"/>
    <col min="3" max="6" width="14" style="2" bestFit="1" customWidth="1"/>
    <col min="7" max="7" width="15.75" style="2" customWidth="1"/>
    <col min="8" max="8" width="15.125" style="2" customWidth="1"/>
    <col min="9" max="9" width="16.5" style="2" customWidth="1"/>
    <col min="10" max="10" width="19" style="2" customWidth="1"/>
    <col min="11" max="11" width="14.5" style="2" customWidth="1"/>
    <col min="12" max="12" width="9" style="2"/>
    <col min="13" max="13" width="11.75" style="2" customWidth="1"/>
    <col min="14" max="14" width="13.5" style="2" customWidth="1"/>
    <col min="15" max="16" width="12.25" style="2" bestFit="1" customWidth="1"/>
    <col min="17" max="16384" width="9" style="2"/>
  </cols>
  <sheetData>
    <row r="1" spans="1:16" x14ac:dyDescent="0.25">
      <c r="A1" s="1" t="s">
        <v>0</v>
      </c>
    </row>
    <row r="3" spans="1:16" s="3" customFormat="1" ht="15.75" x14ac:dyDescent="0.25">
      <c r="A3" s="3" t="s">
        <v>1</v>
      </c>
    </row>
    <row r="4" spans="1:16" s="3" customFormat="1" ht="15.75" x14ac:dyDescent="0.25"/>
    <row r="5" spans="1:16" s="4" customFormat="1" ht="15.75" x14ac:dyDescent="0.25">
      <c r="A5" s="18" t="s">
        <v>23</v>
      </c>
      <c r="B5" s="7">
        <v>0</v>
      </c>
    </row>
    <row r="6" spans="1:16" s="4" customFormat="1" ht="15.75" x14ac:dyDescent="0.25">
      <c r="A6" s="14" t="s">
        <v>22</v>
      </c>
      <c r="B6" s="9">
        <v>-800000</v>
      </c>
    </row>
    <row r="7" spans="1:16" s="4" customFormat="1" ht="15.75" x14ac:dyDescent="0.25">
      <c r="A7" s="14" t="s">
        <v>13</v>
      </c>
      <c r="B7" s="10">
        <v>-20000</v>
      </c>
    </row>
    <row r="8" spans="1:16" s="4" customFormat="1" ht="15.75" x14ac:dyDescent="0.25">
      <c r="A8" s="3"/>
      <c r="B8" s="19">
        <f>B6+B7</f>
        <v>-820000</v>
      </c>
    </row>
    <row r="9" spans="1:16" s="4" customFormat="1" ht="15.75" x14ac:dyDescent="0.25">
      <c r="A9" s="3"/>
    </row>
    <row r="10" spans="1:16" s="3" customFormat="1" ht="15.75" x14ac:dyDescent="0.25">
      <c r="A10" s="3" t="s">
        <v>2</v>
      </c>
      <c r="L10" s="3" t="s">
        <v>40</v>
      </c>
    </row>
    <row r="11" spans="1:16" s="4" customFormat="1" x14ac:dyDescent="0.25">
      <c r="B11" s="23" t="s">
        <v>23</v>
      </c>
      <c r="C11" s="24">
        <v>1</v>
      </c>
      <c r="D11" s="24">
        <v>2</v>
      </c>
      <c r="E11" s="24">
        <v>3</v>
      </c>
      <c r="F11" s="24">
        <v>4</v>
      </c>
      <c r="G11" s="24">
        <v>5</v>
      </c>
      <c r="H11" s="11">
        <v>6</v>
      </c>
      <c r="I11" s="11">
        <v>7</v>
      </c>
      <c r="J11" s="11">
        <v>8</v>
      </c>
      <c r="L11" s="44" t="s">
        <v>35</v>
      </c>
      <c r="M11" s="45" t="s">
        <v>36</v>
      </c>
      <c r="N11" s="45" t="s">
        <v>37</v>
      </c>
      <c r="O11" s="44" t="s">
        <v>38</v>
      </c>
    </row>
    <row r="12" spans="1:16" s="4" customFormat="1" ht="15.75" x14ac:dyDescent="0.25">
      <c r="B12" s="21" t="s">
        <v>3</v>
      </c>
      <c r="C12" s="25">
        <f>120*3000</f>
        <v>360000</v>
      </c>
      <c r="D12" s="25">
        <f>120*5000</f>
        <v>600000</v>
      </c>
      <c r="E12" s="25">
        <f>120*6000</f>
        <v>720000</v>
      </c>
      <c r="F12" s="25">
        <f>110*6500</f>
        <v>715000</v>
      </c>
      <c r="G12" s="25">
        <f>110*6000</f>
        <v>660000</v>
      </c>
      <c r="H12" s="26">
        <f>110*5000</f>
        <v>550000</v>
      </c>
      <c r="I12" s="26">
        <f>110*4000</f>
        <v>440000</v>
      </c>
      <c r="J12" s="26">
        <f>110*3000</f>
        <v>330000</v>
      </c>
      <c r="L12" s="40">
        <v>0</v>
      </c>
      <c r="M12" s="42"/>
      <c r="N12" s="42">
        <v>20000</v>
      </c>
      <c r="O12" s="40">
        <v>-20000</v>
      </c>
    </row>
    <row r="13" spans="1:16" s="4" customFormat="1" ht="15.75" x14ac:dyDescent="0.25">
      <c r="B13" s="3" t="s">
        <v>4</v>
      </c>
      <c r="C13" s="9">
        <f>60*3000+25000</f>
        <v>205000</v>
      </c>
      <c r="D13" s="9">
        <f>60*5000+25000</f>
        <v>325000</v>
      </c>
      <c r="E13" s="9">
        <f>60*6000+25000</f>
        <v>385000</v>
      </c>
      <c r="F13" s="9">
        <f>60*6500+25000</f>
        <v>415000</v>
      </c>
      <c r="G13" s="9">
        <f>60*6000+25000</f>
        <v>385000</v>
      </c>
      <c r="H13" s="11">
        <f>60*5000+25000</f>
        <v>325000</v>
      </c>
      <c r="I13" s="11">
        <f>60*4000+25000</f>
        <v>265000</v>
      </c>
      <c r="J13" s="11">
        <f>60*3000+25000</f>
        <v>205000</v>
      </c>
      <c r="L13" s="40">
        <v>1</v>
      </c>
      <c r="M13" s="43">
        <f>120*3000</f>
        <v>360000</v>
      </c>
      <c r="N13" s="42">
        <f>M13*0.15</f>
        <v>54000</v>
      </c>
      <c r="O13" s="40">
        <f>N13-N12</f>
        <v>34000</v>
      </c>
      <c r="P13" s="11"/>
    </row>
    <row r="14" spans="1:16" s="4" customFormat="1" ht="15.75" x14ac:dyDescent="0.25">
      <c r="B14" s="21" t="s">
        <v>5</v>
      </c>
      <c r="C14" s="22">
        <f>C12-C13</f>
        <v>155000</v>
      </c>
      <c r="D14" s="22">
        <f>D12-D13</f>
        <v>275000</v>
      </c>
      <c r="E14" s="22">
        <f t="shared" ref="E14:J14" si="0">E12-E13</f>
        <v>335000</v>
      </c>
      <c r="F14" s="22">
        <f t="shared" si="0"/>
        <v>300000</v>
      </c>
      <c r="G14" s="22">
        <f t="shared" si="0"/>
        <v>275000</v>
      </c>
      <c r="H14" s="22">
        <f t="shared" si="0"/>
        <v>225000</v>
      </c>
      <c r="I14" s="22">
        <f t="shared" si="0"/>
        <v>175000</v>
      </c>
      <c r="J14" s="22">
        <f t="shared" si="0"/>
        <v>125000</v>
      </c>
      <c r="L14" s="40">
        <v>2</v>
      </c>
      <c r="M14" s="43">
        <f>120*5000</f>
        <v>600000</v>
      </c>
      <c r="N14" s="42">
        <f t="shared" ref="N14:N20" si="1">M14*0.15</f>
        <v>90000</v>
      </c>
      <c r="O14" s="40">
        <f t="shared" ref="O14:O20" si="2">N14-N13</f>
        <v>36000</v>
      </c>
      <c r="P14" s="11"/>
    </row>
    <row r="15" spans="1:16" s="4" customFormat="1" ht="15.75" x14ac:dyDescent="0.25">
      <c r="B15" s="3" t="s">
        <v>6</v>
      </c>
      <c r="C15" s="12">
        <f>800000*0.1429</f>
        <v>114320</v>
      </c>
      <c r="D15" s="12">
        <f>800000*0.2449</f>
        <v>195920</v>
      </c>
      <c r="E15" s="12">
        <f>800000*0.1749</f>
        <v>139920</v>
      </c>
      <c r="F15" s="12">
        <f>800000*0.1249</f>
        <v>99920</v>
      </c>
      <c r="G15" s="12">
        <f>800000*0.0893</f>
        <v>71440</v>
      </c>
      <c r="H15" s="11">
        <f>800000*0.0892</f>
        <v>71360</v>
      </c>
      <c r="I15" s="11">
        <f>800000*0.0893</f>
        <v>71440</v>
      </c>
      <c r="J15" s="11">
        <f>800000*0.0446</f>
        <v>35680</v>
      </c>
      <c r="L15" s="40">
        <v>3</v>
      </c>
      <c r="M15" s="43">
        <f>120*6000</f>
        <v>720000</v>
      </c>
      <c r="N15" s="42">
        <f t="shared" si="1"/>
        <v>108000</v>
      </c>
      <c r="O15" s="40">
        <f t="shared" si="2"/>
        <v>18000</v>
      </c>
      <c r="P15" s="11"/>
    </row>
    <row r="16" spans="1:16" s="4" customFormat="1" ht="15.75" x14ac:dyDescent="0.25">
      <c r="B16" s="21" t="s">
        <v>7</v>
      </c>
      <c r="C16" s="22">
        <f>C14-C15</f>
        <v>40680</v>
      </c>
      <c r="D16" s="22">
        <f t="shared" ref="D16:J16" si="3">D14-D15</f>
        <v>79080</v>
      </c>
      <c r="E16" s="22">
        <f t="shared" si="3"/>
        <v>195080</v>
      </c>
      <c r="F16" s="22">
        <f t="shared" si="3"/>
        <v>200080</v>
      </c>
      <c r="G16" s="22">
        <f t="shared" si="3"/>
        <v>203560</v>
      </c>
      <c r="H16" s="22">
        <f t="shared" si="3"/>
        <v>153640</v>
      </c>
      <c r="I16" s="22">
        <f t="shared" si="3"/>
        <v>103560</v>
      </c>
      <c r="J16" s="22">
        <f t="shared" si="3"/>
        <v>89320</v>
      </c>
      <c r="L16" s="40">
        <v>4</v>
      </c>
      <c r="M16" s="43">
        <f>110*6500</f>
        <v>715000</v>
      </c>
      <c r="N16" s="42">
        <f t="shared" si="1"/>
        <v>107250</v>
      </c>
      <c r="O16" s="40">
        <f t="shared" si="2"/>
        <v>-750</v>
      </c>
      <c r="P16" s="11"/>
    </row>
    <row r="17" spans="1:16" s="4" customFormat="1" ht="15.75" x14ac:dyDescent="0.25">
      <c r="B17" s="3" t="s">
        <v>27</v>
      </c>
      <c r="C17" s="12">
        <f t="shared" ref="C17:J17" si="4">C16*0.34</f>
        <v>13831.2</v>
      </c>
      <c r="D17" s="12">
        <f t="shared" si="4"/>
        <v>26887.200000000001</v>
      </c>
      <c r="E17" s="12">
        <f t="shared" si="4"/>
        <v>66327.200000000012</v>
      </c>
      <c r="F17" s="12">
        <f t="shared" si="4"/>
        <v>68027.200000000012</v>
      </c>
      <c r="G17" s="12">
        <f t="shared" si="4"/>
        <v>69210.400000000009</v>
      </c>
      <c r="H17" s="12">
        <f t="shared" si="4"/>
        <v>52237.600000000006</v>
      </c>
      <c r="I17" s="12">
        <f t="shared" si="4"/>
        <v>35210.400000000001</v>
      </c>
      <c r="J17" s="12">
        <f t="shared" si="4"/>
        <v>30368.800000000003</v>
      </c>
      <c r="L17" s="40">
        <v>5</v>
      </c>
      <c r="M17" s="43">
        <f>110*6000</f>
        <v>660000</v>
      </c>
      <c r="N17" s="42">
        <f t="shared" si="1"/>
        <v>99000</v>
      </c>
      <c r="O17" s="40">
        <f t="shared" si="2"/>
        <v>-8250</v>
      </c>
      <c r="P17" s="11"/>
    </row>
    <row r="18" spans="1:16" s="34" customFormat="1" ht="15.75" x14ac:dyDescent="0.25">
      <c r="B18" s="35" t="s">
        <v>9</v>
      </c>
      <c r="C18" s="36">
        <f>C16-C17</f>
        <v>26848.799999999999</v>
      </c>
      <c r="D18" s="36">
        <f t="shared" ref="D18:J18" si="5">D16-D17</f>
        <v>52192.800000000003</v>
      </c>
      <c r="E18" s="36">
        <f t="shared" si="5"/>
        <v>128752.79999999999</v>
      </c>
      <c r="F18" s="36">
        <f t="shared" si="5"/>
        <v>132052.79999999999</v>
      </c>
      <c r="G18" s="36">
        <f t="shared" si="5"/>
        <v>134349.59999999998</v>
      </c>
      <c r="H18" s="36">
        <f t="shared" si="5"/>
        <v>101402.4</v>
      </c>
      <c r="I18" s="36">
        <f t="shared" si="5"/>
        <v>68349.600000000006</v>
      </c>
      <c r="J18" s="36">
        <f t="shared" si="5"/>
        <v>58951.199999999997</v>
      </c>
      <c r="L18" s="41">
        <v>6</v>
      </c>
      <c r="M18" s="42">
        <f>110*5000</f>
        <v>550000</v>
      </c>
      <c r="N18" s="42">
        <f t="shared" si="1"/>
        <v>82500</v>
      </c>
      <c r="O18" s="40">
        <f t="shared" si="2"/>
        <v>-16500</v>
      </c>
      <c r="P18" s="11"/>
    </row>
    <row r="19" spans="1:16" s="4" customFormat="1" ht="15.75" x14ac:dyDescent="0.25">
      <c r="B19" s="3" t="s">
        <v>6</v>
      </c>
      <c r="C19" s="12">
        <f>C15</f>
        <v>114320</v>
      </c>
      <c r="D19" s="12">
        <f t="shared" ref="D19:J19" si="6">D15</f>
        <v>195920</v>
      </c>
      <c r="E19" s="12">
        <f t="shared" si="6"/>
        <v>139920</v>
      </c>
      <c r="F19" s="12">
        <f t="shared" si="6"/>
        <v>99920</v>
      </c>
      <c r="G19" s="12">
        <f t="shared" si="6"/>
        <v>71440</v>
      </c>
      <c r="H19" s="12">
        <f t="shared" si="6"/>
        <v>71360</v>
      </c>
      <c r="I19" s="12">
        <f t="shared" si="6"/>
        <v>71440</v>
      </c>
      <c r="J19" s="12">
        <f t="shared" si="6"/>
        <v>35680</v>
      </c>
      <c r="K19" s="28"/>
      <c r="L19" s="40">
        <v>7</v>
      </c>
      <c r="M19" s="42">
        <f>110*4000</f>
        <v>440000</v>
      </c>
      <c r="N19" s="42">
        <f t="shared" si="1"/>
        <v>66000</v>
      </c>
      <c r="O19" s="40">
        <f t="shared" si="2"/>
        <v>-16500</v>
      </c>
      <c r="P19" s="11"/>
    </row>
    <row r="20" spans="1:16" s="4" customFormat="1" ht="15.75" x14ac:dyDescent="0.25">
      <c r="B20" s="3" t="s">
        <v>28</v>
      </c>
      <c r="C20" s="12">
        <f>O13</f>
        <v>34000</v>
      </c>
      <c r="D20" s="12">
        <f>O14</f>
        <v>36000</v>
      </c>
      <c r="E20" s="12">
        <f>O15</f>
        <v>18000</v>
      </c>
      <c r="F20" s="12">
        <f>O16</f>
        <v>-750</v>
      </c>
      <c r="G20" s="12">
        <f>O17</f>
        <v>-8250</v>
      </c>
      <c r="H20" s="12">
        <f>O18</f>
        <v>-16500</v>
      </c>
      <c r="I20" s="12">
        <f>O19</f>
        <v>-16500</v>
      </c>
      <c r="J20" s="12">
        <f>O20</f>
        <v>-16500</v>
      </c>
      <c r="L20" s="40">
        <v>8</v>
      </c>
      <c r="M20" s="42">
        <f>110*3000</f>
        <v>330000</v>
      </c>
      <c r="N20" s="42">
        <f t="shared" si="1"/>
        <v>49500</v>
      </c>
      <c r="O20" s="40">
        <f t="shared" si="2"/>
        <v>-16500</v>
      </c>
      <c r="P20" s="11"/>
    </row>
    <row r="21" spans="1:16" s="34" customFormat="1" ht="15.75" x14ac:dyDescent="0.25">
      <c r="B21" s="35" t="s">
        <v>20</v>
      </c>
      <c r="C21" s="36">
        <f>C18+C19-C20</f>
        <v>107168.79999999999</v>
      </c>
      <c r="D21" s="36">
        <f t="shared" ref="D21:J21" si="7">D18+D19-D20</f>
        <v>212112.8</v>
      </c>
      <c r="E21" s="36">
        <f t="shared" si="7"/>
        <v>250672.8</v>
      </c>
      <c r="F21" s="36">
        <f t="shared" si="7"/>
        <v>232722.8</v>
      </c>
      <c r="G21" s="36">
        <f t="shared" si="7"/>
        <v>214039.59999999998</v>
      </c>
      <c r="H21" s="36">
        <f t="shared" si="7"/>
        <v>189262.4</v>
      </c>
      <c r="I21" s="36">
        <f t="shared" si="7"/>
        <v>156289.60000000001</v>
      </c>
      <c r="J21" s="36">
        <f t="shared" si="7"/>
        <v>111131.2</v>
      </c>
    </row>
    <row r="22" spans="1:16" s="4" customFormat="1" ht="15.75" x14ac:dyDescent="0.25">
      <c r="B22" s="3"/>
      <c r="C22" s="5"/>
      <c r="D22" s="5"/>
      <c r="E22" s="5"/>
      <c r="F22" s="5"/>
      <c r="G22" s="5"/>
    </row>
    <row r="23" spans="1:16" s="4" customFormat="1" ht="15.75" x14ac:dyDescent="0.25">
      <c r="B23" s="3"/>
      <c r="C23" s="12"/>
      <c r="D23" s="12"/>
      <c r="E23" s="12"/>
      <c r="F23" s="12"/>
      <c r="G23" s="5"/>
    </row>
    <row r="24" spans="1:16" s="4" customFormat="1" x14ac:dyDescent="0.25">
      <c r="A24" s="3" t="s">
        <v>34</v>
      </c>
      <c r="B24" s="23" t="s">
        <v>23</v>
      </c>
      <c r="C24" s="32">
        <v>8</v>
      </c>
      <c r="D24" s="12"/>
      <c r="E24" s="14" t="s">
        <v>15</v>
      </c>
      <c r="F24" s="11">
        <v>160000</v>
      </c>
      <c r="G24" s="5"/>
    </row>
    <row r="25" spans="1:16" s="4" customFormat="1" thickBot="1" x14ac:dyDescent="0.3">
      <c r="B25" s="54" t="s">
        <v>26</v>
      </c>
      <c r="C25" s="55">
        <f>N20</f>
        <v>49500</v>
      </c>
      <c r="D25" s="12"/>
      <c r="E25" s="17" t="s">
        <v>16</v>
      </c>
      <c r="F25" s="15">
        <v>0</v>
      </c>
      <c r="G25" s="5"/>
    </row>
    <row r="26" spans="1:16" s="4" customFormat="1" x14ac:dyDescent="0.25">
      <c r="B26" s="37" t="s">
        <v>39</v>
      </c>
      <c r="C26" s="12">
        <v>160000</v>
      </c>
      <c r="D26" s="12"/>
      <c r="E26" s="14" t="s">
        <v>17</v>
      </c>
      <c r="F26" s="11">
        <f>F24-F25</f>
        <v>160000</v>
      </c>
      <c r="G26" s="5"/>
    </row>
    <row r="27" spans="1:16" s="4" customFormat="1" ht="15.75" x14ac:dyDescent="0.25">
      <c r="B27" s="14" t="s">
        <v>14</v>
      </c>
      <c r="C27" s="12">
        <v>54400</v>
      </c>
      <c r="D27" s="12"/>
      <c r="E27" s="17" t="s">
        <v>18</v>
      </c>
      <c r="F27" s="20">
        <v>0.34</v>
      </c>
      <c r="G27" s="5"/>
    </row>
    <row r="28" spans="1:16" s="4" customFormat="1" ht="15.75" x14ac:dyDescent="0.25">
      <c r="B28" s="31" t="s">
        <v>21</v>
      </c>
      <c r="C28" s="22">
        <f>C25+C26-C27</f>
        <v>155100</v>
      </c>
      <c r="D28" s="12"/>
      <c r="E28" s="14" t="s">
        <v>8</v>
      </c>
      <c r="F28" s="11">
        <f>F26*F27</f>
        <v>54400.000000000007</v>
      </c>
      <c r="G28" s="5"/>
    </row>
    <row r="29" spans="1:16" s="3" customFormat="1" ht="15.75" x14ac:dyDescent="0.25">
      <c r="A29" s="4"/>
      <c r="B29" s="4"/>
      <c r="C29" s="4"/>
      <c r="D29" s="14"/>
      <c r="E29" s="4"/>
    </row>
    <row r="30" spans="1:16" s="3" customFormat="1" ht="15.75" x14ac:dyDescent="0.25">
      <c r="A30" s="16" t="s">
        <v>19</v>
      </c>
      <c r="B30" s="4">
        <f>-820000+C21*0.8696+D21*0.7561+E21*0.6575+F21*0.5718+G21*0.4972+H21*0.4323+I21*0.3759+J21*0.3269+C28*0.3269</f>
        <v>65479.604160000075</v>
      </c>
      <c r="C30" s="29"/>
      <c r="D30" s="29"/>
      <c r="E30" s="29"/>
      <c r="F30" s="30"/>
      <c r="G30" s="30"/>
      <c r="H30" s="30"/>
      <c r="I30" s="30"/>
      <c r="J30" s="30"/>
    </row>
    <row r="31" spans="1:16" s="4" customFormat="1" x14ac:dyDescent="0.25">
      <c r="A31" s="16"/>
      <c r="B31" s="11"/>
      <c r="D31" s="8"/>
      <c r="F31" s="11"/>
    </row>
    <row r="32" spans="1:16" s="4" customFormat="1" x14ac:dyDescent="0.25">
      <c r="A32" s="2"/>
      <c r="B32" s="2"/>
      <c r="C32" s="2"/>
      <c r="D32" s="2"/>
      <c r="E32" s="2"/>
    </row>
    <row r="33" spans="1:6" s="4" customFormat="1" x14ac:dyDescent="0.25">
      <c r="A33" s="16"/>
      <c r="C33" s="2"/>
      <c r="D33" s="2"/>
      <c r="E33" s="2"/>
      <c r="F33" s="11"/>
    </row>
    <row r="34" spans="1:6" s="4" customFormat="1" x14ac:dyDescent="0.25">
      <c r="A34" s="16"/>
      <c r="C34" s="2"/>
      <c r="D34" s="2"/>
      <c r="E34" s="2"/>
    </row>
    <row r="35" spans="1:6" s="4" customFormat="1" x14ac:dyDescent="0.25">
      <c r="A35" s="2"/>
      <c r="B35" s="2"/>
      <c r="C35" s="2"/>
      <c r="D35" s="2"/>
      <c r="E35" s="2"/>
    </row>
    <row r="36" spans="1:6" s="4" customFormat="1" x14ac:dyDescent="0.25">
      <c r="A36" s="2"/>
      <c r="B36" s="2"/>
      <c r="C36" s="2"/>
      <c r="D36" s="2"/>
      <c r="E36" s="2"/>
    </row>
    <row r="37" spans="1:6" s="4" customFormat="1" x14ac:dyDescent="0.25">
      <c r="A37" s="2"/>
      <c r="B37" s="2"/>
      <c r="C37" s="2"/>
      <c r="D37" s="2"/>
      <c r="E37" s="2"/>
    </row>
    <row r="38" spans="1:6" s="4" customFormat="1" x14ac:dyDescent="0.25">
      <c r="A38" s="2"/>
      <c r="B38" s="2"/>
      <c r="C38" s="2"/>
      <c r="D38" s="2"/>
      <c r="E38" s="2"/>
    </row>
    <row r="39" spans="1:6" s="4" customFormat="1" x14ac:dyDescent="0.25">
      <c r="A39" s="2"/>
      <c r="B39" s="2"/>
      <c r="C39" s="2"/>
      <c r="D39" s="2"/>
      <c r="E39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23EB-6C05-4657-9614-0D12FCA4B47E}">
  <dimension ref="A1:M43"/>
  <sheetViews>
    <sheetView tabSelected="1" topLeftCell="A19" zoomScaleNormal="100" workbookViewId="0">
      <selection activeCell="D34" sqref="D34"/>
    </sheetView>
  </sheetViews>
  <sheetFormatPr defaultColWidth="9" defaultRowHeight="16.5" x14ac:dyDescent="0.25"/>
  <cols>
    <col min="1" max="1" width="25.125" style="2" bestFit="1" customWidth="1"/>
    <col min="2" max="2" width="18.75" style="2" bestFit="1" customWidth="1"/>
    <col min="3" max="6" width="14" style="2" bestFit="1" customWidth="1"/>
    <col min="7" max="7" width="16.375" style="2" customWidth="1"/>
    <col min="8" max="8" width="18.25" style="2" customWidth="1"/>
    <col min="9" max="9" width="26.75" style="2" customWidth="1"/>
    <col min="10" max="10" width="17.875" style="2" customWidth="1"/>
    <col min="11" max="11" width="15.5" style="2" bestFit="1" customWidth="1"/>
    <col min="12" max="12" width="16" style="2" customWidth="1"/>
    <col min="13" max="13" width="14.5" style="2" customWidth="1"/>
    <col min="14" max="16384" width="9" style="2"/>
  </cols>
  <sheetData>
    <row r="1" spans="1:13" x14ac:dyDescent="0.25">
      <c r="A1" s="1" t="s">
        <v>0</v>
      </c>
    </row>
    <row r="3" spans="1:13" s="3" customFormat="1" ht="15.75" x14ac:dyDescent="0.25">
      <c r="A3" s="3" t="s">
        <v>1</v>
      </c>
    </row>
    <row r="4" spans="1:13" s="3" customFormat="1" ht="15.75" x14ac:dyDescent="0.25"/>
    <row r="5" spans="1:13" s="4" customFormat="1" ht="15.75" x14ac:dyDescent="0.25">
      <c r="A5" s="18" t="s">
        <v>23</v>
      </c>
      <c r="B5" s="7">
        <v>0</v>
      </c>
    </row>
    <row r="6" spans="1:13" s="4" customFormat="1" ht="15.75" x14ac:dyDescent="0.25">
      <c r="A6" s="14" t="s">
        <v>22</v>
      </c>
      <c r="B6" s="9">
        <v>-40500000</v>
      </c>
    </row>
    <row r="7" spans="1:13" s="4" customFormat="1" ht="15.75" x14ac:dyDescent="0.25">
      <c r="A7" s="14" t="s">
        <v>13</v>
      </c>
      <c r="B7" s="10">
        <v>0</v>
      </c>
    </row>
    <row r="8" spans="1:13" s="4" customFormat="1" ht="15.75" x14ac:dyDescent="0.25">
      <c r="A8" s="3"/>
      <c r="B8" s="19">
        <f>B6+B7</f>
        <v>-40500000</v>
      </c>
    </row>
    <row r="9" spans="1:13" s="4" customFormat="1" ht="15.75" x14ac:dyDescent="0.25">
      <c r="A9" s="3"/>
    </row>
    <row r="10" spans="1:13" s="3" customFormat="1" ht="15.75" x14ac:dyDescent="0.25">
      <c r="A10" s="3" t="s">
        <v>2</v>
      </c>
      <c r="J10" s="3" t="s">
        <v>41</v>
      </c>
    </row>
    <row r="11" spans="1:13" s="4" customFormat="1" x14ac:dyDescent="0.25">
      <c r="B11" s="18" t="s">
        <v>23</v>
      </c>
      <c r="C11" s="7">
        <v>1</v>
      </c>
      <c r="D11" s="7">
        <v>2</v>
      </c>
      <c r="E11" s="7">
        <v>3</v>
      </c>
      <c r="F11" s="7">
        <v>4</v>
      </c>
      <c r="G11" s="7">
        <v>5</v>
      </c>
      <c r="J11" s="33" t="s">
        <v>35</v>
      </c>
      <c r="K11" s="33" t="s">
        <v>36</v>
      </c>
      <c r="L11" s="33" t="s">
        <v>37</v>
      </c>
      <c r="M11" s="33" t="s">
        <v>38</v>
      </c>
    </row>
    <row r="12" spans="1:13" s="4" customFormat="1" ht="15.75" x14ac:dyDescent="0.25">
      <c r="B12" s="3" t="s">
        <v>3</v>
      </c>
      <c r="C12" s="9">
        <f>520*155000</f>
        <v>80600000</v>
      </c>
      <c r="D12" s="9">
        <f>520*165000</f>
        <v>85800000</v>
      </c>
      <c r="E12" s="9">
        <f>520*125000</f>
        <v>65000000</v>
      </c>
      <c r="F12" s="9">
        <f>520*95000</f>
        <v>49400000</v>
      </c>
      <c r="G12" s="9">
        <f>520*75000</f>
        <v>39000000</v>
      </c>
      <c r="J12" s="11">
        <v>0</v>
      </c>
      <c r="K12" s="11"/>
      <c r="L12" s="11">
        <v>0</v>
      </c>
      <c r="M12" s="11">
        <v>0</v>
      </c>
    </row>
    <row r="13" spans="1:13" s="4" customFormat="1" ht="15.75" x14ac:dyDescent="0.25">
      <c r="B13" s="3" t="s">
        <v>4</v>
      </c>
      <c r="C13" s="9">
        <f>215*155000+6100000</f>
        <v>39425000</v>
      </c>
      <c r="D13" s="9">
        <f>215*165000+6100000</f>
        <v>41575000</v>
      </c>
      <c r="E13" s="9">
        <f>215*125000+6100000</f>
        <v>32975000</v>
      </c>
      <c r="F13" s="9">
        <f>215*95000+6100000</f>
        <v>26525000</v>
      </c>
      <c r="G13" s="9">
        <f>215*75000+6100000</f>
        <v>22225000</v>
      </c>
      <c r="J13" s="11">
        <v>1</v>
      </c>
      <c r="K13" s="11">
        <f>C12</f>
        <v>80600000</v>
      </c>
      <c r="L13" s="11">
        <f>K13*0.2</f>
        <v>16120000</v>
      </c>
      <c r="M13" s="11">
        <f>L13-L12</f>
        <v>16120000</v>
      </c>
    </row>
    <row r="14" spans="1:13" s="4" customFormat="1" thickBot="1" x14ac:dyDescent="0.3">
      <c r="B14" s="21" t="s">
        <v>5</v>
      </c>
      <c r="C14" s="22">
        <f>C12-C13</f>
        <v>41175000</v>
      </c>
      <c r="D14" s="22">
        <f>D12-D13</f>
        <v>44225000</v>
      </c>
      <c r="E14" s="22">
        <f>E12-E13</f>
        <v>32025000</v>
      </c>
      <c r="F14" s="22">
        <f>F12-F13</f>
        <v>22875000</v>
      </c>
      <c r="G14" s="22">
        <f>G12-G13</f>
        <v>16775000</v>
      </c>
      <c r="J14" s="11">
        <v>2</v>
      </c>
      <c r="K14" s="11">
        <f>D12</f>
        <v>85800000</v>
      </c>
      <c r="L14" s="11">
        <f t="shared" ref="L14:L17" si="0">K14*0.2</f>
        <v>17160000</v>
      </c>
      <c r="M14" s="57">
        <f t="shared" ref="M14:M17" si="1">L14-L13</f>
        <v>1040000</v>
      </c>
    </row>
    <row r="15" spans="1:13" s="4" customFormat="1" thickBot="1" x14ac:dyDescent="0.3">
      <c r="B15" s="3" t="s">
        <v>29</v>
      </c>
      <c r="C15" s="12">
        <f>(380*95000-145*95000)-(210*65000-145*65000)</f>
        <v>18100000</v>
      </c>
      <c r="D15" s="12">
        <f>(380*65000-145*65000)-(210*35000-145*35000)</f>
        <v>13000000</v>
      </c>
      <c r="E15" s="12">
        <v>0</v>
      </c>
      <c r="F15" s="12">
        <v>0</v>
      </c>
      <c r="G15" s="12">
        <v>0</v>
      </c>
      <c r="J15" s="11">
        <v>3</v>
      </c>
      <c r="K15" s="11">
        <f>E12</f>
        <v>65000000</v>
      </c>
      <c r="L15" s="56">
        <f t="shared" si="0"/>
        <v>13000000</v>
      </c>
      <c r="M15" s="58">
        <f t="shared" si="1"/>
        <v>-4160000</v>
      </c>
    </row>
    <row r="16" spans="1:13" s="4" customFormat="1" ht="15.75" x14ac:dyDescent="0.25">
      <c r="B16" s="6" t="s">
        <v>6</v>
      </c>
      <c r="C16" s="13">
        <f>40500000*0.1429</f>
        <v>5787450</v>
      </c>
      <c r="D16" s="13">
        <f>40500000*0.2449</f>
        <v>9918450</v>
      </c>
      <c r="E16" s="13">
        <f>40500000*0.1749</f>
        <v>7083450</v>
      </c>
      <c r="F16" s="13">
        <f>40500000*0.1249</f>
        <v>5058450</v>
      </c>
      <c r="G16" s="13">
        <f>40500000*0.0893</f>
        <v>3616650</v>
      </c>
      <c r="H16" s="28">
        <f>SUM(C16:G16)</f>
        <v>31464450</v>
      </c>
      <c r="I16" s="4">
        <f>40500000-H16</f>
        <v>9035550</v>
      </c>
      <c r="J16" s="11">
        <v>4</v>
      </c>
      <c r="K16" s="11">
        <f>F12</f>
        <v>49400000</v>
      </c>
      <c r="L16" s="11">
        <f t="shared" si="0"/>
        <v>9880000</v>
      </c>
      <c r="M16" s="11">
        <f t="shared" si="1"/>
        <v>-3120000</v>
      </c>
    </row>
    <row r="17" spans="1:13" s="4" customFormat="1" ht="15.75" x14ac:dyDescent="0.25">
      <c r="B17" s="3" t="s">
        <v>7</v>
      </c>
      <c r="C17" s="12">
        <f>C14-C15-C16</f>
        <v>17287550</v>
      </c>
      <c r="D17" s="12">
        <f t="shared" ref="D17:G17" si="2">D14-D15-D16</f>
        <v>21306550</v>
      </c>
      <c r="E17" s="12">
        <f t="shared" si="2"/>
        <v>24941550</v>
      </c>
      <c r="F17" s="12">
        <f t="shared" si="2"/>
        <v>17816550</v>
      </c>
      <c r="G17" s="12">
        <f t="shared" si="2"/>
        <v>13158350</v>
      </c>
      <c r="J17" s="11">
        <v>5</v>
      </c>
      <c r="K17" s="11">
        <f>G12</f>
        <v>39000000</v>
      </c>
      <c r="L17" s="11">
        <f t="shared" si="0"/>
        <v>7800000</v>
      </c>
      <c r="M17" s="11">
        <f t="shared" si="1"/>
        <v>-2080000</v>
      </c>
    </row>
    <row r="18" spans="1:13" s="4" customFormat="1" ht="15.75" x14ac:dyDescent="0.25">
      <c r="B18" s="3" t="s">
        <v>30</v>
      </c>
      <c r="C18" s="12">
        <f>+C17*0.35</f>
        <v>6050642.5</v>
      </c>
      <c r="D18" s="12">
        <f t="shared" ref="D18:G18" si="3">+D17*0.35</f>
        <v>7457292.4999999991</v>
      </c>
      <c r="E18" s="12">
        <f t="shared" si="3"/>
        <v>8729542.5</v>
      </c>
      <c r="F18" s="12">
        <f t="shared" si="3"/>
        <v>6235792.5</v>
      </c>
      <c r="G18" s="12">
        <f t="shared" si="3"/>
        <v>4605422.5</v>
      </c>
    </row>
    <row r="19" spans="1:13" s="34" customFormat="1" ht="15.75" x14ac:dyDescent="0.25">
      <c r="B19" s="35" t="s">
        <v>9</v>
      </c>
      <c r="C19" s="36">
        <f>C17-C18</f>
        <v>11236907.5</v>
      </c>
      <c r="D19" s="36">
        <f t="shared" ref="D19:G19" si="4">D17-D18</f>
        <v>13849257.5</v>
      </c>
      <c r="E19" s="36">
        <f t="shared" si="4"/>
        <v>16212007.5</v>
      </c>
      <c r="F19" s="36">
        <f t="shared" si="4"/>
        <v>11580757.5</v>
      </c>
      <c r="G19" s="36">
        <f t="shared" si="4"/>
        <v>8552927.5</v>
      </c>
    </row>
    <row r="20" spans="1:13" s="4" customFormat="1" ht="15.75" x14ac:dyDescent="0.25">
      <c r="B20" s="3" t="s">
        <v>6</v>
      </c>
      <c r="C20" s="12">
        <f>C16</f>
        <v>5787450</v>
      </c>
      <c r="D20" s="12">
        <f>D16</f>
        <v>9918450</v>
      </c>
      <c r="E20" s="12">
        <f>E16</f>
        <v>7083450</v>
      </c>
      <c r="F20" s="12">
        <f>F16</f>
        <v>5058450</v>
      </c>
      <c r="G20" s="12">
        <f>G16</f>
        <v>3616650</v>
      </c>
    </row>
    <row r="21" spans="1:13" s="4" customFormat="1" ht="15.75" x14ac:dyDescent="0.25">
      <c r="B21" s="3" t="s">
        <v>31</v>
      </c>
      <c r="C21" s="12">
        <f>M13</f>
        <v>16120000</v>
      </c>
      <c r="D21" s="12">
        <f>M14</f>
        <v>1040000</v>
      </c>
      <c r="E21" s="12">
        <f>M15</f>
        <v>-4160000</v>
      </c>
      <c r="F21" s="12">
        <f>M16</f>
        <v>-3120000</v>
      </c>
      <c r="G21" s="12">
        <f>M17</f>
        <v>-2080000</v>
      </c>
    </row>
    <row r="22" spans="1:13" s="4" customFormat="1" ht="15.75" x14ac:dyDescent="0.25">
      <c r="B22" s="21" t="s">
        <v>20</v>
      </c>
      <c r="C22" s="27">
        <f>C19+C20-C21</f>
        <v>904357.5</v>
      </c>
      <c r="D22" s="27">
        <f t="shared" ref="D22:G22" si="5">D19+D20-D21</f>
        <v>22727707.5</v>
      </c>
      <c r="E22" s="27">
        <f t="shared" si="5"/>
        <v>27455457.5</v>
      </c>
      <c r="F22" s="27">
        <f t="shared" si="5"/>
        <v>19759207.5</v>
      </c>
      <c r="G22" s="27">
        <f t="shared" si="5"/>
        <v>14249577.5</v>
      </c>
      <c r="H22" s="28"/>
      <c r="I22" s="4">
        <f>C22+D22</f>
        <v>23632065</v>
      </c>
    </row>
    <row r="23" spans="1:13" s="4" customFormat="1" ht="15.75" x14ac:dyDescent="0.25">
      <c r="B23" s="3"/>
      <c r="C23" s="5"/>
      <c r="D23" s="5"/>
      <c r="E23" s="5"/>
      <c r="F23" s="5"/>
      <c r="G23" s="5"/>
    </row>
    <row r="24" spans="1:13" s="4" customFormat="1" ht="15.75" x14ac:dyDescent="0.25">
      <c r="B24" s="3"/>
      <c r="C24" s="12"/>
      <c r="D24" s="12"/>
      <c r="E24" s="12"/>
      <c r="F24" s="12"/>
      <c r="G24" s="5"/>
    </row>
    <row r="25" spans="1:13" s="3" customFormat="1" ht="15.75" x14ac:dyDescent="0.25">
      <c r="A25" s="3" t="s">
        <v>10</v>
      </c>
    </row>
    <row r="26" spans="1:13" s="3" customFormat="1" ht="15.75" x14ac:dyDescent="0.25"/>
    <row r="27" spans="1:13" s="4" customFormat="1" ht="15.75" x14ac:dyDescent="0.25">
      <c r="A27" s="18" t="s">
        <v>23</v>
      </c>
      <c r="B27" s="7">
        <v>5</v>
      </c>
      <c r="C27" s="11"/>
      <c r="D27" s="11"/>
      <c r="E27" s="11"/>
      <c r="F27" s="11"/>
    </row>
    <row r="28" spans="1:13" s="4" customFormat="1" thickBot="1" x14ac:dyDescent="0.3">
      <c r="A28" s="59" t="s">
        <v>12</v>
      </c>
      <c r="B28" s="60">
        <f>L17</f>
        <v>7800000</v>
      </c>
      <c r="D28" s="14" t="s">
        <v>15</v>
      </c>
      <c r="E28" s="11">
        <f>B29</f>
        <v>6100000</v>
      </c>
    </row>
    <row r="29" spans="1:13" s="4" customFormat="1" ht="15.75" x14ac:dyDescent="0.25">
      <c r="A29" s="14" t="s">
        <v>11</v>
      </c>
      <c r="B29" s="11">
        <v>6100000</v>
      </c>
      <c r="D29" s="17" t="s">
        <v>16</v>
      </c>
      <c r="E29" s="15">
        <f>I16</f>
        <v>9035550</v>
      </c>
      <c r="F29" s="11"/>
    </row>
    <row r="30" spans="1:13" s="4" customFormat="1" ht="15.75" x14ac:dyDescent="0.25">
      <c r="A30" s="17" t="s">
        <v>14</v>
      </c>
      <c r="B30" s="15">
        <f>(I16-B29)*0.35</f>
        <v>1027442.4999999999</v>
      </c>
      <c r="D30" s="14" t="s">
        <v>17</v>
      </c>
      <c r="E30" s="11">
        <f>E28-E29</f>
        <v>-2935550</v>
      </c>
    </row>
    <row r="31" spans="1:13" s="4" customFormat="1" ht="15.75" x14ac:dyDescent="0.25">
      <c r="A31" s="14" t="s">
        <v>21</v>
      </c>
      <c r="B31" s="11">
        <f>B28+B29+B30</f>
        <v>14927442.5</v>
      </c>
      <c r="D31" s="17" t="s">
        <v>18</v>
      </c>
      <c r="E31" s="20">
        <v>0.35</v>
      </c>
    </row>
    <row r="32" spans="1:13" s="4" customFormat="1" ht="15.75" x14ac:dyDescent="0.25">
      <c r="D32" s="14" t="s">
        <v>8</v>
      </c>
      <c r="E32" s="11">
        <f>E30*E31</f>
        <v>-1027442.4999999999</v>
      </c>
    </row>
    <row r="33" spans="1:4" s="4" customFormat="1" ht="15.75" x14ac:dyDescent="0.25">
      <c r="D33" s="14"/>
    </row>
    <row r="34" spans="1:4" s="4" customFormat="1" ht="15.75" x14ac:dyDescent="0.25">
      <c r="A34" s="16" t="s">
        <v>19</v>
      </c>
      <c r="B34" s="4">
        <f>B8+C22*0.8929+D22*0.7972+E22*0.7118+F22*0.6355+G22*0.5674+B31*0.5674</f>
        <v>27080841.3935</v>
      </c>
    </row>
    <row r="35" spans="1:4" s="4" customFormat="1" x14ac:dyDescent="0.25">
      <c r="A35" s="16"/>
      <c r="B35" s="11"/>
      <c r="D35" s="8"/>
    </row>
    <row r="37" spans="1:4" x14ac:dyDescent="0.25">
      <c r="A37" s="16" t="s">
        <v>24</v>
      </c>
      <c r="B37" s="4">
        <f>(B34+40500000)/40500000</f>
        <v>1.6686627504567901</v>
      </c>
    </row>
    <row r="38" spans="1:4" x14ac:dyDescent="0.25">
      <c r="A38" s="16" t="s">
        <v>25</v>
      </c>
      <c r="B38" s="4">
        <f>B34/40500000</f>
        <v>0.66866275045679013</v>
      </c>
    </row>
    <row r="39" spans="1:4" x14ac:dyDescent="0.25">
      <c r="A39" s="16"/>
      <c r="B39" s="4"/>
    </row>
    <row r="41" spans="1:4" x14ac:dyDescent="0.25">
      <c r="A41" s="14"/>
      <c r="B41" s="4">
        <f>40500000-C22-D22</f>
        <v>16867935</v>
      </c>
    </row>
    <row r="42" spans="1:4" x14ac:dyDescent="0.25">
      <c r="A42" s="14" t="s">
        <v>32</v>
      </c>
      <c r="B42" s="4">
        <f>B41/E22+2</f>
        <v>2.614374573798306</v>
      </c>
      <c r="C42" s="14" t="s">
        <v>33</v>
      </c>
    </row>
    <row r="43" spans="1:4" x14ac:dyDescent="0.25">
      <c r="B4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110-1例題2</vt:lpstr>
      <vt:lpstr>110-1例題3</vt:lpstr>
      <vt:lpstr>110-1例題5</vt:lpstr>
      <vt:lpstr>110-1例題6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2020-12-23T09:06:17Z</dcterms:created>
  <dcterms:modified xsi:type="dcterms:W3CDTF">2022-01-05T02:48:36Z</dcterms:modified>
</cp:coreProperties>
</file>