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https://epam-my.sharepoint.com/personal/oscar_centeno_epam_com/Documents/"/>
    </mc:Choice>
  </mc:AlternateContent>
  <xr:revisionPtr revIDLastSave="988" documentId="11_E60897F41BE170836B02CE998F75CCDC64E183C8" xr6:coauthVersionLast="46" xr6:coauthVersionMax="47" xr10:uidLastSave="{67F84C0A-96FA-4180-9361-6F331D18DC90}"/>
  <bookViews>
    <workbookView xWindow="-110" yWindow="-110" windowWidth="38620" windowHeight="21360" xr2:uid="{00000000-000D-0000-FFFF-FFFF00000000}"/>
  </bookViews>
  <sheets>
    <sheet name="Sample Initial Backlog" sheetId="7" r:id="rId1"/>
    <sheet name="Scope changes" sheetId="3" r:id="rId2"/>
    <sheet name="Team velocity" sheetId="2" r:id="rId3"/>
    <sheet name="Burn Up Chart" sheetId="4" r:id="rId4"/>
    <sheet name="Team capacity" sheetId="1" r:id="rId5"/>
    <sheet name="Sprints" sheetId="5" r:id="rId6"/>
    <sheet name="Duration estimates" sheetId="8" r:id="rId7"/>
    <sheet name="Parameters" sheetId="6"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5" l="1"/>
  <c r="P6" i="5"/>
  <c r="P8" i="5"/>
  <c r="P9" i="5"/>
  <c r="P10" i="5"/>
  <c r="P11" i="5"/>
  <c r="P12" i="5"/>
  <c r="P13" i="5"/>
  <c r="P14" i="5"/>
  <c r="P15" i="5"/>
  <c r="P16" i="5"/>
  <c r="P17" i="5"/>
  <c r="P18" i="5"/>
  <c r="P19" i="5"/>
  <c r="P20" i="5"/>
  <c r="P21" i="5"/>
  <c r="P22" i="5"/>
  <c r="P23" i="5"/>
  <c r="P24" i="5"/>
  <c r="P25" i="5"/>
  <c r="P26" i="5"/>
  <c r="P27" i="5"/>
  <c r="E5" i="1"/>
  <c r="E6" i="1"/>
  <c r="E7" i="1"/>
  <c r="E8" i="1"/>
  <c r="E9" i="1"/>
  <c r="E10" i="1"/>
  <c r="E11" i="1"/>
  <c r="E12" i="1"/>
  <c r="E13" i="1"/>
  <c r="E14" i="1"/>
  <c r="E15" i="1"/>
  <c r="E16" i="1"/>
  <c r="E17" i="1"/>
  <c r="E18" i="1"/>
  <c r="E19" i="1"/>
  <c r="E20" i="1"/>
  <c r="E21" i="1"/>
  <c r="E22" i="1"/>
  <c r="E23" i="1"/>
  <c r="E24" i="1"/>
  <c r="E25" i="1"/>
  <c r="E26" i="1"/>
  <c r="D5" i="3"/>
  <c r="E6" i="5" s="1"/>
  <c r="D12" i="3"/>
  <c r="D15" i="3"/>
  <c r="A6" i="2"/>
  <c r="A7" i="2" s="1"/>
  <c r="A8" i="2" s="1"/>
  <c r="A9" i="2" s="1"/>
  <c r="A10" i="2" s="1"/>
  <c r="A11" i="2" s="1"/>
  <c r="A12" i="2" s="1"/>
  <c r="A13" i="2" s="1"/>
  <c r="A14" i="2" s="1"/>
  <c r="A15" i="2" s="1"/>
  <c r="A16" i="2" s="1"/>
  <c r="A17" i="2" s="1"/>
  <c r="A18" i="2" s="1"/>
  <c r="A19" i="2" s="1"/>
  <c r="A20" i="2" s="1"/>
  <c r="A21" i="2" s="1"/>
  <c r="A22" i="2" s="1"/>
  <c r="A23" i="2" s="1"/>
  <c r="A24" i="2" s="1"/>
  <c r="A25" i="2" s="1"/>
  <c r="A26" i="2" s="1"/>
  <c r="D6" i="1"/>
  <c r="D7" i="1"/>
  <c r="D8" i="1"/>
  <c r="D9" i="1"/>
  <c r="D10" i="1"/>
  <c r="D11" i="1"/>
  <c r="D12" i="1"/>
  <c r="D13" i="1"/>
  <c r="D14" i="1"/>
  <c r="D15" i="1"/>
  <c r="D16" i="1"/>
  <c r="D17" i="1"/>
  <c r="D18" i="1"/>
  <c r="D19" i="1"/>
  <c r="D20" i="1"/>
  <c r="D21" i="1"/>
  <c r="D22" i="1"/>
  <c r="D23" i="1"/>
  <c r="D24" i="1"/>
  <c r="D25" i="1"/>
  <c r="D26" i="1"/>
  <c r="D5" i="1"/>
  <c r="A6" i="1"/>
  <c r="A7" i="1" s="1"/>
  <c r="A8" i="1" s="1"/>
  <c r="A9" i="1" s="1"/>
  <c r="A10" i="1" s="1"/>
  <c r="A11" i="1" s="1"/>
  <c r="A12" i="1" s="1"/>
  <c r="A13" i="1" s="1"/>
  <c r="A14" i="1" s="1"/>
  <c r="A15" i="1" s="1"/>
  <c r="A16" i="1" s="1"/>
  <c r="A17" i="1" s="1"/>
  <c r="A18" i="1" s="1"/>
  <c r="A19" i="1" s="1"/>
  <c r="A20" i="1" s="1"/>
  <c r="A21" i="1" s="1"/>
  <c r="A22" i="1" s="1"/>
  <c r="A23" i="1" s="1"/>
  <c r="A24" i="1" s="1"/>
  <c r="A25" i="1" s="1"/>
  <c r="A26" i="1" s="1"/>
  <c r="A7" i="5"/>
  <c r="A8" i="5" s="1"/>
  <c r="A9" i="5" s="1"/>
  <c r="A10" i="5" s="1"/>
  <c r="A11" i="5" s="1"/>
  <c r="A12" i="5" s="1"/>
  <c r="A13" i="5" s="1"/>
  <c r="A14" i="5" s="1"/>
  <c r="A15" i="5" s="1"/>
  <c r="A16" i="5" s="1"/>
  <c r="A17" i="5" s="1"/>
  <c r="B7" i="5"/>
  <c r="B8" i="5" s="1"/>
  <c r="B9" i="5" s="1"/>
  <c r="B10" i="5" s="1"/>
  <c r="B11" i="5" s="1"/>
  <c r="B12" i="5" s="1"/>
  <c r="B13" i="5" s="1"/>
  <c r="B14" i="5" s="1"/>
  <c r="B15" i="5" s="1"/>
  <c r="B16" i="5" s="1"/>
  <c r="B17" i="5" s="1"/>
  <c r="B18" i="5" s="1"/>
  <c r="B19" i="5" s="1"/>
  <c r="B20" i="5" s="1"/>
  <c r="B21" i="5" s="1"/>
  <c r="B22" i="5" s="1"/>
  <c r="B23" i="5" s="1"/>
  <c r="B24" i="5" s="1"/>
  <c r="B25" i="5" s="1"/>
  <c r="B26" i="5" s="1"/>
  <c r="B27" i="5" s="1"/>
  <c r="F6" i="5" l="1"/>
  <c r="N6" i="5"/>
  <c r="J6" i="5"/>
  <c r="O17" i="5"/>
  <c r="N17" i="5"/>
  <c r="F17" i="5"/>
  <c r="E17" i="5"/>
  <c r="K17" i="5"/>
  <c r="A18" i="5"/>
  <c r="J17" i="5"/>
  <c r="O6" i="5"/>
  <c r="K6" i="5"/>
  <c r="K9" i="5"/>
  <c r="N15" i="5"/>
  <c r="J11" i="5"/>
  <c r="K15" i="5"/>
  <c r="K7" i="5"/>
  <c r="N13" i="5"/>
  <c r="O11" i="5"/>
  <c r="O13" i="5"/>
  <c r="J12" i="5"/>
  <c r="K16" i="5"/>
  <c r="N12" i="5"/>
  <c r="O10" i="5"/>
  <c r="J9" i="5"/>
  <c r="K13" i="5"/>
  <c r="N11" i="5"/>
  <c r="O9" i="5"/>
  <c r="J10" i="5"/>
  <c r="J16" i="5"/>
  <c r="J8" i="5"/>
  <c r="K12" i="5"/>
  <c r="N10" i="5"/>
  <c r="O16" i="5"/>
  <c r="O8" i="5"/>
  <c r="J13" i="5"/>
  <c r="N7" i="5"/>
  <c r="E7" i="5"/>
  <c r="K8" i="5"/>
  <c r="N14" i="5"/>
  <c r="O12" i="5"/>
  <c r="K14" i="5"/>
  <c r="J15" i="5"/>
  <c r="J7" i="5"/>
  <c r="K11" i="5"/>
  <c r="N9" i="5"/>
  <c r="O15" i="5"/>
  <c r="O7" i="5"/>
  <c r="J14" i="5"/>
  <c r="K10" i="5"/>
  <c r="N16" i="5"/>
  <c r="N8" i="5"/>
  <c r="O14" i="5"/>
  <c r="F14" i="5"/>
  <c r="E16" i="5"/>
  <c r="E8" i="5"/>
  <c r="E10" i="5"/>
  <c r="F16" i="5"/>
  <c r="F8" i="5"/>
  <c r="E9" i="5"/>
  <c r="F15" i="5"/>
  <c r="F7" i="5"/>
  <c r="E15" i="5"/>
  <c r="F12" i="5"/>
  <c r="E14" i="5"/>
  <c r="E13" i="5"/>
  <c r="F11" i="5"/>
  <c r="E12" i="5"/>
  <c r="F10" i="5"/>
  <c r="F13" i="5"/>
  <c r="E11" i="5"/>
  <c r="F9" i="5"/>
  <c r="M6" i="5" l="1"/>
  <c r="M9" i="5"/>
  <c r="O18" i="5"/>
  <c r="J18" i="5"/>
  <c r="A19" i="5"/>
  <c r="K18" i="5"/>
  <c r="E18" i="5"/>
  <c r="F18" i="5"/>
  <c r="N18" i="5"/>
  <c r="M17" i="5"/>
  <c r="M7" i="5"/>
  <c r="M14" i="5"/>
  <c r="M15" i="5"/>
  <c r="M13" i="5"/>
  <c r="M8" i="5"/>
  <c r="M11" i="5"/>
  <c r="M12" i="5"/>
  <c r="M16" i="5"/>
  <c r="M10" i="5"/>
  <c r="E19" i="5" l="1"/>
  <c r="F19" i="5"/>
  <c r="N19" i="5"/>
  <c r="O19" i="5"/>
  <c r="J19" i="5"/>
  <c r="A20" i="5"/>
  <c r="K19" i="5"/>
  <c r="M18" i="5"/>
  <c r="K20" i="5" l="1"/>
  <c r="E20" i="5"/>
  <c r="F20" i="5"/>
  <c r="N20" i="5"/>
  <c r="J20" i="5"/>
  <c r="O20" i="5"/>
  <c r="A21" i="5"/>
  <c r="M19" i="5"/>
  <c r="M20" i="5" l="1"/>
  <c r="J21" i="5"/>
  <c r="A22" i="5"/>
  <c r="K21" i="5"/>
  <c r="E21" i="5"/>
  <c r="F21" i="5"/>
  <c r="N21" i="5"/>
  <c r="O21" i="5"/>
  <c r="M21" i="5" l="1"/>
  <c r="O22" i="5"/>
  <c r="J22" i="5"/>
  <c r="A23" i="5"/>
  <c r="F22" i="5"/>
  <c r="K22" i="5"/>
  <c r="E22" i="5"/>
  <c r="N22" i="5"/>
  <c r="E23" i="5" l="1"/>
  <c r="F23" i="5"/>
  <c r="N23" i="5"/>
  <c r="O23" i="5"/>
  <c r="J23" i="5"/>
  <c r="A24" i="5"/>
  <c r="K23" i="5"/>
  <c r="M22" i="5"/>
  <c r="M23" i="5" l="1"/>
  <c r="K24" i="5"/>
  <c r="E24" i="5"/>
  <c r="F24" i="5"/>
  <c r="N24" i="5"/>
  <c r="A25" i="5"/>
  <c r="O24" i="5"/>
  <c r="J24" i="5"/>
  <c r="M24" i="5" l="1"/>
  <c r="J25" i="5"/>
  <c r="A26" i="5"/>
  <c r="K25" i="5"/>
  <c r="E25" i="5"/>
  <c r="F25" i="5"/>
  <c r="N25" i="5"/>
  <c r="O25" i="5"/>
  <c r="M25" i="5" l="1"/>
  <c r="O26" i="5"/>
  <c r="J26" i="5"/>
  <c r="A27" i="5"/>
  <c r="I24" i="5" s="1"/>
  <c r="F26" i="5"/>
  <c r="K26" i="5"/>
  <c r="N26" i="5"/>
  <c r="E26" i="5"/>
  <c r="G22" i="5"/>
  <c r="H22" i="5" s="1"/>
  <c r="I16" i="5"/>
  <c r="G20" i="5"/>
  <c r="H20" i="5" s="1"/>
  <c r="I8" i="5"/>
  <c r="G12" i="5" l="1"/>
  <c r="H12" i="5" s="1"/>
  <c r="G6" i="5"/>
  <c r="H6" i="5" s="1"/>
  <c r="G19" i="5"/>
  <c r="H19" i="5" s="1"/>
  <c r="I19" i="5"/>
  <c r="L19" i="5" s="1"/>
  <c r="Q19" i="5" s="1"/>
  <c r="D19" i="5" s="1"/>
  <c r="I11" i="5"/>
  <c r="L11" i="5" s="1"/>
  <c r="Q11" i="5" s="1"/>
  <c r="I22" i="5"/>
  <c r="C22" i="5" s="1"/>
  <c r="I25" i="5"/>
  <c r="L16" i="5"/>
  <c r="Q16" i="5" s="1"/>
  <c r="L25" i="5"/>
  <c r="Q25" i="5" s="1"/>
  <c r="L8" i="5"/>
  <c r="Q8" i="5" s="1"/>
  <c r="L24" i="5"/>
  <c r="Q24" i="5" s="1"/>
  <c r="I26" i="5"/>
  <c r="G14" i="5"/>
  <c r="H14" i="5" s="1"/>
  <c r="I10" i="5"/>
  <c r="G23" i="5"/>
  <c r="H23" i="5" s="1"/>
  <c r="G10" i="5"/>
  <c r="H10" i="5" s="1"/>
  <c r="G9" i="5"/>
  <c r="H9" i="5" s="1"/>
  <c r="I12" i="5"/>
  <c r="M26" i="5"/>
  <c r="G21" i="5"/>
  <c r="H21" i="5" s="1"/>
  <c r="G26" i="5"/>
  <c r="H26" i="5" s="1"/>
  <c r="G15" i="5"/>
  <c r="H15" i="5" s="1"/>
  <c r="G11" i="5"/>
  <c r="H11" i="5" s="1"/>
  <c r="I14" i="5"/>
  <c r="I15" i="5"/>
  <c r="G8" i="5"/>
  <c r="H8" i="5" s="1"/>
  <c r="C8" i="5" s="1"/>
  <c r="I6" i="5"/>
  <c r="C19" i="5"/>
  <c r="E27" i="5"/>
  <c r="F27" i="5"/>
  <c r="G27" i="5" s="1"/>
  <c r="N27" i="5"/>
  <c r="O27" i="5"/>
  <c r="J27" i="5"/>
  <c r="K27" i="5"/>
  <c r="I17" i="5"/>
  <c r="G17" i="5"/>
  <c r="H17" i="5" s="1"/>
  <c r="G18" i="5"/>
  <c r="H18" i="5" s="1"/>
  <c r="G13" i="5"/>
  <c r="H13" i="5" s="1"/>
  <c r="G7" i="5"/>
  <c r="H7" i="5" s="1"/>
  <c r="I9" i="5"/>
  <c r="C9" i="5" s="1"/>
  <c r="I18" i="5"/>
  <c r="I23" i="5"/>
  <c r="I21" i="5"/>
  <c r="G24" i="5"/>
  <c r="H24" i="5" s="1"/>
  <c r="I20" i="5"/>
  <c r="I13" i="5"/>
  <c r="I7" i="5"/>
  <c r="G16" i="5"/>
  <c r="H16" i="5" s="1"/>
  <c r="G25" i="5"/>
  <c r="H25" i="5" s="1"/>
  <c r="L22" i="5" l="1"/>
  <c r="Q22" i="5" s="1"/>
  <c r="D22" i="5" s="1"/>
  <c r="Q23" i="5"/>
  <c r="D23" i="5" s="1"/>
  <c r="L23" i="5"/>
  <c r="L17" i="5"/>
  <c r="Q17" i="5" s="1"/>
  <c r="D17" i="5" s="1"/>
  <c r="L18" i="5"/>
  <c r="Q18" i="5" s="1"/>
  <c r="D18" i="5" s="1"/>
  <c r="L21" i="5"/>
  <c r="Q21" i="5" s="1"/>
  <c r="D21" i="5" s="1"/>
  <c r="L9" i="5"/>
  <c r="Q9" i="5" s="1"/>
  <c r="D9" i="5" s="1"/>
  <c r="L6" i="5"/>
  <c r="Q6" i="5" s="1"/>
  <c r="D6" i="5" s="1"/>
  <c r="L26" i="5"/>
  <c r="L7" i="5"/>
  <c r="Q7" i="5" s="1"/>
  <c r="D7" i="5" s="1"/>
  <c r="L12" i="5"/>
  <c r="Q12" i="5" s="1"/>
  <c r="D12" i="5" s="1"/>
  <c r="L13" i="5"/>
  <c r="Q13" i="5" s="1"/>
  <c r="D13" i="5" s="1"/>
  <c r="L15" i="5"/>
  <c r="Q15" i="5" s="1"/>
  <c r="D15" i="5" s="1"/>
  <c r="Q20" i="5"/>
  <c r="D20" i="5" s="1"/>
  <c r="L20" i="5"/>
  <c r="L14" i="5"/>
  <c r="Q14" i="5" s="1"/>
  <c r="D14" i="5" s="1"/>
  <c r="L10" i="5"/>
  <c r="Q10" i="5" s="1"/>
  <c r="D10" i="5" s="1"/>
  <c r="M27" i="5"/>
  <c r="C6" i="5"/>
  <c r="D8" i="5"/>
  <c r="C10" i="5"/>
  <c r="C11" i="5"/>
  <c r="C16" i="5"/>
  <c r="C15" i="5"/>
  <c r="C26" i="5"/>
  <c r="C23" i="5"/>
  <c r="C14" i="5"/>
  <c r="D11" i="5"/>
  <c r="C12" i="5"/>
  <c r="C17" i="5"/>
  <c r="H27" i="5"/>
  <c r="D24" i="5"/>
  <c r="C24" i="5"/>
  <c r="C20" i="5"/>
  <c r="C21" i="5"/>
  <c r="I27" i="5"/>
  <c r="Q26" i="5"/>
  <c r="D26" i="5" s="1"/>
  <c r="C25" i="5"/>
  <c r="D25" i="5"/>
  <c r="C7" i="5"/>
  <c r="C13" i="5"/>
  <c r="C18" i="5"/>
  <c r="D16" i="5"/>
  <c r="L27" i="5" l="1"/>
  <c r="Q27" i="5" s="1"/>
  <c r="D27" i="5" s="1"/>
  <c r="C2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tc={3FCE3900-F670-44CD-B07B-339016B901BD}</author>
  </authors>
  <commentList>
    <comment ref="A4" authorId="0" shapeId="0" xr:uid="{3FCE3900-F670-44CD-B07B-339016B901BD}">
      <text>
        <t>[Threaded comment]
Your version of Excel allows you to read this threaded comment; however, any edits to it will get removed if the file is opened in a newer version of Excel. Learn more: https://go.microsoft.com/fwlink/?linkid=870924
Comment:
    There may be several events per sprint.</t>
      </text>
    </comment>
  </commentList>
</comments>
</file>

<file path=xl/sharedStrings.xml><?xml version="1.0" encoding="utf-8"?>
<sst xmlns="http://schemas.openxmlformats.org/spreadsheetml/2006/main" count="118" uniqueCount="87">
  <si>
    <t>Parameters</t>
  </si>
  <si>
    <t>Yellow columns are calculated values.</t>
  </si>
  <si>
    <t>DaysPerSprint</t>
  </si>
  <si>
    <t>Sprints</t>
  </si>
  <si>
    <t>How can we estimate Duration?</t>
  </si>
  <si>
    <t>Points</t>
  </si>
  <si>
    <t>Historic</t>
  </si>
  <si>
    <t>Future</t>
  </si>
  <si>
    <t>Sprint</t>
  </si>
  <si>
    <t>Day 1</t>
  </si>
  <si>
    <t>Estimated Last Sprint with Future capacity</t>
  </si>
  <si>
    <t>In scope</t>
  </si>
  <si>
    <t>Done in Sprint</t>
  </si>
  <si>
    <t>Done overall</t>
  </si>
  <si>
    <t>Remaining scope</t>
  </si>
  <si>
    <t>Historic avg. velocity</t>
  </si>
  <si>
    <t>Historic Team Member #</t>
  </si>
  <si>
    <t>Historic capacity %</t>
  </si>
  <si>
    <t>Historic Points per Person</t>
  </si>
  <si>
    <t>Historic abs. Team Member</t>
  </si>
  <si>
    <t>Future Team Member #</t>
  </si>
  <si>
    <t>Future capacity %</t>
  </si>
  <si>
    <t>Future abs. Team members</t>
  </si>
  <si>
    <t>Estimated Future avg. Velocity</t>
  </si>
  <si>
    <t>Team capacity</t>
  </si>
  <si>
    <t>We track who are the team members that contribute to the deliverables.</t>
  </si>
  <si>
    <t># Team members</t>
  </si>
  <si>
    <t>Days off</t>
  </si>
  <si>
    <t>% Capacity</t>
  </si>
  <si>
    <t>Team velocity</t>
  </si>
  <si>
    <t>We track the delivery pace of the team.</t>
  </si>
  <si>
    <t>delivered points</t>
  </si>
  <si>
    <t>Scope changes</t>
  </si>
  <si>
    <t>We track events that change the scope of the project, so we can provide early and frequent feedback about progress.</t>
  </si>
  <si>
    <t>Mat (Product Owner)</t>
  </si>
  <si>
    <t>Diana (Product Manager)</t>
  </si>
  <si>
    <t>Nev (Delivery Manager)</t>
  </si>
  <si>
    <t>Burn Up Chart</t>
  </si>
  <si>
    <t>Story</t>
  </si>
  <si>
    <t>Priority</t>
  </si>
  <si>
    <t>Story Points</t>
  </si>
  <si>
    <t>As a site member, I want to describe myself on my own page in a semi-structured way so that others can learn about me. That is, I can fill in predefined fields, but also have room for a free-text field or two. (It would be nice to let this free text be HTML or similar.)</t>
  </si>
  <si>
    <t>As a site member, I can fill out an application to become a Certified Scrum Practitioner so that I can earn that designation. [Note: Certified Scrum Practitioner was the initial name of what became known as Certified Scrum Professional.]</t>
  </si>
  <si>
    <t>As a Practitioner, I want my profile page to include additional details about me (i.e., some of the answers to my Practitioner application) so that I can showcase my experience.</t>
  </si>
  <si>
    <t>As a site member, I can fill out an application to become a Certified Scrum Trainer so that I can teach CSM and CSPO courses and certify others.</t>
  </si>
  <si>
    <t>As a Trainer, I want my profile page to include additional details about me (i.e., some of the answers to my Trainer application) so that others can learn about me and decide if I’m the right trainer for them.</t>
  </si>
  <si>
    <t>As a Practitioner or Trainer, when I write an article for the site I want a small graphic shown with the article showing my CSP or CST status so that others know my certifications when reading. (For example, Amazon’s “Top 500 Reviewers” approach.)</t>
  </si>
  <si>
    <t>As a trainer, I want my profile to list my upcoming classes and include a link to a detailed page about each so that prospective attendees can find my courses.</t>
  </si>
  <si>
    <t>As a site member, I can view the profiles of other members so that I can find others I might want to connect with.</t>
  </si>
  <si>
    <t>As a site member, I can search for profiles based on a few fields (class attended, location, name) so I can find others I might want to connect with.</t>
  </si>
  <si>
    <t>As a site member, I can mark my profile as private in which case only my name will appear so that no one can learn things about me I don’t want shared.</t>
  </si>
  <si>
    <t>As a site member, I can mark my email address as private even if the rest of my profile is not so that no one can contact me.</t>
  </si>
  <si>
    <t>As a site member, I can send an email to any member via a form so that we can connect.</t>
  </si>
  <si>
    <t>As a site administrator, I can read practicing and training applications and approve or reject them so that only applicants who qualify can become CSPs or CSTs.</t>
  </si>
  <si>
    <t>As a site administrator, I can edit any site member profile so that I can correct problems for members.</t>
  </si>
  <si>
    <t>Profiles</t>
  </si>
  <si>
    <t>News</t>
  </si>
  <si>
    <t>As a site visitor, I can read current news on the home page so that I stay current on agile news.</t>
  </si>
  <si>
    <t>As a site visitor, I can access old news that is no longer on the home page, so I can access things I remember from the past or that others mention to me.</t>
  </si>
  <si>
    <t>As a site visitor, I can email news items to the editor, so they can be considered for publication. (Note: this could just be an email link to the editor.)</t>
  </si>
  <si>
    <t>As a site a site editor, I can set the following dates on a news item: Start Publishing Date, Old News Date, Stop Publishing Date so articles are published on and through appropriate dates. These dates refer to the date an item becomes visible on the site (perhaps next Monday), the date it stops appearing on the home page, and the date it is removed from the site (which may be never).</t>
  </si>
  <si>
    <t>Resource</t>
  </si>
  <si>
    <t>As a site member, I can download the latest training material and methodology PDFs so I have them.</t>
  </si>
  <si>
    <t>As a visitor, I can download presentations, PDFs, etc. on Scrum so that I can learn from them or use them.</t>
  </si>
  <si>
    <t>Jobs</t>
  </si>
  <si>
    <t>Sample Initial Backlog</t>
  </si>
  <si>
    <t>As someone who wants to hire, I can post a help wanted ad so that I can attract candidates.</t>
  </si>
  <si>
    <t>One, Estimated, Prioritized</t>
  </si>
  <si>
    <t>Items closer to be developed should have less uncertainty…</t>
  </si>
  <si>
    <t>Theme</t>
  </si>
  <si>
    <t>Duration estimates</t>
  </si>
  <si>
    <t>How the team delivers and how scope changes during the project</t>
  </si>
  <si>
    <t>Event description</t>
  </si>
  <si>
    <t>Who requested the change</t>
  </si>
  <si>
    <t>Initial project estimation</t>
  </si>
  <si>
    <t>Reduced scope due to…</t>
  </si>
  <si>
    <t>New requeriments were requested for …</t>
  </si>
  <si>
    <t>Complexity for … was re-estimated.</t>
  </si>
  <si>
    <t>Jobs module was re-designed and uncertainty is reduced</t>
  </si>
  <si>
    <t>New profiles module was added to the scope</t>
  </si>
  <si>
    <t>Uncertainty for thrid-party integration was reduced</t>
  </si>
  <si>
    <t>New integration with LinkedIn and new features were added</t>
  </si>
  <si>
    <t>Additional features for LinkedIn dashboard were added</t>
  </si>
  <si>
    <t>Estimated Last Sprint with Historic Velocity</t>
  </si>
  <si>
    <t>We estimate project duration based on Velocity and Future Capacity.</t>
  </si>
  <si>
    <t>Absolute Capacity</t>
  </si>
  <si>
    <t>Historic duration estimates based on scope changes, current velocity and future capacity during the project life-time.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</si>
</sst>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
    <numFmt numFmtId="165" formatCode="_(* #,##0_);_(* \(#,##0\);_(* &quot;-&quot;??_);_(@_)"/>
  </numFmts>
  <fonts count="12" x14ac:knownFonts="1">
    <font>
      <sz val="11"/>
      <color theme="1"/>
      <name val="Calibri"/>
      <family val="2"/>
      <scheme val="minor"/>
    </font>
    <font>
      <b/>
      <sz val="15"/>
      <color theme="3"/>
      <name val="Calibri"/>
      <family val="2"/>
      <scheme val="minor"/>
    </font>
    <font>
      <b/>
      <sz val="13"/>
      <color theme="3"/>
      <name val="Calibri"/>
      <family val="2"/>
      <scheme val="minor"/>
    </font>
    <font>
      <sz val="11"/>
      <color rgb="FF9C5700"/>
      <name val="Calibri"/>
      <family val="2"/>
      <scheme val="minor"/>
    </font>
    <font>
      <i/>
      <sz val="11"/>
      <color rgb="FF7F7F7F"/>
      <name val="Calibri"/>
      <family val="2"/>
      <scheme val="minor"/>
    </font>
    <font>
      <b/>
      <sz val="11"/>
      <color theme="0"/>
      <name val="Calibri"/>
      <family val="2"/>
      <scheme val="minor"/>
    </font>
    <font>
      <sz val="11"/>
      <color rgb="FF9C570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5"/>
      <color theme="3"/>
      <name val="Calibri"/>
      <family val="2"/>
      <scheme val="minor"/>
    </font>
  </fonts>
  <fills count="7">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theme="4"/>
        <bgColor theme="4"/>
      </patternFill>
    </fill>
    <fill>
      <patternFill patternType="solid">
        <fgColor rgb="FFFFFFCC"/>
      </patternFill>
    </fill>
    <fill>
      <patternFill patternType="solid">
        <fgColor theme="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4"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7" fillId="5" borderId="6" applyNumberFormat="0" applyFont="0" applyAlignment="0" applyProtection="0"/>
    <xf numFmtId="0" fontId="9" fillId="6" borderId="0" applyNumberFormat="0" applyBorder="0" applyAlignment="0" applyProtection="0"/>
  </cellStyleXfs>
  <cellXfs count="32">
    <xf numFmtId="0" fontId="0" fillId="0" borderId="0" xfId="0"/>
    <xf numFmtId="0" fontId="1" fillId="0" borderId="1" xfId="1" applyFill="1"/>
    <xf numFmtId="0" fontId="2" fillId="0" borderId="2" xfId="2" applyFill="1"/>
    <xf numFmtId="164" fontId="0" fillId="0" borderId="0" xfId="0" applyNumberFormat="1"/>
    <xf numFmtId="164" fontId="3" fillId="2" borderId="0" xfId="3" applyNumberFormat="1"/>
    <xf numFmtId="0" fontId="3" fillId="2" borderId="0" xfId="3"/>
    <xf numFmtId="0" fontId="5" fillId="4" borderId="3" xfId="0" applyFont="1" applyFill="1" applyBorder="1"/>
    <xf numFmtId="0" fontId="0" fillId="3" borderId="3" xfId="0" applyFont="1" applyFill="1" applyBorder="1"/>
    <xf numFmtId="0" fontId="6" fillId="2" borderId="3" xfId="3" applyFont="1" applyFill="1" applyBorder="1"/>
    <xf numFmtId="0" fontId="0" fillId="0" borderId="0" xfId="0" applyFill="1"/>
    <xf numFmtId="9" fontId="3" fillId="2" borderId="0" xfId="3" applyNumberFormat="1"/>
    <xf numFmtId="0" fontId="5" fillId="4" borderId="4" xfId="0" applyFont="1" applyFill="1" applyBorder="1"/>
    <xf numFmtId="0" fontId="6" fillId="2" borderId="5" xfId="3" applyFont="1" applyFill="1" applyBorder="1"/>
    <xf numFmtId="0" fontId="4" fillId="0" borderId="0" xfId="4"/>
    <xf numFmtId="0" fontId="0" fillId="0" borderId="0" xfId="0" applyNumberFormat="1" applyFont="1" applyFill="1" applyAlignment="1" applyProtection="1"/>
    <xf numFmtId="0" fontId="3" fillId="2" borderId="0" xfId="3" applyNumberFormat="1"/>
    <xf numFmtId="0" fontId="9" fillId="6" borderId="0" xfId="8"/>
    <xf numFmtId="43" fontId="3" fillId="2" borderId="0" xfId="5" applyFont="1" applyFill="1"/>
    <xf numFmtId="9" fontId="3" fillId="2" borderId="0" xfId="6" applyFont="1" applyFill="1"/>
    <xf numFmtId="165" fontId="3" fillId="2" borderId="0" xfId="5" applyNumberFormat="1" applyFont="1" applyFill="1"/>
    <xf numFmtId="2" fontId="3" fillId="2" borderId="0" xfId="6" applyNumberFormat="1" applyFont="1" applyFill="1"/>
    <xf numFmtId="2" fontId="3" fillId="2" borderId="0" xfId="3" applyNumberFormat="1"/>
    <xf numFmtId="165" fontId="3" fillId="2" borderId="0" xfId="3" applyNumberFormat="1"/>
    <xf numFmtId="0" fontId="11" fillId="0" borderId="1" xfId="1" applyFont="1" applyFill="1"/>
    <xf numFmtId="0" fontId="11" fillId="0" borderId="1" xfId="1" applyFont="1"/>
    <xf numFmtId="9" fontId="6" fillId="2" borderId="0" xfId="3" applyNumberFormat="1" applyFont="1"/>
    <xf numFmtId="2" fontId="6" fillId="2" borderId="0" xfId="3" applyNumberFormat="1" applyFont="1"/>
    <xf numFmtId="0" fontId="8" fillId="5" borderId="7" xfId="7" applyFont="1" applyBorder="1" applyAlignment="1">
      <alignment horizontal="center"/>
    </xf>
    <xf numFmtId="0" fontId="8" fillId="5" borderId="9" xfId="7" applyFont="1" applyBorder="1" applyAlignment="1">
      <alignment horizontal="center"/>
    </xf>
    <xf numFmtId="0" fontId="0" fillId="5" borderId="7" xfId="7" applyFont="1" applyBorder="1" applyAlignment="1">
      <alignment horizontal="center"/>
    </xf>
    <xf numFmtId="0" fontId="0" fillId="5" borderId="8" xfId="7" applyFont="1" applyBorder="1" applyAlignment="1">
      <alignment horizontal="center"/>
    </xf>
    <xf numFmtId="0" fontId="0" fillId="5" borderId="9" xfId="7" applyFont="1" applyBorder="1" applyAlignment="1">
      <alignment horizontal="center"/>
    </xf>
  </cellXfs>
  <cellStyles count="9">
    <cellStyle name="Accent6" xfId="8" builtinId="49"/>
    <cellStyle name="Comma" xfId="5" builtinId="3"/>
    <cellStyle name="Explanatory Text" xfId="4" builtinId="53"/>
    <cellStyle name="Heading 1" xfId="1" builtinId="16"/>
    <cellStyle name="Heading 2" xfId="2" builtinId="17"/>
    <cellStyle name="Neutral" xfId="3" builtinId="28"/>
    <cellStyle name="Normal" xfId="0" builtinId="0"/>
    <cellStyle name="Note" xfId="7" builtinId="10"/>
    <cellStyle name="Percent" xfId="6" builtinId="5"/>
  </cellStyles>
  <dxfs count="33">
    <dxf>
      <numFmt numFmtId="2" formatCode="0.00"/>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9C5700"/>
        <name val="Calibri"/>
        <family val="2"/>
        <scheme val="minor"/>
      </font>
      <fill>
        <patternFill patternType="none">
          <fgColor indexed="64"/>
          <bgColor rgb="FFFFEB9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9C5700"/>
        <name val="Calibri"/>
        <family val="2"/>
        <scheme val="minor"/>
      </font>
      <fill>
        <patternFill patternType="solid">
          <fgColor indexed="64"/>
          <bgColor rgb="FFFFEB9C"/>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rgb="FF9C5700"/>
        <name val="Calibri"/>
        <family val="2"/>
        <scheme val="minor"/>
      </font>
      <fill>
        <patternFill patternType="solid">
          <fgColor indexed="64"/>
          <bgColor rgb="FFFFEB9C"/>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9C5700"/>
        <name val="Calibri"/>
        <family val="2"/>
        <scheme val="minor"/>
      </font>
      <numFmt numFmtId="13" formatCode="0%"/>
      <fill>
        <patternFill patternType="solid">
          <fgColor rgb="FFFFEB9C"/>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9C5700"/>
        <name val="Calibri"/>
        <family val="2"/>
        <scheme val="minor"/>
      </font>
      <fill>
        <patternFill patternType="solid">
          <fgColor indexed="64"/>
          <bgColor rgb="FFFFEB9C"/>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1"/>
        <color rgb="FF9C5700"/>
        <name val="Calibri"/>
        <scheme val="minor"/>
      </font>
      <numFmt numFmtId="165" formatCode="_(* #,##0_);_(* \(#,##0\);_(* &quot;-&quot;??_);_(@_)"/>
      <fill>
        <patternFill patternType="solid">
          <fgColor indexed="64"/>
          <bgColor rgb="FFFFEB9C"/>
        </patternFill>
      </fill>
    </dxf>
    <dxf>
      <numFmt numFmtId="13" formatCode="0%"/>
    </dxf>
    <dxf>
      <font>
        <b val="0"/>
        <i val="0"/>
        <strike val="0"/>
        <condense val="0"/>
        <extend val="0"/>
        <outline val="0"/>
        <shadow val="0"/>
        <u val="none"/>
        <vertAlign val="baseline"/>
        <sz val="11"/>
        <color rgb="FF9C5700"/>
        <name val="Calibri"/>
        <scheme val="minor"/>
      </font>
      <numFmt numFmtId="2" formatCode="0.00"/>
      <fill>
        <patternFill patternType="solid">
          <fgColor indexed="64"/>
          <bgColor rgb="FFFFEB9C"/>
        </patternFill>
      </fill>
    </dxf>
    <dxf>
      <font>
        <b val="0"/>
        <i val="0"/>
        <strike val="0"/>
        <condense val="0"/>
        <extend val="0"/>
        <outline val="0"/>
        <shadow val="0"/>
        <u val="none"/>
        <vertAlign val="baseline"/>
        <sz val="11"/>
        <color rgb="FF9C5700"/>
        <name val="Calibri"/>
        <scheme val="minor"/>
      </font>
      <numFmt numFmtId="35" formatCode="_(* #,##0.00_);_(* \(#,##0.00\);_(* &quot;-&quot;??_);_(@_)"/>
      <fill>
        <patternFill patternType="solid">
          <fgColor indexed="64"/>
          <bgColor rgb="FFFFEB9C"/>
        </patternFill>
      </fil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font>
        <color rgb="FF9C5700"/>
      </font>
      <numFmt numFmtId="165" formatCode="_(* #,##0_);_(* \(#,##0\);_(* &quot;-&quot;??_);_(@_)"/>
      <fill>
        <patternFill patternType="solid">
          <fgColor indexed="64"/>
          <bgColor rgb="FFFFEB9C"/>
        </patternFill>
      </fill>
    </dxf>
    <dxf>
      <numFmt numFmtId="164" formatCode="[$-409]d\-m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Changes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Sprints!$E$5</c:f>
              <c:strCache>
                <c:ptCount val="1"/>
                <c:pt idx="0">
                  <c:v>In scope</c:v>
                </c:pt>
              </c:strCache>
            </c:strRef>
          </c:tx>
          <c:spPr>
            <a:ln w="28575" cap="rnd">
              <a:solidFill>
                <a:srgbClr val="C00000"/>
              </a:solidFill>
              <a:round/>
            </a:ln>
            <a:effectLst/>
          </c:spPr>
          <c:marker>
            <c:symbol val="none"/>
          </c:marker>
          <c:cat>
            <c:numRef>
              <c:f>Sprints!$A$6:$A$27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Sprints!$E$6:$E$27</c:f>
              <c:numCache>
                <c:formatCode>General</c:formatCode>
                <c:ptCount val="22"/>
                <c:pt idx="0">
                  <c:v>464</c:v>
                </c:pt>
                <c:pt idx="1">
                  <c:v>414</c:v>
                </c:pt>
                <c:pt idx="2">
                  <c:v>414</c:v>
                </c:pt>
                <c:pt idx="3">
                  <c:v>494</c:v>
                </c:pt>
                <c:pt idx="4">
                  <c:v>494</c:v>
                </c:pt>
                <c:pt idx="5">
                  <c:v>474</c:v>
                </c:pt>
                <c:pt idx="6">
                  <c:v>474</c:v>
                </c:pt>
                <c:pt idx="7">
                  <c:v>384</c:v>
                </c:pt>
                <c:pt idx="8">
                  <c:v>584</c:v>
                </c:pt>
                <c:pt idx="9">
                  <c:v>529</c:v>
                </c:pt>
                <c:pt idx="10">
                  <c:v>529</c:v>
                </c:pt>
                <c:pt idx="11">
                  <c:v>716</c:v>
                </c:pt>
                <c:pt idx="12">
                  <c:v>704</c:v>
                </c:pt>
                <c:pt idx="13">
                  <c:v>704</c:v>
                </c:pt>
                <c:pt idx="14">
                  <c:v>704</c:v>
                </c:pt>
                <c:pt idx="15">
                  <c:v>704</c:v>
                </c:pt>
                <c:pt idx="16">
                  <c:v>639</c:v>
                </c:pt>
                <c:pt idx="17">
                  <c:v>639</c:v>
                </c:pt>
                <c:pt idx="18">
                  <c:v>697</c:v>
                </c:pt>
                <c:pt idx="19">
                  <c:v>697</c:v>
                </c:pt>
                <c:pt idx="20">
                  <c:v>697</c:v>
                </c:pt>
                <c:pt idx="21">
                  <c:v>697</c:v>
                </c:pt>
              </c:numCache>
            </c:numRef>
          </c:val>
          <c:smooth val="0"/>
          <c:extLst>
            <c:ext xmlns:c16="http://schemas.microsoft.com/office/drawing/2014/chart" uri="{C3380CC4-5D6E-409C-BE32-E72D297353CC}">
              <c16:uniqueId val="{00000002-A143-49C9-985A-CD4D0731E78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641919936"/>
        <c:axId val="1641926176"/>
      </c:lineChart>
      <c:catAx>
        <c:axId val="164191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26176"/>
        <c:crosses val="autoZero"/>
        <c:auto val="1"/>
        <c:lblAlgn val="ctr"/>
        <c:lblOffset val="100"/>
        <c:noMultiLvlLbl val="0"/>
      </c:catAx>
      <c:valAx>
        <c:axId val="16419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velocity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'Team velocity'!$B$4</c:f>
              <c:strCache>
                <c:ptCount val="1"/>
                <c:pt idx="0">
                  <c:v>delivered points</c:v>
                </c:pt>
              </c:strCache>
            </c:strRef>
          </c:tx>
          <c:spPr>
            <a:solidFill>
              <a:schemeClr val="accent6"/>
            </a:solidFill>
            <a:ln>
              <a:noFill/>
            </a:ln>
            <a:effectLst/>
          </c:spPr>
          <c:invertIfNegative val="0"/>
          <c:val>
            <c:numRef>
              <c:f>'Team velocity'!$B$5:$B$26</c:f>
              <c:numCache>
                <c:formatCode>General</c:formatCode>
                <c:ptCount val="22"/>
                <c:pt idx="0">
                  <c:v>51</c:v>
                </c:pt>
                <c:pt idx="1">
                  <c:v>54</c:v>
                </c:pt>
                <c:pt idx="2">
                  <c:v>46</c:v>
                </c:pt>
                <c:pt idx="3">
                  <c:v>53</c:v>
                </c:pt>
                <c:pt idx="4">
                  <c:v>36</c:v>
                </c:pt>
                <c:pt idx="5">
                  <c:v>18</c:v>
                </c:pt>
                <c:pt idx="6">
                  <c:v>23</c:v>
                </c:pt>
                <c:pt idx="7">
                  <c:v>35</c:v>
                </c:pt>
                <c:pt idx="8">
                  <c:v>30</c:v>
                </c:pt>
                <c:pt idx="9">
                  <c:v>42</c:v>
                </c:pt>
                <c:pt idx="10">
                  <c:v>40</c:v>
                </c:pt>
                <c:pt idx="11">
                  <c:v>26</c:v>
                </c:pt>
                <c:pt idx="12">
                  <c:v>32</c:v>
                </c:pt>
                <c:pt idx="13">
                  <c:v>16</c:v>
                </c:pt>
                <c:pt idx="14">
                  <c:v>24</c:v>
                </c:pt>
                <c:pt idx="15">
                  <c:v>20</c:v>
                </c:pt>
                <c:pt idx="16">
                  <c:v>26</c:v>
                </c:pt>
                <c:pt idx="17">
                  <c:v>26</c:v>
                </c:pt>
                <c:pt idx="18">
                  <c:v>17</c:v>
                </c:pt>
                <c:pt idx="19">
                  <c:v>39</c:v>
                </c:pt>
                <c:pt idx="20">
                  <c:v>27</c:v>
                </c:pt>
                <c:pt idx="21">
                  <c:v>16</c:v>
                </c:pt>
              </c:numCache>
            </c:numRef>
          </c:val>
          <c:extLst>
            <c:ext xmlns:c16="http://schemas.microsoft.com/office/drawing/2014/chart" uri="{C3380CC4-5D6E-409C-BE32-E72D297353CC}">
              <c16:uniqueId val="{00000000-1CA1-4615-9235-3E8ADDB1C130}"/>
            </c:ext>
          </c:extLst>
        </c:ser>
        <c:dLbls>
          <c:showLegendKey val="0"/>
          <c:showVal val="0"/>
          <c:showCatName val="0"/>
          <c:showSerName val="0"/>
          <c:showPercent val="0"/>
          <c:showBubbleSize val="0"/>
        </c:dLbls>
        <c:gapWidth val="150"/>
        <c:axId val="1348570608"/>
        <c:axId val="1348571856"/>
      </c:barChart>
      <c:catAx>
        <c:axId val="13485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71856"/>
        <c:crosses val="autoZero"/>
        <c:auto val="1"/>
        <c:lblAlgn val="ctr"/>
        <c:lblOffset val="100"/>
        <c:noMultiLvlLbl val="0"/>
      </c:catAx>
      <c:valAx>
        <c:axId val="13485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7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Burn Up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2"/>
          <c:order val="2"/>
          <c:tx>
            <c:strRef>
              <c:f>Sprints!$G$5</c:f>
              <c:strCache>
                <c:ptCount val="1"/>
                <c:pt idx="0">
                  <c:v>Done overall</c:v>
                </c:pt>
              </c:strCache>
            </c:strRef>
          </c:tx>
          <c:spPr>
            <a:solidFill>
              <a:schemeClr val="accent1"/>
            </a:solidFill>
            <a:ln>
              <a:noFill/>
            </a:ln>
            <a:effectLst/>
          </c:spPr>
          <c:cat>
            <c:multiLvlStrRef>
              <c:f>Sprints!$A$6:$B$27</c:f>
              <c:multiLvlStrCache>
                <c:ptCount val="22"/>
                <c:lvl>
                  <c:pt idx="0">
                    <c:v>1-Jun</c:v>
                  </c:pt>
                  <c:pt idx="1">
                    <c:v>15-Jun</c:v>
                  </c:pt>
                  <c:pt idx="2">
                    <c:v>29-Jun</c:v>
                  </c:pt>
                  <c:pt idx="3">
                    <c:v>13-Jul</c:v>
                  </c:pt>
                  <c:pt idx="4">
                    <c:v>27-Jul</c:v>
                  </c:pt>
                  <c:pt idx="5">
                    <c:v>10-Aug</c:v>
                  </c:pt>
                  <c:pt idx="6">
                    <c:v>24-Aug</c:v>
                  </c:pt>
                  <c:pt idx="7">
                    <c:v>7-Sep</c:v>
                  </c:pt>
                  <c:pt idx="8">
                    <c:v>21-Sep</c:v>
                  </c:pt>
                  <c:pt idx="9">
                    <c:v>5-Oct</c:v>
                  </c:pt>
                  <c:pt idx="10">
                    <c:v>19-Oct</c:v>
                  </c:pt>
                  <c:pt idx="11">
                    <c:v>2-Nov</c:v>
                  </c:pt>
                  <c:pt idx="12">
                    <c:v>16-Nov</c:v>
                  </c:pt>
                  <c:pt idx="13">
                    <c:v>30-Nov</c:v>
                  </c:pt>
                  <c:pt idx="14">
                    <c:v>14-Dec</c:v>
                  </c:pt>
                  <c:pt idx="15">
                    <c:v>28-Dec</c:v>
                  </c:pt>
                  <c:pt idx="16">
                    <c:v>11-Jan</c:v>
                  </c:pt>
                  <c:pt idx="17">
                    <c:v>25-Jan</c:v>
                  </c:pt>
                  <c:pt idx="18">
                    <c:v>8-Feb</c:v>
                  </c:pt>
                  <c:pt idx="19">
                    <c:v>22-Feb</c:v>
                  </c:pt>
                  <c:pt idx="20">
                    <c:v>8-Mar</c:v>
                  </c:pt>
                  <c:pt idx="21">
                    <c:v>22-Mar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lvl>
              </c:multiLvlStrCache>
            </c:multiLvlStrRef>
          </c:cat>
          <c:val>
            <c:numRef>
              <c:f>Sprints!$G$6:$G$27</c:f>
              <c:numCache>
                <c:formatCode>General</c:formatCode>
                <c:ptCount val="22"/>
                <c:pt idx="0">
                  <c:v>51</c:v>
                </c:pt>
                <c:pt idx="1">
                  <c:v>105</c:v>
                </c:pt>
                <c:pt idx="2">
                  <c:v>151</c:v>
                </c:pt>
                <c:pt idx="3">
                  <c:v>204</c:v>
                </c:pt>
                <c:pt idx="4">
                  <c:v>240</c:v>
                </c:pt>
                <c:pt idx="5">
                  <c:v>258</c:v>
                </c:pt>
                <c:pt idx="6">
                  <c:v>281</c:v>
                </c:pt>
                <c:pt idx="7">
                  <c:v>316</c:v>
                </c:pt>
                <c:pt idx="8">
                  <c:v>346</c:v>
                </c:pt>
                <c:pt idx="9">
                  <c:v>388</c:v>
                </c:pt>
                <c:pt idx="10">
                  <c:v>428</c:v>
                </c:pt>
                <c:pt idx="11">
                  <c:v>454</c:v>
                </c:pt>
                <c:pt idx="12">
                  <c:v>486</c:v>
                </c:pt>
                <c:pt idx="13">
                  <c:v>502</c:v>
                </c:pt>
                <c:pt idx="14">
                  <c:v>526</c:v>
                </c:pt>
                <c:pt idx="15">
                  <c:v>546</c:v>
                </c:pt>
                <c:pt idx="16">
                  <c:v>572</c:v>
                </c:pt>
                <c:pt idx="17">
                  <c:v>598</c:v>
                </c:pt>
                <c:pt idx="18">
                  <c:v>615</c:v>
                </c:pt>
                <c:pt idx="19">
                  <c:v>654</c:v>
                </c:pt>
                <c:pt idx="20">
                  <c:v>681</c:v>
                </c:pt>
                <c:pt idx="21">
                  <c:v>697</c:v>
                </c:pt>
              </c:numCache>
            </c:numRef>
          </c:val>
          <c:extLst>
            <c:ext xmlns:c16="http://schemas.microsoft.com/office/drawing/2014/chart" uri="{C3380CC4-5D6E-409C-BE32-E72D297353CC}">
              <c16:uniqueId val="{00000002-DA46-4320-ABFB-E88DE9148701}"/>
            </c:ext>
          </c:extLst>
        </c:ser>
        <c:dLbls>
          <c:showLegendKey val="0"/>
          <c:showVal val="0"/>
          <c:showCatName val="0"/>
          <c:showSerName val="0"/>
          <c:showPercent val="0"/>
          <c:showBubbleSize val="0"/>
        </c:dLbls>
        <c:axId val="1641919936"/>
        <c:axId val="1641926176"/>
      </c:areaChart>
      <c:barChart>
        <c:barDir val="col"/>
        <c:grouping val="clustered"/>
        <c:varyColors val="0"/>
        <c:ser>
          <c:idx val="1"/>
          <c:order val="1"/>
          <c:tx>
            <c:strRef>
              <c:f>Sprints!$F$5</c:f>
              <c:strCache>
                <c:ptCount val="1"/>
                <c:pt idx="0">
                  <c:v>Done in Sprint</c:v>
                </c:pt>
              </c:strCache>
            </c:strRef>
          </c:tx>
          <c:spPr>
            <a:solidFill>
              <a:schemeClr val="accent6"/>
            </a:solidFill>
            <a:ln>
              <a:noFill/>
            </a:ln>
            <a:effectLst/>
          </c:spPr>
          <c:invertIfNegative val="0"/>
          <c:cat>
            <c:multiLvlStrRef>
              <c:f>Sprints!$A$6:$B$27</c:f>
              <c:multiLvlStrCache>
                <c:ptCount val="22"/>
                <c:lvl>
                  <c:pt idx="0">
                    <c:v>1-Jun</c:v>
                  </c:pt>
                  <c:pt idx="1">
                    <c:v>15-Jun</c:v>
                  </c:pt>
                  <c:pt idx="2">
                    <c:v>29-Jun</c:v>
                  </c:pt>
                  <c:pt idx="3">
                    <c:v>13-Jul</c:v>
                  </c:pt>
                  <c:pt idx="4">
                    <c:v>27-Jul</c:v>
                  </c:pt>
                  <c:pt idx="5">
                    <c:v>10-Aug</c:v>
                  </c:pt>
                  <c:pt idx="6">
                    <c:v>24-Aug</c:v>
                  </c:pt>
                  <c:pt idx="7">
                    <c:v>7-Sep</c:v>
                  </c:pt>
                  <c:pt idx="8">
                    <c:v>21-Sep</c:v>
                  </c:pt>
                  <c:pt idx="9">
                    <c:v>5-Oct</c:v>
                  </c:pt>
                  <c:pt idx="10">
                    <c:v>19-Oct</c:v>
                  </c:pt>
                  <c:pt idx="11">
                    <c:v>2-Nov</c:v>
                  </c:pt>
                  <c:pt idx="12">
                    <c:v>16-Nov</c:v>
                  </c:pt>
                  <c:pt idx="13">
                    <c:v>30-Nov</c:v>
                  </c:pt>
                  <c:pt idx="14">
                    <c:v>14-Dec</c:v>
                  </c:pt>
                  <c:pt idx="15">
                    <c:v>28-Dec</c:v>
                  </c:pt>
                  <c:pt idx="16">
                    <c:v>11-Jan</c:v>
                  </c:pt>
                  <c:pt idx="17">
                    <c:v>25-Jan</c:v>
                  </c:pt>
                  <c:pt idx="18">
                    <c:v>8-Feb</c:v>
                  </c:pt>
                  <c:pt idx="19">
                    <c:v>22-Feb</c:v>
                  </c:pt>
                  <c:pt idx="20">
                    <c:v>8-Mar</c:v>
                  </c:pt>
                  <c:pt idx="21">
                    <c:v>22-Mar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lvl>
              </c:multiLvlStrCache>
            </c:multiLvlStrRef>
          </c:cat>
          <c:val>
            <c:numRef>
              <c:f>Sprints!$F$6:$F$27</c:f>
              <c:numCache>
                <c:formatCode>General</c:formatCode>
                <c:ptCount val="22"/>
                <c:pt idx="0">
                  <c:v>51</c:v>
                </c:pt>
                <c:pt idx="1">
                  <c:v>54</c:v>
                </c:pt>
                <c:pt idx="2">
                  <c:v>46</c:v>
                </c:pt>
                <c:pt idx="3">
                  <c:v>53</c:v>
                </c:pt>
                <c:pt idx="4">
                  <c:v>36</c:v>
                </c:pt>
                <c:pt idx="5">
                  <c:v>18</c:v>
                </c:pt>
                <c:pt idx="6">
                  <c:v>23</c:v>
                </c:pt>
                <c:pt idx="7">
                  <c:v>35</c:v>
                </c:pt>
                <c:pt idx="8">
                  <c:v>30</c:v>
                </c:pt>
                <c:pt idx="9">
                  <c:v>42</c:v>
                </c:pt>
                <c:pt idx="10">
                  <c:v>40</c:v>
                </c:pt>
                <c:pt idx="11">
                  <c:v>26</c:v>
                </c:pt>
                <c:pt idx="12">
                  <c:v>32</c:v>
                </c:pt>
                <c:pt idx="13">
                  <c:v>16</c:v>
                </c:pt>
                <c:pt idx="14">
                  <c:v>24</c:v>
                </c:pt>
                <c:pt idx="15">
                  <c:v>20</c:v>
                </c:pt>
                <c:pt idx="16">
                  <c:v>26</c:v>
                </c:pt>
                <c:pt idx="17">
                  <c:v>26</c:v>
                </c:pt>
                <c:pt idx="18">
                  <c:v>17</c:v>
                </c:pt>
                <c:pt idx="19">
                  <c:v>39</c:v>
                </c:pt>
                <c:pt idx="20">
                  <c:v>27</c:v>
                </c:pt>
                <c:pt idx="21">
                  <c:v>16</c:v>
                </c:pt>
              </c:numCache>
            </c:numRef>
          </c:val>
          <c:extLst>
            <c:ext xmlns:c16="http://schemas.microsoft.com/office/drawing/2014/chart" uri="{C3380CC4-5D6E-409C-BE32-E72D297353CC}">
              <c16:uniqueId val="{00000001-DA46-4320-ABFB-E88DE9148701}"/>
            </c:ext>
          </c:extLst>
        </c:ser>
        <c:dLbls>
          <c:showLegendKey val="0"/>
          <c:showVal val="0"/>
          <c:showCatName val="0"/>
          <c:showSerName val="0"/>
          <c:showPercent val="0"/>
          <c:showBubbleSize val="0"/>
        </c:dLbls>
        <c:gapWidth val="300"/>
        <c:axId val="1641919936"/>
        <c:axId val="1641926176"/>
      </c:barChart>
      <c:lineChart>
        <c:grouping val="standard"/>
        <c:varyColors val="0"/>
        <c:ser>
          <c:idx val="0"/>
          <c:order val="0"/>
          <c:tx>
            <c:strRef>
              <c:f>Sprints!$E$5</c:f>
              <c:strCache>
                <c:ptCount val="1"/>
                <c:pt idx="0">
                  <c:v>In scope</c:v>
                </c:pt>
              </c:strCache>
            </c:strRef>
          </c:tx>
          <c:spPr>
            <a:ln w="28575" cap="rnd">
              <a:solidFill>
                <a:srgbClr val="C00000"/>
              </a:solidFill>
              <a:round/>
            </a:ln>
            <a:effectLst/>
          </c:spPr>
          <c:marker>
            <c:symbol val="none"/>
          </c:marker>
          <c:cat>
            <c:numRef>
              <c:f>Sprints!$A$6:$A$27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Sprints!$E$6:$E$27</c:f>
              <c:numCache>
                <c:formatCode>General</c:formatCode>
                <c:ptCount val="22"/>
                <c:pt idx="0">
                  <c:v>464</c:v>
                </c:pt>
                <c:pt idx="1">
                  <c:v>414</c:v>
                </c:pt>
                <c:pt idx="2">
                  <c:v>414</c:v>
                </c:pt>
                <c:pt idx="3">
                  <c:v>494</c:v>
                </c:pt>
                <c:pt idx="4">
                  <c:v>494</c:v>
                </c:pt>
                <c:pt idx="5">
                  <c:v>474</c:v>
                </c:pt>
                <c:pt idx="6">
                  <c:v>474</c:v>
                </c:pt>
                <c:pt idx="7">
                  <c:v>384</c:v>
                </c:pt>
                <c:pt idx="8">
                  <c:v>584</c:v>
                </c:pt>
                <c:pt idx="9">
                  <c:v>529</c:v>
                </c:pt>
                <c:pt idx="10">
                  <c:v>529</c:v>
                </c:pt>
                <c:pt idx="11">
                  <c:v>716</c:v>
                </c:pt>
                <c:pt idx="12">
                  <c:v>704</c:v>
                </c:pt>
                <c:pt idx="13">
                  <c:v>704</c:v>
                </c:pt>
                <c:pt idx="14">
                  <c:v>704</c:v>
                </c:pt>
                <c:pt idx="15">
                  <c:v>704</c:v>
                </c:pt>
                <c:pt idx="16">
                  <c:v>639</c:v>
                </c:pt>
                <c:pt idx="17">
                  <c:v>639</c:v>
                </c:pt>
                <c:pt idx="18">
                  <c:v>697</c:v>
                </c:pt>
                <c:pt idx="19">
                  <c:v>697</c:v>
                </c:pt>
                <c:pt idx="20">
                  <c:v>697</c:v>
                </c:pt>
                <c:pt idx="21">
                  <c:v>697</c:v>
                </c:pt>
              </c:numCache>
            </c:numRef>
          </c:val>
          <c:smooth val="0"/>
          <c:extLst>
            <c:ext xmlns:c16="http://schemas.microsoft.com/office/drawing/2014/chart" uri="{C3380CC4-5D6E-409C-BE32-E72D297353CC}">
              <c16:uniqueId val="{00000000-DA46-4320-ABFB-E88DE914870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641919936"/>
        <c:axId val="1641926176"/>
      </c:lineChart>
      <c:catAx>
        <c:axId val="164191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26176"/>
        <c:crosses val="autoZero"/>
        <c:auto val="1"/>
        <c:lblAlgn val="ctr"/>
        <c:lblOffset val="100"/>
        <c:noMultiLvlLbl val="0"/>
      </c:catAx>
      <c:valAx>
        <c:axId val="16419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Velocity and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'Team velocity'!$B$4</c:f>
              <c:strCache>
                <c:ptCount val="1"/>
                <c:pt idx="0">
                  <c:v>delivered points</c:v>
                </c:pt>
              </c:strCache>
            </c:strRef>
          </c:tx>
          <c:spPr>
            <a:solidFill>
              <a:schemeClr val="accent6"/>
            </a:solidFill>
            <a:ln>
              <a:noFill/>
            </a:ln>
            <a:effectLst/>
          </c:spPr>
          <c:invertIfNegative val="0"/>
          <c:val>
            <c:numRef>
              <c:f>'Team velocity'!$B$5:$B$26</c:f>
              <c:numCache>
                <c:formatCode>General</c:formatCode>
                <c:ptCount val="22"/>
                <c:pt idx="0">
                  <c:v>51</c:v>
                </c:pt>
                <c:pt idx="1">
                  <c:v>54</c:v>
                </c:pt>
                <c:pt idx="2">
                  <c:v>46</c:v>
                </c:pt>
                <c:pt idx="3">
                  <c:v>53</c:v>
                </c:pt>
                <c:pt idx="4">
                  <c:v>36</c:v>
                </c:pt>
                <c:pt idx="5">
                  <c:v>18</c:v>
                </c:pt>
                <c:pt idx="6">
                  <c:v>23</c:v>
                </c:pt>
                <c:pt idx="7">
                  <c:v>35</c:v>
                </c:pt>
                <c:pt idx="8">
                  <c:v>30</c:v>
                </c:pt>
                <c:pt idx="9">
                  <c:v>42</c:v>
                </c:pt>
                <c:pt idx="10">
                  <c:v>40</c:v>
                </c:pt>
                <c:pt idx="11">
                  <c:v>26</c:v>
                </c:pt>
                <c:pt idx="12">
                  <c:v>32</c:v>
                </c:pt>
                <c:pt idx="13">
                  <c:v>16</c:v>
                </c:pt>
                <c:pt idx="14">
                  <c:v>24</c:v>
                </c:pt>
                <c:pt idx="15">
                  <c:v>20</c:v>
                </c:pt>
                <c:pt idx="16">
                  <c:v>26</c:v>
                </c:pt>
                <c:pt idx="17">
                  <c:v>26</c:v>
                </c:pt>
                <c:pt idx="18">
                  <c:v>17</c:v>
                </c:pt>
                <c:pt idx="19">
                  <c:v>39</c:v>
                </c:pt>
                <c:pt idx="20">
                  <c:v>27</c:v>
                </c:pt>
                <c:pt idx="21">
                  <c:v>16</c:v>
                </c:pt>
              </c:numCache>
            </c:numRef>
          </c:val>
          <c:extLst>
            <c:ext xmlns:c16="http://schemas.microsoft.com/office/drawing/2014/chart" uri="{C3380CC4-5D6E-409C-BE32-E72D297353CC}">
              <c16:uniqueId val="{00000002-63CC-415A-9413-E3AA2F7F010A}"/>
            </c:ext>
          </c:extLst>
        </c:ser>
        <c:dLbls>
          <c:showLegendKey val="0"/>
          <c:showVal val="0"/>
          <c:showCatName val="0"/>
          <c:showSerName val="0"/>
          <c:showPercent val="0"/>
          <c:showBubbleSize val="0"/>
        </c:dLbls>
        <c:gapWidth val="75"/>
        <c:axId val="1352289312"/>
        <c:axId val="1352285152"/>
      </c:barChart>
      <c:lineChart>
        <c:grouping val="standard"/>
        <c:varyColors val="0"/>
        <c:ser>
          <c:idx val="0"/>
          <c:order val="0"/>
          <c:tx>
            <c:strRef>
              <c:f>'Team capacity'!$E$4</c:f>
              <c:strCache>
                <c:ptCount val="1"/>
                <c:pt idx="0">
                  <c:v>Absolute Capacity</c:v>
                </c:pt>
              </c:strCache>
            </c:strRef>
          </c:tx>
          <c:spPr>
            <a:ln w="28575" cap="rnd">
              <a:solidFill>
                <a:schemeClr val="accent2"/>
              </a:solidFill>
              <a:round/>
            </a:ln>
            <a:effectLst/>
          </c:spPr>
          <c:marker>
            <c:symbol val="none"/>
          </c:marker>
          <c:val>
            <c:numRef>
              <c:f>'Team capacity'!$E$5:$E$26</c:f>
              <c:numCache>
                <c:formatCode>General</c:formatCode>
                <c:ptCount val="22"/>
                <c:pt idx="0">
                  <c:v>7</c:v>
                </c:pt>
                <c:pt idx="1">
                  <c:v>7</c:v>
                </c:pt>
                <c:pt idx="2">
                  <c:v>6.1999999999999993</c:v>
                </c:pt>
                <c:pt idx="3">
                  <c:v>6.8</c:v>
                </c:pt>
                <c:pt idx="4">
                  <c:v>6.3</c:v>
                </c:pt>
                <c:pt idx="5">
                  <c:v>5.3</c:v>
                </c:pt>
                <c:pt idx="6">
                  <c:v>3.5</c:v>
                </c:pt>
                <c:pt idx="7">
                  <c:v>4.7</c:v>
                </c:pt>
                <c:pt idx="8">
                  <c:v>5.8999999999999995</c:v>
                </c:pt>
                <c:pt idx="9">
                  <c:v>5.6999999999999993</c:v>
                </c:pt>
                <c:pt idx="10">
                  <c:v>5.2</c:v>
                </c:pt>
                <c:pt idx="11">
                  <c:v>4</c:v>
                </c:pt>
                <c:pt idx="12">
                  <c:v>5</c:v>
                </c:pt>
                <c:pt idx="13">
                  <c:v>3.2</c:v>
                </c:pt>
                <c:pt idx="14">
                  <c:v>3.5</c:v>
                </c:pt>
                <c:pt idx="15">
                  <c:v>3</c:v>
                </c:pt>
                <c:pt idx="16">
                  <c:v>4.4000000000000004</c:v>
                </c:pt>
                <c:pt idx="17">
                  <c:v>4.9000000000000004</c:v>
                </c:pt>
                <c:pt idx="18">
                  <c:v>3.9000000000000004</c:v>
                </c:pt>
                <c:pt idx="19">
                  <c:v>4.9000000000000004</c:v>
                </c:pt>
                <c:pt idx="20">
                  <c:v>3.9</c:v>
                </c:pt>
                <c:pt idx="21">
                  <c:v>2.5</c:v>
                </c:pt>
              </c:numCache>
            </c:numRef>
          </c:val>
          <c:smooth val="0"/>
          <c:extLst>
            <c:ext xmlns:c16="http://schemas.microsoft.com/office/drawing/2014/chart" uri="{C3380CC4-5D6E-409C-BE32-E72D297353CC}">
              <c16:uniqueId val="{00000000-63CC-415A-9413-E3AA2F7F010A}"/>
            </c:ext>
          </c:extLst>
        </c:ser>
        <c:dLbls>
          <c:showLegendKey val="0"/>
          <c:showVal val="0"/>
          <c:showCatName val="0"/>
          <c:showSerName val="0"/>
          <c:showPercent val="0"/>
          <c:showBubbleSize val="0"/>
        </c:dLbls>
        <c:marker val="1"/>
        <c:smooth val="0"/>
        <c:axId val="1348570608"/>
        <c:axId val="1348571856"/>
      </c:lineChart>
      <c:catAx>
        <c:axId val="13485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71856"/>
        <c:crosses val="autoZero"/>
        <c:auto val="1"/>
        <c:lblAlgn val="ctr"/>
        <c:lblOffset val="100"/>
        <c:noMultiLvlLbl val="0"/>
      </c:catAx>
      <c:valAx>
        <c:axId val="13485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r>
                  <a:rPr lang="en-US" baseline="0"/>
                  <a:t> members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70608"/>
        <c:crosses val="autoZero"/>
        <c:crossBetween val="between"/>
      </c:valAx>
      <c:valAx>
        <c:axId val="13522851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89312"/>
        <c:crosses val="max"/>
        <c:crossBetween val="between"/>
      </c:valAx>
      <c:catAx>
        <c:axId val="1352289312"/>
        <c:scaling>
          <c:orientation val="minMax"/>
        </c:scaling>
        <c:delete val="1"/>
        <c:axPos val="b"/>
        <c:majorTickMark val="out"/>
        <c:minorTickMark val="none"/>
        <c:tickLblPos val="nextTo"/>
        <c:crossAx val="135228515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Sprints!$D$5</c:f>
              <c:strCache>
                <c:ptCount val="1"/>
                <c:pt idx="0">
                  <c:v>Estimated Last Sprint with Future capacity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Sprints!$D$6:$D$27</c:f>
              <c:numCache>
                <c:formatCode>_(* #,##0_);_(* \(#,##0\);_(* "-"??_);_(@_)</c:formatCode>
                <c:ptCount val="22"/>
                <c:pt idx="0">
                  <c:v>13</c:v>
                </c:pt>
                <c:pt idx="1">
                  <c:v>11</c:v>
                </c:pt>
                <c:pt idx="2">
                  <c:v>11</c:v>
                </c:pt>
                <c:pt idx="3">
                  <c:v>13</c:v>
                </c:pt>
                <c:pt idx="4">
                  <c:v>13</c:v>
                </c:pt>
                <c:pt idx="5">
                  <c:v>14</c:v>
                </c:pt>
                <c:pt idx="6">
                  <c:v>14</c:v>
                </c:pt>
                <c:pt idx="7">
                  <c:v>11</c:v>
                </c:pt>
                <c:pt idx="8">
                  <c:v>18</c:v>
                </c:pt>
                <c:pt idx="9">
                  <c:v>16</c:v>
                </c:pt>
                <c:pt idx="10">
                  <c:v>15</c:v>
                </c:pt>
                <c:pt idx="11">
                  <c:v>23</c:v>
                </c:pt>
                <c:pt idx="12">
                  <c:v>22</c:v>
                </c:pt>
                <c:pt idx="13">
                  <c:v>23</c:v>
                </c:pt>
                <c:pt idx="14">
                  <c:v>22</c:v>
                </c:pt>
                <c:pt idx="15">
                  <c:v>23</c:v>
                </c:pt>
                <c:pt idx="16">
                  <c:v>20</c:v>
                </c:pt>
                <c:pt idx="17">
                  <c:v>20</c:v>
                </c:pt>
                <c:pt idx="18">
                  <c:v>23</c:v>
                </c:pt>
                <c:pt idx="19">
                  <c:v>22</c:v>
                </c:pt>
                <c:pt idx="20">
                  <c:v>22</c:v>
                </c:pt>
                <c:pt idx="21">
                  <c:v>22</c:v>
                </c:pt>
              </c:numCache>
            </c:numRef>
          </c:val>
          <c:smooth val="0"/>
          <c:extLst>
            <c:ext xmlns:c16="http://schemas.microsoft.com/office/drawing/2014/chart" uri="{C3380CC4-5D6E-409C-BE32-E72D297353CC}">
              <c16:uniqueId val="{00000001-1277-4697-B275-68FDF8237DF2}"/>
            </c:ext>
          </c:extLst>
        </c:ser>
        <c:dLbls>
          <c:showLegendKey val="0"/>
          <c:showVal val="0"/>
          <c:showCatName val="0"/>
          <c:showSerName val="0"/>
          <c:showPercent val="0"/>
          <c:showBubbleSize val="0"/>
        </c:dLbls>
        <c:smooth val="0"/>
        <c:axId val="1849623984"/>
        <c:axId val="1849625232"/>
      </c:lineChart>
      <c:catAx>
        <c:axId val="18496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25232"/>
        <c:crosses val="autoZero"/>
        <c:auto val="1"/>
        <c:lblAlgn val="ctr"/>
        <c:lblOffset val="100"/>
        <c:noMultiLvlLbl val="0"/>
      </c:catAx>
      <c:valAx>
        <c:axId val="184962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Estrimated</a:t>
                </a:r>
                <a:r>
                  <a:rPr lang="en-US" baseline="0"/>
                  <a:t> Last Sprint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2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36285</xdr:colOff>
      <xdr:row>2</xdr:row>
      <xdr:rowOff>167820</xdr:rowOff>
    </xdr:from>
    <xdr:to>
      <xdr:col>14</xdr:col>
      <xdr:colOff>544285</xdr:colOff>
      <xdr:row>17</xdr:row>
      <xdr:rowOff>120649</xdr:rowOff>
    </xdr:to>
    <xdr:graphicFrame macro="">
      <xdr:nvGraphicFramePr>
        <xdr:cNvPr id="2" name="Chart 1">
          <a:extLst>
            <a:ext uri="{FF2B5EF4-FFF2-40B4-BE49-F238E27FC236}">
              <a16:creationId xmlns:a16="http://schemas.microsoft.com/office/drawing/2014/main" id="{509FD69C-F216-4E4C-B0B9-F277C1322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4536</xdr:colOff>
      <xdr:row>3</xdr:row>
      <xdr:rowOff>18143</xdr:rowOff>
    </xdr:from>
    <xdr:to>
      <xdr:col>14</xdr:col>
      <xdr:colOff>45358</xdr:colOff>
      <xdr:row>17</xdr:row>
      <xdr:rowOff>157843</xdr:rowOff>
    </xdr:to>
    <xdr:graphicFrame macro="">
      <xdr:nvGraphicFramePr>
        <xdr:cNvPr id="2" name="Chart 1">
          <a:extLst>
            <a:ext uri="{FF2B5EF4-FFF2-40B4-BE49-F238E27FC236}">
              <a16:creationId xmlns:a16="http://schemas.microsoft.com/office/drawing/2014/main" id="{53124A93-41C8-4334-9624-8FF1D4E15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3</xdr:row>
      <xdr:rowOff>6350</xdr:rowOff>
    </xdr:from>
    <xdr:to>
      <xdr:col>14</xdr:col>
      <xdr:colOff>393700</xdr:colOff>
      <xdr:row>28</xdr:row>
      <xdr:rowOff>0</xdr:rowOff>
    </xdr:to>
    <xdr:graphicFrame macro="">
      <xdr:nvGraphicFramePr>
        <xdr:cNvPr id="2" name="Chart 1">
          <a:extLst>
            <a:ext uri="{FF2B5EF4-FFF2-40B4-BE49-F238E27FC236}">
              <a16:creationId xmlns:a16="http://schemas.microsoft.com/office/drawing/2014/main" id="{FDCD3017-6109-4831-9D2F-6099D007B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594180</xdr:colOff>
      <xdr:row>3</xdr:row>
      <xdr:rowOff>11792</xdr:rowOff>
    </xdr:from>
    <xdr:to>
      <xdr:col>15</xdr:col>
      <xdr:colOff>303894</xdr:colOff>
      <xdr:row>17</xdr:row>
      <xdr:rowOff>151492</xdr:rowOff>
    </xdr:to>
    <xdr:graphicFrame macro="">
      <xdr:nvGraphicFramePr>
        <xdr:cNvPr id="2" name="Chart 1">
          <a:extLst>
            <a:ext uri="{FF2B5EF4-FFF2-40B4-BE49-F238E27FC236}">
              <a16:creationId xmlns:a16="http://schemas.microsoft.com/office/drawing/2014/main" id="{69B34E6E-11A0-45C5-96D1-C611EC3D8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442684</xdr:colOff>
      <xdr:row>2</xdr:row>
      <xdr:rowOff>163285</xdr:rowOff>
    </xdr:from>
    <xdr:to>
      <xdr:col>12</xdr:col>
      <xdr:colOff>27214</xdr:colOff>
      <xdr:row>26</xdr:row>
      <xdr:rowOff>167821</xdr:rowOff>
    </xdr:to>
    <xdr:graphicFrame macro="">
      <xdr:nvGraphicFramePr>
        <xdr:cNvPr id="2" name="Chart 1">
          <a:extLst>
            <a:ext uri="{FF2B5EF4-FFF2-40B4-BE49-F238E27FC236}">
              <a16:creationId xmlns:a16="http://schemas.microsoft.com/office/drawing/2014/main" id="{7BBD20E9-ADF6-46D9-BC4D-B5E0698A6FF4}"/>
            </a:ext>
            <a:ext uri="{147F2762-F138-4A5C-976F-8EAC2B608ADB}">
              <a16:predDERef xmlns:a16="http://schemas.microsoft.com/office/drawing/2014/main" pred="{FDCD3017-6109-4831-9D2F-6099D007B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Oscar Centeno" id="{ED050DAC-0A84-48C3-9084-DFE68F847C21}" userId="S::Oscar_Centeno@epam.com::44ac9ad4-2b8e-4ed0-9fef-619cf7097a9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7337015-B09E-4CF4-99DD-6A6169B09967}" name="Table9" displayName="Table9" ref="A5:D26">
  <autoFilter ref="A5:D26" xr:uid="{2176FA98-5DB6-4527-91F8-C9A6FDA638F1}"/>
  <sortState xmlns:xlrd2="http://schemas.microsoft.com/office/spreadsheetml/2017/richdata2" ref="A6:D26">
    <sortCondition ref="D5:D26"/>
  </sortState>
  <tableColumns count="4">
    <tableColumn id="1" xr3:uid="{C2D1AFF2-8D9F-4B57-9D6A-8530136D62E2}" name="Theme" totalsRowLabel="Total" totalsRowDxfId="3" dataCellStyle="Normal"/>
    <tableColumn id="2" xr3:uid="{B6A5FDB1-79FB-4DFF-9A2A-47AE601503B0}" name="Story" totalsRowDxfId="2" dataCellStyle="Normal"/>
    <tableColumn id="3" xr3:uid="{5491F015-DA86-4CED-8FF6-7AA5A030FCEC}" name="Story Points" totalsRowFunction="sum"/>
    <tableColumn id="4" xr3:uid="{79C6A7E1-C50A-4B0E-971E-C621C9FD767B}" name="Prior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DB4D60-A664-4F07-9A42-9B23305BB64A}" name="Table5" displayName="Table5" ref="A4:D15" totalsRowShown="0" headerRowDxfId="8" dataDxfId="7">
  <autoFilter ref="A4:D15" xr:uid="{E0DB4D60-A664-4F07-9A42-9B23305BB64A}"/>
  <tableColumns count="4">
    <tableColumn id="1" xr3:uid="{2D4683CE-33F8-4A40-8682-765EBD17F5F3}" name="Sprint" dataDxfId="6"/>
    <tableColumn id="2" xr3:uid="{24CDC8AC-5013-427B-9FE7-E21169CE7F10}" name="Event description" dataCellStyle="Explanatory Text"/>
    <tableColumn id="4" xr3:uid="{DE00F557-4A9D-47B9-A4DB-C01B2C38385A}" name="Who requested the change" dataDxfId="5"/>
    <tableColumn id="3" xr3:uid="{BE86FAE8-8A67-4D1E-81B9-F410D820B895}" name="Points"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187AAE-667B-461E-8936-497E967A644F}" name="TeamVelocity" displayName="TeamVelocity" ref="A4:B26" totalsRowShown="0" headerRowDxfId="15" dataDxfId="13" headerRowBorderDxfId="14" tableBorderDxfId="12" totalsRowBorderDxfId="11" dataCellStyle="Neutral">
  <autoFilter ref="A4:B26" xr:uid="{4C187AAE-667B-461E-8936-497E967A644F}"/>
  <tableColumns count="2">
    <tableColumn id="1" xr3:uid="{C5DE70C7-FACB-466F-B773-3409D795EF38}" name="Sprint" dataDxfId="10" dataCellStyle="Neutral">
      <calculatedColumnFormula>+A4+1</calculatedColumnFormula>
    </tableColumn>
    <tableColumn id="4" xr3:uid="{AC52B047-0BAD-4F89-B92D-91722A3E6568}" name="delivered points" dataDxfId="9" dataCellStyle="Neutr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0DFACC-305B-4344-B04E-1D1136DE8391}" name="TeamCapacity" displayName="TeamCapacity" ref="A4:E26" totalsRowShown="0" tableBorderDxfId="20">
  <autoFilter ref="A4:E26" xr:uid="{D40DFACC-305B-4344-B04E-1D1136DE8391}"/>
  <tableColumns count="5">
    <tableColumn id="1" xr3:uid="{5610832B-D3B1-4974-9865-8D70272EAF86}" name="Sprint" dataDxfId="19" dataCellStyle="Neutral">
      <calculatedColumnFormula>+A4+1</calculatedColumnFormula>
    </tableColumn>
    <tableColumn id="2" xr3:uid="{822C4AFE-43B6-4FEC-BEE7-5725F2D70CCA}" name="# Team members" dataDxfId="18"/>
    <tableColumn id="3" xr3:uid="{A4850D8C-E54F-44D7-921B-665FD59699D7}" name="Days off" dataDxfId="17"/>
    <tableColumn id="4" xr3:uid="{596953EC-E425-4EB7-875D-DA527311E3FE}" name="% Capacity" dataDxfId="16">
      <calculatedColumnFormula>((B5*10)-C5)/(B5*10)</calculatedColumnFormula>
    </tableColumn>
    <tableColumn id="5" xr3:uid="{D0E88237-2CC3-4D9D-97F8-9CCB3D510E44}" name="Absolute Capacity" dataDxfId="1" dataCellStyle="Neutral">
      <calculatedColumnFormula>+TeamCapacity[[#This Row],['# Team members]]*TeamCapacity[[#This Row],[% Capacity]]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E52B41-6896-47D6-B1BD-AD13679FB378}" name="Sprints" displayName="Sprints" ref="A5:Q27" totalsRowShown="0">
  <autoFilter ref="A5:Q27" xr:uid="{2EE52B41-6896-47D6-B1BD-AD13679FB378}"/>
  <tableColumns count="17">
    <tableColumn id="1" xr3:uid="{EEA1C3A7-41C0-4B75-983E-0EBDB916CCD6}" name="Sprint"/>
    <tableColumn id="2" xr3:uid="{2835355A-AD6D-4D4A-BD4F-10448BC38443}" name="Day 1" dataDxfId="32"/>
    <tableColumn id="21" xr3:uid="{3ECCC69C-7729-495D-A58D-1D4161D4AD7F}" name="Estimated Last Sprint with Historic Velocity" dataDxfId="31" dataCellStyle="Comma">
      <calculatedColumnFormula>CEILING(Sprints[[#This Row],[Remaining scope]]/Sprints[[#This Row],[Historic avg. velocity]], 1)+Sprints[[#This Row],[Sprint]]</calculatedColumnFormula>
    </tableColumn>
    <tableColumn id="20" xr3:uid="{1BC6EA05-71AB-467E-A9B9-62442A120168}" name="Estimated Last Sprint with Future capacity" dataDxfId="30" dataCellStyle="Neutral">
      <calculatedColumnFormula>CEILING(Sprints[[#This Row],[Remaining scope]]/Sprints[[#This Row],[Estimated Future avg. Velocity]], 1)+Sprints[[#This Row],[Sprint]]</calculatedColumnFormula>
    </tableColumn>
    <tableColumn id="3" xr3:uid="{B0DC61B4-F3AA-4860-82D5-39A68FC92F31}" name="In scope" dataDxfId="29" dataCellStyle="Neutral">
      <calculatedColumnFormula>+SUMIF(Table5[Sprint],_xlfn.CONCAT("&lt;=", Sprints[[#This Row],[Sprint]]),Table5[Points])</calculatedColumnFormula>
    </tableColumn>
    <tableColumn id="4" xr3:uid="{56275B19-4381-4ACA-8DC3-9FDC277CA445}" name="Done in Sprint" dataDxfId="28" dataCellStyle="Neutral">
      <calculatedColumnFormula>+SUMIF(TeamVelocity[Sprint],_xlfn.CONCAT("=", Sprints[[#This Row],[Sprint]]),TeamVelocity[delivered points])</calculatedColumnFormula>
    </tableColumn>
    <tableColumn id="5" xr3:uid="{18E38777-8691-4EE0-962D-E5F30D46380F}" name="Done overall" dataDxfId="27" dataCellStyle="Neutral">
      <calculatedColumnFormula>+SUMIF(Sprints[Sprint], _xlfn.CONCAT("&lt;=",Sprints[[#This Row],[Sprint]]),Sprints[Done in Sprint])</calculatedColumnFormula>
    </tableColumn>
    <tableColumn id="13" xr3:uid="{E2BA1CFC-D336-42EE-B2E5-0CD940389D7B}" name="Remaining scope" dataDxfId="26" dataCellStyle="Neutral">
      <calculatedColumnFormula>+Sprints[[#This Row],[In scope]]-Sprints[[#This Row],[Done overall]]</calculatedColumnFormula>
    </tableColumn>
    <tableColumn id="6" xr3:uid="{576D9E24-8743-4A5B-9ED0-30C4AD195A9E}" name="Historic avg. velocity" dataDxfId="25" dataCellStyle="Neutral">
      <calculatedColumnFormula>FLOOR(AVERAGEIF(Sprints[Sprint], _xlfn.CONCAT("&lt;=",Sprints[[#This Row],[Sprint]]), Sprints[Done in Sprint]), 1)</calculatedColumnFormula>
    </tableColumn>
    <tableColumn id="7" xr3:uid="{D4571746-D4C5-4318-866F-B1529F9DE35F}" name="Historic Team Member #" dataCellStyle="Comma">
      <calculatedColumnFormula>AVERAGEIF(TeamCapacity[Sprint], _xlfn.CONCAT("&lt;=",Sprints[[#This Row],[Sprint]]), TeamCapacity['# Team members])</calculatedColumnFormula>
    </tableColumn>
    <tableColumn id="8" xr3:uid="{CBCFD276-63AF-45EA-BC7E-B6F1999AACFB}" name="Historic capacity %" dataCellStyle="Percent">
      <calculatedColumnFormula>AVERAGEIF(TeamCapacity[Sprint], _xlfn.CONCAT("&lt;=",Sprints[[#This Row],[Sprint]]),TeamCapacity[% Capacity])</calculatedColumnFormula>
    </tableColumn>
    <tableColumn id="18" xr3:uid="{1A8AE305-91A5-4A9C-922C-5E598BE6E573}" name="Historic Points per Person" dataDxfId="24" dataCellStyle="Comma">
      <calculatedColumnFormula>Sprints[[#This Row],[Historic avg. velocity]]/Sprints[[#This Row],[Historic abs. Team Member]]</calculatedColumnFormula>
    </tableColumn>
    <tableColumn id="16" xr3:uid="{80E656A0-E886-4230-93E8-AA5405B65B0C}" name="Historic abs. Team Member" dataDxfId="23" dataCellStyle="Percent">
      <calculatedColumnFormula>+Sprints[[#This Row],[Historic Team Member '#]]*Sprints[[#This Row],[Historic capacity %]]</calculatedColumnFormula>
    </tableColumn>
    <tableColumn id="10" xr3:uid="{D6047E3A-90E0-4A1D-99AF-69A665C35C6B}" name="Future Team Member #" dataCellStyle="Comma">
      <calculatedColumnFormula>AVERAGEIF(TeamCapacity[Sprint], _xlfn.CONCAT("&gt;=",Sprints[[#This Row],[Sprint]]), TeamCapacity['# Team members])</calculatedColumnFormula>
    </tableColumn>
    <tableColumn id="11" xr3:uid="{EC35042F-7685-4729-9F90-6AE7EDD7CD5A}" name="Future capacity %" dataDxfId="22" dataCellStyle="Neutral">
      <calculatedColumnFormula>AVERAGEIF(TeamCapacity[Sprint], _xlfn.CONCAT("&gt;=",Sprints[[#This Row],[Sprint]]),TeamCapacity[% Capacity])</calculatedColumnFormula>
    </tableColumn>
    <tableColumn id="17" xr3:uid="{589900B8-9575-4F10-A5BE-0AB27E57952C}" name="Future abs. Team members" dataDxfId="0" dataCellStyle="Neutral">
      <calculatedColumnFormula>+Sprints[[#This Row],[Future Team Member '#]]*Sprints[[#This Row],[Future capacity %]]</calculatedColumnFormula>
    </tableColumn>
    <tableColumn id="15" xr3:uid="{96929EA6-5393-4539-9483-9F55C2CDE07D}" name="Estimated Future avg. Velocity" dataDxfId="21" dataCellStyle="Comma">
      <calculatedColumnFormula>+Sprints[[#This Row],[Future abs. Team members]]*Sprints[[#This Row],[Historic Points per Person]]</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50BF0-F733-431C-B165-2153971595B8}" name="Parameters" displayName="Parameters" ref="A4:A5" totalsRowShown="0">
  <autoFilter ref="A4:A5" xr:uid="{94B50BF0-F733-431C-B165-2153971595B8}"/>
  <tableColumns count="1">
    <tableColumn id="1" xr3:uid="{D6818577-822B-4975-AE19-2B787DE42235}" name="DaysPerSpri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07-04T13:44:35.46" personId="{ED050DAC-0A84-48C3-9084-DFE68F847C21}" id="{3FCE3900-F670-44CD-B07B-339016B901BD}">
    <text>There may be several events per sprint.</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B826-5221-4C82-8D9B-3B6DC16C37C4}">
  <dimension ref="A1:D26"/>
  <sheetViews>
    <sheetView tabSelected="1" zoomScale="145" zoomScaleNormal="145" workbookViewId="0"/>
  </sheetViews>
  <sheetFormatPr defaultRowHeight="14.5" x14ac:dyDescent="0.35"/>
  <cols>
    <col min="1" max="1" width="28" customWidth="1"/>
    <col min="2" max="2" width="73.90625" customWidth="1"/>
    <col min="3" max="3" width="23.90625" customWidth="1"/>
    <col min="4" max="4" width="19.54296875" customWidth="1"/>
  </cols>
  <sheetData>
    <row r="1" spans="1:4" ht="20" thickBot="1" x14ac:dyDescent="0.5">
      <c r="A1" s="24" t="s">
        <v>65</v>
      </c>
    </row>
    <row r="2" spans="1:4" ht="15" thickTop="1" x14ac:dyDescent="0.35">
      <c r="A2" t="s">
        <v>67</v>
      </c>
    </row>
    <row r="3" spans="1:4" x14ac:dyDescent="0.35">
      <c r="A3" t="s">
        <v>68</v>
      </c>
    </row>
    <row r="5" spans="1:4" x14ac:dyDescent="0.35">
      <c r="A5" t="s">
        <v>69</v>
      </c>
      <c r="B5" t="s">
        <v>38</v>
      </c>
      <c r="C5" t="s">
        <v>40</v>
      </c>
      <c r="D5" t="s">
        <v>39</v>
      </c>
    </row>
    <row r="6" spans="1:4" x14ac:dyDescent="0.35">
      <c r="A6" t="s">
        <v>55</v>
      </c>
      <c r="B6" t="s">
        <v>41</v>
      </c>
      <c r="C6">
        <v>1</v>
      </c>
      <c r="D6">
        <v>1</v>
      </c>
    </row>
    <row r="7" spans="1:4" x14ac:dyDescent="0.35">
      <c r="A7" t="s">
        <v>55</v>
      </c>
      <c r="B7" t="s">
        <v>42</v>
      </c>
      <c r="C7">
        <v>1</v>
      </c>
      <c r="D7">
        <v>1</v>
      </c>
    </row>
    <row r="8" spans="1:4" x14ac:dyDescent="0.35">
      <c r="A8" t="s">
        <v>55</v>
      </c>
      <c r="B8" t="s">
        <v>43</v>
      </c>
      <c r="C8">
        <v>5</v>
      </c>
      <c r="D8">
        <v>1</v>
      </c>
    </row>
    <row r="9" spans="1:4" x14ac:dyDescent="0.35">
      <c r="A9" t="s">
        <v>55</v>
      </c>
      <c r="B9" t="s">
        <v>44</v>
      </c>
      <c r="C9">
        <v>1</v>
      </c>
      <c r="D9">
        <v>1</v>
      </c>
    </row>
    <row r="10" spans="1:4" x14ac:dyDescent="0.35">
      <c r="A10" t="s">
        <v>55</v>
      </c>
      <c r="B10" t="s">
        <v>45</v>
      </c>
      <c r="C10">
        <v>1</v>
      </c>
      <c r="D10">
        <v>1</v>
      </c>
    </row>
    <row r="11" spans="1:4" x14ac:dyDescent="0.35">
      <c r="A11" t="s">
        <v>55</v>
      </c>
      <c r="B11" t="s">
        <v>46</v>
      </c>
      <c r="C11">
        <v>5</v>
      </c>
      <c r="D11">
        <v>1</v>
      </c>
    </row>
    <row r="12" spans="1:4" x14ac:dyDescent="0.35">
      <c r="A12" t="s">
        <v>55</v>
      </c>
      <c r="B12" t="s">
        <v>47</v>
      </c>
      <c r="C12">
        <v>5</v>
      </c>
      <c r="D12">
        <v>1</v>
      </c>
    </row>
    <row r="13" spans="1:4" x14ac:dyDescent="0.35">
      <c r="A13" t="s">
        <v>55</v>
      </c>
      <c r="B13" t="s">
        <v>48</v>
      </c>
      <c r="C13">
        <v>1</v>
      </c>
      <c r="D13">
        <v>1</v>
      </c>
    </row>
    <row r="14" spans="1:4" x14ac:dyDescent="0.35">
      <c r="A14" t="s">
        <v>55</v>
      </c>
      <c r="B14" t="s">
        <v>49</v>
      </c>
      <c r="C14">
        <v>1</v>
      </c>
      <c r="D14">
        <v>2</v>
      </c>
    </row>
    <row r="15" spans="1:4" x14ac:dyDescent="0.35">
      <c r="A15" t="s">
        <v>55</v>
      </c>
      <c r="B15" t="s">
        <v>50</v>
      </c>
      <c r="C15">
        <v>1</v>
      </c>
      <c r="D15">
        <v>2</v>
      </c>
    </row>
    <row r="16" spans="1:4" x14ac:dyDescent="0.35">
      <c r="A16" t="s">
        <v>55</v>
      </c>
      <c r="B16" t="s">
        <v>51</v>
      </c>
      <c r="C16">
        <v>5</v>
      </c>
      <c r="D16">
        <v>2</v>
      </c>
    </row>
    <row r="17" spans="1:4" x14ac:dyDescent="0.35">
      <c r="A17" t="s">
        <v>55</v>
      </c>
      <c r="B17" t="s">
        <v>52</v>
      </c>
      <c r="C17">
        <v>8</v>
      </c>
      <c r="D17">
        <v>2</v>
      </c>
    </row>
    <row r="18" spans="1:4" x14ac:dyDescent="0.35">
      <c r="A18" t="s">
        <v>55</v>
      </c>
      <c r="B18" t="s">
        <v>53</v>
      </c>
      <c r="C18">
        <v>5</v>
      </c>
      <c r="D18">
        <v>2</v>
      </c>
    </row>
    <row r="19" spans="1:4" x14ac:dyDescent="0.35">
      <c r="A19" t="s">
        <v>55</v>
      </c>
      <c r="B19" t="s">
        <v>54</v>
      </c>
      <c r="C19">
        <v>8</v>
      </c>
      <c r="D19">
        <v>3</v>
      </c>
    </row>
    <row r="20" spans="1:4" x14ac:dyDescent="0.35">
      <c r="A20" t="s">
        <v>56</v>
      </c>
      <c r="B20" t="s">
        <v>57</v>
      </c>
      <c r="C20">
        <v>13</v>
      </c>
      <c r="D20">
        <v>3</v>
      </c>
    </row>
    <row r="21" spans="1:4" x14ac:dyDescent="0.35">
      <c r="A21" t="s">
        <v>56</v>
      </c>
      <c r="B21" t="s">
        <v>58</v>
      </c>
      <c r="C21">
        <v>20</v>
      </c>
      <c r="D21">
        <v>3</v>
      </c>
    </row>
    <row r="22" spans="1:4" x14ac:dyDescent="0.35">
      <c r="A22" t="s">
        <v>56</v>
      </c>
      <c r="B22" t="s">
        <v>59</v>
      </c>
      <c r="C22">
        <v>13</v>
      </c>
      <c r="D22">
        <v>3</v>
      </c>
    </row>
    <row r="23" spans="1:4" x14ac:dyDescent="0.35">
      <c r="A23" t="s">
        <v>56</v>
      </c>
      <c r="B23" t="s">
        <v>60</v>
      </c>
      <c r="C23">
        <v>20</v>
      </c>
      <c r="D23">
        <v>3</v>
      </c>
    </row>
    <row r="24" spans="1:4" x14ac:dyDescent="0.35">
      <c r="A24" t="s">
        <v>61</v>
      </c>
      <c r="B24" t="s">
        <v>62</v>
      </c>
      <c r="C24">
        <v>20</v>
      </c>
      <c r="D24">
        <v>3</v>
      </c>
    </row>
    <row r="25" spans="1:4" x14ac:dyDescent="0.35">
      <c r="A25" t="s">
        <v>61</v>
      </c>
      <c r="B25" t="s">
        <v>63</v>
      </c>
      <c r="C25">
        <v>40</v>
      </c>
      <c r="D25">
        <v>4</v>
      </c>
    </row>
    <row r="26" spans="1:4" x14ac:dyDescent="0.35">
      <c r="A26" t="s">
        <v>64</v>
      </c>
      <c r="B26" t="s">
        <v>66</v>
      </c>
      <c r="C26">
        <v>80</v>
      </c>
      <c r="D26">
        <v>4</v>
      </c>
    </row>
  </sheetData>
  <conditionalFormatting sqref="C6:C26">
    <cfRule type="dataBar" priority="1">
      <dataBar>
        <cfvo type="min"/>
        <cfvo type="max"/>
        <color rgb="FF638EC6"/>
      </dataBar>
      <extLst>
        <ext xmlns:x14="http://schemas.microsoft.com/office/spreadsheetml/2009/9/main" uri="{B025F937-C7B1-47D3-B67F-A62EFF666E3E}">
          <x14:id>{CAF8489C-D625-499E-BE69-C7D20ADCB677}</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AF8489C-D625-499E-BE69-C7D20ADCB677}">
            <x14:dataBar minLength="0" maxLength="100" gradient="0">
              <x14:cfvo type="autoMin"/>
              <x14:cfvo type="autoMax"/>
              <x14:negativeFillColor rgb="FFFF0000"/>
              <x14:axisColor rgb="FF000000"/>
            </x14:dataBar>
          </x14:cfRule>
          <xm:sqref>C6:C26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7BA3E-D476-4CBA-B887-D1D59648D664}">
  <dimension ref="A1:D19"/>
  <sheetViews>
    <sheetView zoomScale="140" zoomScaleNormal="140" workbookViewId="0">
      <selection activeCell="A28" sqref="A28"/>
    </sheetView>
  </sheetViews>
  <sheetFormatPr defaultRowHeight="14.5" x14ac:dyDescent="0.35"/>
  <cols>
    <col min="1" max="1" width="18.453125" customWidth="1"/>
    <col min="2" max="2" width="51.453125" bestFit="1" customWidth="1"/>
    <col min="3" max="3" width="26" bestFit="1" customWidth="1"/>
    <col min="4" max="4" width="17.7265625" bestFit="1" customWidth="1"/>
  </cols>
  <sheetData>
    <row r="1" spans="1:4" ht="19.5" x14ac:dyDescent="0.45">
      <c r="A1" s="23" t="s">
        <v>32</v>
      </c>
    </row>
    <row r="2" spans="1:4" x14ac:dyDescent="0.35">
      <c r="A2" s="13" t="s">
        <v>33</v>
      </c>
    </row>
    <row r="4" spans="1:4" x14ac:dyDescent="0.35">
      <c r="A4" s="9" t="s">
        <v>8</v>
      </c>
      <c r="B4" s="9" t="s">
        <v>72</v>
      </c>
      <c r="C4" s="9" t="s">
        <v>73</v>
      </c>
      <c r="D4" s="16" t="s">
        <v>5</v>
      </c>
    </row>
    <row r="5" spans="1:4" x14ac:dyDescent="0.35">
      <c r="A5" s="9">
        <v>1</v>
      </c>
      <c r="B5" s="13" t="s">
        <v>74</v>
      </c>
      <c r="C5" s="9" t="s">
        <v>34</v>
      </c>
      <c r="D5" s="9">
        <f>423+41</f>
        <v>464</v>
      </c>
    </row>
    <row r="6" spans="1:4" x14ac:dyDescent="0.35">
      <c r="A6" s="9">
        <v>2</v>
      </c>
      <c r="B6" s="13" t="s">
        <v>75</v>
      </c>
      <c r="C6" s="9" t="s">
        <v>34</v>
      </c>
      <c r="D6" s="9">
        <v>-50</v>
      </c>
    </row>
    <row r="7" spans="1:4" x14ac:dyDescent="0.35">
      <c r="A7" s="9">
        <v>4</v>
      </c>
      <c r="B7" s="13" t="s">
        <v>76</v>
      </c>
      <c r="C7" s="9" t="s">
        <v>34</v>
      </c>
      <c r="D7" s="9">
        <v>80</v>
      </c>
    </row>
    <row r="8" spans="1:4" x14ac:dyDescent="0.35">
      <c r="A8" s="9">
        <v>6</v>
      </c>
      <c r="B8" s="13" t="s">
        <v>77</v>
      </c>
      <c r="C8" s="9" t="s">
        <v>34</v>
      </c>
      <c r="D8" s="9">
        <v>-20</v>
      </c>
    </row>
    <row r="9" spans="1:4" x14ac:dyDescent="0.35">
      <c r="A9" s="14">
        <v>8</v>
      </c>
      <c r="B9" s="13" t="s">
        <v>78</v>
      </c>
      <c r="C9" s="9" t="s">
        <v>34</v>
      </c>
      <c r="D9" s="14">
        <v>-90</v>
      </c>
    </row>
    <row r="10" spans="1:4" x14ac:dyDescent="0.35">
      <c r="A10" s="9">
        <v>9</v>
      </c>
      <c r="B10" s="13" t="s">
        <v>79</v>
      </c>
      <c r="C10" s="9" t="s">
        <v>34</v>
      </c>
      <c r="D10" s="9">
        <v>200</v>
      </c>
    </row>
    <row r="11" spans="1:4" x14ac:dyDescent="0.35">
      <c r="A11" s="9">
        <v>10</v>
      </c>
      <c r="B11" s="13" t="s">
        <v>80</v>
      </c>
      <c r="C11" s="9" t="s">
        <v>35</v>
      </c>
      <c r="D11" s="9">
        <v>-55</v>
      </c>
    </row>
    <row r="12" spans="1:4" x14ac:dyDescent="0.35">
      <c r="A12" s="9">
        <v>12</v>
      </c>
      <c r="B12" s="13" t="s">
        <v>81</v>
      </c>
      <c r="C12" s="9" t="s">
        <v>34</v>
      </c>
      <c r="D12" s="9">
        <f>161+35-9</f>
        <v>187</v>
      </c>
    </row>
    <row r="13" spans="1:4" x14ac:dyDescent="0.35">
      <c r="A13" s="9">
        <v>13</v>
      </c>
      <c r="B13" s="13" t="s">
        <v>75</v>
      </c>
      <c r="C13" s="9" t="s">
        <v>36</v>
      </c>
      <c r="D13" s="9">
        <v>-12</v>
      </c>
    </row>
    <row r="14" spans="1:4" x14ac:dyDescent="0.35">
      <c r="A14" s="14">
        <v>17</v>
      </c>
      <c r="B14" s="13" t="s">
        <v>75</v>
      </c>
      <c r="C14" s="9" t="s">
        <v>35</v>
      </c>
      <c r="D14" s="14">
        <v>-65</v>
      </c>
    </row>
    <row r="15" spans="1:4" x14ac:dyDescent="0.35">
      <c r="A15" s="14">
        <v>19</v>
      </c>
      <c r="B15" s="13" t="s">
        <v>82</v>
      </c>
      <c r="C15" s="9" t="s">
        <v>34</v>
      </c>
      <c r="D15" s="14">
        <f>13+45</f>
        <v>58</v>
      </c>
    </row>
    <row r="16" spans="1:4" x14ac:dyDescent="0.35">
      <c r="A16" s="9"/>
      <c r="B16" s="9"/>
      <c r="C16" s="9"/>
      <c r="D16" s="9"/>
    </row>
    <row r="17" spans="1:4" x14ac:dyDescent="0.35">
      <c r="A17" s="9"/>
      <c r="B17" s="9"/>
      <c r="C17" s="9"/>
      <c r="D17" s="9"/>
    </row>
    <row r="18" spans="1:4" x14ac:dyDescent="0.35">
      <c r="A18" s="9"/>
      <c r="B18" s="9"/>
      <c r="C18" s="9"/>
      <c r="D18" s="9"/>
    </row>
    <row r="19" spans="1:4" x14ac:dyDescent="0.35">
      <c r="A19" s="9"/>
      <c r="B19" s="9"/>
      <c r="C19" s="9"/>
      <c r="D19" s="9"/>
    </row>
  </sheetData>
  <conditionalFormatting sqref="D5:D15">
    <cfRule type="dataBar" priority="1">
      <dataBar>
        <cfvo type="min"/>
        <cfvo type="max"/>
        <color rgb="FF638EC6"/>
      </dataBar>
      <extLst>
        <ext xmlns:x14="http://schemas.microsoft.com/office/spreadsheetml/2009/9/main" uri="{B025F937-C7B1-47D3-B67F-A62EFF666E3E}">
          <x14:id>{8781B2D4-D80A-4070-A640-BC8596D05178}</x14:id>
        </ext>
      </extLst>
    </cfRule>
  </conditionalFormatting>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781B2D4-D80A-4070-A640-BC8596D05178}">
            <x14:dataBar minLength="0" maxLength="100" gradient="0">
              <x14:cfvo type="autoMin"/>
              <x14:cfvo type="autoMax"/>
              <x14:negativeFillColor rgb="FFFF0000"/>
              <x14:axisColor rgb="FF000000"/>
            </x14:dataBar>
          </x14:cfRule>
          <xm:sqref>D5:D15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5338-1D10-474A-9EDA-ADC46B536AE8}">
  <dimension ref="A1:B26"/>
  <sheetViews>
    <sheetView zoomScale="140" zoomScaleNormal="140" workbookViewId="0">
      <selection activeCell="F23" sqref="F23"/>
    </sheetView>
  </sheetViews>
  <sheetFormatPr defaultRowHeight="14.5" x14ac:dyDescent="0.35"/>
  <cols>
    <col min="1" max="1" width="18.453125" bestFit="1" customWidth="1"/>
    <col min="2" max="2" width="18.1796875" bestFit="1" customWidth="1"/>
  </cols>
  <sheetData>
    <row r="1" spans="1:2" ht="19.5" x14ac:dyDescent="0.45">
      <c r="A1" s="1" t="s">
        <v>29</v>
      </c>
    </row>
    <row r="2" spans="1:2" x14ac:dyDescent="0.35">
      <c r="A2" s="13" t="s">
        <v>30</v>
      </c>
    </row>
    <row r="3" spans="1:2" x14ac:dyDescent="0.35">
      <c r="A3" s="13"/>
    </row>
    <row r="4" spans="1:2" x14ac:dyDescent="0.35">
      <c r="A4" s="11" t="s">
        <v>8</v>
      </c>
      <c r="B4" s="11" t="s">
        <v>31</v>
      </c>
    </row>
    <row r="5" spans="1:2" x14ac:dyDescent="0.35">
      <c r="A5" s="7">
        <v>1</v>
      </c>
      <c r="B5" s="9">
        <v>51</v>
      </c>
    </row>
    <row r="6" spans="1:2" x14ac:dyDescent="0.35">
      <c r="A6" s="8">
        <f>+A5+1</f>
        <v>2</v>
      </c>
      <c r="B6" s="9">
        <v>54</v>
      </c>
    </row>
    <row r="7" spans="1:2" x14ac:dyDescent="0.35">
      <c r="A7" s="8">
        <f t="shared" ref="A7:A26" si="0">+A6+1</f>
        <v>3</v>
      </c>
      <c r="B7" s="9">
        <v>46</v>
      </c>
    </row>
    <row r="8" spans="1:2" x14ac:dyDescent="0.35">
      <c r="A8" s="8">
        <f t="shared" si="0"/>
        <v>4</v>
      </c>
      <c r="B8" s="9">
        <v>53</v>
      </c>
    </row>
    <row r="9" spans="1:2" x14ac:dyDescent="0.35">
      <c r="A9" s="8">
        <f t="shared" si="0"/>
        <v>5</v>
      </c>
      <c r="B9" s="9">
        <v>36</v>
      </c>
    </row>
    <row r="10" spans="1:2" x14ac:dyDescent="0.35">
      <c r="A10" s="8">
        <f t="shared" si="0"/>
        <v>6</v>
      </c>
      <c r="B10" s="9">
        <v>18</v>
      </c>
    </row>
    <row r="11" spans="1:2" x14ac:dyDescent="0.35">
      <c r="A11" s="8">
        <f t="shared" si="0"/>
        <v>7</v>
      </c>
      <c r="B11" s="9">
        <v>23</v>
      </c>
    </row>
    <row r="12" spans="1:2" x14ac:dyDescent="0.35">
      <c r="A12" s="8">
        <f t="shared" si="0"/>
        <v>8</v>
      </c>
      <c r="B12" s="9">
        <v>35</v>
      </c>
    </row>
    <row r="13" spans="1:2" x14ac:dyDescent="0.35">
      <c r="A13" s="8">
        <f t="shared" si="0"/>
        <v>9</v>
      </c>
      <c r="B13" s="9">
        <v>30</v>
      </c>
    </row>
    <row r="14" spans="1:2" x14ac:dyDescent="0.35">
      <c r="A14" s="8">
        <f t="shared" si="0"/>
        <v>10</v>
      </c>
      <c r="B14" s="9">
        <v>42</v>
      </c>
    </row>
    <row r="15" spans="1:2" x14ac:dyDescent="0.35">
      <c r="A15" s="8">
        <f t="shared" si="0"/>
        <v>11</v>
      </c>
      <c r="B15" s="9">
        <v>40</v>
      </c>
    </row>
    <row r="16" spans="1:2" x14ac:dyDescent="0.35">
      <c r="A16" s="8">
        <f t="shared" si="0"/>
        <v>12</v>
      </c>
      <c r="B16" s="9">
        <v>26</v>
      </c>
    </row>
    <row r="17" spans="1:2" x14ac:dyDescent="0.35">
      <c r="A17" s="8">
        <f t="shared" si="0"/>
        <v>13</v>
      </c>
      <c r="B17" s="9">
        <v>32</v>
      </c>
    </row>
    <row r="18" spans="1:2" x14ac:dyDescent="0.35">
      <c r="A18" s="8">
        <f t="shared" si="0"/>
        <v>14</v>
      </c>
      <c r="B18" s="9">
        <v>16</v>
      </c>
    </row>
    <row r="19" spans="1:2" x14ac:dyDescent="0.35">
      <c r="A19" s="8">
        <f t="shared" si="0"/>
        <v>15</v>
      </c>
      <c r="B19" s="9">
        <v>24</v>
      </c>
    </row>
    <row r="20" spans="1:2" x14ac:dyDescent="0.35">
      <c r="A20" s="8">
        <f t="shared" si="0"/>
        <v>16</v>
      </c>
      <c r="B20" s="9">
        <v>20</v>
      </c>
    </row>
    <row r="21" spans="1:2" x14ac:dyDescent="0.35">
      <c r="A21" s="8">
        <f t="shared" si="0"/>
        <v>17</v>
      </c>
      <c r="B21" s="9">
        <v>26</v>
      </c>
    </row>
    <row r="22" spans="1:2" x14ac:dyDescent="0.35">
      <c r="A22" s="8">
        <f t="shared" si="0"/>
        <v>18</v>
      </c>
      <c r="B22" s="9">
        <v>26</v>
      </c>
    </row>
    <row r="23" spans="1:2" x14ac:dyDescent="0.35">
      <c r="A23" s="8">
        <f t="shared" si="0"/>
        <v>19</v>
      </c>
      <c r="B23" s="9">
        <v>17</v>
      </c>
    </row>
    <row r="24" spans="1:2" x14ac:dyDescent="0.35">
      <c r="A24" s="8">
        <f t="shared" si="0"/>
        <v>20</v>
      </c>
      <c r="B24" s="9">
        <v>39</v>
      </c>
    </row>
    <row r="25" spans="1:2" x14ac:dyDescent="0.35">
      <c r="A25" s="8">
        <f t="shared" si="0"/>
        <v>21</v>
      </c>
      <c r="B25" s="9">
        <v>27</v>
      </c>
    </row>
    <row r="26" spans="1:2" x14ac:dyDescent="0.35">
      <c r="A26" s="12">
        <f t="shared" si="0"/>
        <v>22</v>
      </c>
      <c r="B26" s="9">
        <v>16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4196-84CB-42B7-9B60-B27A75BCF05A}">
  <dimension ref="A1:F2"/>
  <sheetViews>
    <sheetView zoomScale="140" zoomScaleNormal="140" workbookViewId="0">
      <selection activeCell="K37" sqref="K37"/>
    </sheetView>
  </sheetViews>
  <sheetFormatPr defaultRowHeight="14.5" x14ac:dyDescent="0.35"/>
  <cols>
    <col min="1" max="1" width="18.7265625" bestFit="1" customWidth="1"/>
  </cols>
  <sheetData>
    <row r="1" spans="1:6" ht="19.5" x14ac:dyDescent="0.45">
      <c r="A1" s="1" t="s">
        <v>37</v>
      </c>
    </row>
    <row r="2" spans="1:6" x14ac:dyDescent="0.35">
      <c r="A2" s="13" t="s">
        <v>71</v>
      </c>
      <c r="B2" s="13"/>
      <c r="C2" s="13"/>
      <c r="D2" s="13"/>
      <c r="E2" s="13"/>
      <c r="F2"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zoomScale="140" zoomScaleNormal="140" workbookViewId="0">
      <selection activeCell="R10" sqref="R10"/>
    </sheetView>
  </sheetViews>
  <sheetFormatPr defaultRowHeight="14.5" x14ac:dyDescent="0.35"/>
  <cols>
    <col min="1" max="1" width="18.453125" bestFit="1" customWidth="1"/>
    <col min="2" max="2" width="18.7265625" bestFit="1" customWidth="1"/>
    <col min="3" max="3" width="10.54296875" bestFit="1" customWidth="1"/>
    <col min="4" max="4" width="12.81640625" bestFit="1" customWidth="1"/>
    <col min="5" max="5" width="18.1796875" bestFit="1" customWidth="1"/>
  </cols>
  <sheetData>
    <row r="1" spans="1:5" ht="19.5" x14ac:dyDescent="0.45">
      <c r="A1" s="1" t="s">
        <v>24</v>
      </c>
    </row>
    <row r="2" spans="1:5" x14ac:dyDescent="0.35">
      <c r="A2" s="13" t="s">
        <v>25</v>
      </c>
    </row>
    <row r="4" spans="1:5" x14ac:dyDescent="0.35">
      <c r="A4" s="6" t="s">
        <v>8</v>
      </c>
      <c r="B4" t="s">
        <v>26</v>
      </c>
      <c r="C4" t="s">
        <v>27</v>
      </c>
      <c r="D4" t="s">
        <v>28</v>
      </c>
      <c r="E4" t="s">
        <v>85</v>
      </c>
    </row>
    <row r="5" spans="1:5" x14ac:dyDescent="0.35">
      <c r="A5" s="7">
        <v>1</v>
      </c>
      <c r="B5" s="9">
        <v>7</v>
      </c>
      <c r="C5" s="9"/>
      <c r="D5" s="10">
        <f>((B5*10)-C5)/(B5*10)</f>
        <v>1</v>
      </c>
      <c r="E5" s="5">
        <f>+TeamCapacity[[#This Row],['# Team members]]*TeamCapacity[[#This Row],[% Capacity]]</f>
        <v>7</v>
      </c>
    </row>
    <row r="6" spans="1:5" x14ac:dyDescent="0.35">
      <c r="A6" s="8">
        <f>+A5+1</f>
        <v>2</v>
      </c>
      <c r="B6" s="9">
        <v>7</v>
      </c>
      <c r="C6" s="9"/>
      <c r="D6" s="10">
        <f t="shared" ref="D6:D26" si="0">((B6*10)-C6)/(B6*10)</f>
        <v>1</v>
      </c>
      <c r="E6" s="5">
        <f>+TeamCapacity[[#This Row],['# Team members]]*TeamCapacity[[#This Row],[% Capacity]]</f>
        <v>7</v>
      </c>
    </row>
    <row r="7" spans="1:5" x14ac:dyDescent="0.35">
      <c r="A7" s="8">
        <f t="shared" ref="A7:A26" si="1">+A6+1</f>
        <v>3</v>
      </c>
      <c r="B7" s="9">
        <v>7</v>
      </c>
      <c r="C7" s="9">
        <v>8</v>
      </c>
      <c r="D7" s="10">
        <f t="shared" si="0"/>
        <v>0.88571428571428568</v>
      </c>
      <c r="E7" s="5">
        <f>+TeamCapacity[[#This Row],['# Team members]]*TeamCapacity[[#This Row],[% Capacity]]</f>
        <v>6.1999999999999993</v>
      </c>
    </row>
    <row r="8" spans="1:5" x14ac:dyDescent="0.35">
      <c r="A8" s="8">
        <f t="shared" si="1"/>
        <v>4</v>
      </c>
      <c r="B8" s="9">
        <v>7</v>
      </c>
      <c r="C8" s="9">
        <v>2</v>
      </c>
      <c r="D8" s="10">
        <f t="shared" si="0"/>
        <v>0.97142857142857142</v>
      </c>
      <c r="E8" s="5">
        <f>+TeamCapacity[[#This Row],['# Team members]]*TeamCapacity[[#This Row],[% Capacity]]</f>
        <v>6.8</v>
      </c>
    </row>
    <row r="9" spans="1:5" x14ac:dyDescent="0.35">
      <c r="A9" s="8">
        <f t="shared" si="1"/>
        <v>5</v>
      </c>
      <c r="B9" s="9">
        <v>7</v>
      </c>
      <c r="C9" s="9">
        <v>7</v>
      </c>
      <c r="D9" s="10">
        <f t="shared" si="0"/>
        <v>0.9</v>
      </c>
      <c r="E9" s="5">
        <f>+TeamCapacity[[#This Row],['# Team members]]*TeamCapacity[[#This Row],[% Capacity]]</f>
        <v>6.3</v>
      </c>
    </row>
    <row r="10" spans="1:5" x14ac:dyDescent="0.35">
      <c r="A10" s="8">
        <f t="shared" si="1"/>
        <v>6</v>
      </c>
      <c r="B10" s="9">
        <v>7</v>
      </c>
      <c r="C10" s="9">
        <v>17</v>
      </c>
      <c r="D10" s="10">
        <f t="shared" si="0"/>
        <v>0.75714285714285712</v>
      </c>
      <c r="E10" s="5">
        <f>+TeamCapacity[[#This Row],['# Team members]]*TeamCapacity[[#This Row],[% Capacity]]</f>
        <v>5.3</v>
      </c>
    </row>
    <row r="11" spans="1:5" x14ac:dyDescent="0.35">
      <c r="A11" s="8">
        <f t="shared" si="1"/>
        <v>7</v>
      </c>
      <c r="B11" s="9">
        <v>7</v>
      </c>
      <c r="C11" s="9">
        <v>35</v>
      </c>
      <c r="D11" s="10">
        <f t="shared" si="0"/>
        <v>0.5</v>
      </c>
      <c r="E11" s="5">
        <f>+TeamCapacity[[#This Row],['# Team members]]*TeamCapacity[[#This Row],[% Capacity]]</f>
        <v>3.5</v>
      </c>
    </row>
    <row r="12" spans="1:5" x14ac:dyDescent="0.35">
      <c r="A12" s="8">
        <f t="shared" si="1"/>
        <v>8</v>
      </c>
      <c r="B12" s="9">
        <v>6</v>
      </c>
      <c r="C12" s="9">
        <v>13</v>
      </c>
      <c r="D12" s="10">
        <f t="shared" si="0"/>
        <v>0.78333333333333333</v>
      </c>
      <c r="E12" s="5">
        <f>+TeamCapacity[[#This Row],['# Team members]]*TeamCapacity[[#This Row],[% Capacity]]</f>
        <v>4.7</v>
      </c>
    </row>
    <row r="13" spans="1:5" x14ac:dyDescent="0.35">
      <c r="A13" s="8">
        <f t="shared" si="1"/>
        <v>9</v>
      </c>
      <c r="B13" s="9">
        <v>6</v>
      </c>
      <c r="C13" s="9">
        <v>1</v>
      </c>
      <c r="D13" s="10">
        <f t="shared" si="0"/>
        <v>0.98333333333333328</v>
      </c>
      <c r="E13" s="5">
        <f>+TeamCapacity[[#This Row],['# Team members]]*TeamCapacity[[#This Row],[% Capacity]]</f>
        <v>5.8999999999999995</v>
      </c>
    </row>
    <row r="14" spans="1:5" x14ac:dyDescent="0.35">
      <c r="A14" s="8">
        <f t="shared" si="1"/>
        <v>10</v>
      </c>
      <c r="B14" s="9">
        <v>6</v>
      </c>
      <c r="C14" s="9">
        <v>3</v>
      </c>
      <c r="D14" s="10">
        <f t="shared" si="0"/>
        <v>0.95</v>
      </c>
      <c r="E14" s="5">
        <f>+TeamCapacity[[#This Row],['# Team members]]*TeamCapacity[[#This Row],[% Capacity]]</f>
        <v>5.6999999999999993</v>
      </c>
    </row>
    <row r="15" spans="1:5" x14ac:dyDescent="0.35">
      <c r="A15" s="8">
        <f t="shared" si="1"/>
        <v>11</v>
      </c>
      <c r="B15" s="9">
        <v>6</v>
      </c>
      <c r="C15" s="9">
        <v>8</v>
      </c>
      <c r="D15" s="10">
        <f t="shared" si="0"/>
        <v>0.8666666666666667</v>
      </c>
      <c r="E15" s="5">
        <f>+TeamCapacity[[#This Row],['# Team members]]*TeamCapacity[[#This Row],[% Capacity]]</f>
        <v>5.2</v>
      </c>
    </row>
    <row r="16" spans="1:5" x14ac:dyDescent="0.35">
      <c r="A16" s="8">
        <f t="shared" si="1"/>
        <v>12</v>
      </c>
      <c r="B16" s="9">
        <v>5</v>
      </c>
      <c r="C16" s="9">
        <v>10</v>
      </c>
      <c r="D16" s="10">
        <f t="shared" si="0"/>
        <v>0.8</v>
      </c>
      <c r="E16" s="5">
        <f>+TeamCapacity[[#This Row],['# Team members]]*TeamCapacity[[#This Row],[% Capacity]]</f>
        <v>4</v>
      </c>
    </row>
    <row r="17" spans="1:5" x14ac:dyDescent="0.35">
      <c r="A17" s="8">
        <f t="shared" si="1"/>
        <v>13</v>
      </c>
      <c r="B17" s="9">
        <v>5</v>
      </c>
      <c r="C17" s="9">
        <v>0</v>
      </c>
      <c r="D17" s="10">
        <f t="shared" si="0"/>
        <v>1</v>
      </c>
      <c r="E17" s="5">
        <f>+TeamCapacity[[#This Row],['# Team members]]*TeamCapacity[[#This Row],[% Capacity]]</f>
        <v>5</v>
      </c>
    </row>
    <row r="18" spans="1:5" x14ac:dyDescent="0.35">
      <c r="A18" s="8">
        <f t="shared" si="1"/>
        <v>14</v>
      </c>
      <c r="B18" s="9">
        <v>5</v>
      </c>
      <c r="C18" s="9">
        <v>18</v>
      </c>
      <c r="D18" s="10">
        <f t="shared" si="0"/>
        <v>0.64</v>
      </c>
      <c r="E18" s="5">
        <f>+TeamCapacity[[#This Row],['# Team members]]*TeamCapacity[[#This Row],[% Capacity]]</f>
        <v>3.2</v>
      </c>
    </row>
    <row r="19" spans="1:5" x14ac:dyDescent="0.35">
      <c r="A19" s="8">
        <f t="shared" si="1"/>
        <v>15</v>
      </c>
      <c r="B19" s="9">
        <v>4</v>
      </c>
      <c r="C19" s="9">
        <v>5</v>
      </c>
      <c r="D19" s="10">
        <f t="shared" si="0"/>
        <v>0.875</v>
      </c>
      <c r="E19" s="5">
        <f>+TeamCapacity[[#This Row],['# Team members]]*TeamCapacity[[#This Row],[% Capacity]]</f>
        <v>3.5</v>
      </c>
    </row>
    <row r="20" spans="1:5" x14ac:dyDescent="0.35">
      <c r="A20" s="8">
        <f t="shared" si="1"/>
        <v>16</v>
      </c>
      <c r="B20" s="9">
        <v>4</v>
      </c>
      <c r="C20" s="9">
        <v>10</v>
      </c>
      <c r="D20" s="10">
        <f t="shared" si="0"/>
        <v>0.75</v>
      </c>
      <c r="E20" s="5">
        <f>+TeamCapacity[[#This Row],['# Team members]]*TeamCapacity[[#This Row],[% Capacity]]</f>
        <v>3</v>
      </c>
    </row>
    <row r="21" spans="1:5" x14ac:dyDescent="0.35">
      <c r="A21" s="8">
        <f t="shared" si="1"/>
        <v>17</v>
      </c>
      <c r="B21" s="9">
        <v>5</v>
      </c>
      <c r="C21" s="9">
        <v>6</v>
      </c>
      <c r="D21" s="10">
        <f t="shared" si="0"/>
        <v>0.88</v>
      </c>
      <c r="E21" s="5">
        <f>+TeamCapacity[[#This Row],['# Team members]]*TeamCapacity[[#This Row],[% Capacity]]</f>
        <v>4.4000000000000004</v>
      </c>
    </row>
    <row r="22" spans="1:5" x14ac:dyDescent="0.35">
      <c r="A22" s="8">
        <f t="shared" si="1"/>
        <v>18</v>
      </c>
      <c r="B22" s="9">
        <v>5</v>
      </c>
      <c r="C22" s="9">
        <v>1</v>
      </c>
      <c r="D22" s="10">
        <f t="shared" si="0"/>
        <v>0.98</v>
      </c>
      <c r="E22" s="5">
        <f>+TeamCapacity[[#This Row],['# Team members]]*TeamCapacity[[#This Row],[% Capacity]]</f>
        <v>4.9000000000000004</v>
      </c>
    </row>
    <row r="23" spans="1:5" x14ac:dyDescent="0.35">
      <c r="A23" s="8">
        <f t="shared" si="1"/>
        <v>19</v>
      </c>
      <c r="B23" s="9">
        <v>5</v>
      </c>
      <c r="C23" s="9">
        <v>11</v>
      </c>
      <c r="D23" s="10">
        <f t="shared" si="0"/>
        <v>0.78</v>
      </c>
      <c r="E23" s="5">
        <f>+TeamCapacity[[#This Row],['# Team members]]*TeamCapacity[[#This Row],[% Capacity]]</f>
        <v>3.9000000000000004</v>
      </c>
    </row>
    <row r="24" spans="1:5" x14ac:dyDescent="0.35">
      <c r="A24" s="8">
        <f t="shared" si="1"/>
        <v>20</v>
      </c>
      <c r="B24" s="9">
        <v>5</v>
      </c>
      <c r="C24" s="9">
        <v>1</v>
      </c>
      <c r="D24" s="10">
        <f t="shared" si="0"/>
        <v>0.98</v>
      </c>
      <c r="E24" s="5">
        <f>+TeamCapacity[[#This Row],['# Team members]]*TeamCapacity[[#This Row],[% Capacity]]</f>
        <v>4.9000000000000004</v>
      </c>
    </row>
    <row r="25" spans="1:5" x14ac:dyDescent="0.35">
      <c r="A25" s="8">
        <f t="shared" si="1"/>
        <v>21</v>
      </c>
      <c r="B25" s="9">
        <v>4</v>
      </c>
      <c r="C25" s="9">
        <v>1</v>
      </c>
      <c r="D25" s="10">
        <f t="shared" si="0"/>
        <v>0.97499999999999998</v>
      </c>
      <c r="E25" s="5">
        <f>+TeamCapacity[[#This Row],['# Team members]]*TeamCapacity[[#This Row],[% Capacity]]</f>
        <v>3.9</v>
      </c>
    </row>
    <row r="26" spans="1:5" x14ac:dyDescent="0.35">
      <c r="A26" s="8">
        <f t="shared" si="1"/>
        <v>22</v>
      </c>
      <c r="B26" s="9">
        <v>4</v>
      </c>
      <c r="C26" s="9">
        <v>15</v>
      </c>
      <c r="D26" s="10">
        <f t="shared" si="0"/>
        <v>0.625</v>
      </c>
      <c r="E26" s="5">
        <f>+TeamCapacity[[#This Row],['# Team members]]*TeamCapacity[[#This Row],[% Capacity]]</f>
        <v>2.5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A8730-4757-46F5-BCB0-A281B628EB16}">
  <dimension ref="A1:Q27"/>
  <sheetViews>
    <sheetView zoomScale="140" zoomScaleNormal="140" workbookViewId="0">
      <selection activeCell="A29" sqref="A29"/>
    </sheetView>
  </sheetViews>
  <sheetFormatPr defaultRowHeight="14.5" x14ac:dyDescent="0.35"/>
  <cols>
    <col min="1" max="1" width="16" bestFit="1" customWidth="1"/>
    <col min="2" max="2" width="7.7265625" bestFit="1" customWidth="1"/>
    <col min="3" max="3" width="39.453125" bestFit="1" customWidth="1"/>
    <col min="4" max="4" width="38.81640625" bestFit="1" customWidth="1"/>
    <col min="5" max="5" width="10" bestFit="1" customWidth="1"/>
    <col min="6" max="6" width="15" bestFit="1" customWidth="1"/>
    <col min="7" max="7" width="13.54296875" bestFit="1" customWidth="1"/>
    <col min="8" max="8" width="17.1796875" bestFit="1" customWidth="1"/>
    <col min="9" max="9" width="20.26953125" bestFit="1" customWidth="1"/>
    <col min="10" max="10" width="23.81640625" bestFit="1" customWidth="1"/>
    <col min="11" max="11" width="18.7265625" bestFit="1" customWidth="1"/>
    <col min="12" max="12" width="18.7265625" customWidth="1"/>
    <col min="13" max="13" width="26.453125" bestFit="1" customWidth="1"/>
    <col min="14" max="14" width="23" bestFit="1" customWidth="1"/>
    <col min="15" max="15" width="17.81640625" bestFit="1" customWidth="1"/>
    <col min="16" max="16" width="26.26953125" bestFit="1" customWidth="1"/>
    <col min="17" max="17" width="28.81640625" bestFit="1" customWidth="1"/>
  </cols>
  <sheetData>
    <row r="1" spans="1:17" ht="17.5" thickBot="1" x14ac:dyDescent="0.45">
      <c r="A1" s="2" t="s">
        <v>3</v>
      </c>
    </row>
    <row r="2" spans="1:17" ht="15" thickTop="1" x14ac:dyDescent="0.35">
      <c r="A2" s="13" t="s">
        <v>84</v>
      </c>
    </row>
    <row r="4" spans="1:17" x14ac:dyDescent="0.35">
      <c r="C4" s="27" t="s">
        <v>4</v>
      </c>
      <c r="D4" s="28"/>
      <c r="E4" s="29" t="s">
        <v>5</v>
      </c>
      <c r="F4" s="30"/>
      <c r="G4" s="30"/>
      <c r="H4" s="31"/>
      <c r="I4" s="29" t="s">
        <v>6</v>
      </c>
      <c r="J4" s="30"/>
      <c r="K4" s="30"/>
      <c r="L4" s="30"/>
      <c r="M4" s="31"/>
      <c r="N4" s="29" t="s">
        <v>7</v>
      </c>
      <c r="O4" s="30"/>
      <c r="P4" s="30"/>
      <c r="Q4" s="31"/>
    </row>
    <row r="5" spans="1:17" x14ac:dyDescent="0.35">
      <c r="A5" t="s">
        <v>8</v>
      </c>
      <c r="B5" t="s">
        <v>9</v>
      </c>
      <c r="C5" s="16" t="s">
        <v>83</v>
      </c>
      <c r="D5" s="16" t="s">
        <v>10</v>
      </c>
      <c r="E5" t="s">
        <v>11</v>
      </c>
      <c r="F5" t="s">
        <v>12</v>
      </c>
      <c r="G5" t="s">
        <v>13</v>
      </c>
      <c r="H5" t="s">
        <v>14</v>
      </c>
      <c r="I5" t="s">
        <v>15</v>
      </c>
      <c r="J5" t="s">
        <v>16</v>
      </c>
      <c r="K5" t="s">
        <v>17</v>
      </c>
      <c r="L5" t="s">
        <v>18</v>
      </c>
      <c r="M5" t="s">
        <v>19</v>
      </c>
      <c r="N5" t="s">
        <v>20</v>
      </c>
      <c r="O5" t="s">
        <v>21</v>
      </c>
      <c r="P5" t="s">
        <v>22</v>
      </c>
      <c r="Q5" t="s">
        <v>23</v>
      </c>
    </row>
    <row r="6" spans="1:17" x14ac:dyDescent="0.35">
      <c r="A6">
        <v>1</v>
      </c>
      <c r="B6" s="3">
        <v>43983</v>
      </c>
      <c r="C6" s="19">
        <f>CEILING(Sprints[[#This Row],[Remaining scope]]/Sprints[[#This Row],[Historic avg. velocity]], 1)+Sprints[[#This Row],[Sprint]]</f>
        <v>10</v>
      </c>
      <c r="D6" s="22">
        <f>CEILING(Sprints[[#This Row],[Remaining scope]]/Sprints[[#This Row],[Estimated Future avg. Velocity]], 1)+Sprints[[#This Row],[Sprint]]</f>
        <v>13</v>
      </c>
      <c r="E6" s="5">
        <f>+SUMIF(Table5[Sprint],_xlfn.CONCAT("&lt;=", Sprints[[#This Row],[Sprint]]),Table5[Points])</f>
        <v>464</v>
      </c>
      <c r="F6" s="5">
        <f>+SUMIF(TeamVelocity[Sprint],_xlfn.CONCAT("=", Sprints[[#This Row],[Sprint]]),TeamVelocity[delivered points])</f>
        <v>51</v>
      </c>
      <c r="G6" s="5">
        <f>+SUMIF(Sprints[Sprint], _xlfn.CONCAT("&lt;=",Sprints[[#This Row],[Sprint]]),Sprints[Done in Sprint])</f>
        <v>51</v>
      </c>
      <c r="H6" s="5">
        <f>+Sprints[[#This Row],[In scope]]-Sprints[[#This Row],[Done overall]]</f>
        <v>413</v>
      </c>
      <c r="I6" s="15">
        <f>FLOOR(AVERAGEIF(Sprints[Sprint], _xlfn.CONCAT("&lt;=",Sprints[[#This Row],[Sprint]]), Sprints[Done in Sprint]), 1)</f>
        <v>51</v>
      </c>
      <c r="J6" s="17">
        <f>AVERAGEIF(TeamCapacity[Sprint], _xlfn.CONCAT("&lt;=",Sprints[[#This Row],[Sprint]]), TeamCapacity['# Team members])</f>
        <v>7</v>
      </c>
      <c r="K6" s="18">
        <f>AVERAGEIF(TeamCapacity[Sprint], _xlfn.CONCAT("&lt;=",Sprints[[#This Row],[Sprint]]),TeamCapacity[% Capacity])</f>
        <v>1</v>
      </c>
      <c r="L6" s="17">
        <f>Sprints[[#This Row],[Historic avg. velocity]]/Sprints[[#This Row],[Historic abs. Team Member]]</f>
        <v>7.2857142857142856</v>
      </c>
      <c r="M6" s="20">
        <f>+Sprints[[#This Row],[Historic Team Member '#]]*Sprints[[#This Row],[Historic capacity %]]</f>
        <v>7</v>
      </c>
      <c r="N6" s="17">
        <f>AVERAGEIF(TeamCapacity[Sprint], _xlfn.CONCAT("&gt;=",Sprints[[#This Row],[Sprint]]), TeamCapacity['# Team members])</f>
        <v>5.6363636363636367</v>
      </c>
      <c r="O6" s="18">
        <f>AVERAGEIF(TeamCapacity[Sprint], _xlfn.CONCAT("&gt;=",Sprints[[#This Row],[Sprint]]),TeamCapacity[% Capacity])</f>
        <v>0.85830086580086595</v>
      </c>
      <c r="P6" s="20">
        <f>+Sprints[[#This Row],[Future Team Member '#]]*Sprints[[#This Row],[Future capacity %]]</f>
        <v>4.8376957890594268</v>
      </c>
      <c r="Q6" s="19">
        <f>+Sprints[[#This Row],[Future abs. Team members]]*Sprints[[#This Row],[Historic Points per Person]]</f>
        <v>35.246069320290111</v>
      </c>
    </row>
    <row r="7" spans="1:17" x14ac:dyDescent="0.35">
      <c r="A7" s="5">
        <f>+A6+1</f>
        <v>2</v>
      </c>
      <c r="B7" s="4">
        <f>+WORKDAY(B6,Parameters!$A$5)</f>
        <v>43997</v>
      </c>
      <c r="C7" s="19">
        <f>CEILING(Sprints[[#This Row],[Remaining scope]]/Sprints[[#This Row],[Historic avg. velocity]], 1)+Sprints[[#This Row],[Sprint]]</f>
        <v>8</v>
      </c>
      <c r="D7" s="22">
        <f>CEILING(Sprints[[#This Row],[Remaining scope]]/Sprints[[#This Row],[Estimated Future avg. Velocity]], 1)+Sprints[[#This Row],[Sprint]]</f>
        <v>11</v>
      </c>
      <c r="E7" s="5">
        <f>+SUMIF(Table5[Sprint],_xlfn.CONCAT("&lt;=", Sprints[[#This Row],[Sprint]]),Table5[Points])</f>
        <v>414</v>
      </c>
      <c r="F7" s="5">
        <f>+SUMIF(TeamVelocity[Sprint],_xlfn.CONCAT("=", Sprints[[#This Row],[Sprint]]),TeamVelocity[delivered points])</f>
        <v>54</v>
      </c>
      <c r="G7" s="5">
        <f>+SUMIF(Sprints[Sprint], _xlfn.CONCAT("&lt;=",Sprints[[#This Row],[Sprint]]),Sprints[Done in Sprint])</f>
        <v>105</v>
      </c>
      <c r="H7" s="5">
        <f>+Sprints[[#This Row],[In scope]]-Sprints[[#This Row],[Done overall]]</f>
        <v>309</v>
      </c>
      <c r="I7" s="15">
        <f>FLOOR(AVERAGEIF(Sprints[Sprint], _xlfn.CONCAT("&lt;=",Sprints[[#This Row],[Sprint]]), Sprints[Done in Sprint]), 1)</f>
        <v>52</v>
      </c>
      <c r="J7" s="17">
        <f>AVERAGEIF(TeamCapacity[Sprint], _xlfn.CONCAT("&lt;=",Sprints[[#This Row],[Sprint]]), TeamCapacity['# Team members])</f>
        <v>7</v>
      </c>
      <c r="K7" s="18">
        <f>AVERAGEIF(TeamCapacity[Sprint], _xlfn.CONCAT("&lt;=",Sprints[[#This Row],[Sprint]]),TeamCapacity[% Capacity])</f>
        <v>1</v>
      </c>
      <c r="L7" s="17">
        <f>Sprints[[#This Row],[Historic avg. velocity]]/Sprints[[#This Row],[Historic abs. Team Member]]</f>
        <v>7.4285714285714288</v>
      </c>
      <c r="M7" s="20">
        <f>+Sprints[[#This Row],[Historic Team Member '#]]*Sprints[[#This Row],[Historic capacity %]]</f>
        <v>7</v>
      </c>
      <c r="N7" s="17">
        <f>AVERAGEIF(TeamCapacity[Sprint], _xlfn.CONCAT("&gt;=",Sprints[[#This Row],[Sprint]]), TeamCapacity['# Team members])</f>
        <v>5.5714285714285712</v>
      </c>
      <c r="O7" s="25">
        <f>AVERAGEIF(TeamCapacity[Sprint], _xlfn.CONCAT("&gt;=",Sprints[[#This Row],[Sprint]]),TeamCapacity[% Capacity])</f>
        <v>0.85155328798185959</v>
      </c>
      <c r="P7" s="26">
        <f>+Sprints[[#This Row],[Future Team Member '#]]*Sprints[[#This Row],[Future capacity %]]</f>
        <v>4.7443683187560746</v>
      </c>
      <c r="Q7" s="19">
        <f>+Sprints[[#This Row],[Future abs. Team members]]*Sprints[[#This Row],[Historic Points per Person]]</f>
        <v>35.243878939330841</v>
      </c>
    </row>
    <row r="8" spans="1:17" x14ac:dyDescent="0.35">
      <c r="A8" s="5">
        <f t="shared" ref="A8:A27" si="0">+A7+1</f>
        <v>3</v>
      </c>
      <c r="B8" s="4">
        <f>+WORKDAY(B7,Parameters!$A$5)</f>
        <v>44011</v>
      </c>
      <c r="C8" s="19">
        <f>CEILING(Sprints[[#This Row],[Remaining scope]]/Sprints[[#This Row],[Historic avg. velocity]], 1)+Sprints[[#This Row],[Sprint]]</f>
        <v>9</v>
      </c>
      <c r="D8" s="22">
        <f>CEILING(Sprints[[#This Row],[Remaining scope]]/Sprints[[#This Row],[Estimated Future avg. Velocity]], 1)+Sprints[[#This Row],[Sprint]]</f>
        <v>11</v>
      </c>
      <c r="E8" s="5">
        <f>+SUMIF(Table5[Sprint],_xlfn.CONCAT("&lt;=", Sprints[[#This Row],[Sprint]]),Table5[Points])</f>
        <v>414</v>
      </c>
      <c r="F8" s="5">
        <f>+SUMIF(TeamVelocity[Sprint],_xlfn.CONCAT("=", Sprints[[#This Row],[Sprint]]),TeamVelocity[delivered points])</f>
        <v>46</v>
      </c>
      <c r="G8" s="5">
        <f>+SUMIF(Sprints[Sprint], _xlfn.CONCAT("&lt;=",Sprints[[#This Row],[Sprint]]),Sprints[Done in Sprint])</f>
        <v>151</v>
      </c>
      <c r="H8" s="5">
        <f>+Sprints[[#This Row],[In scope]]-Sprints[[#This Row],[Done overall]]</f>
        <v>263</v>
      </c>
      <c r="I8" s="15">
        <f>FLOOR(AVERAGEIF(Sprints[Sprint], _xlfn.CONCAT("&lt;=",Sprints[[#This Row],[Sprint]]), Sprints[Done in Sprint]), 1)</f>
        <v>50</v>
      </c>
      <c r="J8" s="17">
        <f>AVERAGEIF(TeamCapacity[Sprint], _xlfn.CONCAT("&lt;=",Sprints[[#This Row],[Sprint]]), TeamCapacity['# Team members])</f>
        <v>7</v>
      </c>
      <c r="K8" s="18">
        <f>AVERAGEIF(TeamCapacity[Sprint], _xlfn.CONCAT("&lt;=",Sprints[[#This Row],[Sprint]]),TeamCapacity[% Capacity])</f>
        <v>0.96190476190476193</v>
      </c>
      <c r="L8" s="17">
        <f>Sprints[[#This Row],[Historic avg. velocity]]/Sprints[[#This Row],[Historic abs. Team Member]]</f>
        <v>7.4257425742574261</v>
      </c>
      <c r="M8" s="20">
        <f>+Sprints[[#This Row],[Historic Team Member '#]]*Sprints[[#This Row],[Historic capacity %]]</f>
        <v>6.7333333333333334</v>
      </c>
      <c r="N8" s="17">
        <f>AVERAGEIF(TeamCapacity[Sprint], _xlfn.CONCAT("&gt;=",Sprints[[#This Row],[Sprint]]), TeamCapacity['# Team members])</f>
        <v>5.5</v>
      </c>
      <c r="O8" s="10">
        <f>AVERAGEIF(TeamCapacity[Sprint], _xlfn.CONCAT("&gt;=",Sprints[[#This Row],[Sprint]]),TeamCapacity[% Capacity])</f>
        <v>0.84413095238095259</v>
      </c>
      <c r="P8" s="21">
        <f>+Sprints[[#This Row],[Future Team Member '#]]*Sprints[[#This Row],[Future capacity %]]</f>
        <v>4.6427202380952393</v>
      </c>
      <c r="Q8" s="19">
        <f>+Sprints[[#This Row],[Future abs. Team members]]*Sprints[[#This Row],[Historic Points per Person]]</f>
        <v>34.475645332390393</v>
      </c>
    </row>
    <row r="9" spans="1:17" x14ac:dyDescent="0.35">
      <c r="A9" s="5">
        <f t="shared" si="0"/>
        <v>4</v>
      </c>
      <c r="B9" s="4">
        <f>+WORKDAY(B8,Parameters!$A$5)</f>
        <v>44025</v>
      </c>
      <c r="C9" s="19">
        <f>CEILING(Sprints[[#This Row],[Remaining scope]]/Sprints[[#This Row],[Historic avg. velocity]], 1)+Sprints[[#This Row],[Sprint]]</f>
        <v>10</v>
      </c>
      <c r="D9" s="22">
        <f>CEILING(Sprints[[#This Row],[Remaining scope]]/Sprints[[#This Row],[Estimated Future avg. Velocity]], 1)+Sprints[[#This Row],[Sprint]]</f>
        <v>13</v>
      </c>
      <c r="E9" s="5">
        <f>+SUMIF(Table5[Sprint],_xlfn.CONCAT("&lt;=", Sprints[[#This Row],[Sprint]]),Table5[Points])</f>
        <v>494</v>
      </c>
      <c r="F9" s="5">
        <f>+SUMIF(TeamVelocity[Sprint],_xlfn.CONCAT("=", Sprints[[#This Row],[Sprint]]),TeamVelocity[delivered points])</f>
        <v>53</v>
      </c>
      <c r="G9" s="5">
        <f>+SUMIF(Sprints[Sprint], _xlfn.CONCAT("&lt;=",Sprints[[#This Row],[Sprint]]),Sprints[Done in Sprint])</f>
        <v>204</v>
      </c>
      <c r="H9" s="5">
        <f>+Sprints[[#This Row],[In scope]]-Sprints[[#This Row],[Done overall]]</f>
        <v>290</v>
      </c>
      <c r="I9" s="15">
        <f>FLOOR(AVERAGEIF(Sprints[Sprint], _xlfn.CONCAT("&lt;=",Sprints[[#This Row],[Sprint]]), Sprints[Done in Sprint]), 1)</f>
        <v>51</v>
      </c>
      <c r="J9" s="17">
        <f>AVERAGEIF(TeamCapacity[Sprint], _xlfn.CONCAT("&lt;=",Sprints[[#This Row],[Sprint]]), TeamCapacity['# Team members])</f>
        <v>7</v>
      </c>
      <c r="K9" s="18">
        <f>AVERAGEIF(TeamCapacity[Sprint], _xlfn.CONCAT("&lt;=",Sprints[[#This Row],[Sprint]]),TeamCapacity[% Capacity])</f>
        <v>0.9642857142857143</v>
      </c>
      <c r="L9" s="17">
        <f>Sprints[[#This Row],[Historic avg. velocity]]/Sprints[[#This Row],[Historic abs. Team Member]]</f>
        <v>7.5555555555555554</v>
      </c>
      <c r="M9" s="20">
        <f>+Sprints[[#This Row],[Historic Team Member '#]]*Sprints[[#This Row],[Historic capacity %]]</f>
        <v>6.75</v>
      </c>
      <c r="N9" s="17">
        <f>AVERAGEIF(TeamCapacity[Sprint], _xlfn.CONCAT("&gt;=",Sprints[[#This Row],[Sprint]]), TeamCapacity['# Team members])</f>
        <v>5.4210526315789478</v>
      </c>
      <c r="O9" s="10">
        <f>AVERAGEIF(TeamCapacity[Sprint], _xlfn.CONCAT("&gt;=",Sprints[[#This Row],[Sprint]]),TeamCapacity[% Capacity])</f>
        <v>0.84194235588972444</v>
      </c>
      <c r="P9" s="21">
        <f>+Sprints[[#This Row],[Future Team Member '#]]*Sprints[[#This Row],[Future capacity %]]</f>
        <v>4.5642138240337697</v>
      </c>
      <c r="Q9" s="19">
        <f>+Sprints[[#This Row],[Future abs. Team members]]*Sprints[[#This Row],[Historic Points per Person]]</f>
        <v>34.485171114921812</v>
      </c>
    </row>
    <row r="10" spans="1:17" x14ac:dyDescent="0.35">
      <c r="A10" s="5">
        <f t="shared" si="0"/>
        <v>5</v>
      </c>
      <c r="B10" s="4">
        <f>+WORKDAY(B9,Parameters!$A$5)</f>
        <v>44039</v>
      </c>
      <c r="C10" s="19">
        <f>CEILING(Sprints[[#This Row],[Remaining scope]]/Sprints[[#This Row],[Historic avg. velocity]], 1)+Sprints[[#This Row],[Sprint]]</f>
        <v>11</v>
      </c>
      <c r="D10" s="22">
        <f>CEILING(Sprints[[#This Row],[Remaining scope]]/Sprints[[#This Row],[Estimated Future avg. Velocity]], 1)+Sprints[[#This Row],[Sprint]]</f>
        <v>13</v>
      </c>
      <c r="E10" s="5">
        <f>+SUMIF(Table5[Sprint],_xlfn.CONCAT("&lt;=", Sprints[[#This Row],[Sprint]]),Table5[Points])</f>
        <v>494</v>
      </c>
      <c r="F10" s="5">
        <f>+SUMIF(TeamVelocity[Sprint],_xlfn.CONCAT("=", Sprints[[#This Row],[Sprint]]),TeamVelocity[delivered points])</f>
        <v>36</v>
      </c>
      <c r="G10" s="5">
        <f>+SUMIF(Sprints[Sprint], _xlfn.CONCAT("&lt;=",Sprints[[#This Row],[Sprint]]),Sprints[Done in Sprint])</f>
        <v>240</v>
      </c>
      <c r="H10" s="5">
        <f>+Sprints[[#This Row],[In scope]]-Sprints[[#This Row],[Done overall]]</f>
        <v>254</v>
      </c>
      <c r="I10" s="15">
        <f>FLOOR(AVERAGEIF(Sprints[Sprint], _xlfn.CONCAT("&lt;=",Sprints[[#This Row],[Sprint]]), Sprints[Done in Sprint]), 1)</f>
        <v>48</v>
      </c>
      <c r="J10" s="17">
        <f>AVERAGEIF(TeamCapacity[Sprint], _xlfn.CONCAT("&lt;=",Sprints[[#This Row],[Sprint]]), TeamCapacity['# Team members])</f>
        <v>7</v>
      </c>
      <c r="K10" s="18">
        <f>AVERAGEIF(TeamCapacity[Sprint], _xlfn.CONCAT("&lt;=",Sprints[[#This Row],[Sprint]]),TeamCapacity[% Capacity])</f>
        <v>0.9514285714285714</v>
      </c>
      <c r="L10" s="17">
        <f>Sprints[[#This Row],[Historic avg. velocity]]/Sprints[[#This Row],[Historic abs. Team Member]]</f>
        <v>7.2072072072072073</v>
      </c>
      <c r="M10" s="20">
        <f>+Sprints[[#This Row],[Historic Team Member '#]]*Sprints[[#This Row],[Historic capacity %]]</f>
        <v>6.66</v>
      </c>
      <c r="N10" s="17">
        <f>AVERAGEIF(TeamCapacity[Sprint], _xlfn.CONCAT("&gt;=",Sprints[[#This Row],[Sprint]]), TeamCapacity['# Team members])</f>
        <v>5.333333333333333</v>
      </c>
      <c r="O10" s="10">
        <f>AVERAGEIF(TeamCapacity[Sprint], _xlfn.CONCAT("&gt;=",Sprints[[#This Row],[Sprint]]),TeamCapacity[% Capacity])</f>
        <v>0.8347486772486773</v>
      </c>
      <c r="P10" s="21">
        <f>+Sprints[[#This Row],[Future Team Member '#]]*Sprints[[#This Row],[Future capacity %]]</f>
        <v>4.4519929453262783</v>
      </c>
      <c r="Q10" s="19">
        <f>+Sprints[[#This Row],[Future abs. Team members]]*Sprints[[#This Row],[Historic Points per Person]]</f>
        <v>32.086435641991194</v>
      </c>
    </row>
    <row r="11" spans="1:17" x14ac:dyDescent="0.35">
      <c r="A11" s="5">
        <f t="shared" si="0"/>
        <v>6</v>
      </c>
      <c r="B11" s="4">
        <f>+WORKDAY(B10,Parameters!$A$5)</f>
        <v>44053</v>
      </c>
      <c r="C11" s="19">
        <f>CEILING(Sprints[[#This Row],[Remaining scope]]/Sprints[[#This Row],[Historic avg. velocity]], 1)+Sprints[[#This Row],[Sprint]]</f>
        <v>12</v>
      </c>
      <c r="D11" s="22">
        <f>CEILING(Sprints[[#This Row],[Remaining scope]]/Sprints[[#This Row],[Estimated Future avg. Velocity]], 1)+Sprints[[#This Row],[Sprint]]</f>
        <v>14</v>
      </c>
      <c r="E11" s="5">
        <f>+SUMIF(Table5[Sprint],_xlfn.CONCAT("&lt;=", Sprints[[#This Row],[Sprint]]),Table5[Points])</f>
        <v>474</v>
      </c>
      <c r="F11" s="5">
        <f>+SUMIF(TeamVelocity[Sprint],_xlfn.CONCAT("=", Sprints[[#This Row],[Sprint]]),TeamVelocity[delivered points])</f>
        <v>18</v>
      </c>
      <c r="G11" s="5">
        <f>+SUMIF(Sprints[Sprint], _xlfn.CONCAT("&lt;=",Sprints[[#This Row],[Sprint]]),Sprints[Done in Sprint])</f>
        <v>258</v>
      </c>
      <c r="H11" s="5">
        <f>+Sprints[[#This Row],[In scope]]-Sprints[[#This Row],[Done overall]]</f>
        <v>216</v>
      </c>
      <c r="I11" s="15">
        <f>FLOOR(AVERAGEIF(Sprints[Sprint], _xlfn.CONCAT("&lt;=",Sprints[[#This Row],[Sprint]]), Sprints[Done in Sprint]), 1)</f>
        <v>43</v>
      </c>
      <c r="J11" s="17">
        <f>AVERAGEIF(TeamCapacity[Sprint], _xlfn.CONCAT("&lt;=",Sprints[[#This Row],[Sprint]]), TeamCapacity['# Team members])</f>
        <v>7</v>
      </c>
      <c r="K11" s="18">
        <f>AVERAGEIF(TeamCapacity[Sprint], _xlfn.CONCAT("&lt;=",Sprints[[#This Row],[Sprint]]),TeamCapacity[% Capacity])</f>
        <v>0.919047619047619</v>
      </c>
      <c r="L11" s="17">
        <f>Sprints[[#This Row],[Historic avg. velocity]]/Sprints[[#This Row],[Historic abs. Team Member]]</f>
        <v>6.6839378238341975</v>
      </c>
      <c r="M11" s="20">
        <f>+Sprints[[#This Row],[Historic Team Member '#]]*Sprints[[#This Row],[Historic capacity %]]</f>
        <v>6.4333333333333327</v>
      </c>
      <c r="N11" s="17">
        <f>AVERAGEIF(TeamCapacity[Sprint], _xlfn.CONCAT("&gt;=",Sprints[[#This Row],[Sprint]]), TeamCapacity['# Team members])</f>
        <v>5.2352941176470589</v>
      </c>
      <c r="O11" s="10">
        <f>AVERAGEIF(TeamCapacity[Sprint], _xlfn.CONCAT("&gt;=",Sprints[[#This Row],[Sprint]]),TeamCapacity[% Capacity])</f>
        <v>0.83091036414565822</v>
      </c>
      <c r="P11" s="21">
        <f>+Sprints[[#This Row],[Future Team Member '#]]*Sprints[[#This Row],[Future capacity %]]</f>
        <v>4.3500601417037403</v>
      </c>
      <c r="Q11" s="19">
        <f>+Sprints[[#This Row],[Future abs. Team members]]*Sprints[[#This Row],[Historic Points per Person]]</f>
        <v>29.075531517087178</v>
      </c>
    </row>
    <row r="12" spans="1:17" x14ac:dyDescent="0.35">
      <c r="A12" s="5">
        <f t="shared" si="0"/>
        <v>7</v>
      </c>
      <c r="B12" s="4">
        <f>+WORKDAY(B11,Parameters!$A$5)</f>
        <v>44067</v>
      </c>
      <c r="C12" s="19">
        <f>CEILING(Sprints[[#This Row],[Remaining scope]]/Sprints[[#This Row],[Historic avg. velocity]], 1)+Sprints[[#This Row],[Sprint]]</f>
        <v>12</v>
      </c>
      <c r="D12" s="22">
        <f>CEILING(Sprints[[#This Row],[Remaining scope]]/Sprints[[#This Row],[Estimated Future avg. Velocity]], 1)+Sprints[[#This Row],[Sprint]]</f>
        <v>14</v>
      </c>
      <c r="E12" s="5">
        <f>+SUMIF(Table5[Sprint],_xlfn.CONCAT("&lt;=", Sprints[[#This Row],[Sprint]]),Table5[Points])</f>
        <v>474</v>
      </c>
      <c r="F12" s="5">
        <f>+SUMIF(TeamVelocity[Sprint],_xlfn.CONCAT("=", Sprints[[#This Row],[Sprint]]),TeamVelocity[delivered points])</f>
        <v>23</v>
      </c>
      <c r="G12" s="5">
        <f>+SUMIF(Sprints[Sprint], _xlfn.CONCAT("&lt;=",Sprints[[#This Row],[Sprint]]),Sprints[Done in Sprint])</f>
        <v>281</v>
      </c>
      <c r="H12" s="5">
        <f>+Sprints[[#This Row],[In scope]]-Sprints[[#This Row],[Done overall]]</f>
        <v>193</v>
      </c>
      <c r="I12" s="15">
        <f>FLOOR(AVERAGEIF(Sprints[Sprint], _xlfn.CONCAT("&lt;=",Sprints[[#This Row],[Sprint]]), Sprints[Done in Sprint]), 1)</f>
        <v>40</v>
      </c>
      <c r="J12" s="17">
        <f>AVERAGEIF(TeamCapacity[Sprint], _xlfn.CONCAT("&lt;=",Sprints[[#This Row],[Sprint]]), TeamCapacity['# Team members])</f>
        <v>7</v>
      </c>
      <c r="K12" s="18">
        <f>AVERAGEIF(TeamCapacity[Sprint], _xlfn.CONCAT("&lt;=",Sprints[[#This Row],[Sprint]]),TeamCapacity[% Capacity])</f>
        <v>0.85918367346938773</v>
      </c>
      <c r="L12" s="17">
        <f>Sprints[[#This Row],[Historic avg. velocity]]/Sprints[[#This Row],[Historic abs. Team Member]]</f>
        <v>6.6508313539192399</v>
      </c>
      <c r="M12" s="20">
        <f>+Sprints[[#This Row],[Historic Team Member '#]]*Sprints[[#This Row],[Historic capacity %]]</f>
        <v>6.0142857142857142</v>
      </c>
      <c r="N12" s="17">
        <f>AVERAGEIF(TeamCapacity[Sprint], _xlfn.CONCAT("&gt;=",Sprints[[#This Row],[Sprint]]), TeamCapacity['# Team members])</f>
        <v>5.125</v>
      </c>
      <c r="O12" s="10">
        <f>AVERAGEIF(TeamCapacity[Sprint], _xlfn.CONCAT("&gt;=",Sprints[[#This Row],[Sprint]]),TeamCapacity[% Capacity])</f>
        <v>0.83552083333333338</v>
      </c>
      <c r="P12" s="21">
        <f>+Sprints[[#This Row],[Future Team Member '#]]*Sprints[[#This Row],[Future capacity %]]</f>
        <v>4.2820442708333335</v>
      </c>
      <c r="Q12" s="19">
        <f>+Sprints[[#This Row],[Future abs. Team members]]*Sprints[[#This Row],[Historic Points per Person]]</f>
        <v>28.479154295328584</v>
      </c>
    </row>
    <row r="13" spans="1:17" x14ac:dyDescent="0.35">
      <c r="A13" s="5">
        <f t="shared" si="0"/>
        <v>8</v>
      </c>
      <c r="B13" s="4">
        <f>+WORKDAY(B12,Parameters!$A$5)</f>
        <v>44081</v>
      </c>
      <c r="C13" s="19">
        <f>CEILING(Sprints[[#This Row],[Remaining scope]]/Sprints[[#This Row],[Historic avg. velocity]], 1)+Sprints[[#This Row],[Sprint]]</f>
        <v>10</v>
      </c>
      <c r="D13" s="22">
        <f>CEILING(Sprints[[#This Row],[Remaining scope]]/Sprints[[#This Row],[Estimated Future avg. Velocity]], 1)+Sprints[[#This Row],[Sprint]]</f>
        <v>11</v>
      </c>
      <c r="E13" s="5">
        <f>+SUMIF(Table5[Sprint],_xlfn.CONCAT("&lt;=", Sprints[[#This Row],[Sprint]]),Table5[Points])</f>
        <v>384</v>
      </c>
      <c r="F13" s="5">
        <f>+SUMIF(TeamVelocity[Sprint],_xlfn.CONCAT("=", Sprints[[#This Row],[Sprint]]),TeamVelocity[delivered points])</f>
        <v>35</v>
      </c>
      <c r="G13" s="5">
        <f>+SUMIF(Sprints[Sprint], _xlfn.CONCAT("&lt;=",Sprints[[#This Row],[Sprint]]),Sprints[Done in Sprint])</f>
        <v>316</v>
      </c>
      <c r="H13" s="5">
        <f>+Sprints[[#This Row],[In scope]]-Sprints[[#This Row],[Done overall]]</f>
        <v>68</v>
      </c>
      <c r="I13" s="15">
        <f>FLOOR(AVERAGEIF(Sprints[Sprint], _xlfn.CONCAT("&lt;=",Sprints[[#This Row],[Sprint]]), Sprints[Done in Sprint]), 1)</f>
        <v>39</v>
      </c>
      <c r="J13" s="17">
        <f>AVERAGEIF(TeamCapacity[Sprint], _xlfn.CONCAT("&lt;=",Sprints[[#This Row],[Sprint]]), TeamCapacity['# Team members])</f>
        <v>6.875</v>
      </c>
      <c r="K13" s="18">
        <f>AVERAGEIF(TeamCapacity[Sprint], _xlfn.CONCAT("&lt;=",Sprints[[#This Row],[Sprint]]),TeamCapacity[% Capacity])</f>
        <v>0.84970238095238093</v>
      </c>
      <c r="L13" s="17">
        <f>Sprints[[#This Row],[Historic avg. velocity]]/Sprints[[#This Row],[Historic abs. Team Member]]</f>
        <v>6.6761343735074039</v>
      </c>
      <c r="M13" s="20">
        <f>+Sprints[[#This Row],[Historic Team Member '#]]*Sprints[[#This Row],[Historic capacity %]]</f>
        <v>5.8417038690476186</v>
      </c>
      <c r="N13" s="17">
        <f>AVERAGEIF(TeamCapacity[Sprint], _xlfn.CONCAT("&gt;=",Sprints[[#This Row],[Sprint]]), TeamCapacity['# Team members])</f>
        <v>5</v>
      </c>
      <c r="O13" s="10">
        <f>AVERAGEIF(TeamCapacity[Sprint], _xlfn.CONCAT("&gt;=",Sprints[[#This Row],[Sprint]]),TeamCapacity[% Capacity])</f>
        <v>0.85788888888888892</v>
      </c>
      <c r="P13" s="21">
        <f>+Sprints[[#This Row],[Future Team Member '#]]*Sprints[[#This Row],[Future capacity %]]</f>
        <v>4.2894444444444444</v>
      </c>
      <c r="Q13" s="19">
        <f>+Sprints[[#This Row],[Future abs. Team members]]*Sprints[[#This Row],[Historic Points per Person]]</f>
        <v>28.636907498805925</v>
      </c>
    </row>
    <row r="14" spans="1:17" x14ac:dyDescent="0.35">
      <c r="A14" s="5">
        <f t="shared" si="0"/>
        <v>9</v>
      </c>
      <c r="B14" s="4">
        <f>+WORKDAY(B13,Parameters!$A$5)</f>
        <v>44095</v>
      </c>
      <c r="C14" s="19">
        <f>CEILING(Sprints[[#This Row],[Remaining scope]]/Sprints[[#This Row],[Historic avg. velocity]], 1)+Sprints[[#This Row],[Sprint]]</f>
        <v>16</v>
      </c>
      <c r="D14" s="22">
        <f>CEILING(Sprints[[#This Row],[Remaining scope]]/Sprints[[#This Row],[Estimated Future avg. Velocity]], 1)+Sprints[[#This Row],[Sprint]]</f>
        <v>18</v>
      </c>
      <c r="E14" s="5">
        <f>+SUMIF(Table5[Sprint],_xlfn.CONCAT("&lt;=", Sprints[[#This Row],[Sprint]]),Table5[Points])</f>
        <v>584</v>
      </c>
      <c r="F14" s="5">
        <f>+SUMIF(TeamVelocity[Sprint],_xlfn.CONCAT("=", Sprints[[#This Row],[Sprint]]),TeamVelocity[delivered points])</f>
        <v>30</v>
      </c>
      <c r="G14" s="5">
        <f>+SUMIF(Sprints[Sprint], _xlfn.CONCAT("&lt;=",Sprints[[#This Row],[Sprint]]),Sprints[Done in Sprint])</f>
        <v>346</v>
      </c>
      <c r="H14" s="5">
        <f>+Sprints[[#This Row],[In scope]]-Sprints[[#This Row],[Done overall]]</f>
        <v>238</v>
      </c>
      <c r="I14" s="15">
        <f>FLOOR(AVERAGEIF(Sprints[Sprint], _xlfn.CONCAT("&lt;=",Sprints[[#This Row],[Sprint]]), Sprints[Done in Sprint]), 1)</f>
        <v>38</v>
      </c>
      <c r="J14" s="17">
        <f>AVERAGEIF(TeamCapacity[Sprint], _xlfn.CONCAT("&lt;=",Sprints[[#This Row],[Sprint]]), TeamCapacity['# Team members])</f>
        <v>6.7777777777777777</v>
      </c>
      <c r="K14" s="18">
        <f>AVERAGEIF(TeamCapacity[Sprint], _xlfn.CONCAT("&lt;=",Sprints[[#This Row],[Sprint]]),TeamCapacity[% Capacity])</f>
        <v>0.86455026455026451</v>
      </c>
      <c r="L14" s="17">
        <f>Sprints[[#This Row],[Historic avg. velocity]]/Sprints[[#This Row],[Historic abs. Team Member]]</f>
        <v>6.4849409073579869</v>
      </c>
      <c r="M14" s="20">
        <f>+Sprints[[#This Row],[Historic Team Member '#]]*Sprints[[#This Row],[Historic capacity %]]</f>
        <v>5.859729570840682</v>
      </c>
      <c r="N14" s="17">
        <f>AVERAGEIF(TeamCapacity[Sprint], _xlfn.CONCAT("&gt;=",Sprints[[#This Row],[Sprint]]), TeamCapacity['# Team members])</f>
        <v>4.9285714285714288</v>
      </c>
      <c r="O14" s="10">
        <f>AVERAGEIF(TeamCapacity[Sprint], _xlfn.CONCAT("&gt;=",Sprints[[#This Row],[Sprint]]),TeamCapacity[% Capacity])</f>
        <v>0.8632142857142856</v>
      </c>
      <c r="P14" s="21">
        <f>+Sprints[[#This Row],[Future Team Member '#]]*Sprints[[#This Row],[Future capacity %]]</f>
        <v>4.2544132653061224</v>
      </c>
      <c r="Q14" s="19">
        <f>+Sprints[[#This Row],[Future abs. Team members]]*Sprints[[#This Row],[Historic Points per Person]]</f>
        <v>27.589618620990141</v>
      </c>
    </row>
    <row r="15" spans="1:17" x14ac:dyDescent="0.35">
      <c r="A15" s="5">
        <f t="shared" si="0"/>
        <v>10</v>
      </c>
      <c r="B15" s="4">
        <f>+WORKDAY(B14,Parameters!$A$5)</f>
        <v>44109</v>
      </c>
      <c r="C15" s="19">
        <f>CEILING(Sprints[[#This Row],[Remaining scope]]/Sprints[[#This Row],[Historic avg. velocity]], 1)+Sprints[[#This Row],[Sprint]]</f>
        <v>14</v>
      </c>
      <c r="D15" s="22">
        <f>CEILING(Sprints[[#This Row],[Remaining scope]]/Sprints[[#This Row],[Estimated Future avg. Velocity]], 1)+Sprints[[#This Row],[Sprint]]</f>
        <v>16</v>
      </c>
      <c r="E15" s="5">
        <f>+SUMIF(Table5[Sprint],_xlfn.CONCAT("&lt;=", Sprints[[#This Row],[Sprint]]),Table5[Points])</f>
        <v>529</v>
      </c>
      <c r="F15" s="5">
        <f>+SUMIF(TeamVelocity[Sprint],_xlfn.CONCAT("=", Sprints[[#This Row],[Sprint]]),TeamVelocity[delivered points])</f>
        <v>42</v>
      </c>
      <c r="G15" s="5">
        <f>+SUMIF(Sprints[Sprint], _xlfn.CONCAT("&lt;=",Sprints[[#This Row],[Sprint]]),Sprints[Done in Sprint])</f>
        <v>388</v>
      </c>
      <c r="H15" s="5">
        <f>+Sprints[[#This Row],[In scope]]-Sprints[[#This Row],[Done overall]]</f>
        <v>141</v>
      </c>
      <c r="I15" s="15">
        <f>FLOOR(AVERAGEIF(Sprints[Sprint], _xlfn.CONCAT("&lt;=",Sprints[[#This Row],[Sprint]]), Sprints[Done in Sprint]), 1)</f>
        <v>38</v>
      </c>
      <c r="J15" s="17">
        <f>AVERAGEIF(TeamCapacity[Sprint], _xlfn.CONCAT("&lt;=",Sprints[[#This Row],[Sprint]]), TeamCapacity['# Team members])</f>
        <v>6.7</v>
      </c>
      <c r="K15" s="18">
        <f>AVERAGEIF(TeamCapacity[Sprint], _xlfn.CONCAT("&lt;=",Sprints[[#This Row],[Sprint]]),TeamCapacity[% Capacity])</f>
        <v>0.87309523809523815</v>
      </c>
      <c r="L15" s="17">
        <f>Sprints[[#This Row],[Historic avg. velocity]]/Sprints[[#This Row],[Historic abs. Team Member]]</f>
        <v>6.4960173227128601</v>
      </c>
      <c r="M15" s="20">
        <f>+Sprints[[#This Row],[Historic Team Member '#]]*Sprints[[#This Row],[Historic capacity %]]</f>
        <v>5.849738095238096</v>
      </c>
      <c r="N15" s="17">
        <f>AVERAGEIF(TeamCapacity[Sprint], _xlfn.CONCAT("&gt;=",Sprints[[#This Row],[Sprint]]), TeamCapacity['# Team members])</f>
        <v>4.8461538461538458</v>
      </c>
      <c r="O15" s="10">
        <f>AVERAGEIF(TeamCapacity[Sprint], _xlfn.CONCAT("&gt;=",Sprints[[#This Row],[Sprint]]),TeamCapacity[% Capacity])</f>
        <v>0.85397435897435892</v>
      </c>
      <c r="P15" s="21">
        <f>+Sprints[[#This Row],[Future Team Member '#]]*Sprints[[#This Row],[Future capacity %]]</f>
        <v>4.1384911242603541</v>
      </c>
      <c r="Q15" s="19">
        <f>+Sprints[[#This Row],[Future abs. Team members]]*Sprints[[#This Row],[Historic Points per Person]]</f>
        <v>26.883710033088679</v>
      </c>
    </row>
    <row r="16" spans="1:17" x14ac:dyDescent="0.35">
      <c r="A16" s="5">
        <f t="shared" si="0"/>
        <v>11</v>
      </c>
      <c r="B16" s="4">
        <f>+WORKDAY(B15,Parameters!$A$5)</f>
        <v>44123</v>
      </c>
      <c r="C16" s="19">
        <f>CEILING(Sprints[[#This Row],[Remaining scope]]/Sprints[[#This Row],[Historic avg. velocity]], 1)+Sprints[[#This Row],[Sprint]]</f>
        <v>14</v>
      </c>
      <c r="D16" s="22">
        <f>CEILING(Sprints[[#This Row],[Remaining scope]]/Sprints[[#This Row],[Estimated Future avg. Velocity]], 1)+Sprints[[#This Row],[Sprint]]</f>
        <v>15</v>
      </c>
      <c r="E16" s="5">
        <f>+SUMIF(Table5[Sprint],_xlfn.CONCAT("&lt;=", Sprints[[#This Row],[Sprint]]),Table5[Points])</f>
        <v>529</v>
      </c>
      <c r="F16" s="5">
        <f>+SUMIF(TeamVelocity[Sprint],_xlfn.CONCAT("=", Sprints[[#This Row],[Sprint]]),TeamVelocity[delivered points])</f>
        <v>40</v>
      </c>
      <c r="G16" s="5">
        <f>+SUMIF(Sprints[Sprint], _xlfn.CONCAT("&lt;=",Sprints[[#This Row],[Sprint]]),Sprints[Done in Sprint])</f>
        <v>428</v>
      </c>
      <c r="H16" s="5">
        <f>+Sprints[[#This Row],[In scope]]-Sprints[[#This Row],[Done overall]]</f>
        <v>101</v>
      </c>
      <c r="I16" s="15">
        <f>FLOOR(AVERAGEIF(Sprints[Sprint], _xlfn.CONCAT("&lt;=",Sprints[[#This Row],[Sprint]]), Sprints[Done in Sprint]), 1)</f>
        <v>38</v>
      </c>
      <c r="J16" s="17">
        <f>AVERAGEIF(TeamCapacity[Sprint], _xlfn.CONCAT("&lt;=",Sprints[[#This Row],[Sprint]]), TeamCapacity['# Team members])</f>
        <v>6.6363636363636367</v>
      </c>
      <c r="K16" s="18">
        <f>AVERAGEIF(TeamCapacity[Sprint], _xlfn.CONCAT("&lt;=",Sprints[[#This Row],[Sprint]]),TeamCapacity[% Capacity])</f>
        <v>0.87251082251082257</v>
      </c>
      <c r="L16" s="17">
        <f>Sprints[[#This Row],[Historic avg. velocity]]/Sprints[[#This Row],[Historic abs. Team Member]]</f>
        <v>6.5627007133074828</v>
      </c>
      <c r="M16" s="20">
        <f>+Sprints[[#This Row],[Historic Team Member '#]]*Sprints[[#This Row],[Historic capacity %]]</f>
        <v>5.7902990948445501</v>
      </c>
      <c r="N16" s="17">
        <f>AVERAGEIF(TeamCapacity[Sprint], _xlfn.CONCAT("&gt;=",Sprints[[#This Row],[Sprint]]), TeamCapacity['# Team members])</f>
        <v>4.75</v>
      </c>
      <c r="O16" s="10">
        <f>AVERAGEIF(TeamCapacity[Sprint], _xlfn.CONCAT("&gt;=",Sprints[[#This Row],[Sprint]]),TeamCapacity[% Capacity])</f>
        <v>0.84597222222222213</v>
      </c>
      <c r="P16" s="21">
        <f>+Sprints[[#This Row],[Future Team Member '#]]*Sprints[[#This Row],[Future capacity %]]</f>
        <v>4.0183680555555554</v>
      </c>
      <c r="Q16" s="19">
        <f>+Sprints[[#This Row],[Future abs. Team members]]*Sprints[[#This Row],[Historic Points per Person]]</f>
        <v>26.371346904526447</v>
      </c>
    </row>
    <row r="17" spans="1:17" x14ac:dyDescent="0.35">
      <c r="A17" s="5">
        <f t="shared" si="0"/>
        <v>12</v>
      </c>
      <c r="B17" s="4">
        <f>+WORKDAY(B16,Parameters!$A$5)</f>
        <v>44137</v>
      </c>
      <c r="C17" s="19">
        <f>CEILING(Sprints[[#This Row],[Remaining scope]]/Sprints[[#This Row],[Historic avg. velocity]], 1)+Sprints[[#This Row],[Sprint]]</f>
        <v>20</v>
      </c>
      <c r="D17" s="22">
        <f>CEILING(Sprints[[#This Row],[Remaining scope]]/Sprints[[#This Row],[Estimated Future avg. Velocity]], 1)+Sprints[[#This Row],[Sprint]]</f>
        <v>23</v>
      </c>
      <c r="E17" s="5">
        <f>+SUMIF(Table5[Sprint],_xlfn.CONCAT("&lt;=", Sprints[[#This Row],[Sprint]]),Table5[Points])</f>
        <v>716</v>
      </c>
      <c r="F17" s="5">
        <f>+SUMIF(TeamVelocity[Sprint],_xlfn.CONCAT("=", Sprints[[#This Row],[Sprint]]),TeamVelocity[delivered points])</f>
        <v>26</v>
      </c>
      <c r="G17" s="5">
        <f>+SUMIF(Sprints[Sprint], _xlfn.CONCAT("&lt;=",Sprints[[#This Row],[Sprint]]),Sprints[Done in Sprint])</f>
        <v>454</v>
      </c>
      <c r="H17" s="5">
        <f>+Sprints[[#This Row],[In scope]]-Sprints[[#This Row],[Done overall]]</f>
        <v>262</v>
      </c>
      <c r="I17" s="15">
        <f>FLOOR(AVERAGEIF(Sprints[Sprint], _xlfn.CONCAT("&lt;=",Sprints[[#This Row],[Sprint]]), Sprints[Done in Sprint]), 1)</f>
        <v>37</v>
      </c>
      <c r="J17" s="17">
        <f>AVERAGEIF(TeamCapacity[Sprint], _xlfn.CONCAT("&lt;=",Sprints[[#This Row],[Sprint]]), TeamCapacity['# Team members])</f>
        <v>6.5</v>
      </c>
      <c r="K17" s="18">
        <f>AVERAGEIF(TeamCapacity[Sprint], _xlfn.CONCAT("&lt;=",Sprints[[#This Row],[Sprint]]),TeamCapacity[% Capacity])</f>
        <v>0.86646825396825411</v>
      </c>
      <c r="L17" s="17">
        <f>Sprints[[#This Row],[Historic avg. velocity]]/Sprints[[#This Row],[Historic abs. Team Member]]</f>
        <v>6.5695513554455616</v>
      </c>
      <c r="M17" s="20">
        <f>+Sprints[[#This Row],[Historic Team Member '#]]*Sprints[[#This Row],[Historic capacity %]]</f>
        <v>5.6320436507936513</v>
      </c>
      <c r="N17" s="17">
        <f>AVERAGEIF(TeamCapacity[Sprint], _xlfn.CONCAT("&gt;=",Sprints[[#This Row],[Sprint]]), TeamCapacity['# Team members])</f>
        <v>4.6363636363636367</v>
      </c>
      <c r="O17" s="10">
        <f>AVERAGEIF(TeamCapacity[Sprint], _xlfn.CONCAT("&gt;=",Sprints[[#This Row],[Sprint]]),TeamCapacity[% Capacity])</f>
        <v>0.84409090909090889</v>
      </c>
      <c r="P17" s="21">
        <f>+Sprints[[#This Row],[Future Team Member '#]]*Sprints[[#This Row],[Future capacity %]]</f>
        <v>3.9135123966942142</v>
      </c>
      <c r="Q17" s="19">
        <f>+Sprints[[#This Row],[Future abs. Team members]]*Sprints[[#This Row],[Historic Points per Person]]</f>
        <v>25.710020670255485</v>
      </c>
    </row>
    <row r="18" spans="1:17" x14ac:dyDescent="0.35">
      <c r="A18" s="5">
        <f t="shared" si="0"/>
        <v>13</v>
      </c>
      <c r="B18" s="4">
        <f>+WORKDAY(B17,Parameters!$A$5)</f>
        <v>44151</v>
      </c>
      <c r="C18" s="19">
        <f>CEILING(Sprints[[#This Row],[Remaining scope]]/Sprints[[#This Row],[Historic avg. velocity]], 1)+Sprints[[#This Row],[Sprint]]</f>
        <v>19</v>
      </c>
      <c r="D18" s="22">
        <f>CEILING(Sprints[[#This Row],[Remaining scope]]/Sprints[[#This Row],[Estimated Future avg. Velocity]], 1)+Sprints[[#This Row],[Sprint]]</f>
        <v>22</v>
      </c>
      <c r="E18" s="5">
        <f>+SUMIF(Table5[Sprint],_xlfn.CONCAT("&lt;=", Sprints[[#This Row],[Sprint]]),Table5[Points])</f>
        <v>704</v>
      </c>
      <c r="F18" s="5">
        <f>+SUMIF(TeamVelocity[Sprint],_xlfn.CONCAT("=", Sprints[[#This Row],[Sprint]]),TeamVelocity[delivered points])</f>
        <v>32</v>
      </c>
      <c r="G18" s="5">
        <f>+SUMIF(Sprints[Sprint], _xlfn.CONCAT("&lt;=",Sprints[[#This Row],[Sprint]]),Sprints[Done in Sprint])</f>
        <v>486</v>
      </c>
      <c r="H18" s="5">
        <f>+Sprints[[#This Row],[In scope]]-Sprints[[#This Row],[Done overall]]</f>
        <v>218</v>
      </c>
      <c r="I18" s="15">
        <f>FLOOR(AVERAGEIF(Sprints[Sprint], _xlfn.CONCAT("&lt;=",Sprints[[#This Row],[Sprint]]), Sprints[Done in Sprint]), 1)</f>
        <v>37</v>
      </c>
      <c r="J18" s="17">
        <f>AVERAGEIF(TeamCapacity[Sprint], _xlfn.CONCAT("&lt;=",Sprints[[#This Row],[Sprint]]), TeamCapacity['# Team members])</f>
        <v>6.384615384615385</v>
      </c>
      <c r="K18" s="18">
        <f>AVERAGEIF(TeamCapacity[Sprint], _xlfn.CONCAT("&lt;=",Sprints[[#This Row],[Sprint]]),TeamCapacity[% Capacity])</f>
        <v>0.87673992673992684</v>
      </c>
      <c r="L18" s="17">
        <f>Sprints[[#This Row],[Historic avg. velocity]]/Sprints[[#This Row],[Historic abs. Team Member]]</f>
        <v>6.6099199387900454</v>
      </c>
      <c r="M18" s="20">
        <f>+Sprints[[#This Row],[Historic Team Member '#]]*Sprints[[#This Row],[Historic capacity %]]</f>
        <v>5.5976472245703022</v>
      </c>
      <c r="N18" s="17">
        <f>AVERAGEIF(TeamCapacity[Sprint], _xlfn.CONCAT("&gt;=",Sprints[[#This Row],[Sprint]]), TeamCapacity['# Team members])</f>
        <v>4.5999999999999996</v>
      </c>
      <c r="O18" s="10">
        <f>AVERAGEIF(TeamCapacity[Sprint], _xlfn.CONCAT("&gt;=",Sprints[[#This Row],[Sprint]]),TeamCapacity[% Capacity])</f>
        <v>0.84849999999999992</v>
      </c>
      <c r="P18" s="21">
        <f>+Sprints[[#This Row],[Future Team Member '#]]*Sprints[[#This Row],[Future capacity %]]</f>
        <v>3.9030999999999993</v>
      </c>
      <c r="Q18" s="19">
        <f>+Sprints[[#This Row],[Future abs. Team members]]*Sprints[[#This Row],[Historic Points per Person]]</f>
        <v>25.799178513091423</v>
      </c>
    </row>
    <row r="19" spans="1:17" x14ac:dyDescent="0.35">
      <c r="A19" s="5">
        <f t="shared" si="0"/>
        <v>14</v>
      </c>
      <c r="B19" s="4">
        <f>+WORKDAY(B18,Parameters!$A$5)</f>
        <v>44165</v>
      </c>
      <c r="C19" s="19">
        <f>CEILING(Sprints[[#This Row],[Remaining scope]]/Sprints[[#This Row],[Historic avg. velocity]], 1)+Sprints[[#This Row],[Sprint]]</f>
        <v>20</v>
      </c>
      <c r="D19" s="22">
        <f>CEILING(Sprints[[#This Row],[Remaining scope]]/Sprints[[#This Row],[Estimated Future avg. Velocity]], 1)+Sprints[[#This Row],[Sprint]]</f>
        <v>23</v>
      </c>
      <c r="E19" s="5">
        <f>+SUMIF(Table5[Sprint],_xlfn.CONCAT("&lt;=", Sprints[[#This Row],[Sprint]]),Table5[Points])</f>
        <v>704</v>
      </c>
      <c r="F19" s="5">
        <f>+SUMIF(TeamVelocity[Sprint],_xlfn.CONCAT("=", Sprints[[#This Row],[Sprint]]),TeamVelocity[delivered points])</f>
        <v>16</v>
      </c>
      <c r="G19" s="5">
        <f>+SUMIF(Sprints[Sprint], _xlfn.CONCAT("&lt;=",Sprints[[#This Row],[Sprint]]),Sprints[Done in Sprint])</f>
        <v>502</v>
      </c>
      <c r="H19" s="5">
        <f>+Sprints[[#This Row],[In scope]]-Sprints[[#This Row],[Done overall]]</f>
        <v>202</v>
      </c>
      <c r="I19" s="15">
        <f>FLOOR(AVERAGEIF(Sprints[Sprint], _xlfn.CONCAT("&lt;=",Sprints[[#This Row],[Sprint]]), Sprints[Done in Sprint]), 1)</f>
        <v>35</v>
      </c>
      <c r="J19" s="17">
        <f>AVERAGEIF(TeamCapacity[Sprint], _xlfn.CONCAT("&lt;=",Sprints[[#This Row],[Sprint]]), TeamCapacity['# Team members])</f>
        <v>6.2857142857142856</v>
      </c>
      <c r="K19" s="18">
        <f>AVERAGEIF(TeamCapacity[Sprint], _xlfn.CONCAT("&lt;=",Sprints[[#This Row],[Sprint]]),TeamCapacity[% Capacity])</f>
        <v>0.85982993197278923</v>
      </c>
      <c r="L19" s="17">
        <f>Sprints[[#This Row],[Historic avg. velocity]]/Sprints[[#This Row],[Historic abs. Team Member]]</f>
        <v>6.4759106552690149</v>
      </c>
      <c r="M19" s="20">
        <f>+Sprints[[#This Row],[Historic Team Member '#]]*Sprints[[#This Row],[Historic capacity %]]</f>
        <v>5.4046452866861037</v>
      </c>
      <c r="N19" s="17">
        <f>AVERAGEIF(TeamCapacity[Sprint], _xlfn.CONCAT("&gt;=",Sprints[[#This Row],[Sprint]]), TeamCapacity['# Team members])</f>
        <v>4.5555555555555554</v>
      </c>
      <c r="O19" s="10">
        <f>AVERAGEIF(TeamCapacity[Sprint], _xlfn.CONCAT("&gt;=",Sprints[[#This Row],[Sprint]]),TeamCapacity[% Capacity])</f>
        <v>0.83166666666666655</v>
      </c>
      <c r="P19" s="21">
        <f>+Sprints[[#This Row],[Future Team Member '#]]*Sprints[[#This Row],[Future capacity %]]</f>
        <v>3.7887037037037032</v>
      </c>
      <c r="Q19" s="19">
        <f>+Sprints[[#This Row],[Future abs. Team members]]*Sprints[[#This Row],[Historic Points per Person]]</f>
        <v>24.535306684471994</v>
      </c>
    </row>
    <row r="20" spans="1:17" x14ac:dyDescent="0.35">
      <c r="A20" s="5">
        <f t="shared" si="0"/>
        <v>15</v>
      </c>
      <c r="B20" s="4">
        <f>+WORKDAY(B19,Parameters!$A$5)</f>
        <v>44179</v>
      </c>
      <c r="C20" s="19">
        <f>CEILING(Sprints[[#This Row],[Remaining scope]]/Sprints[[#This Row],[Historic avg. velocity]], 1)+Sprints[[#This Row],[Sprint]]</f>
        <v>21</v>
      </c>
      <c r="D20" s="22">
        <f>CEILING(Sprints[[#This Row],[Remaining scope]]/Sprints[[#This Row],[Estimated Future avg. Velocity]], 1)+Sprints[[#This Row],[Sprint]]</f>
        <v>22</v>
      </c>
      <c r="E20" s="5">
        <f>+SUMIF(Table5[Sprint],_xlfn.CONCAT("&lt;=", Sprints[[#This Row],[Sprint]]),Table5[Points])</f>
        <v>704</v>
      </c>
      <c r="F20" s="5">
        <f>+SUMIF(TeamVelocity[Sprint],_xlfn.CONCAT("=", Sprints[[#This Row],[Sprint]]),TeamVelocity[delivered points])</f>
        <v>24</v>
      </c>
      <c r="G20" s="5">
        <f>+SUMIF(Sprints[Sprint], _xlfn.CONCAT("&lt;=",Sprints[[#This Row],[Sprint]]),Sprints[Done in Sprint])</f>
        <v>526</v>
      </c>
      <c r="H20" s="5">
        <f>+Sprints[[#This Row],[In scope]]-Sprints[[#This Row],[Done overall]]</f>
        <v>178</v>
      </c>
      <c r="I20" s="15">
        <f>FLOOR(AVERAGEIF(Sprints[Sprint], _xlfn.CONCAT("&lt;=",Sprints[[#This Row],[Sprint]]), Sprints[Done in Sprint]), 1)</f>
        <v>35</v>
      </c>
      <c r="J20" s="17">
        <f>AVERAGEIF(TeamCapacity[Sprint], _xlfn.CONCAT("&lt;=",Sprints[[#This Row],[Sprint]]), TeamCapacity['# Team members])</f>
        <v>6.1333333333333337</v>
      </c>
      <c r="K20" s="18">
        <f>AVERAGEIF(TeamCapacity[Sprint], _xlfn.CONCAT("&lt;=",Sprints[[#This Row],[Sprint]]),TeamCapacity[% Capacity])</f>
        <v>0.86084126984126996</v>
      </c>
      <c r="L20" s="17">
        <f>Sprints[[#This Row],[Historic avg. velocity]]/Sprints[[#This Row],[Historic abs. Team Member]]</f>
        <v>6.6290057633768606</v>
      </c>
      <c r="M20" s="20">
        <f>+Sprints[[#This Row],[Historic Team Member '#]]*Sprints[[#This Row],[Historic capacity %]]</f>
        <v>5.2798264550264564</v>
      </c>
      <c r="N20" s="17">
        <f>AVERAGEIF(TeamCapacity[Sprint], _xlfn.CONCAT("&gt;=",Sprints[[#This Row],[Sprint]]), TeamCapacity['# Team members])</f>
        <v>4.5</v>
      </c>
      <c r="O20" s="10">
        <f>AVERAGEIF(TeamCapacity[Sprint], _xlfn.CONCAT("&gt;=",Sprints[[#This Row],[Sprint]]),TeamCapacity[% Capacity])</f>
        <v>0.85562499999999986</v>
      </c>
      <c r="P20" s="21">
        <f>+Sprints[[#This Row],[Future Team Member '#]]*Sprints[[#This Row],[Future capacity %]]</f>
        <v>3.8503124999999994</v>
      </c>
      <c r="Q20" s="19">
        <f>+Sprints[[#This Row],[Future abs. Team members]]*Sprints[[#This Row],[Historic Points per Person]]</f>
        <v>25.523743753301964</v>
      </c>
    </row>
    <row r="21" spans="1:17" x14ac:dyDescent="0.35">
      <c r="A21" s="5">
        <f t="shared" si="0"/>
        <v>16</v>
      </c>
      <c r="B21" s="4">
        <f>+WORKDAY(B20,Parameters!$A$5)</f>
        <v>44193</v>
      </c>
      <c r="C21" s="19">
        <f>CEILING(Sprints[[#This Row],[Remaining scope]]/Sprints[[#This Row],[Historic avg. velocity]], 1)+Sprints[[#This Row],[Sprint]]</f>
        <v>21</v>
      </c>
      <c r="D21" s="22">
        <f>CEILING(Sprints[[#This Row],[Remaining scope]]/Sprints[[#This Row],[Estimated Future avg. Velocity]], 1)+Sprints[[#This Row],[Sprint]]</f>
        <v>23</v>
      </c>
      <c r="E21" s="5">
        <f>+SUMIF(Table5[Sprint],_xlfn.CONCAT("&lt;=", Sprints[[#This Row],[Sprint]]),Table5[Points])</f>
        <v>704</v>
      </c>
      <c r="F21" s="5">
        <f>+SUMIF(TeamVelocity[Sprint],_xlfn.CONCAT("=", Sprints[[#This Row],[Sprint]]),TeamVelocity[delivered points])</f>
        <v>20</v>
      </c>
      <c r="G21" s="5">
        <f>+SUMIF(Sprints[Sprint], _xlfn.CONCAT("&lt;=",Sprints[[#This Row],[Sprint]]),Sprints[Done in Sprint])</f>
        <v>546</v>
      </c>
      <c r="H21" s="5">
        <f>+Sprints[[#This Row],[In scope]]-Sprints[[#This Row],[Done overall]]</f>
        <v>158</v>
      </c>
      <c r="I21" s="15">
        <f>FLOOR(AVERAGEIF(Sprints[Sprint], _xlfn.CONCAT("&lt;=",Sprints[[#This Row],[Sprint]]), Sprints[Done in Sprint]), 1)</f>
        <v>34</v>
      </c>
      <c r="J21" s="17">
        <f>AVERAGEIF(TeamCapacity[Sprint], _xlfn.CONCAT("&lt;=",Sprints[[#This Row],[Sprint]]), TeamCapacity['# Team members])</f>
        <v>6</v>
      </c>
      <c r="K21" s="18">
        <f>AVERAGEIF(TeamCapacity[Sprint], _xlfn.CONCAT("&lt;=",Sprints[[#This Row],[Sprint]]),TeamCapacity[% Capacity])</f>
        <v>0.85391369047619059</v>
      </c>
      <c r="L21" s="17">
        <f>Sprints[[#This Row],[Historic avg. velocity]]/Sprints[[#This Row],[Historic abs. Team Member]]</f>
        <v>6.6361117404109216</v>
      </c>
      <c r="M21" s="20">
        <f>+Sprints[[#This Row],[Historic Team Member '#]]*Sprints[[#This Row],[Historic capacity %]]</f>
        <v>5.123482142857144</v>
      </c>
      <c r="N21" s="17">
        <f>AVERAGEIF(TeamCapacity[Sprint], _xlfn.CONCAT("&gt;=",Sprints[[#This Row],[Sprint]]), TeamCapacity['# Team members])</f>
        <v>4.5714285714285712</v>
      </c>
      <c r="O21" s="10">
        <f>AVERAGEIF(TeamCapacity[Sprint], _xlfn.CONCAT("&gt;=",Sprints[[#This Row],[Sprint]]),TeamCapacity[% Capacity])</f>
        <v>0.85285714285714265</v>
      </c>
      <c r="P21" s="21">
        <f>+Sprints[[#This Row],[Future Team Member '#]]*Sprints[[#This Row],[Future capacity %]]</f>
        <v>3.8987755102040804</v>
      </c>
      <c r="Q21" s="19">
        <f>+Sprints[[#This Row],[Future abs. Team members]]*Sprints[[#This Row],[Historic Points per Person]]</f>
        <v>25.87270993649188</v>
      </c>
    </row>
    <row r="22" spans="1:17" x14ac:dyDescent="0.35">
      <c r="A22" s="5">
        <f t="shared" si="0"/>
        <v>17</v>
      </c>
      <c r="B22" s="4">
        <f>+WORKDAY(B21,Parameters!$A$5)</f>
        <v>44207</v>
      </c>
      <c r="C22" s="19">
        <f>CEILING(Sprints[[#This Row],[Remaining scope]]/Sprints[[#This Row],[Historic avg. velocity]], 1)+Sprints[[#This Row],[Sprint]]</f>
        <v>20</v>
      </c>
      <c r="D22" s="22">
        <f>CEILING(Sprints[[#This Row],[Remaining scope]]/Sprints[[#This Row],[Estimated Future avg. Velocity]], 1)+Sprints[[#This Row],[Sprint]]</f>
        <v>20</v>
      </c>
      <c r="E22" s="5">
        <f>+SUMIF(Table5[Sprint],_xlfn.CONCAT("&lt;=", Sprints[[#This Row],[Sprint]]),Table5[Points])</f>
        <v>639</v>
      </c>
      <c r="F22" s="5">
        <f>+SUMIF(TeamVelocity[Sprint],_xlfn.CONCAT("=", Sprints[[#This Row],[Sprint]]),TeamVelocity[delivered points])</f>
        <v>26</v>
      </c>
      <c r="G22" s="5">
        <f>+SUMIF(Sprints[Sprint], _xlfn.CONCAT("&lt;=",Sprints[[#This Row],[Sprint]]),Sprints[Done in Sprint])</f>
        <v>572</v>
      </c>
      <c r="H22" s="5">
        <f>+Sprints[[#This Row],[In scope]]-Sprints[[#This Row],[Done overall]]</f>
        <v>67</v>
      </c>
      <c r="I22" s="15">
        <f>FLOOR(AVERAGEIF(Sprints[Sprint], _xlfn.CONCAT("&lt;=",Sprints[[#This Row],[Sprint]]), Sprints[Done in Sprint]), 1)</f>
        <v>33</v>
      </c>
      <c r="J22" s="17">
        <f>AVERAGEIF(TeamCapacity[Sprint], _xlfn.CONCAT("&lt;=",Sprints[[#This Row],[Sprint]]), TeamCapacity['# Team members])</f>
        <v>5.9411764705882355</v>
      </c>
      <c r="K22" s="18">
        <f>AVERAGEIF(TeamCapacity[Sprint], _xlfn.CONCAT("&lt;=",Sprints[[#This Row],[Sprint]]),TeamCapacity[% Capacity])</f>
        <v>0.8554481792717088</v>
      </c>
      <c r="L22" s="17">
        <f>Sprints[[#This Row],[Historic avg. velocity]]/Sprints[[#This Row],[Historic abs. Team Member]]</f>
        <v>6.4930355574236822</v>
      </c>
      <c r="M22" s="20">
        <f>+Sprints[[#This Row],[Historic Team Member '#]]*Sprints[[#This Row],[Historic capacity %]]</f>
        <v>5.0823685944966233</v>
      </c>
      <c r="N22" s="17">
        <f>AVERAGEIF(TeamCapacity[Sprint], _xlfn.CONCAT("&gt;=",Sprints[[#This Row],[Sprint]]), TeamCapacity['# Team members])</f>
        <v>4.666666666666667</v>
      </c>
      <c r="O22" s="10">
        <f>AVERAGEIF(TeamCapacity[Sprint], _xlfn.CONCAT("&gt;=",Sprints[[#This Row],[Sprint]]),TeamCapacity[% Capacity])</f>
        <v>0.87</v>
      </c>
      <c r="P22" s="21">
        <f>+Sprints[[#This Row],[Future Team Member '#]]*Sprints[[#This Row],[Future capacity %]]</f>
        <v>4.0600000000000005</v>
      </c>
      <c r="Q22" s="19">
        <f>+Sprints[[#This Row],[Future abs. Team members]]*Sprints[[#This Row],[Historic Points per Person]]</f>
        <v>26.361724363140151</v>
      </c>
    </row>
    <row r="23" spans="1:17" x14ac:dyDescent="0.35">
      <c r="A23" s="5">
        <f t="shared" si="0"/>
        <v>18</v>
      </c>
      <c r="B23" s="4">
        <f>+WORKDAY(B22,Parameters!$A$5)</f>
        <v>44221</v>
      </c>
      <c r="C23" s="19">
        <f>CEILING(Sprints[[#This Row],[Remaining scope]]/Sprints[[#This Row],[Historic avg. velocity]], 1)+Sprints[[#This Row],[Sprint]]</f>
        <v>20</v>
      </c>
      <c r="D23" s="22">
        <f>CEILING(Sprints[[#This Row],[Remaining scope]]/Sprints[[#This Row],[Estimated Future avg. Velocity]], 1)+Sprints[[#This Row],[Sprint]]</f>
        <v>20</v>
      </c>
      <c r="E23" s="5">
        <f>+SUMIF(Table5[Sprint],_xlfn.CONCAT("&lt;=", Sprints[[#This Row],[Sprint]]),Table5[Points])</f>
        <v>639</v>
      </c>
      <c r="F23" s="5">
        <f>+SUMIF(TeamVelocity[Sprint],_xlfn.CONCAT("=", Sprints[[#This Row],[Sprint]]),TeamVelocity[delivered points])</f>
        <v>26</v>
      </c>
      <c r="G23" s="5">
        <f>+SUMIF(Sprints[Sprint], _xlfn.CONCAT("&lt;=",Sprints[[#This Row],[Sprint]]),Sprints[Done in Sprint])</f>
        <v>598</v>
      </c>
      <c r="H23" s="5">
        <f>+Sprints[[#This Row],[In scope]]-Sprints[[#This Row],[Done overall]]</f>
        <v>41</v>
      </c>
      <c r="I23" s="15">
        <f>FLOOR(AVERAGEIF(Sprints[Sprint], _xlfn.CONCAT("&lt;=",Sprints[[#This Row],[Sprint]]), Sprints[Done in Sprint]), 1)</f>
        <v>33</v>
      </c>
      <c r="J23" s="17">
        <f>AVERAGEIF(TeamCapacity[Sprint], _xlfn.CONCAT("&lt;=",Sprints[[#This Row],[Sprint]]), TeamCapacity['# Team members])</f>
        <v>5.8888888888888893</v>
      </c>
      <c r="K23" s="18">
        <f>AVERAGEIF(TeamCapacity[Sprint], _xlfn.CONCAT("&lt;=",Sprints[[#This Row],[Sprint]]),TeamCapacity[% Capacity])</f>
        <v>0.86236772486772506</v>
      </c>
      <c r="L23" s="17">
        <f>Sprints[[#This Row],[Historic avg. velocity]]/Sprints[[#This Row],[Historic abs. Team Member]]</f>
        <v>6.4981253626638207</v>
      </c>
      <c r="M23" s="20">
        <f>+Sprints[[#This Row],[Historic Team Member '#]]*Sprints[[#This Row],[Historic capacity %]]</f>
        <v>5.0783877131099366</v>
      </c>
      <c r="N23" s="17">
        <f>AVERAGEIF(TeamCapacity[Sprint], _xlfn.CONCAT("&gt;=",Sprints[[#This Row],[Sprint]]), TeamCapacity['# Team members])</f>
        <v>4.5999999999999996</v>
      </c>
      <c r="O23" s="10">
        <f>AVERAGEIF(TeamCapacity[Sprint], _xlfn.CONCAT("&gt;=",Sprints[[#This Row],[Sprint]]),TeamCapacity[% Capacity])</f>
        <v>0.86799999999999999</v>
      </c>
      <c r="P23" s="21">
        <f>+Sprints[[#This Row],[Future Team Member '#]]*Sprints[[#This Row],[Future capacity %]]</f>
        <v>3.9927999999999995</v>
      </c>
      <c r="Q23" s="19">
        <f>+Sprints[[#This Row],[Future abs. Team members]]*Sprints[[#This Row],[Historic Points per Person]]</f>
        <v>25.945714948044099</v>
      </c>
    </row>
    <row r="24" spans="1:17" x14ac:dyDescent="0.35">
      <c r="A24" s="5">
        <f t="shared" si="0"/>
        <v>19</v>
      </c>
      <c r="B24" s="4">
        <f>+WORKDAY(B23,Parameters!$A$5)</f>
        <v>44235</v>
      </c>
      <c r="C24" s="19">
        <f>CEILING(Sprints[[#This Row],[Remaining scope]]/Sprints[[#This Row],[Historic avg. velocity]], 1)+Sprints[[#This Row],[Sprint]]</f>
        <v>22</v>
      </c>
      <c r="D24" s="22">
        <f>CEILING(Sprints[[#This Row],[Remaining scope]]/Sprints[[#This Row],[Estimated Future avg. Velocity]], 1)+Sprints[[#This Row],[Sprint]]</f>
        <v>23</v>
      </c>
      <c r="E24" s="5">
        <f>+SUMIF(Table5[Sprint],_xlfn.CONCAT("&lt;=", Sprints[[#This Row],[Sprint]]),Table5[Points])</f>
        <v>697</v>
      </c>
      <c r="F24" s="5">
        <f>+SUMIF(TeamVelocity[Sprint],_xlfn.CONCAT("=", Sprints[[#This Row],[Sprint]]),TeamVelocity[delivered points])</f>
        <v>17</v>
      </c>
      <c r="G24" s="5">
        <f>+SUMIF(Sprints[Sprint], _xlfn.CONCAT("&lt;=",Sprints[[#This Row],[Sprint]]),Sprints[Done in Sprint])</f>
        <v>615</v>
      </c>
      <c r="H24" s="5">
        <f>+Sprints[[#This Row],[In scope]]-Sprints[[#This Row],[Done overall]]</f>
        <v>82</v>
      </c>
      <c r="I24" s="15">
        <f>FLOOR(AVERAGEIF(Sprints[Sprint], _xlfn.CONCAT("&lt;=",Sprints[[#This Row],[Sprint]]), Sprints[Done in Sprint]), 1)</f>
        <v>32</v>
      </c>
      <c r="J24" s="17">
        <f>AVERAGEIF(TeamCapacity[Sprint], _xlfn.CONCAT("&lt;=",Sprints[[#This Row],[Sprint]]), TeamCapacity['# Team members])</f>
        <v>5.8421052631578947</v>
      </c>
      <c r="K24" s="18">
        <f>AVERAGEIF(TeamCapacity[Sprint], _xlfn.CONCAT("&lt;=",Sprints[[#This Row],[Sprint]]),TeamCapacity[% Capacity])</f>
        <v>0.85803258145363426</v>
      </c>
      <c r="L24" s="17">
        <f>Sprints[[#This Row],[Historic avg. velocity]]/Sprints[[#This Row],[Historic abs. Team Member]]</f>
        <v>6.383763968726945</v>
      </c>
      <c r="M24" s="20">
        <f>+Sprints[[#This Row],[Historic Team Member '#]]*Sprints[[#This Row],[Historic capacity %]]</f>
        <v>5.0127166600712316</v>
      </c>
      <c r="N24" s="17">
        <f>AVERAGEIF(TeamCapacity[Sprint], _xlfn.CONCAT("&gt;=",Sprints[[#This Row],[Sprint]]), TeamCapacity['# Team members])</f>
        <v>4.5</v>
      </c>
      <c r="O24" s="10">
        <f>AVERAGEIF(TeamCapacity[Sprint], _xlfn.CONCAT("&gt;=",Sprints[[#This Row],[Sprint]]),TeamCapacity[% Capacity])</f>
        <v>0.84</v>
      </c>
      <c r="P24" s="21">
        <f>+Sprints[[#This Row],[Future Team Member '#]]*Sprints[[#This Row],[Future capacity %]]</f>
        <v>3.78</v>
      </c>
      <c r="Q24" s="19">
        <f>+Sprints[[#This Row],[Future abs. Team members]]*Sprints[[#This Row],[Historic Points per Person]]</f>
        <v>24.130627801787849</v>
      </c>
    </row>
    <row r="25" spans="1:17" x14ac:dyDescent="0.35">
      <c r="A25" s="5">
        <f t="shared" si="0"/>
        <v>20</v>
      </c>
      <c r="B25" s="4">
        <f>+WORKDAY(B24,Parameters!$A$5)</f>
        <v>44249</v>
      </c>
      <c r="C25" s="19">
        <f>CEILING(Sprints[[#This Row],[Remaining scope]]/Sprints[[#This Row],[Historic avg. velocity]], 1)+Sprints[[#This Row],[Sprint]]</f>
        <v>22</v>
      </c>
      <c r="D25" s="22">
        <f>CEILING(Sprints[[#This Row],[Remaining scope]]/Sprints[[#This Row],[Estimated Future avg. Velocity]], 1)+Sprints[[#This Row],[Sprint]]</f>
        <v>22</v>
      </c>
      <c r="E25" s="5">
        <f>+SUMIF(Table5[Sprint],_xlfn.CONCAT("&lt;=", Sprints[[#This Row],[Sprint]]),Table5[Points])</f>
        <v>697</v>
      </c>
      <c r="F25" s="5">
        <f>+SUMIF(TeamVelocity[Sprint],_xlfn.CONCAT("=", Sprints[[#This Row],[Sprint]]),TeamVelocity[delivered points])</f>
        <v>39</v>
      </c>
      <c r="G25" s="5">
        <f>+SUMIF(Sprints[Sprint], _xlfn.CONCAT("&lt;=",Sprints[[#This Row],[Sprint]]),Sprints[Done in Sprint])</f>
        <v>654</v>
      </c>
      <c r="H25" s="5">
        <f>+Sprints[[#This Row],[In scope]]-Sprints[[#This Row],[Done overall]]</f>
        <v>43</v>
      </c>
      <c r="I25" s="15">
        <f>FLOOR(AVERAGEIF(Sprints[Sprint], _xlfn.CONCAT("&lt;=",Sprints[[#This Row],[Sprint]]), Sprints[Done in Sprint]), 1)</f>
        <v>32</v>
      </c>
      <c r="J25" s="17">
        <f>AVERAGEIF(TeamCapacity[Sprint], _xlfn.CONCAT("&lt;=",Sprints[[#This Row],[Sprint]]), TeamCapacity['# Team members])</f>
        <v>5.8</v>
      </c>
      <c r="K25" s="18">
        <f>AVERAGEIF(TeamCapacity[Sprint], _xlfn.CONCAT("&lt;=",Sprints[[#This Row],[Sprint]]),TeamCapacity[% Capacity])</f>
        <v>0.8641309523809525</v>
      </c>
      <c r="L25" s="17">
        <f>Sprints[[#This Row],[Historic avg. velocity]]/Sprints[[#This Row],[Historic abs. Team Member]]</f>
        <v>6.3847283378851429</v>
      </c>
      <c r="M25" s="20">
        <f>+Sprints[[#This Row],[Historic Team Member '#]]*Sprints[[#This Row],[Historic capacity %]]</f>
        <v>5.0119595238095247</v>
      </c>
      <c r="N25" s="17">
        <f>AVERAGEIF(TeamCapacity[Sprint], _xlfn.CONCAT("&gt;=",Sprints[[#This Row],[Sprint]]), TeamCapacity['# Team members])</f>
        <v>4.333333333333333</v>
      </c>
      <c r="O25" s="10">
        <f>AVERAGEIF(TeamCapacity[Sprint], _xlfn.CONCAT("&gt;=",Sprints[[#This Row],[Sprint]]),TeamCapacity[% Capacity])</f>
        <v>0.86</v>
      </c>
      <c r="P25" s="21">
        <f>+Sprints[[#This Row],[Future Team Member '#]]*Sprints[[#This Row],[Future capacity %]]</f>
        <v>3.7266666666666666</v>
      </c>
      <c r="Q25" s="19">
        <f>+Sprints[[#This Row],[Future abs. Team members]]*Sprints[[#This Row],[Historic Points per Person]]</f>
        <v>23.793754272518633</v>
      </c>
    </row>
    <row r="26" spans="1:17" x14ac:dyDescent="0.35">
      <c r="A26" s="5">
        <f t="shared" si="0"/>
        <v>21</v>
      </c>
      <c r="B26" s="4">
        <f>+WORKDAY(B25,Parameters!$A$5)</f>
        <v>44263</v>
      </c>
      <c r="C26" s="19">
        <f>CEILING(Sprints[[#This Row],[Remaining scope]]/Sprints[[#This Row],[Historic avg. velocity]], 1)+Sprints[[#This Row],[Sprint]]</f>
        <v>22</v>
      </c>
      <c r="D26" s="22">
        <f>CEILING(Sprints[[#This Row],[Remaining scope]]/Sprints[[#This Row],[Estimated Future avg. Velocity]], 1)+Sprints[[#This Row],[Sprint]]</f>
        <v>22</v>
      </c>
      <c r="E26" s="5">
        <f>+SUMIF(Table5[Sprint],_xlfn.CONCAT("&lt;=", Sprints[[#This Row],[Sprint]]),Table5[Points])</f>
        <v>697</v>
      </c>
      <c r="F26" s="5">
        <f>+SUMIF(TeamVelocity[Sprint],_xlfn.CONCAT("=", Sprints[[#This Row],[Sprint]]),TeamVelocity[delivered points])</f>
        <v>27</v>
      </c>
      <c r="G26" s="5">
        <f>+SUMIF(Sprints[Sprint], _xlfn.CONCAT("&lt;=",Sprints[[#This Row],[Sprint]]),Sprints[Done in Sprint])</f>
        <v>681</v>
      </c>
      <c r="H26" s="5">
        <f>+Sprints[[#This Row],[In scope]]-Sprints[[#This Row],[Done overall]]</f>
        <v>16</v>
      </c>
      <c r="I26" s="15">
        <f>FLOOR(AVERAGEIF(Sprints[Sprint], _xlfn.CONCAT("&lt;=",Sprints[[#This Row],[Sprint]]), Sprints[Done in Sprint]), 1)</f>
        <v>32</v>
      </c>
      <c r="J26" s="17">
        <f>AVERAGEIF(TeamCapacity[Sprint], _xlfn.CONCAT("&lt;=",Sprints[[#This Row],[Sprint]]), TeamCapacity['# Team members])</f>
        <v>5.7142857142857144</v>
      </c>
      <c r="K26" s="18">
        <f>AVERAGEIF(TeamCapacity[Sprint], _xlfn.CONCAT("&lt;=",Sprints[[#This Row],[Sprint]]),TeamCapacity[% Capacity])</f>
        <v>0.86941043083900249</v>
      </c>
      <c r="L26" s="17">
        <f>Sprints[[#This Row],[Historic avg. velocity]]/Sprints[[#This Row],[Historic abs. Team Member]]</f>
        <v>6.4411465532980339</v>
      </c>
      <c r="M26" s="20">
        <f>+Sprints[[#This Row],[Historic Team Member '#]]*Sprints[[#This Row],[Historic capacity %]]</f>
        <v>4.9680596047943002</v>
      </c>
      <c r="N26" s="17">
        <f>AVERAGEIF(TeamCapacity[Sprint], _xlfn.CONCAT("&gt;=",Sprints[[#This Row],[Sprint]]), TeamCapacity['# Team members])</f>
        <v>4</v>
      </c>
      <c r="O26" s="10">
        <f>AVERAGEIF(TeamCapacity[Sprint], _xlfn.CONCAT("&gt;=",Sprints[[#This Row],[Sprint]]),TeamCapacity[% Capacity])</f>
        <v>0.8</v>
      </c>
      <c r="P26" s="21">
        <f>+Sprints[[#This Row],[Future Team Member '#]]*Sprints[[#This Row],[Future capacity %]]</f>
        <v>3.2</v>
      </c>
      <c r="Q26" s="19">
        <f>+Sprints[[#This Row],[Future abs. Team members]]*Sprints[[#This Row],[Historic Points per Person]]</f>
        <v>20.611668970553708</v>
      </c>
    </row>
    <row r="27" spans="1:17" x14ac:dyDescent="0.35">
      <c r="A27" s="5">
        <f t="shared" si="0"/>
        <v>22</v>
      </c>
      <c r="B27" s="4">
        <f>+WORKDAY(B26,Parameters!$A$5)</f>
        <v>44277</v>
      </c>
      <c r="C27" s="19">
        <f>CEILING(Sprints[[#This Row],[Remaining scope]]/Sprints[[#This Row],[Historic avg. velocity]], 1)+Sprints[[#This Row],[Sprint]]</f>
        <v>22</v>
      </c>
      <c r="D27" s="22">
        <f>CEILING(Sprints[[#This Row],[Remaining scope]]/Sprints[[#This Row],[Estimated Future avg. Velocity]], 1)+Sprints[[#This Row],[Sprint]]</f>
        <v>22</v>
      </c>
      <c r="E27" s="5">
        <f>+SUMIF(Table5[Sprint],_xlfn.CONCAT("&lt;=", Sprints[[#This Row],[Sprint]]),Table5[Points])</f>
        <v>697</v>
      </c>
      <c r="F27" s="5">
        <f>+SUMIF(TeamVelocity[Sprint],_xlfn.CONCAT("=", Sprints[[#This Row],[Sprint]]),TeamVelocity[delivered points])</f>
        <v>16</v>
      </c>
      <c r="G27" s="5">
        <f>+SUMIF(Sprints[Sprint], _xlfn.CONCAT("&lt;=",Sprints[[#This Row],[Sprint]]),Sprints[Done in Sprint])</f>
        <v>697</v>
      </c>
      <c r="H27" s="5">
        <f>+Sprints[[#This Row],[In scope]]-Sprints[[#This Row],[Done overall]]</f>
        <v>0</v>
      </c>
      <c r="I27" s="15">
        <f>FLOOR(AVERAGEIF(Sprints[Sprint], _xlfn.CONCAT("&lt;=",Sprints[[#This Row],[Sprint]]), Sprints[Done in Sprint]), 1)</f>
        <v>31</v>
      </c>
      <c r="J27" s="17">
        <f>AVERAGEIF(TeamCapacity[Sprint], _xlfn.CONCAT("&lt;=",Sprints[[#This Row],[Sprint]]), TeamCapacity['# Team members])</f>
        <v>5.6363636363636367</v>
      </c>
      <c r="K27" s="18">
        <f>AVERAGEIF(TeamCapacity[Sprint], _xlfn.CONCAT("&lt;=",Sprints[[#This Row],[Sprint]]),TeamCapacity[% Capacity])</f>
        <v>0.85830086580086595</v>
      </c>
      <c r="L27" s="17">
        <f>Sprints[[#This Row],[Historic avg. velocity]]/Sprints[[#This Row],[Historic abs. Team Member]]</f>
        <v>6.4080093812652077</v>
      </c>
      <c r="M27" s="20">
        <f>+Sprints[[#This Row],[Historic Team Member '#]]*Sprints[[#This Row],[Historic capacity %]]</f>
        <v>4.8376957890594268</v>
      </c>
      <c r="N27" s="17">
        <f>AVERAGEIF(TeamCapacity[Sprint], _xlfn.CONCAT("&gt;=",Sprints[[#This Row],[Sprint]]), TeamCapacity['# Team members])</f>
        <v>4</v>
      </c>
      <c r="O27" s="10">
        <f>AVERAGEIF(TeamCapacity[Sprint], _xlfn.CONCAT("&gt;=",Sprints[[#This Row],[Sprint]]),TeamCapacity[% Capacity])</f>
        <v>0.625</v>
      </c>
      <c r="P27" s="21">
        <f>+Sprints[[#This Row],[Future Team Member '#]]*Sprints[[#This Row],[Future capacity %]]</f>
        <v>2.5</v>
      </c>
      <c r="Q27" s="19">
        <f>+Sprints[[#This Row],[Future abs. Team members]]*Sprints[[#This Row],[Historic Points per Person]]</f>
        <v>16.02002345316302</v>
      </c>
    </row>
  </sheetData>
  <mergeCells count="4">
    <mergeCell ref="C4:D4"/>
    <mergeCell ref="E4:H4"/>
    <mergeCell ref="N4:Q4"/>
    <mergeCell ref="I4:M4"/>
  </mergeCells>
  <phoneticPr fontId="10"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93F3-9C9C-4A10-84AC-FBDDF31AB86C}">
  <dimension ref="A1:H2"/>
  <sheetViews>
    <sheetView zoomScale="140" zoomScaleNormal="140" workbookViewId="0">
      <selection activeCell="K29" sqref="K29"/>
    </sheetView>
  </sheetViews>
  <sheetFormatPr defaultRowHeight="14.5" x14ac:dyDescent="0.35"/>
  <cols>
    <col min="1" max="1" width="22.81640625" bestFit="1" customWidth="1"/>
  </cols>
  <sheetData>
    <row r="1" spans="1:8" ht="20" thickBot="1" x14ac:dyDescent="0.5">
      <c r="A1" s="1" t="s">
        <v>70</v>
      </c>
    </row>
    <row r="2" spans="1:8" ht="15" thickTop="1" x14ac:dyDescent="0.35">
      <c r="A2" s="13" t="s">
        <v>86</v>
      </c>
      <c r="B2" s="13"/>
      <c r="C2" s="13"/>
      <c r="D2" s="13"/>
      <c r="E2" s="13"/>
      <c r="F2" s="13"/>
      <c r="G2" s="13"/>
      <c r="H2"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F539-A718-4B72-B560-1DFCB16A7AFC}">
  <dimension ref="A1:A5"/>
  <sheetViews>
    <sheetView zoomScale="140" zoomScaleNormal="140" workbookViewId="0">
      <selection activeCell="A6" sqref="A6"/>
    </sheetView>
  </sheetViews>
  <sheetFormatPr defaultRowHeight="14.5" x14ac:dyDescent="0.35"/>
  <cols>
    <col min="1" max="1" width="32.453125" bestFit="1" customWidth="1"/>
  </cols>
  <sheetData>
    <row r="1" spans="1:1" ht="20" thickBot="1" x14ac:dyDescent="0.5">
      <c r="A1" s="1" t="s">
        <v>0</v>
      </c>
    </row>
    <row r="2" spans="1:1" ht="15" thickTop="1" x14ac:dyDescent="0.35">
      <c r="A2" s="5" t="s">
        <v>1</v>
      </c>
    </row>
    <row r="4" spans="1:1" x14ac:dyDescent="0.35">
      <c r="A4" t="s">
        <v>2</v>
      </c>
    </row>
    <row r="5" spans="1:1" x14ac:dyDescent="0.35">
      <c r="A5">
        <v>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 Initial Backlog</vt:lpstr>
      <vt:lpstr>Scope changes</vt:lpstr>
      <vt:lpstr>Team velocity</vt:lpstr>
      <vt:lpstr>Burn Up Chart</vt:lpstr>
      <vt:lpstr>Team capacity</vt:lpstr>
      <vt:lpstr>Sprints</vt:lpstr>
      <vt:lpstr>Duration estimates</vt:lpstr>
      <vt:lpstr>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Centeno</cp:lastModifiedBy>
  <cp:revision/>
  <dcterms:created xsi:type="dcterms:W3CDTF">2021-07-04T11:52:14Z</dcterms:created>
  <dcterms:modified xsi:type="dcterms:W3CDTF">2021-07-09T07:38:17Z</dcterms:modified>
  <cp:category/>
  <cp:contentStatus/>
</cp:coreProperties>
</file>