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 Marino\Desktop\R5\"/>
    </mc:Choice>
  </mc:AlternateContent>
  <xr:revisionPtr revIDLastSave="0" documentId="13_ncr:1_{1D40465E-09AC-4F76-8929-23EF9071F4E5}" xr6:coauthVersionLast="47" xr6:coauthVersionMax="47" xr10:uidLastSave="{00000000-0000-0000-0000-000000000000}"/>
  <bookViews>
    <workbookView xWindow="-108" yWindow="-108" windowWidth="23256" windowHeight="12456" xr2:uid="{E488E97C-7A11-4FC9-8027-1CCE48B54C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" i="1" l="1"/>
  <c r="U13" i="1"/>
  <c r="U12" i="1"/>
  <c r="U11" i="1"/>
  <c r="U10" i="1"/>
  <c r="U3" i="1"/>
  <c r="U2" i="1"/>
  <c r="U5" i="1"/>
  <c r="U4" i="1"/>
  <c r="Q3" i="1"/>
  <c r="Q4" i="1"/>
  <c r="Q5" i="1"/>
  <c r="Q6" i="1"/>
  <c r="Q7" i="1"/>
  <c r="Q8" i="1"/>
  <c r="Q29" i="1" s="1"/>
  <c r="R29" i="1" s="1"/>
  <c r="Q9" i="1"/>
  <c r="Q10" i="1"/>
  <c r="Q11" i="1"/>
  <c r="Q12" i="1"/>
  <c r="Q13" i="1"/>
  <c r="R13" i="1" s="1"/>
  <c r="Q14" i="1"/>
  <c r="R14" i="1" s="1"/>
  <c r="Q15" i="1"/>
  <c r="R15" i="1" s="1"/>
  <c r="Q16" i="1"/>
  <c r="R16" i="1" s="1"/>
  <c r="Q17" i="1"/>
  <c r="Q18" i="1"/>
  <c r="R18" i="1" s="1"/>
  <c r="Q19" i="1"/>
  <c r="Q20" i="1"/>
  <c r="Q21" i="1"/>
  <c r="Q22" i="1"/>
  <c r="Q23" i="1"/>
  <c r="Q24" i="1"/>
  <c r="Q25" i="1"/>
  <c r="R25" i="1" s="1"/>
  <c r="Q26" i="1"/>
  <c r="Q27" i="1"/>
  <c r="R27" i="1" s="1"/>
  <c r="Q28" i="1"/>
  <c r="R28" i="1" s="1"/>
  <c r="Q2" i="1"/>
  <c r="P17" i="1"/>
  <c r="P18" i="1"/>
  <c r="P19" i="1"/>
  <c r="P20" i="1"/>
  <c r="P21" i="1"/>
  <c r="P22" i="1"/>
  <c r="P23" i="1"/>
  <c r="P24" i="1"/>
  <c r="P25" i="1"/>
  <c r="P26" i="1"/>
  <c r="P27" i="1"/>
  <c r="P28" i="1"/>
  <c r="P1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2" i="1"/>
  <c r="O3" i="1"/>
  <c r="O4" i="1"/>
  <c r="O5" i="1"/>
  <c r="O6" i="1"/>
  <c r="O29" i="1" s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" i="1"/>
  <c r="N24" i="1"/>
  <c r="N2" i="1"/>
  <c r="M17" i="1"/>
  <c r="M18" i="1"/>
  <c r="M19" i="1"/>
  <c r="M20" i="1"/>
  <c r="M21" i="1"/>
  <c r="M22" i="1"/>
  <c r="M23" i="1"/>
  <c r="M24" i="1"/>
  <c r="M25" i="1"/>
  <c r="M26" i="1"/>
  <c r="M27" i="1"/>
  <c r="M28" i="1"/>
  <c r="M1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5" i="1"/>
  <c r="N26" i="1"/>
  <c r="N27" i="1"/>
  <c r="N2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" i="1"/>
  <c r="R26" i="1"/>
  <c r="R24" i="1"/>
  <c r="R23" i="1"/>
  <c r="R22" i="1"/>
  <c r="R21" i="1"/>
  <c r="R20" i="1"/>
  <c r="R19" i="1"/>
  <c r="R17" i="1"/>
  <c r="R12" i="1"/>
  <c r="R11" i="1"/>
  <c r="R10" i="1"/>
  <c r="R9" i="1"/>
  <c r="R8" i="1"/>
  <c r="R7" i="1"/>
  <c r="R6" i="1"/>
  <c r="R5" i="1"/>
  <c r="R4" i="1"/>
  <c r="R3" i="1"/>
  <c r="R2" i="1"/>
  <c r="F27" i="1"/>
  <c r="F25" i="1"/>
  <c r="B3" i="1"/>
  <c r="F23" i="1"/>
  <c r="B33" i="1"/>
  <c r="B32" i="1"/>
  <c r="B28" i="1"/>
  <c r="B27" i="1"/>
  <c r="B26" i="1"/>
  <c r="B25" i="1"/>
  <c r="B24" i="1"/>
  <c r="B23" i="1"/>
  <c r="B21" i="1"/>
  <c r="B20" i="1"/>
  <c r="B19" i="1"/>
  <c r="B15" i="1"/>
  <c r="B13" i="1"/>
  <c r="B10" i="1"/>
  <c r="B6" i="1"/>
  <c r="B5" i="1"/>
  <c r="B4" i="1"/>
  <c r="F26" i="1"/>
  <c r="S104" i="1"/>
  <c r="S105" i="1"/>
  <c r="S103" i="1"/>
  <c r="S102" i="1"/>
  <c r="S94" i="1"/>
  <c r="S97" i="1"/>
  <c r="S96" i="1"/>
  <c r="S95" i="1"/>
  <c r="K122" i="1"/>
  <c r="L122" i="1"/>
  <c r="M122" i="1"/>
  <c r="N122" i="1"/>
  <c r="J122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94" i="1"/>
  <c r="F30" i="1"/>
  <c r="H33" i="1"/>
  <c r="H32" i="1"/>
  <c r="H31" i="1"/>
  <c r="H27" i="1"/>
  <c r="H25" i="1"/>
  <c r="H23" i="1"/>
  <c r="H26" i="1"/>
  <c r="H24" i="1"/>
  <c r="H22" i="1"/>
  <c r="H21" i="1"/>
  <c r="F34" i="1"/>
  <c r="F33" i="1"/>
  <c r="F32" i="1"/>
  <c r="F31" i="1"/>
  <c r="F29" i="1"/>
  <c r="F28" i="1"/>
  <c r="B38" i="1"/>
  <c r="B37" i="1"/>
  <c r="B31" i="1"/>
  <c r="B30" i="1"/>
  <c r="B29" i="1"/>
  <c r="B22" i="1"/>
  <c r="H30" i="1"/>
  <c r="H29" i="1"/>
  <c r="H28" i="1"/>
  <c r="F24" i="1"/>
  <c r="F22" i="1"/>
  <c r="F21" i="1"/>
  <c r="H7" i="1"/>
  <c r="H15" i="1"/>
  <c r="H14" i="1"/>
  <c r="H13" i="1"/>
  <c r="H12" i="1"/>
  <c r="H11" i="1"/>
  <c r="H10" i="1"/>
  <c r="H9" i="1"/>
  <c r="H8" i="1"/>
  <c r="H6" i="1"/>
  <c r="H5" i="1"/>
  <c r="H4" i="1"/>
  <c r="H3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B9" i="1"/>
  <c r="B7" i="1"/>
  <c r="B14" i="1"/>
  <c r="B12" i="1"/>
  <c r="B11" i="1"/>
  <c r="B8" i="1"/>
  <c r="U14" i="1" l="1"/>
  <c r="P29" i="1"/>
  <c r="P30" i="1" s="1"/>
  <c r="M29" i="1"/>
  <c r="M30" i="1" s="1"/>
  <c r="L29" i="1"/>
  <c r="L30" i="1" s="1"/>
  <c r="O30" i="1"/>
  <c r="N29" i="1"/>
  <c r="N30" i="1" s="1"/>
  <c r="S98" i="1"/>
  <c r="S106" i="1"/>
</calcChain>
</file>

<file path=xl/sharedStrings.xml><?xml version="1.0" encoding="utf-8"?>
<sst xmlns="http://schemas.openxmlformats.org/spreadsheetml/2006/main" count="199" uniqueCount="47">
  <si>
    <t>Característica</t>
  </si>
  <si>
    <t>No. de anomalías</t>
  </si>
  <si>
    <t>track_id</t>
  </si>
  <si>
    <t>track_name</t>
  </si>
  <si>
    <t>*danceability</t>
  </si>
  <si>
    <t>*energy</t>
  </si>
  <si>
    <t>*key</t>
  </si>
  <si>
    <t>*loudness</t>
  </si>
  <si>
    <t>*speechiness</t>
  </si>
  <si>
    <t>*liveness</t>
  </si>
  <si>
    <t>*time_signature</t>
  </si>
  <si>
    <t>album_name</t>
  </si>
  <si>
    <t>Completitud</t>
  </si>
  <si>
    <t>disc_number</t>
  </si>
  <si>
    <t>*instrumentalness</t>
  </si>
  <si>
    <t>duration_ms</t>
  </si>
  <si>
    <t>explicit</t>
  </si>
  <si>
    <t>*valence</t>
  </si>
  <si>
    <t>track_number</t>
  </si>
  <si>
    <t>*tempo</t>
  </si>
  <si>
    <t>track_popularity</t>
  </si>
  <si>
    <t>*id</t>
  </si>
  <si>
    <t>artist_id</t>
  </si>
  <si>
    <t>artist_name</t>
  </si>
  <si>
    <t>artist_popularity</t>
  </si>
  <si>
    <t>album_id</t>
  </si>
  <si>
    <t>*mode</t>
  </si>
  <si>
    <t>album_release_date</t>
  </si>
  <si>
    <t>álbum_total_tracks</t>
  </si>
  <si>
    <t>*acousticness</t>
  </si>
  <si>
    <t>-</t>
  </si>
  <si>
    <t>Unicidad</t>
  </si>
  <si>
    <t>Validez</t>
  </si>
  <si>
    <t>Consistencia</t>
  </si>
  <si>
    <t>album_total_tracks</t>
  </si>
  <si>
    <t>Precisión</t>
  </si>
  <si>
    <t>Valoración</t>
  </si>
  <si>
    <t>Total</t>
  </si>
  <si>
    <t>Calidad dimensión</t>
  </si>
  <si>
    <t>Calidad características</t>
  </si>
  <si>
    <t>Buena</t>
  </si>
  <si>
    <t>Aceptable</t>
  </si>
  <si>
    <t>Regular</t>
  </si>
  <si>
    <t>Mala</t>
  </si>
  <si>
    <t>Caracteristicas</t>
  </si>
  <si>
    <t>Dimensiones</t>
  </si>
  <si>
    <t xml:space="preserve">track_popularity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</si>
</sst>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4" fontId="2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C85A1-CD78-4226-AB3D-2D7EE6DB9996}">
  <dimension ref="A1:Y124"/>
  <sheetViews>
    <sheetView tabSelected="1" topLeftCell="G1" zoomScaleNormal="100" workbookViewId="0">
      <selection activeCell="V2" sqref="V2:V5"/>
    </sheetView>
  </sheetViews>
  <sheetFormatPr defaultRowHeight="14.4" x14ac:dyDescent="0.3"/>
  <cols>
    <col min="1" max="1" width="18.33203125" bestFit="1" customWidth="1"/>
    <col min="2" max="2" width="15.6640625" bestFit="1" customWidth="1"/>
    <col min="3" max="3" width="15.5546875" bestFit="1" customWidth="1"/>
    <col min="4" max="4" width="10.44140625" bestFit="1" customWidth="1"/>
    <col min="5" max="5" width="19.33203125" bestFit="1" customWidth="1"/>
    <col min="6" max="6" width="10.44140625" bestFit="1" customWidth="1"/>
    <col min="7" max="7" width="18.33203125" bestFit="1" customWidth="1"/>
    <col min="8" max="8" width="15.6640625" bestFit="1" customWidth="1"/>
    <col min="11" max="11" width="18" style="8" bestFit="1" customWidth="1"/>
    <col min="12" max="12" width="11.88671875" style="8" bestFit="1" customWidth="1"/>
    <col min="13" max="13" width="11.88671875" style="8" customWidth="1"/>
    <col min="14" max="14" width="10.33203125" style="8" customWidth="1"/>
    <col min="15" max="15" width="13.44140625" style="8" customWidth="1"/>
    <col min="16" max="16" width="12.109375" style="8" bestFit="1" customWidth="1"/>
    <col min="17" max="17" width="10" style="8" bestFit="1" customWidth="1"/>
    <col min="18" max="18" width="20.44140625" style="8" bestFit="1" customWidth="1"/>
    <col min="20" max="20" width="13.77734375" bestFit="1" customWidth="1"/>
    <col min="21" max="21" width="11.33203125" bestFit="1" customWidth="1"/>
    <col min="22" max="22" width="12.44140625" bestFit="1" customWidth="1"/>
    <col min="23" max="25" width="11.33203125" bestFit="1" customWidth="1"/>
  </cols>
  <sheetData>
    <row r="1" spans="1:25" x14ac:dyDescent="0.3">
      <c r="A1" s="17" t="s">
        <v>12</v>
      </c>
      <c r="B1" s="17"/>
      <c r="E1" s="18" t="s">
        <v>31</v>
      </c>
      <c r="F1" s="19"/>
      <c r="G1" s="19"/>
      <c r="H1" s="20"/>
      <c r="K1" s="9"/>
      <c r="L1" s="9" t="s">
        <v>12</v>
      </c>
      <c r="M1" s="9" t="s">
        <v>31</v>
      </c>
      <c r="N1" s="9" t="s">
        <v>32</v>
      </c>
      <c r="O1" s="9" t="s">
        <v>35</v>
      </c>
      <c r="P1" s="9" t="s">
        <v>33</v>
      </c>
      <c r="Q1" s="9" t="s">
        <v>37</v>
      </c>
      <c r="R1" s="9" t="s">
        <v>39</v>
      </c>
      <c r="T1" s="9" t="s">
        <v>44</v>
      </c>
    </row>
    <row r="2" spans="1:25" x14ac:dyDescent="0.3">
      <c r="A2" s="4" t="s">
        <v>0</v>
      </c>
      <c r="B2" s="4" t="s">
        <v>36</v>
      </c>
      <c r="E2" s="2" t="s">
        <v>0</v>
      </c>
      <c r="F2" s="4" t="s">
        <v>36</v>
      </c>
      <c r="G2" s="2" t="s">
        <v>0</v>
      </c>
      <c r="H2" s="4" t="s">
        <v>36</v>
      </c>
      <c r="K2" s="10" t="s">
        <v>13</v>
      </c>
      <c r="L2" s="13">
        <f>IFERROR(VLOOKUP(K2,$A$3:$B$15,2,0),1)*100</f>
        <v>100</v>
      </c>
      <c r="M2" s="13">
        <f>IFERROR(VLOOKUP(K2,$E$3:$F$16,2,0),1)*100</f>
        <v>96.474953617810769</v>
      </c>
      <c r="N2" s="13">
        <f>IFERROR(VLOOKUP(K2,$A$37:$B$38,2,0),1)*100</f>
        <v>100</v>
      </c>
      <c r="O2" s="13">
        <f>IFERROR(VLOOKUP(K2,$A$37:$B$38,2,0),1)*100</f>
        <v>100</v>
      </c>
      <c r="P2" s="13">
        <f>IFERROR(VLOOKUP(K2,$E$21:$F$34,2,0),1)*100</f>
        <v>96.474953617810769</v>
      </c>
      <c r="Q2" s="13">
        <f>AVERAGE(L2:P2)</f>
        <v>98.589981447124316</v>
      </c>
      <c r="R2" s="11" t="str">
        <f>IF(Q2&gt;96,"Buena",IF(Q2&gt;90,"Aceptable",IF(Q2&gt;85,"Regular","Mala")))</f>
        <v>Buena</v>
      </c>
      <c r="T2" s="5" t="s">
        <v>40</v>
      </c>
      <c r="U2" s="5">
        <f>COUNTIF($R$2:R28,"Buena")*100/27</f>
        <v>74.074074074074076</v>
      </c>
    </row>
    <row r="3" spans="1:25" x14ac:dyDescent="0.3">
      <c r="A3" s="3" t="s">
        <v>46</v>
      </c>
      <c r="B3" s="6">
        <f>(539-7)/539</f>
        <v>0.98701298701298701</v>
      </c>
      <c r="E3" s="3" t="s">
        <v>13</v>
      </c>
      <c r="F3" s="6">
        <f t="shared" ref="F3:F11" si="0">(539-19)/539</f>
        <v>0.96474953617810766</v>
      </c>
      <c r="G3" s="3" t="s">
        <v>14</v>
      </c>
      <c r="H3" s="6">
        <f t="shared" ref="H3:H6" si="1">(539-19)/539</f>
        <v>0.96474953617810766</v>
      </c>
      <c r="K3" s="10" t="s">
        <v>15</v>
      </c>
      <c r="L3" s="13">
        <f t="shared" ref="L3:L29" si="2">IFERROR(VLOOKUP(K3,$A$3:$B$15,2,0),1)*100</f>
        <v>100</v>
      </c>
      <c r="M3" s="13">
        <f t="shared" ref="M3:M15" si="3">IFERROR(VLOOKUP(K3,$E$3:$F$16,2,0),1)*100</f>
        <v>96.474953617810769</v>
      </c>
      <c r="N3" s="13">
        <f t="shared" ref="N3:N29" si="4">IFERROR(VLOOKUP(K3,$A$19:$B$33,2,0),1)*100</f>
        <v>100</v>
      </c>
      <c r="O3" s="13">
        <f t="shared" ref="O3:O28" si="5">IFERROR(VLOOKUP(K3,$A$37:$B$38,2,0),1)*100</f>
        <v>100</v>
      </c>
      <c r="P3" s="13">
        <f t="shared" ref="P3:P15" si="6">IFERROR(VLOOKUP(K3,$E$21:$F$34,2,0),1)*100</f>
        <v>96.474953617810769</v>
      </c>
      <c r="Q3" s="13">
        <f t="shared" ref="Q3:Q28" si="7">AVERAGE(L3:P3)</f>
        <v>98.589981447124316</v>
      </c>
      <c r="R3" s="11" t="str">
        <f t="shared" ref="R3:R29" si="8">IF(Q3&gt;96,"Buena",IF(Q3&gt;90,"Aceptable",IF(Q3&gt;85,"Regular","Mala")))</f>
        <v>Buena</v>
      </c>
      <c r="T3" s="5" t="s">
        <v>41</v>
      </c>
      <c r="U3" s="5">
        <f>COUNTIF($R$2:R28,"Aceptable")*100/27</f>
        <v>7.4074074074074074</v>
      </c>
      <c r="V3" s="12"/>
    </row>
    <row r="4" spans="1:25" x14ac:dyDescent="0.3">
      <c r="A4" s="3" t="s">
        <v>2</v>
      </c>
      <c r="B4" s="6">
        <f>(539-8)/539</f>
        <v>0.98515769944341369</v>
      </c>
      <c r="E4" s="3" t="s">
        <v>15</v>
      </c>
      <c r="F4" s="6">
        <f t="shared" si="0"/>
        <v>0.96474953617810766</v>
      </c>
      <c r="G4" s="3" t="s">
        <v>9</v>
      </c>
      <c r="H4" s="6">
        <f t="shared" si="1"/>
        <v>0.96474953617810766</v>
      </c>
      <c r="K4" s="10" t="s">
        <v>16</v>
      </c>
      <c r="L4" s="13">
        <f t="shared" si="2"/>
        <v>100</v>
      </c>
      <c r="M4" s="13">
        <f t="shared" si="3"/>
        <v>96.474953617810769</v>
      </c>
      <c r="N4" s="13">
        <f t="shared" si="4"/>
        <v>0</v>
      </c>
      <c r="O4" s="13">
        <f t="shared" si="5"/>
        <v>100</v>
      </c>
      <c r="P4" s="13">
        <f t="shared" si="6"/>
        <v>95.732838589981455</v>
      </c>
      <c r="Q4" s="13">
        <f t="shared" si="7"/>
        <v>78.441558441558442</v>
      </c>
      <c r="R4" s="11" t="str">
        <f t="shared" si="8"/>
        <v>Mala</v>
      </c>
      <c r="T4" s="5" t="s">
        <v>42</v>
      </c>
      <c r="U4" s="5">
        <f>COUNTIF($R$2:R30,"Regular")*100/27</f>
        <v>0</v>
      </c>
      <c r="V4" s="12"/>
      <c r="W4" s="12"/>
      <c r="X4" s="12"/>
      <c r="Y4" s="12"/>
    </row>
    <row r="5" spans="1:25" x14ac:dyDescent="0.3">
      <c r="A5" s="3" t="s">
        <v>3</v>
      </c>
      <c r="B5" s="6">
        <f>(539-7)/539</f>
        <v>0.98701298701298701</v>
      </c>
      <c r="E5" s="3" t="s">
        <v>16</v>
      </c>
      <c r="F5" s="6">
        <f t="shared" si="0"/>
        <v>0.96474953617810766</v>
      </c>
      <c r="G5" s="3" t="s">
        <v>17</v>
      </c>
      <c r="H5" s="6">
        <f t="shared" si="1"/>
        <v>0.96474953617810766</v>
      </c>
      <c r="K5" s="10" t="s">
        <v>18</v>
      </c>
      <c r="L5" s="13">
        <f t="shared" si="2"/>
        <v>100</v>
      </c>
      <c r="M5" s="13">
        <f t="shared" si="3"/>
        <v>96.474953617810769</v>
      </c>
      <c r="N5" s="13">
        <f t="shared" si="4"/>
        <v>100</v>
      </c>
      <c r="O5" s="13">
        <f t="shared" si="5"/>
        <v>100</v>
      </c>
      <c r="P5" s="13">
        <f t="shared" si="6"/>
        <v>96.474953617810769</v>
      </c>
      <c r="Q5" s="13">
        <f t="shared" si="7"/>
        <v>98.589981447124316</v>
      </c>
      <c r="R5" s="11" t="str">
        <f t="shared" si="8"/>
        <v>Buena</v>
      </c>
      <c r="T5" s="5" t="s">
        <v>43</v>
      </c>
      <c r="U5" s="5">
        <f>COUNTIF($R$2:R28,"Mala")*100/27</f>
        <v>18.518518518518519</v>
      </c>
      <c r="V5" s="12"/>
      <c r="W5" s="12"/>
      <c r="X5" s="12"/>
      <c r="Y5" s="12"/>
    </row>
    <row r="6" spans="1:25" x14ac:dyDescent="0.3">
      <c r="A6" s="3" t="s">
        <v>4</v>
      </c>
      <c r="B6" s="6">
        <f>(539-2)/539</f>
        <v>0.99628942486085348</v>
      </c>
      <c r="E6" s="3" t="s">
        <v>18</v>
      </c>
      <c r="F6" s="6">
        <f t="shared" si="0"/>
        <v>0.96474953617810766</v>
      </c>
      <c r="G6" s="3" t="s">
        <v>19</v>
      </c>
      <c r="H6" s="6">
        <f t="shared" si="1"/>
        <v>0.96474953617810766</v>
      </c>
      <c r="K6" s="10" t="s">
        <v>20</v>
      </c>
      <c r="L6" s="13">
        <f t="shared" si="2"/>
        <v>100</v>
      </c>
      <c r="M6" s="13">
        <f t="shared" si="3"/>
        <v>96.474953617810769</v>
      </c>
      <c r="N6" s="13">
        <f t="shared" si="4"/>
        <v>100</v>
      </c>
      <c r="O6" s="13">
        <f t="shared" si="5"/>
        <v>100</v>
      </c>
      <c r="P6" s="13">
        <f t="shared" si="6"/>
        <v>95.176252319109466</v>
      </c>
      <c r="Q6" s="13">
        <f t="shared" si="7"/>
        <v>98.330241187384061</v>
      </c>
      <c r="R6" s="11" t="str">
        <f t="shared" si="8"/>
        <v>Buena</v>
      </c>
      <c r="T6" s="12"/>
      <c r="U6" s="12">
        <f>SUM(U2:U5)</f>
        <v>100</v>
      </c>
      <c r="V6" s="12"/>
      <c r="W6" s="12"/>
      <c r="X6" s="12"/>
      <c r="Y6" s="12"/>
    </row>
    <row r="7" spans="1:25" x14ac:dyDescent="0.3">
      <c r="A7" s="3" t="s">
        <v>5</v>
      </c>
      <c r="B7" s="6">
        <f>(539-2)/539</f>
        <v>0.99628942486085348</v>
      </c>
      <c r="E7" s="3" t="s">
        <v>20</v>
      </c>
      <c r="F7" s="6">
        <f t="shared" si="0"/>
        <v>0.96474953617810766</v>
      </c>
      <c r="G7" s="3" t="s">
        <v>21</v>
      </c>
      <c r="H7" s="6">
        <f>(539-539)/539</f>
        <v>0</v>
      </c>
      <c r="K7" s="10" t="s">
        <v>2</v>
      </c>
      <c r="L7" s="13">
        <f t="shared" si="2"/>
        <v>98.515769944341372</v>
      </c>
      <c r="M7" s="13">
        <f t="shared" si="3"/>
        <v>96.474953617810769</v>
      </c>
      <c r="N7" s="13">
        <f t="shared" si="4"/>
        <v>98.515769944341372</v>
      </c>
      <c r="O7" s="13">
        <f t="shared" si="5"/>
        <v>100</v>
      </c>
      <c r="P7" s="13">
        <f t="shared" si="6"/>
        <v>95.176252319109466</v>
      </c>
      <c r="Q7" s="13">
        <f t="shared" si="7"/>
        <v>97.736549165120593</v>
      </c>
      <c r="R7" s="11" t="str">
        <f t="shared" si="8"/>
        <v>Buena</v>
      </c>
      <c r="T7" s="12"/>
      <c r="U7" s="12"/>
      <c r="V7" s="12"/>
      <c r="W7" s="12"/>
      <c r="X7" s="12"/>
      <c r="Y7" s="12"/>
    </row>
    <row r="8" spans="1:25" x14ac:dyDescent="0.3">
      <c r="A8" s="3" t="s">
        <v>6</v>
      </c>
      <c r="B8" s="6">
        <f>(539-1)/539</f>
        <v>0.99814471243042668</v>
      </c>
      <c r="E8" s="3" t="s">
        <v>2</v>
      </c>
      <c r="F8" s="6">
        <f t="shared" si="0"/>
        <v>0.96474953617810766</v>
      </c>
      <c r="G8" s="3" t="s">
        <v>10</v>
      </c>
      <c r="H8" s="6">
        <f t="shared" ref="H8:H15" si="9">(539-19)/539</f>
        <v>0.96474953617810766</v>
      </c>
      <c r="K8" s="10" t="s">
        <v>3</v>
      </c>
      <c r="L8" s="13">
        <f t="shared" si="2"/>
        <v>98.701298701298697</v>
      </c>
      <c r="M8" s="13">
        <f t="shared" si="3"/>
        <v>96.474953617810769</v>
      </c>
      <c r="N8" s="13">
        <f t="shared" si="4"/>
        <v>98.701298701298697</v>
      </c>
      <c r="O8" s="13">
        <f t="shared" si="5"/>
        <v>100</v>
      </c>
      <c r="P8" s="13">
        <f t="shared" si="6"/>
        <v>95.176252319109466</v>
      </c>
      <c r="Q8" s="13">
        <f t="shared" si="7"/>
        <v>97.810760667903537</v>
      </c>
      <c r="R8" s="11" t="str">
        <f t="shared" si="8"/>
        <v>Buena</v>
      </c>
      <c r="T8" s="12"/>
      <c r="U8" s="12"/>
      <c r="V8" s="12"/>
      <c r="W8" s="12"/>
      <c r="X8" s="12"/>
      <c r="Y8" s="12"/>
    </row>
    <row r="9" spans="1:25" x14ac:dyDescent="0.3">
      <c r="A9" s="3" t="s">
        <v>7</v>
      </c>
      <c r="B9" s="6">
        <f>(539-2)/539</f>
        <v>0.99628942486085348</v>
      </c>
      <c r="E9" s="3" t="s">
        <v>3</v>
      </c>
      <c r="F9" s="6">
        <f t="shared" si="0"/>
        <v>0.96474953617810766</v>
      </c>
      <c r="G9" s="3" t="s">
        <v>22</v>
      </c>
      <c r="H9" s="6">
        <f t="shared" si="9"/>
        <v>0.96474953617810766</v>
      </c>
      <c r="K9" s="10" t="s">
        <v>4</v>
      </c>
      <c r="L9" s="13">
        <f t="shared" si="2"/>
        <v>99.62894248608535</v>
      </c>
      <c r="M9" s="13">
        <f t="shared" si="3"/>
        <v>96.474953617810769</v>
      </c>
      <c r="N9" s="13">
        <f t="shared" si="4"/>
        <v>99.62894248608535</v>
      </c>
      <c r="O9" s="13">
        <f t="shared" si="5"/>
        <v>100</v>
      </c>
      <c r="P9" s="13">
        <f t="shared" si="6"/>
        <v>96.103896103896105</v>
      </c>
      <c r="Q9" s="13">
        <f t="shared" si="7"/>
        <v>98.367346938775512</v>
      </c>
      <c r="R9" s="11" t="str">
        <f t="shared" si="8"/>
        <v>Buena</v>
      </c>
      <c r="T9" s="9" t="s">
        <v>45</v>
      </c>
      <c r="V9" s="12"/>
      <c r="W9" s="12"/>
      <c r="X9" s="12"/>
      <c r="Y9" s="12"/>
    </row>
    <row r="10" spans="1:25" x14ac:dyDescent="0.3">
      <c r="A10" s="3" t="s">
        <v>8</v>
      </c>
      <c r="B10" s="6">
        <f>(539-1)/539</f>
        <v>0.99814471243042668</v>
      </c>
      <c r="E10" s="3" t="s">
        <v>4</v>
      </c>
      <c r="F10" s="6">
        <f t="shared" si="0"/>
        <v>0.96474953617810766</v>
      </c>
      <c r="G10" s="3" t="s">
        <v>23</v>
      </c>
      <c r="H10" s="6">
        <f t="shared" si="9"/>
        <v>0.96474953617810766</v>
      </c>
      <c r="K10" s="10" t="s">
        <v>5</v>
      </c>
      <c r="L10" s="13">
        <f t="shared" si="2"/>
        <v>99.62894248608535</v>
      </c>
      <c r="M10" s="13">
        <f t="shared" si="3"/>
        <v>96.474953617810769</v>
      </c>
      <c r="N10" s="13">
        <f t="shared" si="4"/>
        <v>99.62894248608535</v>
      </c>
      <c r="O10" s="13">
        <f t="shared" si="5"/>
        <v>100</v>
      </c>
      <c r="P10" s="13">
        <f t="shared" si="6"/>
        <v>96.103896103896105</v>
      </c>
      <c r="Q10" s="13">
        <f t="shared" si="7"/>
        <v>98.367346938775512</v>
      </c>
      <c r="R10" s="11" t="str">
        <f t="shared" si="8"/>
        <v>Buena</v>
      </c>
      <c r="T10" s="5" t="s">
        <v>40</v>
      </c>
      <c r="U10" s="5">
        <f>COUNTIF($L$30:P30,"Buena")*100/5</f>
        <v>40</v>
      </c>
      <c r="V10" s="12"/>
      <c r="W10" s="12"/>
      <c r="X10" s="12"/>
      <c r="Y10" s="12"/>
    </row>
    <row r="11" spans="1:25" x14ac:dyDescent="0.3">
      <c r="A11" s="3" t="s">
        <v>29</v>
      </c>
      <c r="B11" s="6">
        <f>(539-1)/539</f>
        <v>0.99814471243042668</v>
      </c>
      <c r="E11" s="3" t="s">
        <v>5</v>
      </c>
      <c r="F11" s="6">
        <f t="shared" si="0"/>
        <v>0.96474953617810766</v>
      </c>
      <c r="G11" s="3" t="s">
        <v>24</v>
      </c>
      <c r="H11" s="6">
        <f t="shared" si="9"/>
        <v>0.96474953617810766</v>
      </c>
      <c r="K11" s="10" t="s">
        <v>6</v>
      </c>
      <c r="L11" s="13">
        <f t="shared" si="2"/>
        <v>99.814471243042675</v>
      </c>
      <c r="M11" s="13">
        <f t="shared" si="3"/>
        <v>96.474953617810769</v>
      </c>
      <c r="N11" s="13">
        <f t="shared" si="4"/>
        <v>99.814471243042675</v>
      </c>
      <c r="O11" s="13">
        <f t="shared" si="5"/>
        <v>100</v>
      </c>
      <c r="P11" s="13">
        <f t="shared" si="6"/>
        <v>96.28942486085343</v>
      </c>
      <c r="Q11" s="13">
        <f t="shared" si="7"/>
        <v>98.478664192949907</v>
      </c>
      <c r="R11" s="11" t="str">
        <f t="shared" si="8"/>
        <v>Buena</v>
      </c>
      <c r="T11" s="5" t="s">
        <v>41</v>
      </c>
      <c r="U11" s="5">
        <f>COUNTIF($L$30:P30,"Aceptable")*100/5</f>
        <v>40</v>
      </c>
      <c r="V11" s="12"/>
      <c r="W11" s="12"/>
      <c r="X11" s="12"/>
      <c r="Y11" s="12"/>
    </row>
    <row r="12" spans="1:25" x14ac:dyDescent="0.3">
      <c r="A12" s="3" t="s">
        <v>9</v>
      </c>
      <c r="B12" s="6">
        <f>(539-1)/539</f>
        <v>0.99814471243042668</v>
      </c>
      <c r="E12" s="3" t="s">
        <v>6</v>
      </c>
      <c r="F12" s="6">
        <f t="shared" ref="F12:F16" si="10">(539-19)/539</f>
        <v>0.96474953617810766</v>
      </c>
      <c r="G12" s="3" t="s">
        <v>25</v>
      </c>
      <c r="H12" s="6">
        <f t="shared" si="9"/>
        <v>0.96474953617810766</v>
      </c>
      <c r="K12" s="10" t="s">
        <v>7</v>
      </c>
      <c r="L12" s="13">
        <f t="shared" si="2"/>
        <v>99.62894248608535</v>
      </c>
      <c r="M12" s="13">
        <f t="shared" si="3"/>
        <v>96.474953617810769</v>
      </c>
      <c r="N12" s="13">
        <f t="shared" si="4"/>
        <v>99.62894248608535</v>
      </c>
      <c r="O12" s="13">
        <f t="shared" si="5"/>
        <v>100</v>
      </c>
      <c r="P12" s="13">
        <f t="shared" si="6"/>
        <v>96.103896103896105</v>
      </c>
      <c r="Q12" s="13">
        <f t="shared" si="7"/>
        <v>98.367346938775512</v>
      </c>
      <c r="R12" s="11" t="str">
        <f t="shared" si="8"/>
        <v>Buena</v>
      </c>
      <c r="T12" s="5" t="s">
        <v>42</v>
      </c>
      <c r="U12" s="5">
        <f>COUNTIF($L$30:P30,"Regular")*100/5</f>
        <v>0</v>
      </c>
      <c r="V12" s="12"/>
      <c r="W12" s="12"/>
      <c r="X12" s="12"/>
      <c r="Y12" s="12"/>
    </row>
    <row r="13" spans="1:25" x14ac:dyDescent="0.3">
      <c r="A13" s="3" t="s">
        <v>19</v>
      </c>
      <c r="B13" s="6">
        <f>(539-1)/539</f>
        <v>0.99814471243042668</v>
      </c>
      <c r="E13" s="3" t="s">
        <v>7</v>
      </c>
      <c r="F13" s="6">
        <f t="shared" si="10"/>
        <v>0.96474953617810766</v>
      </c>
      <c r="G13" s="3" t="s">
        <v>11</v>
      </c>
      <c r="H13" s="6">
        <f t="shared" si="9"/>
        <v>0.96474953617810766</v>
      </c>
      <c r="K13" s="10" t="s">
        <v>26</v>
      </c>
      <c r="L13" s="13">
        <f t="shared" si="2"/>
        <v>100</v>
      </c>
      <c r="M13" s="13">
        <f t="shared" si="3"/>
        <v>96.474953617810769</v>
      </c>
      <c r="N13" s="13">
        <f t="shared" si="4"/>
        <v>100</v>
      </c>
      <c r="O13" s="13">
        <f t="shared" si="5"/>
        <v>100</v>
      </c>
      <c r="P13" s="13">
        <f t="shared" si="6"/>
        <v>96.28942486085343</v>
      </c>
      <c r="Q13" s="13">
        <f t="shared" si="7"/>
        <v>98.552875695732851</v>
      </c>
      <c r="R13" s="11" t="str">
        <f t="shared" si="8"/>
        <v>Buena</v>
      </c>
      <c r="T13" s="5" t="s">
        <v>43</v>
      </c>
      <c r="U13" s="5">
        <f>COUNTIF($L$30:P30,"Mala")*100/5</f>
        <v>20</v>
      </c>
      <c r="V13" s="12"/>
      <c r="W13" s="12"/>
      <c r="X13" s="12"/>
      <c r="Y13" s="12"/>
    </row>
    <row r="14" spans="1:25" x14ac:dyDescent="0.3">
      <c r="A14" s="3" t="s">
        <v>10</v>
      </c>
      <c r="B14" s="6">
        <f>(539-1)/539</f>
        <v>0.99814471243042668</v>
      </c>
      <c r="E14" s="3" t="s">
        <v>26</v>
      </c>
      <c r="F14" s="6">
        <f t="shared" si="10"/>
        <v>0.96474953617810766</v>
      </c>
      <c r="G14" s="3" t="s">
        <v>27</v>
      </c>
      <c r="H14" s="6">
        <f t="shared" si="9"/>
        <v>0.96474953617810766</v>
      </c>
      <c r="K14" s="10" t="s">
        <v>8</v>
      </c>
      <c r="L14" s="13">
        <f t="shared" si="2"/>
        <v>99.814471243042675</v>
      </c>
      <c r="M14" s="13">
        <f t="shared" si="3"/>
        <v>96.474953617810769</v>
      </c>
      <c r="N14" s="13">
        <f t="shared" si="4"/>
        <v>99.814471243042675</v>
      </c>
      <c r="O14" s="13">
        <f t="shared" si="5"/>
        <v>100</v>
      </c>
      <c r="P14" s="13">
        <f t="shared" si="6"/>
        <v>96.28942486085343</v>
      </c>
      <c r="Q14" s="13">
        <f t="shared" si="7"/>
        <v>98.478664192949907</v>
      </c>
      <c r="R14" s="11" t="str">
        <f t="shared" si="8"/>
        <v>Buena</v>
      </c>
      <c r="T14" s="12"/>
      <c r="U14" s="12">
        <f>SUM(U10:U13)</f>
        <v>100</v>
      </c>
      <c r="V14" s="12"/>
      <c r="W14" s="12"/>
      <c r="X14" s="12"/>
      <c r="Y14" s="12"/>
    </row>
    <row r="15" spans="1:25" x14ac:dyDescent="0.3">
      <c r="A15" s="3" t="s">
        <v>11</v>
      </c>
      <c r="B15" s="6">
        <f>(539-62)/539</f>
        <v>0.88497217068645639</v>
      </c>
      <c r="E15" s="3" t="s">
        <v>8</v>
      </c>
      <c r="F15" s="6">
        <f t="shared" si="10"/>
        <v>0.96474953617810766</v>
      </c>
      <c r="G15" s="3" t="s">
        <v>34</v>
      </c>
      <c r="H15" s="6">
        <f t="shared" si="9"/>
        <v>0.96474953617810766</v>
      </c>
      <c r="K15" s="10" t="s">
        <v>29</v>
      </c>
      <c r="L15" s="13">
        <f t="shared" si="2"/>
        <v>99.814471243042675</v>
      </c>
      <c r="M15" s="13">
        <f t="shared" si="3"/>
        <v>96.474953617810769</v>
      </c>
      <c r="N15" s="13">
        <f t="shared" si="4"/>
        <v>98.886827458256036</v>
      </c>
      <c r="O15" s="13">
        <f t="shared" si="5"/>
        <v>100</v>
      </c>
      <c r="P15" s="13">
        <f t="shared" si="6"/>
        <v>95.547309833024116</v>
      </c>
      <c r="Q15" s="13">
        <f t="shared" si="7"/>
        <v>98.144712430426722</v>
      </c>
      <c r="R15" s="11" t="str">
        <f t="shared" si="8"/>
        <v>Buena</v>
      </c>
      <c r="T15" s="12"/>
      <c r="U15" s="12"/>
      <c r="V15" s="12"/>
      <c r="W15" s="12"/>
      <c r="X15" s="12"/>
      <c r="Y15" s="12"/>
    </row>
    <row r="16" spans="1:25" x14ac:dyDescent="0.3">
      <c r="E16" s="3" t="s">
        <v>29</v>
      </c>
      <c r="F16" s="6">
        <f t="shared" si="10"/>
        <v>0.96474953617810766</v>
      </c>
      <c r="G16" s="1" t="s">
        <v>30</v>
      </c>
      <c r="H16" s="1" t="s">
        <v>30</v>
      </c>
      <c r="K16" s="10" t="s">
        <v>14</v>
      </c>
      <c r="L16" s="13">
        <f t="shared" si="2"/>
        <v>100</v>
      </c>
      <c r="M16" s="13">
        <f>IFERROR(VLOOKUP(K16,$G$3:$H$15,2,0),1)*100</f>
        <v>96.474953617810769</v>
      </c>
      <c r="N16" s="13">
        <f t="shared" si="4"/>
        <v>0</v>
      </c>
      <c r="O16" s="13">
        <f t="shared" si="5"/>
        <v>100</v>
      </c>
      <c r="P16" s="13">
        <f>IFERROR(VLOOKUP(K16,$G$21:$H$34,2,0),1)*100</f>
        <v>96.28942486085343</v>
      </c>
      <c r="Q16" s="13">
        <f t="shared" si="7"/>
        <v>78.552875695732851</v>
      </c>
      <c r="R16" s="11" t="str">
        <f t="shared" si="8"/>
        <v>Mala</v>
      </c>
      <c r="T16" s="12"/>
      <c r="U16" s="12"/>
      <c r="V16" s="12"/>
      <c r="W16" s="12"/>
      <c r="X16" s="12"/>
      <c r="Y16" s="12"/>
    </row>
    <row r="17" spans="1:25" x14ac:dyDescent="0.3">
      <c r="A17" s="17" t="s">
        <v>32</v>
      </c>
      <c r="B17" s="17"/>
      <c r="K17" s="10" t="s">
        <v>9</v>
      </c>
      <c r="L17" s="13">
        <f t="shared" si="2"/>
        <v>99.814471243042675</v>
      </c>
      <c r="M17" s="13">
        <f t="shared" ref="M17:M29" si="11">IFERROR(VLOOKUP(K17,$G$3:$H$15,2,0),1)*100</f>
        <v>96.474953617810769</v>
      </c>
      <c r="N17" s="13">
        <f t="shared" si="4"/>
        <v>99.814471243042675</v>
      </c>
      <c r="O17" s="13">
        <f t="shared" si="5"/>
        <v>100</v>
      </c>
      <c r="P17" s="13">
        <f t="shared" ref="P17:P28" si="12">IFERROR(VLOOKUP(K17,$G$21:$H$34,2,0),1)*100</f>
        <v>96.28942486085343</v>
      </c>
      <c r="Q17" s="13">
        <f t="shared" si="7"/>
        <v>98.478664192949907</v>
      </c>
      <c r="R17" s="11" t="str">
        <f t="shared" si="8"/>
        <v>Buena</v>
      </c>
      <c r="T17" s="12"/>
      <c r="U17" s="12"/>
      <c r="V17" s="12"/>
      <c r="W17" s="12"/>
      <c r="X17" s="12"/>
      <c r="Y17" s="12"/>
    </row>
    <row r="18" spans="1:25" x14ac:dyDescent="0.3">
      <c r="A18" s="2" t="s">
        <v>0</v>
      </c>
      <c r="B18" s="4" t="s">
        <v>36</v>
      </c>
      <c r="K18" s="10" t="s">
        <v>17</v>
      </c>
      <c r="L18" s="13">
        <f t="shared" si="2"/>
        <v>100</v>
      </c>
      <c r="M18" s="13">
        <f t="shared" si="11"/>
        <v>96.474953617810769</v>
      </c>
      <c r="N18" s="13">
        <f t="shared" si="4"/>
        <v>100</v>
      </c>
      <c r="O18" s="13">
        <f t="shared" si="5"/>
        <v>100</v>
      </c>
      <c r="P18" s="13">
        <f t="shared" si="12"/>
        <v>96.474953617810769</v>
      </c>
      <c r="Q18" s="13">
        <f t="shared" si="7"/>
        <v>98.589981447124316</v>
      </c>
      <c r="R18" s="11" t="str">
        <f t="shared" si="8"/>
        <v>Buena</v>
      </c>
      <c r="T18" s="12"/>
      <c r="U18" s="12"/>
      <c r="V18" s="12"/>
      <c r="W18" s="12"/>
      <c r="X18" s="12"/>
      <c r="Y18" s="12"/>
    </row>
    <row r="19" spans="1:25" x14ac:dyDescent="0.3">
      <c r="A19" s="3" t="s">
        <v>16</v>
      </c>
      <c r="B19" s="6">
        <f>(539-539)/539</f>
        <v>0</v>
      </c>
      <c r="E19" s="18" t="s">
        <v>33</v>
      </c>
      <c r="F19" s="19"/>
      <c r="G19" s="19"/>
      <c r="H19" s="20"/>
      <c r="K19" s="10" t="s">
        <v>19</v>
      </c>
      <c r="L19" s="13">
        <f t="shared" si="2"/>
        <v>99.814471243042675</v>
      </c>
      <c r="M19" s="13">
        <f t="shared" si="11"/>
        <v>96.474953617810769</v>
      </c>
      <c r="N19" s="13">
        <f t="shared" si="4"/>
        <v>99.814471243042675</v>
      </c>
      <c r="O19" s="13">
        <f t="shared" si="5"/>
        <v>100</v>
      </c>
      <c r="P19" s="13">
        <f t="shared" si="12"/>
        <v>96.28942486085343</v>
      </c>
      <c r="Q19" s="13">
        <f t="shared" si="7"/>
        <v>98.478664192949907</v>
      </c>
      <c r="R19" s="11" t="str">
        <f t="shared" si="8"/>
        <v>Buena</v>
      </c>
      <c r="T19" s="12"/>
      <c r="U19" s="12"/>
      <c r="V19" s="12"/>
      <c r="W19" s="12"/>
      <c r="X19" s="12"/>
      <c r="Y19" s="12"/>
    </row>
    <row r="20" spans="1:25" x14ac:dyDescent="0.3">
      <c r="A20" s="3" t="s">
        <v>2</v>
      </c>
      <c r="B20" s="6">
        <f>(539-8)/539</f>
        <v>0.98515769944341369</v>
      </c>
      <c r="E20" s="2" t="s">
        <v>0</v>
      </c>
      <c r="F20" s="4" t="s">
        <v>36</v>
      </c>
      <c r="G20" s="2" t="s">
        <v>0</v>
      </c>
      <c r="H20" s="4" t="s">
        <v>36</v>
      </c>
      <c r="K20" s="10" t="s">
        <v>21</v>
      </c>
      <c r="L20" s="13">
        <f t="shared" si="2"/>
        <v>98.515769944341372</v>
      </c>
      <c r="M20" s="13">
        <f t="shared" si="11"/>
        <v>0</v>
      </c>
      <c r="N20" s="13">
        <f t="shared" si="4"/>
        <v>98.515769944341372</v>
      </c>
      <c r="O20" s="13">
        <f t="shared" si="5"/>
        <v>100</v>
      </c>
      <c r="P20" s="13">
        <f t="shared" si="12"/>
        <v>96.474953617810769</v>
      </c>
      <c r="Q20" s="13">
        <f t="shared" si="7"/>
        <v>78.701298701298697</v>
      </c>
      <c r="R20" s="11" t="str">
        <f t="shared" si="8"/>
        <v>Mala</v>
      </c>
      <c r="T20" s="12"/>
      <c r="U20" s="12"/>
      <c r="V20" s="12"/>
      <c r="W20" s="12"/>
      <c r="X20" s="12"/>
      <c r="Y20" s="12"/>
    </row>
    <row r="21" spans="1:25" x14ac:dyDescent="0.3">
      <c r="A21" s="3" t="s">
        <v>3</v>
      </c>
      <c r="B21" s="6">
        <f>(539-7)/539</f>
        <v>0.98701298701298701</v>
      </c>
      <c r="E21" s="3" t="s">
        <v>13</v>
      </c>
      <c r="F21" s="6">
        <f>(539-19)/539</f>
        <v>0.96474953617810766</v>
      </c>
      <c r="G21" s="3" t="s">
        <v>14</v>
      </c>
      <c r="H21" s="6">
        <f>(539-20)/539</f>
        <v>0.96289424860853434</v>
      </c>
      <c r="K21" s="10" t="s">
        <v>10</v>
      </c>
      <c r="L21" s="13">
        <f t="shared" si="2"/>
        <v>99.814471243042675</v>
      </c>
      <c r="M21" s="13">
        <f t="shared" si="11"/>
        <v>96.474953617810769</v>
      </c>
      <c r="N21" s="13">
        <f t="shared" si="4"/>
        <v>100</v>
      </c>
      <c r="O21" s="13">
        <f t="shared" si="5"/>
        <v>100</v>
      </c>
      <c r="P21" s="13">
        <f t="shared" si="12"/>
        <v>96.28942486085343</v>
      </c>
      <c r="Q21" s="13">
        <f t="shared" si="7"/>
        <v>98.515769944341372</v>
      </c>
      <c r="R21" s="11" t="str">
        <f t="shared" si="8"/>
        <v>Buena</v>
      </c>
      <c r="T21" s="12"/>
      <c r="U21" s="12"/>
      <c r="V21" s="12"/>
      <c r="W21" s="12"/>
      <c r="X21" s="12"/>
      <c r="Y21" s="12"/>
    </row>
    <row r="22" spans="1:25" x14ac:dyDescent="0.3">
      <c r="A22" s="3" t="s">
        <v>4</v>
      </c>
      <c r="B22" s="6">
        <f>(539-2)/539</f>
        <v>0.99628942486085348</v>
      </c>
      <c r="E22" s="3" t="s">
        <v>15</v>
      </c>
      <c r="F22" s="6">
        <f>(539-19)/539</f>
        <v>0.96474953617810766</v>
      </c>
      <c r="G22" s="3" t="s">
        <v>9</v>
      </c>
      <c r="H22" s="6">
        <f>(539-20)/539</f>
        <v>0.96289424860853434</v>
      </c>
      <c r="K22" s="10" t="s">
        <v>22</v>
      </c>
      <c r="L22" s="13">
        <f t="shared" si="2"/>
        <v>100</v>
      </c>
      <c r="M22" s="13">
        <f t="shared" si="11"/>
        <v>96.474953617810769</v>
      </c>
      <c r="N22" s="13">
        <f t="shared" si="4"/>
        <v>100</v>
      </c>
      <c r="O22" s="13">
        <f t="shared" si="5"/>
        <v>100</v>
      </c>
      <c r="P22" s="13">
        <f t="shared" si="12"/>
        <v>96.474953617810769</v>
      </c>
      <c r="Q22" s="13">
        <f t="shared" si="7"/>
        <v>98.589981447124316</v>
      </c>
      <c r="R22" s="11" t="str">
        <f t="shared" si="8"/>
        <v>Buena</v>
      </c>
      <c r="T22" s="12"/>
      <c r="U22" s="12"/>
      <c r="V22" s="12"/>
      <c r="W22" s="12"/>
      <c r="X22" s="12"/>
      <c r="Y22" s="12"/>
    </row>
    <row r="23" spans="1:25" x14ac:dyDescent="0.3">
      <c r="A23" s="3" t="s">
        <v>5</v>
      </c>
      <c r="B23" s="6">
        <f>(539-2)/539</f>
        <v>0.99628942486085348</v>
      </c>
      <c r="E23" s="3" t="s">
        <v>16</v>
      </c>
      <c r="F23" s="6">
        <f>(539-23)/539</f>
        <v>0.9573283858998145</v>
      </c>
      <c r="G23" s="3" t="s">
        <v>17</v>
      </c>
      <c r="H23" s="6">
        <f>(539-19)/539</f>
        <v>0.96474953617810766</v>
      </c>
      <c r="K23" s="10" t="s">
        <v>23</v>
      </c>
      <c r="L23" s="13">
        <f t="shared" si="2"/>
        <v>100</v>
      </c>
      <c r="M23" s="13">
        <f t="shared" si="11"/>
        <v>96.474953617810769</v>
      </c>
      <c r="N23" s="13">
        <f t="shared" si="4"/>
        <v>100</v>
      </c>
      <c r="O23" s="13">
        <f t="shared" si="5"/>
        <v>100</v>
      </c>
      <c r="P23" s="13">
        <f t="shared" si="12"/>
        <v>96.474953617810769</v>
      </c>
      <c r="Q23" s="13">
        <f t="shared" si="7"/>
        <v>98.589981447124316</v>
      </c>
      <c r="R23" s="11" t="str">
        <f t="shared" si="8"/>
        <v>Buena</v>
      </c>
      <c r="T23" s="12"/>
      <c r="U23" s="12"/>
      <c r="V23" s="12"/>
      <c r="W23" s="12"/>
      <c r="X23" s="12"/>
      <c r="Y23" s="12"/>
    </row>
    <row r="24" spans="1:25" x14ac:dyDescent="0.3">
      <c r="A24" s="3" t="s">
        <v>6</v>
      </c>
      <c r="B24" s="6">
        <f>(539-1)/539</f>
        <v>0.99814471243042668</v>
      </c>
      <c r="E24" s="3" t="s">
        <v>18</v>
      </c>
      <c r="F24" s="6">
        <f>(539-19)/539</f>
        <v>0.96474953617810766</v>
      </c>
      <c r="G24" s="3" t="s">
        <v>19</v>
      </c>
      <c r="H24" s="6">
        <f>(539-20)/539</f>
        <v>0.96289424860853434</v>
      </c>
      <c r="K24" s="10" t="s">
        <v>24</v>
      </c>
      <c r="L24" s="13">
        <f t="shared" si="2"/>
        <v>100</v>
      </c>
      <c r="M24" s="13">
        <f t="shared" si="11"/>
        <v>96.474953617810769</v>
      </c>
      <c r="N24" s="13">
        <f>IFERROR(VLOOKUP(K24,$A$19:$B$33,2,0),1)*100</f>
        <v>0</v>
      </c>
      <c r="O24" s="13">
        <f t="shared" si="5"/>
        <v>100</v>
      </c>
      <c r="P24" s="13">
        <f t="shared" si="12"/>
        <v>96.474953617810769</v>
      </c>
      <c r="Q24" s="13">
        <f t="shared" si="7"/>
        <v>78.589981447124316</v>
      </c>
      <c r="R24" s="11" t="str">
        <f t="shared" si="8"/>
        <v>Mala</v>
      </c>
      <c r="T24" s="12"/>
      <c r="U24" s="12"/>
      <c r="V24" s="12"/>
      <c r="W24" s="12"/>
      <c r="X24" s="12"/>
      <c r="Y24" s="12"/>
    </row>
    <row r="25" spans="1:25" x14ac:dyDescent="0.3">
      <c r="A25" s="3" t="s">
        <v>7</v>
      </c>
      <c r="B25" s="6">
        <f>(539-2)/539</f>
        <v>0.99628942486085348</v>
      </c>
      <c r="E25" s="3" t="s">
        <v>20</v>
      </c>
      <c r="F25" s="6">
        <f>(539-26)/539</f>
        <v>0.95176252319109467</v>
      </c>
      <c r="G25" s="3" t="s">
        <v>21</v>
      </c>
      <c r="H25" s="6">
        <f>(539-19)/539</f>
        <v>0.96474953617810766</v>
      </c>
      <c r="K25" s="10" t="s">
        <v>25</v>
      </c>
      <c r="L25" s="13">
        <f t="shared" si="2"/>
        <v>100</v>
      </c>
      <c r="M25" s="13">
        <f t="shared" si="11"/>
        <v>96.474953617810769</v>
      </c>
      <c r="N25" s="13">
        <f t="shared" si="4"/>
        <v>100</v>
      </c>
      <c r="O25" s="13">
        <f t="shared" si="5"/>
        <v>100</v>
      </c>
      <c r="P25" s="13">
        <f t="shared" si="12"/>
        <v>96.474953617810769</v>
      </c>
      <c r="Q25" s="13">
        <f t="shared" si="7"/>
        <v>98.589981447124316</v>
      </c>
      <c r="R25" s="11" t="str">
        <f t="shared" si="8"/>
        <v>Buena</v>
      </c>
      <c r="T25" s="12"/>
      <c r="U25" s="12"/>
      <c r="V25" s="12"/>
      <c r="W25" s="12"/>
      <c r="X25" s="12"/>
      <c r="Y25" s="12"/>
    </row>
    <row r="26" spans="1:25" x14ac:dyDescent="0.3">
      <c r="A26" s="3" t="s">
        <v>8</v>
      </c>
      <c r="B26" s="6">
        <f>(539-1)/539</f>
        <v>0.99814471243042668</v>
      </c>
      <c r="E26" s="3" t="s">
        <v>2</v>
      </c>
      <c r="F26" s="6">
        <f>(539-26)/539</f>
        <v>0.95176252319109467</v>
      </c>
      <c r="G26" s="3" t="s">
        <v>10</v>
      </c>
      <c r="H26" s="6">
        <f>(539-20)/539</f>
        <v>0.96289424860853434</v>
      </c>
      <c r="K26" s="10" t="s">
        <v>11</v>
      </c>
      <c r="L26" s="13">
        <f t="shared" si="2"/>
        <v>88.497217068645639</v>
      </c>
      <c r="M26" s="13">
        <f t="shared" si="11"/>
        <v>96.474953617810769</v>
      </c>
      <c r="N26" s="13">
        <f t="shared" si="4"/>
        <v>91.465677179962896</v>
      </c>
      <c r="O26" s="13">
        <f t="shared" si="5"/>
        <v>100</v>
      </c>
      <c r="P26" s="13">
        <f t="shared" si="12"/>
        <v>87.94063079777365</v>
      </c>
      <c r="Q26" s="13">
        <f t="shared" si="7"/>
        <v>92.875695732838579</v>
      </c>
      <c r="R26" s="11" t="str">
        <f t="shared" si="8"/>
        <v>Aceptable</v>
      </c>
      <c r="T26" s="12"/>
      <c r="U26" s="12"/>
      <c r="V26" s="12"/>
      <c r="W26" s="12"/>
      <c r="X26" s="12"/>
      <c r="Y26" s="12"/>
    </row>
    <row r="27" spans="1:25" x14ac:dyDescent="0.3">
      <c r="A27" s="3" t="s">
        <v>29</v>
      </c>
      <c r="B27" s="6">
        <f>(539-6)/539</f>
        <v>0.98886827458256032</v>
      </c>
      <c r="E27" s="3" t="s">
        <v>3</v>
      </c>
      <c r="F27" s="6">
        <f>(539-26)/539</f>
        <v>0.95176252319109467</v>
      </c>
      <c r="G27" s="3" t="s">
        <v>22</v>
      </c>
      <c r="H27" s="6">
        <f>(539-19)/539</f>
        <v>0.96474953617810766</v>
      </c>
      <c r="K27" s="10" t="s">
        <v>27</v>
      </c>
      <c r="L27" s="13">
        <f t="shared" si="2"/>
        <v>100</v>
      </c>
      <c r="M27" s="13">
        <f t="shared" si="11"/>
        <v>96.474953617810769</v>
      </c>
      <c r="N27" s="13">
        <f t="shared" si="4"/>
        <v>100</v>
      </c>
      <c r="O27" s="13">
        <f t="shared" si="5"/>
        <v>92.764378478664185</v>
      </c>
      <c r="P27" s="13">
        <f t="shared" si="12"/>
        <v>89.424860853432293</v>
      </c>
      <c r="Q27" s="13">
        <f t="shared" si="7"/>
        <v>95.732838589981455</v>
      </c>
      <c r="R27" s="11" t="str">
        <f t="shared" si="8"/>
        <v>Aceptable</v>
      </c>
      <c r="T27" s="12"/>
      <c r="U27" s="12"/>
      <c r="V27" s="12"/>
      <c r="W27" s="12"/>
      <c r="X27" s="12"/>
      <c r="Y27" s="12"/>
    </row>
    <row r="28" spans="1:25" x14ac:dyDescent="0.3">
      <c r="A28" s="3" t="s">
        <v>14</v>
      </c>
      <c r="B28" s="6">
        <f>(539-539)/539</f>
        <v>0</v>
      </c>
      <c r="E28" s="3" t="s">
        <v>4</v>
      </c>
      <c r="F28" s="6">
        <f>(539-21)/539</f>
        <v>0.96103896103896103</v>
      </c>
      <c r="G28" s="3" t="s">
        <v>23</v>
      </c>
      <c r="H28" s="6">
        <f t="shared" ref="H28:H30" si="13">(539-19)/539</f>
        <v>0.96474953617810766</v>
      </c>
      <c r="K28" s="10" t="s">
        <v>34</v>
      </c>
      <c r="L28" s="13">
        <f t="shared" si="2"/>
        <v>100</v>
      </c>
      <c r="M28" s="13">
        <f t="shared" si="11"/>
        <v>96.474953617810769</v>
      </c>
      <c r="N28" s="13">
        <f t="shared" si="4"/>
        <v>0</v>
      </c>
      <c r="O28" s="13">
        <f t="shared" si="5"/>
        <v>79.220779220779221</v>
      </c>
      <c r="P28" s="13">
        <f t="shared" si="12"/>
        <v>78.849721706864557</v>
      </c>
      <c r="Q28" s="13">
        <f t="shared" si="7"/>
        <v>70.909090909090907</v>
      </c>
      <c r="R28" s="11" t="str">
        <f t="shared" si="8"/>
        <v>Mala</v>
      </c>
      <c r="T28" s="12"/>
      <c r="U28" s="12"/>
      <c r="V28" s="12"/>
      <c r="W28" s="12"/>
      <c r="X28" s="12"/>
      <c r="Y28" s="12"/>
    </row>
    <row r="29" spans="1:25" x14ac:dyDescent="0.3">
      <c r="A29" s="3" t="s">
        <v>9</v>
      </c>
      <c r="B29" s="6">
        <f>(539-1)/539</f>
        <v>0.99814471243042668</v>
      </c>
      <c r="E29" s="3" t="s">
        <v>5</v>
      </c>
      <c r="F29" s="6">
        <f>(539-21)/539</f>
        <v>0.96103896103896103</v>
      </c>
      <c r="G29" s="3" t="s">
        <v>24</v>
      </c>
      <c r="H29" s="6">
        <f t="shared" si="13"/>
        <v>0.96474953617810766</v>
      </c>
      <c r="K29" s="9" t="s">
        <v>37</v>
      </c>
      <c r="L29" s="13">
        <f>AVERAGE(L2:L28)</f>
        <v>99.333470762042168</v>
      </c>
      <c r="M29" s="13">
        <f t="shared" ref="M29:Q29" si="14">AVERAGE(M2:M28)</f>
        <v>92.901807187521456</v>
      </c>
      <c r="N29" s="13">
        <f t="shared" si="14"/>
        <v>84.601113172541744</v>
      </c>
      <c r="O29" s="13">
        <f t="shared" si="14"/>
        <v>98.962413248127532</v>
      </c>
      <c r="P29" s="13">
        <f t="shared" si="14"/>
        <v>94.949494949494934</v>
      </c>
      <c r="Q29" s="21">
        <f t="shared" si="14"/>
        <v>94.149659863945615</v>
      </c>
      <c r="R29" s="9" t="str">
        <f t="shared" si="8"/>
        <v>Aceptable</v>
      </c>
      <c r="T29" s="12"/>
      <c r="U29" s="12"/>
      <c r="V29" s="12"/>
      <c r="W29" s="12"/>
      <c r="X29" s="12"/>
      <c r="Y29" s="12"/>
    </row>
    <row r="30" spans="1:25" x14ac:dyDescent="0.3">
      <c r="A30" s="3" t="s">
        <v>19</v>
      </c>
      <c r="B30" s="6">
        <f>(539-1)/539</f>
        <v>0.99814471243042668</v>
      </c>
      <c r="E30" s="3" t="s">
        <v>6</v>
      </c>
      <c r="F30" s="6">
        <f>(539-20)/539</f>
        <v>0.96289424860853434</v>
      </c>
      <c r="G30" s="3" t="s">
        <v>25</v>
      </c>
      <c r="H30" s="6">
        <f t="shared" si="13"/>
        <v>0.96474953617810766</v>
      </c>
      <c r="K30" s="9" t="s">
        <v>38</v>
      </c>
      <c r="L30" s="11" t="str">
        <f>IF(L29&gt;96,"Buena",IF(L29&gt;90,"Aceptable",IF(L29&gt;85,"Regular","Mala")))</f>
        <v>Buena</v>
      </c>
      <c r="M30" s="11" t="str">
        <f t="shared" ref="M30:P30" si="15">IF(M29&gt;96,"Buena",IF(M29&gt;90,"Aceptable",IF(M29&gt;85,"Regular","Mala")))</f>
        <v>Aceptable</v>
      </c>
      <c r="N30" s="11" t="str">
        <f t="shared" si="15"/>
        <v>Mala</v>
      </c>
      <c r="O30" s="11" t="str">
        <f t="shared" si="15"/>
        <v>Buena</v>
      </c>
      <c r="P30" s="11" t="str">
        <f t="shared" si="15"/>
        <v>Aceptable</v>
      </c>
      <c r="Q30" s="16"/>
      <c r="V30" s="12"/>
      <c r="W30" s="12"/>
      <c r="X30" s="12"/>
      <c r="Y30" s="12"/>
    </row>
    <row r="31" spans="1:25" x14ac:dyDescent="0.3">
      <c r="A31" s="3" t="s">
        <v>24</v>
      </c>
      <c r="B31" s="6">
        <f>(539-539)/539</f>
        <v>0</v>
      </c>
      <c r="E31" s="3" t="s">
        <v>7</v>
      </c>
      <c r="F31" s="6">
        <f>(539-21)/539</f>
        <v>0.96103896103896103</v>
      </c>
      <c r="G31" s="3" t="s">
        <v>11</v>
      </c>
      <c r="H31" s="6">
        <f>(539-65)/539</f>
        <v>0.87940630797773656</v>
      </c>
      <c r="V31" s="12"/>
      <c r="W31" s="12"/>
      <c r="X31" s="12"/>
      <c r="Y31" s="12"/>
    </row>
    <row r="32" spans="1:25" x14ac:dyDescent="0.3">
      <c r="A32" s="3" t="s">
        <v>11</v>
      </c>
      <c r="B32" s="7">
        <f>(539-46)/539</f>
        <v>0.9146567717996289</v>
      </c>
      <c r="E32" s="3" t="s">
        <v>26</v>
      </c>
      <c r="F32" s="6">
        <f>(539-20)/539</f>
        <v>0.96289424860853434</v>
      </c>
      <c r="G32" s="3" t="s">
        <v>27</v>
      </c>
      <c r="H32" s="6">
        <f>(539-57)/539</f>
        <v>0.89424860853432286</v>
      </c>
      <c r="V32" s="12"/>
      <c r="W32" s="12"/>
      <c r="X32" s="12"/>
      <c r="Y32" s="12"/>
    </row>
    <row r="33" spans="1:25" x14ac:dyDescent="0.3">
      <c r="A33" s="3" t="s">
        <v>34</v>
      </c>
      <c r="B33" s="6">
        <f>(539-539)/539</f>
        <v>0</v>
      </c>
      <c r="E33" s="3" t="s">
        <v>8</v>
      </c>
      <c r="F33" s="6">
        <f>(539-20)/539</f>
        <v>0.96289424860853434</v>
      </c>
      <c r="G33" s="3" t="s">
        <v>34</v>
      </c>
      <c r="H33" s="6">
        <f>(539-114)/539</f>
        <v>0.78849721706864562</v>
      </c>
      <c r="V33" s="12"/>
      <c r="W33" s="12"/>
      <c r="X33" s="12"/>
      <c r="Y33" s="12"/>
    </row>
    <row r="34" spans="1:25" x14ac:dyDescent="0.3">
      <c r="E34" s="3" t="s">
        <v>29</v>
      </c>
      <c r="F34" s="6">
        <f>(539-24)/539</f>
        <v>0.95547309833024119</v>
      </c>
      <c r="G34" s="1" t="s">
        <v>30</v>
      </c>
      <c r="H34" s="1" t="s">
        <v>30</v>
      </c>
      <c r="V34" s="12"/>
      <c r="W34" s="12"/>
      <c r="X34" s="12"/>
      <c r="Y34" s="12"/>
    </row>
    <row r="35" spans="1:25" x14ac:dyDescent="0.3">
      <c r="A35" s="17" t="s">
        <v>35</v>
      </c>
      <c r="B35" s="17"/>
      <c r="V35" s="12"/>
      <c r="W35" s="12"/>
      <c r="X35" s="12"/>
      <c r="Y35" s="12"/>
    </row>
    <row r="36" spans="1:25" x14ac:dyDescent="0.3">
      <c r="A36" s="2" t="s">
        <v>0</v>
      </c>
      <c r="B36" s="2" t="s">
        <v>1</v>
      </c>
      <c r="V36" s="12"/>
      <c r="W36" s="12"/>
      <c r="X36" s="12"/>
      <c r="Y36" s="12"/>
    </row>
    <row r="37" spans="1:25" x14ac:dyDescent="0.3">
      <c r="A37" s="3" t="s">
        <v>27</v>
      </c>
      <c r="B37" s="6">
        <f>(539-39)/539</f>
        <v>0.92764378478664189</v>
      </c>
      <c r="V37" s="12"/>
      <c r="W37" s="12"/>
      <c r="X37" s="12"/>
      <c r="Y37" s="12"/>
    </row>
    <row r="38" spans="1:25" x14ac:dyDescent="0.3">
      <c r="A38" s="3" t="s">
        <v>34</v>
      </c>
      <c r="B38" s="6">
        <f>(539-112)/539</f>
        <v>0.79220779220779225</v>
      </c>
      <c r="V38" s="12"/>
      <c r="W38" s="12"/>
      <c r="X38" s="12"/>
      <c r="Y38" s="12"/>
    </row>
    <row r="39" spans="1:25" x14ac:dyDescent="0.3">
      <c r="V39" s="12"/>
      <c r="W39" s="12"/>
      <c r="X39" s="12"/>
      <c r="Y39" s="12"/>
    </row>
    <row r="92" spans="9:19" x14ac:dyDescent="0.3">
      <c r="I92" s="8"/>
      <c r="J92" s="8"/>
      <c r="Q92"/>
      <c r="R92"/>
    </row>
    <row r="93" spans="9:19" x14ac:dyDescent="0.3">
      <c r="I93" s="9"/>
      <c r="J93" s="9" t="s">
        <v>12</v>
      </c>
      <c r="K93" s="9" t="s">
        <v>31</v>
      </c>
      <c r="L93" s="9" t="s">
        <v>32</v>
      </c>
      <c r="M93" s="9" t="s">
        <v>35</v>
      </c>
      <c r="N93" s="9" t="s">
        <v>33</v>
      </c>
      <c r="O93" s="9" t="s">
        <v>37</v>
      </c>
      <c r="P93" s="9" t="s">
        <v>39</v>
      </c>
      <c r="Q93"/>
      <c r="R93" s="9" t="s">
        <v>44</v>
      </c>
    </row>
    <row r="94" spans="9:19" x14ac:dyDescent="0.3">
      <c r="I94" s="10" t="s">
        <v>13</v>
      </c>
      <c r="J94" s="13"/>
      <c r="K94" s="13"/>
      <c r="L94" s="13"/>
      <c r="M94" s="13"/>
      <c r="N94" s="13"/>
      <c r="O94" s="14"/>
      <c r="P94" s="11" t="str">
        <f>IF(O94&gt;96,"Buena",IF(O94&gt;90,"Aceptable",IF(O94&gt;85,"Regular","Mala")))</f>
        <v>Mala</v>
      </c>
      <c r="Q94"/>
      <c r="R94" s="5" t="s">
        <v>40</v>
      </c>
      <c r="S94" s="5">
        <f>24*100/29</f>
        <v>82.758620689655174</v>
      </c>
    </row>
    <row r="95" spans="9:19" x14ac:dyDescent="0.3">
      <c r="I95" s="10" t="s">
        <v>15</v>
      </c>
      <c r="J95" s="13"/>
      <c r="K95" s="13"/>
      <c r="L95" s="13"/>
      <c r="M95" s="13"/>
      <c r="N95" s="13"/>
      <c r="O95" s="14"/>
      <c r="P95" s="11" t="str">
        <f t="shared" ref="P95:P121" si="16">IF(O95&gt;96,"Buena",IF(O95&gt;90,"Aceptable",IF(O95&gt;85,"Regular","Mala")))</f>
        <v>Mala</v>
      </c>
      <c r="Q95"/>
      <c r="R95" s="5" t="s">
        <v>41</v>
      </c>
      <c r="S95" s="5">
        <f>3*100/29</f>
        <v>10.344827586206897</v>
      </c>
    </row>
    <row r="96" spans="9:19" x14ac:dyDescent="0.3">
      <c r="I96" s="10" t="s">
        <v>16</v>
      </c>
      <c r="J96" s="13"/>
      <c r="K96" s="13"/>
      <c r="L96" s="13"/>
      <c r="M96" s="13"/>
      <c r="N96" s="13"/>
      <c r="O96" s="14"/>
      <c r="P96" s="11" t="str">
        <f t="shared" si="16"/>
        <v>Mala</v>
      </c>
      <c r="Q96"/>
      <c r="R96" s="5" t="s">
        <v>42</v>
      </c>
      <c r="S96" s="5">
        <f>0*100/29</f>
        <v>0</v>
      </c>
    </row>
    <row r="97" spans="9:19" x14ac:dyDescent="0.3">
      <c r="I97" s="10" t="s">
        <v>18</v>
      </c>
      <c r="J97" s="13"/>
      <c r="K97" s="13"/>
      <c r="L97" s="13"/>
      <c r="M97" s="13"/>
      <c r="N97" s="13"/>
      <c r="O97" s="14"/>
      <c r="P97" s="11" t="str">
        <f t="shared" si="16"/>
        <v>Mala</v>
      </c>
      <c r="Q97"/>
      <c r="R97" s="5" t="s">
        <v>43</v>
      </c>
      <c r="S97" s="5">
        <f>2*100/29</f>
        <v>6.8965517241379306</v>
      </c>
    </row>
    <row r="98" spans="9:19" x14ac:dyDescent="0.3">
      <c r="I98" s="10" t="s">
        <v>20</v>
      </c>
      <c r="J98" s="13"/>
      <c r="K98" s="13"/>
      <c r="L98" s="13"/>
      <c r="M98" s="13"/>
      <c r="N98" s="13"/>
      <c r="O98" s="14"/>
      <c r="P98" s="11" t="str">
        <f t="shared" si="16"/>
        <v>Mala</v>
      </c>
      <c r="Q98"/>
      <c r="R98" s="12"/>
      <c r="S98" s="12">
        <f>SUM(S94:S97)</f>
        <v>100</v>
      </c>
    </row>
    <row r="99" spans="9:19" x14ac:dyDescent="0.3">
      <c r="I99" s="10" t="s">
        <v>2</v>
      </c>
      <c r="J99" s="13"/>
      <c r="K99" s="13"/>
      <c r="L99" s="13"/>
      <c r="M99" s="13"/>
      <c r="N99" s="13"/>
      <c r="O99" s="14"/>
      <c r="P99" s="11" t="str">
        <f t="shared" si="16"/>
        <v>Mala</v>
      </c>
      <c r="Q99"/>
      <c r="R99" s="12"/>
      <c r="S99" s="12"/>
    </row>
    <row r="100" spans="9:19" x14ac:dyDescent="0.3">
      <c r="I100" s="10" t="s">
        <v>3</v>
      </c>
      <c r="J100" s="13"/>
      <c r="K100" s="13"/>
      <c r="L100" s="13"/>
      <c r="M100" s="13"/>
      <c r="N100" s="13"/>
      <c r="O100" s="14"/>
      <c r="P100" s="11" t="str">
        <f t="shared" si="16"/>
        <v>Mala</v>
      </c>
      <c r="Q100"/>
      <c r="R100" s="12"/>
      <c r="S100" s="12"/>
    </row>
    <row r="101" spans="9:19" x14ac:dyDescent="0.3">
      <c r="I101" s="10" t="s">
        <v>4</v>
      </c>
      <c r="J101" s="13"/>
      <c r="K101" s="13"/>
      <c r="L101" s="13"/>
      <c r="M101" s="13"/>
      <c r="N101" s="13"/>
      <c r="O101" s="14"/>
      <c r="P101" s="11" t="str">
        <f t="shared" si="16"/>
        <v>Mala</v>
      </c>
      <c r="Q101"/>
      <c r="R101" s="9" t="s">
        <v>45</v>
      </c>
    </row>
    <row r="102" spans="9:19" x14ac:dyDescent="0.3">
      <c r="I102" s="10" t="s">
        <v>5</v>
      </c>
      <c r="J102" s="13"/>
      <c r="K102" s="13"/>
      <c r="L102" s="13"/>
      <c r="M102" s="13"/>
      <c r="N102" s="13"/>
      <c r="O102" s="14"/>
      <c r="P102" s="11" t="str">
        <f t="shared" si="16"/>
        <v>Mala</v>
      </c>
      <c r="Q102"/>
      <c r="R102" s="5" t="s">
        <v>40</v>
      </c>
      <c r="S102" s="5">
        <f>3*100/5</f>
        <v>60</v>
      </c>
    </row>
    <row r="103" spans="9:19" x14ac:dyDescent="0.3">
      <c r="I103" s="10" t="s">
        <v>6</v>
      </c>
      <c r="J103" s="13"/>
      <c r="K103" s="13"/>
      <c r="L103" s="13"/>
      <c r="M103" s="13"/>
      <c r="N103" s="13"/>
      <c r="O103" s="14"/>
      <c r="P103" s="11" t="str">
        <f t="shared" si="16"/>
        <v>Mala</v>
      </c>
      <c r="Q103"/>
      <c r="R103" s="5" t="s">
        <v>41</v>
      </c>
      <c r="S103" s="5">
        <f>2*100/5</f>
        <v>40</v>
      </c>
    </row>
    <row r="104" spans="9:19" x14ac:dyDescent="0.3">
      <c r="I104" s="10" t="s">
        <v>7</v>
      </c>
      <c r="J104" s="13"/>
      <c r="K104" s="13"/>
      <c r="L104" s="13"/>
      <c r="M104" s="13"/>
      <c r="N104" s="13"/>
      <c r="O104" s="14"/>
      <c r="P104" s="11" t="str">
        <f t="shared" si="16"/>
        <v>Mala</v>
      </c>
      <c r="Q104"/>
      <c r="R104" s="5" t="s">
        <v>42</v>
      </c>
      <c r="S104" s="5">
        <f>0*100/5</f>
        <v>0</v>
      </c>
    </row>
    <row r="105" spans="9:19" x14ac:dyDescent="0.3">
      <c r="I105" s="10" t="s">
        <v>26</v>
      </c>
      <c r="J105" s="13"/>
      <c r="K105" s="13"/>
      <c r="L105" s="13"/>
      <c r="M105" s="13"/>
      <c r="N105" s="13"/>
      <c r="O105" s="14"/>
      <c r="P105" s="11" t="str">
        <f t="shared" si="16"/>
        <v>Mala</v>
      </c>
      <c r="Q105"/>
      <c r="R105" s="5" t="s">
        <v>43</v>
      </c>
      <c r="S105" s="5">
        <f>0*100/5</f>
        <v>0</v>
      </c>
    </row>
    <row r="106" spans="9:19" x14ac:dyDescent="0.3">
      <c r="I106" s="10" t="s">
        <v>8</v>
      </c>
      <c r="J106" s="13"/>
      <c r="K106" s="13"/>
      <c r="L106" s="13"/>
      <c r="M106" s="13"/>
      <c r="N106" s="13"/>
      <c r="O106" s="14"/>
      <c r="P106" s="11" t="str">
        <f t="shared" si="16"/>
        <v>Mala</v>
      </c>
      <c r="Q106"/>
      <c r="R106" s="12"/>
      <c r="S106" s="12">
        <f>SUM(S102:S105)</f>
        <v>100</v>
      </c>
    </row>
    <row r="107" spans="9:19" x14ac:dyDescent="0.3">
      <c r="I107" s="10" t="s">
        <v>29</v>
      </c>
      <c r="J107" s="13"/>
      <c r="K107" s="13"/>
      <c r="L107" s="13"/>
      <c r="M107" s="13"/>
      <c r="N107" s="13"/>
      <c r="O107" s="14"/>
      <c r="P107" s="11" t="str">
        <f t="shared" si="16"/>
        <v>Mala</v>
      </c>
      <c r="Q107"/>
      <c r="R107" s="12"/>
      <c r="S107" s="12"/>
    </row>
    <row r="108" spans="9:19" x14ac:dyDescent="0.3">
      <c r="I108" s="10" t="s">
        <v>14</v>
      </c>
      <c r="J108" s="13"/>
      <c r="K108" s="13"/>
      <c r="L108" s="13"/>
      <c r="M108" s="13"/>
      <c r="N108" s="13"/>
      <c r="O108" s="14"/>
      <c r="P108" s="11" t="str">
        <f t="shared" si="16"/>
        <v>Mala</v>
      </c>
      <c r="Q108"/>
      <c r="R108" s="12"/>
      <c r="S108" s="12"/>
    </row>
    <row r="109" spans="9:19" x14ac:dyDescent="0.3">
      <c r="I109" s="10" t="s">
        <v>9</v>
      </c>
      <c r="J109" s="13"/>
      <c r="K109" s="13"/>
      <c r="L109" s="13"/>
      <c r="M109" s="13"/>
      <c r="N109" s="13"/>
      <c r="O109" s="14"/>
      <c r="P109" s="11" t="str">
        <f t="shared" si="16"/>
        <v>Mala</v>
      </c>
      <c r="Q109"/>
      <c r="R109" s="12"/>
      <c r="S109" s="12"/>
    </row>
    <row r="110" spans="9:19" x14ac:dyDescent="0.3">
      <c r="I110" s="10" t="s">
        <v>17</v>
      </c>
      <c r="J110" s="13"/>
      <c r="K110" s="13"/>
      <c r="L110" s="13"/>
      <c r="M110" s="13"/>
      <c r="N110" s="13"/>
      <c r="O110" s="14"/>
      <c r="P110" s="11" t="str">
        <f t="shared" si="16"/>
        <v>Mala</v>
      </c>
      <c r="Q110"/>
      <c r="R110" s="12"/>
      <c r="S110" s="12"/>
    </row>
    <row r="111" spans="9:19" x14ac:dyDescent="0.3">
      <c r="I111" s="10" t="s">
        <v>19</v>
      </c>
      <c r="J111" s="13"/>
      <c r="K111" s="13"/>
      <c r="L111" s="13"/>
      <c r="M111" s="13"/>
      <c r="N111" s="13"/>
      <c r="O111" s="14"/>
      <c r="P111" s="11" t="str">
        <f t="shared" si="16"/>
        <v>Mala</v>
      </c>
      <c r="Q111"/>
      <c r="R111" s="12"/>
      <c r="S111" s="12"/>
    </row>
    <row r="112" spans="9:19" x14ac:dyDescent="0.3">
      <c r="I112" s="10" t="s">
        <v>21</v>
      </c>
      <c r="J112" s="13"/>
      <c r="K112" s="13"/>
      <c r="L112" s="13"/>
      <c r="M112" s="13"/>
      <c r="N112" s="13"/>
      <c r="O112" s="14"/>
      <c r="P112" s="11" t="str">
        <f t="shared" si="16"/>
        <v>Mala</v>
      </c>
      <c r="Q112"/>
      <c r="R112" s="12"/>
      <c r="S112" s="12"/>
    </row>
    <row r="113" spans="9:19" x14ac:dyDescent="0.3">
      <c r="I113" s="10" t="s">
        <v>10</v>
      </c>
      <c r="J113" s="13"/>
      <c r="K113" s="13"/>
      <c r="L113" s="13"/>
      <c r="M113" s="13"/>
      <c r="N113" s="13"/>
      <c r="O113" s="14"/>
      <c r="P113" s="11" t="str">
        <f t="shared" si="16"/>
        <v>Mala</v>
      </c>
      <c r="Q113"/>
      <c r="R113" s="12"/>
      <c r="S113" s="12"/>
    </row>
    <row r="114" spans="9:19" x14ac:dyDescent="0.3">
      <c r="I114" s="10" t="s">
        <v>22</v>
      </c>
      <c r="J114" s="13"/>
      <c r="K114" s="13"/>
      <c r="L114" s="13"/>
      <c r="M114" s="13"/>
      <c r="N114" s="13"/>
      <c r="O114" s="14"/>
      <c r="P114" s="11" t="str">
        <f t="shared" si="16"/>
        <v>Mala</v>
      </c>
      <c r="Q114"/>
      <c r="R114" s="12"/>
      <c r="S114" s="12"/>
    </row>
    <row r="115" spans="9:19" x14ac:dyDescent="0.3">
      <c r="I115" s="10" t="s">
        <v>23</v>
      </c>
      <c r="J115" s="13"/>
      <c r="K115" s="13"/>
      <c r="L115" s="13"/>
      <c r="M115" s="13"/>
      <c r="N115" s="13"/>
      <c r="O115" s="14"/>
      <c r="P115" s="11" t="str">
        <f t="shared" si="16"/>
        <v>Mala</v>
      </c>
      <c r="Q115"/>
      <c r="R115" s="12"/>
      <c r="S115" s="12"/>
    </row>
    <row r="116" spans="9:19" x14ac:dyDescent="0.3">
      <c r="I116" s="10" t="s">
        <v>24</v>
      </c>
      <c r="J116" s="13"/>
      <c r="K116" s="13"/>
      <c r="L116" s="13"/>
      <c r="M116" s="13"/>
      <c r="N116" s="13"/>
      <c r="O116" s="14"/>
      <c r="P116" s="11" t="str">
        <f t="shared" si="16"/>
        <v>Mala</v>
      </c>
      <c r="Q116"/>
      <c r="R116" s="12"/>
      <c r="S116" s="12"/>
    </row>
    <row r="117" spans="9:19" x14ac:dyDescent="0.3">
      <c r="I117" s="10" t="s">
        <v>25</v>
      </c>
      <c r="J117" s="13"/>
      <c r="K117" s="13"/>
      <c r="L117" s="13"/>
      <c r="M117" s="13"/>
      <c r="N117" s="13"/>
      <c r="O117" s="14"/>
      <c r="P117" s="11" t="str">
        <f t="shared" si="16"/>
        <v>Mala</v>
      </c>
      <c r="Q117"/>
      <c r="R117" s="12"/>
      <c r="S117" s="12"/>
    </row>
    <row r="118" spans="9:19" x14ac:dyDescent="0.3">
      <c r="I118" s="10" t="s">
        <v>11</v>
      </c>
      <c r="J118" s="13"/>
      <c r="K118" s="13"/>
      <c r="L118" s="13"/>
      <c r="M118" s="13"/>
      <c r="N118" s="13"/>
      <c r="O118" s="14"/>
      <c r="P118" s="11" t="str">
        <f t="shared" si="16"/>
        <v>Mala</v>
      </c>
      <c r="Q118"/>
      <c r="R118" s="12"/>
      <c r="S118" s="12"/>
    </row>
    <row r="119" spans="9:19" x14ac:dyDescent="0.3">
      <c r="I119" s="10" t="s">
        <v>27</v>
      </c>
      <c r="J119" s="13"/>
      <c r="K119" s="13"/>
      <c r="L119" s="13"/>
      <c r="M119" s="13"/>
      <c r="N119" s="13"/>
      <c r="O119" s="14"/>
      <c r="P119" s="11" t="str">
        <f t="shared" si="16"/>
        <v>Mala</v>
      </c>
      <c r="Q119"/>
      <c r="R119" s="12"/>
      <c r="S119" s="12"/>
    </row>
    <row r="120" spans="9:19" x14ac:dyDescent="0.3">
      <c r="I120" s="10" t="s">
        <v>28</v>
      </c>
      <c r="J120" s="13"/>
      <c r="K120" s="13"/>
      <c r="L120" s="13"/>
      <c r="M120" s="13"/>
      <c r="N120" s="13"/>
      <c r="O120" s="14"/>
      <c r="P120" s="11" t="str">
        <f t="shared" si="16"/>
        <v>Mala</v>
      </c>
      <c r="Q120"/>
      <c r="R120" s="12"/>
      <c r="S120" s="12"/>
    </row>
    <row r="121" spans="9:19" x14ac:dyDescent="0.3">
      <c r="I121" s="9" t="s">
        <v>37</v>
      </c>
      <c r="J121" s="14"/>
      <c r="K121" s="14"/>
      <c r="L121" s="14"/>
      <c r="M121" s="14"/>
      <c r="N121" s="14"/>
      <c r="O121" s="15"/>
      <c r="P121" s="9" t="str">
        <f t="shared" si="16"/>
        <v>Mala</v>
      </c>
      <c r="Q121"/>
      <c r="R121" s="12"/>
      <c r="S121" s="12"/>
    </row>
    <row r="122" spans="9:19" x14ac:dyDescent="0.3">
      <c r="I122" s="9" t="s">
        <v>38</v>
      </c>
      <c r="J122" s="11" t="str">
        <f>IF(J121&gt;96,"Buena",IF(J121&gt;90,"Aceptable",IF(J121&gt;85,"Regular","Mala")))</f>
        <v>Mala</v>
      </c>
      <c r="K122" s="11" t="str">
        <f t="shared" ref="K122:N122" si="17">IF(K121&gt;96,"Buena",IF(K121&gt;90,"Aceptable",IF(K121&gt;85,"Regular","Mala")))</f>
        <v>Mala</v>
      </c>
      <c r="L122" s="11" t="str">
        <f t="shared" si="17"/>
        <v>Mala</v>
      </c>
      <c r="M122" s="11" t="str">
        <f t="shared" si="17"/>
        <v>Mala</v>
      </c>
      <c r="N122" s="11" t="str">
        <f t="shared" si="17"/>
        <v>Mala</v>
      </c>
      <c r="O122" s="16"/>
      <c r="Q122"/>
      <c r="R122"/>
    </row>
    <row r="123" spans="9:19" x14ac:dyDescent="0.3">
      <c r="I123" s="8"/>
      <c r="J123" s="8"/>
      <c r="Q123"/>
      <c r="R123"/>
    </row>
    <row r="124" spans="9:19" x14ac:dyDescent="0.3">
      <c r="I124" s="8"/>
      <c r="J124" s="8"/>
      <c r="Q124"/>
      <c r="R124"/>
    </row>
  </sheetData>
  <mergeCells count="5">
    <mergeCell ref="A35:B35"/>
    <mergeCell ref="A1:B1"/>
    <mergeCell ref="E1:H1"/>
    <mergeCell ref="A17:B17"/>
    <mergeCell ref="E19:H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Marino Arias</dc:creator>
  <cp:lastModifiedBy>Oscar Marino Arias</cp:lastModifiedBy>
  <dcterms:created xsi:type="dcterms:W3CDTF">2024-01-05T17:46:07Z</dcterms:created>
  <dcterms:modified xsi:type="dcterms:W3CDTF">2024-01-06T18:56:15Z</dcterms:modified>
</cp:coreProperties>
</file>