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59f9685aeda1652/documentos/Documentos importantes/"/>
    </mc:Choice>
  </mc:AlternateContent>
  <xr:revisionPtr revIDLastSave="0" documentId="8_{F87FB22D-154A-42E4-8B03-7C7BB3C3DC81}" xr6:coauthVersionLast="47" xr6:coauthVersionMax="47" xr10:uidLastSave="{00000000-0000-0000-0000-000000000000}"/>
  <bookViews>
    <workbookView xWindow="-120" yWindow="480" windowWidth="20730" windowHeight="11160" xr2:uid="{F0D9A871-2ADE-4A59-862A-11A49A7F4541}"/>
  </bookViews>
  <sheets>
    <sheet name="LIQUIDADOR IBC" sheetId="5" r:id="rId1"/>
    <sheet name="LIQUIDADOR LABORAL" sheetId="2" r:id="rId2"/>
    <sheet name="Hoja1" sheetId="3" r:id="rId3"/>
  </sheets>
  <definedNames>
    <definedName name="_xlnm._FilterDatabase" localSheetId="1" hidden="1">'LIQUIDADOR LABORAL'!#REF!</definedName>
    <definedName name="_xlnm.Print_Area" localSheetId="0">'LIQUIDADOR IBC'!$A$1:$G$50</definedName>
    <definedName name="_xlnm.Print_Area" localSheetId="1">'LIQUIDADOR LABORAL'!$A$1:$BY$383</definedName>
    <definedName name="DatosExternos_2" localSheetId="0" hidden="1">'LIQUIDADOR IBC'!$J$6:$K$388</definedName>
    <definedName name="DatosExternos_2" localSheetId="1" hidden="1">'LIQUIDADOR LABORAL'!$AE$1:$AF$383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4" i="5" l="1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B7" i="5"/>
  <c r="C7" i="5" s="1"/>
  <c r="E7" i="5" s="1"/>
  <c r="H7" i="5" l="1"/>
  <c r="B25" i="5" l="1"/>
  <c r="B30" i="5"/>
  <c r="B35" i="5"/>
  <c r="B40" i="5"/>
  <c r="B52" i="5"/>
  <c r="B55" i="5"/>
  <c r="B58" i="5"/>
  <c r="B67" i="5"/>
  <c r="B69" i="5"/>
  <c r="B83" i="5"/>
  <c r="B86" i="5"/>
  <c r="B90" i="5"/>
  <c r="B121" i="5"/>
  <c r="B124" i="5"/>
  <c r="B123" i="5"/>
  <c r="B48" i="5"/>
  <c r="B105" i="5"/>
  <c r="B63" i="5"/>
  <c r="B115" i="5"/>
  <c r="B26" i="5"/>
  <c r="B37" i="5"/>
  <c r="B46" i="5"/>
  <c r="B59" i="5"/>
  <c r="B65" i="5"/>
  <c r="B70" i="5"/>
  <c r="B91" i="5"/>
  <c r="B96" i="5"/>
  <c r="B103" i="5"/>
  <c r="B106" i="5"/>
  <c r="B109" i="5"/>
  <c r="B113" i="5"/>
  <c r="B118" i="5"/>
  <c r="B94" i="5"/>
  <c r="B43" i="5"/>
  <c r="B78" i="5"/>
  <c r="B88" i="5"/>
  <c r="B111" i="5"/>
  <c r="B108" i="5"/>
  <c r="B41" i="5"/>
  <c r="B44" i="5"/>
  <c r="B56" i="5"/>
  <c r="B73" i="5"/>
  <c r="B80" i="5"/>
  <c r="B93" i="5"/>
  <c r="B107" i="5"/>
  <c r="B122" i="5"/>
  <c r="B33" i="5"/>
  <c r="B98" i="5"/>
  <c r="B72" i="5"/>
  <c r="B120" i="5"/>
  <c r="B27" i="5"/>
  <c r="B31" i="5"/>
  <c r="B38" i="5"/>
  <c r="B47" i="5"/>
  <c r="B50" i="5"/>
  <c r="B61" i="5"/>
  <c r="B68" i="5"/>
  <c r="B77" i="5"/>
  <c r="B84" i="5"/>
  <c r="B87" i="5"/>
  <c r="B100" i="5"/>
  <c r="B104" i="5"/>
  <c r="B110" i="5"/>
  <c r="B114" i="5"/>
  <c r="B119" i="5"/>
  <c r="B57" i="5"/>
  <c r="B76" i="5"/>
  <c r="B54" i="5"/>
  <c r="B32" i="5"/>
  <c r="B36" i="5"/>
  <c r="B42" i="5"/>
  <c r="B51" i="5"/>
  <c r="B53" i="5"/>
  <c r="B62" i="5"/>
  <c r="B71" i="5"/>
  <c r="B74" i="5"/>
  <c r="B81" i="5"/>
  <c r="B101" i="5"/>
  <c r="B66" i="5"/>
  <c r="B29" i="5"/>
  <c r="B34" i="5"/>
  <c r="B39" i="5"/>
  <c r="B45" i="5"/>
  <c r="B49" i="5"/>
  <c r="B64" i="5"/>
  <c r="B75" i="5"/>
  <c r="B79" i="5"/>
  <c r="B82" i="5"/>
  <c r="B85" i="5"/>
  <c r="B89" i="5"/>
  <c r="B95" i="5"/>
  <c r="B99" i="5"/>
  <c r="B102" i="5"/>
  <c r="B112" i="5"/>
  <c r="B117" i="5"/>
  <c r="B97" i="5"/>
  <c r="B116" i="5"/>
  <c r="B28" i="5"/>
  <c r="B60" i="5"/>
  <c r="B92" i="5"/>
  <c r="B199" i="5"/>
  <c r="B191" i="5"/>
  <c r="B183" i="5"/>
  <c r="B175" i="5"/>
  <c r="B167" i="5"/>
  <c r="B159" i="5"/>
  <c r="B151" i="5"/>
  <c r="B143" i="5"/>
  <c r="B135" i="5"/>
  <c r="B127" i="5"/>
  <c r="B201" i="5"/>
  <c r="B193" i="5"/>
  <c r="B185" i="5"/>
  <c r="B177" i="5"/>
  <c r="B169" i="5"/>
  <c r="B161" i="5"/>
  <c r="B153" i="5"/>
  <c r="B145" i="5"/>
  <c r="B137" i="5"/>
  <c r="B129" i="5"/>
  <c r="B202" i="5"/>
  <c r="B194" i="5"/>
  <c r="B186" i="5"/>
  <c r="B178" i="5"/>
  <c r="B170" i="5"/>
  <c r="B162" i="5"/>
  <c r="B154" i="5"/>
  <c r="B146" i="5"/>
  <c r="B138" i="5"/>
  <c r="B130" i="5"/>
  <c r="B190" i="5"/>
  <c r="B188" i="5"/>
  <c r="B168" i="5"/>
  <c r="B157" i="5"/>
  <c r="B155" i="5"/>
  <c r="B126" i="5"/>
  <c r="B197" i="5"/>
  <c r="B195" i="5"/>
  <c r="B166" i="5"/>
  <c r="B164" i="5"/>
  <c r="B144" i="5"/>
  <c r="B133" i="5"/>
  <c r="B131" i="5"/>
  <c r="B204" i="5"/>
  <c r="B184" i="5"/>
  <c r="B173" i="5"/>
  <c r="B171" i="5"/>
  <c r="B142" i="5"/>
  <c r="B140" i="5"/>
  <c r="B182" i="5"/>
  <c r="B180" i="5"/>
  <c r="B160" i="5"/>
  <c r="B198" i="5"/>
  <c r="B196" i="5"/>
  <c r="B176" i="5"/>
  <c r="B165" i="5"/>
  <c r="B163" i="5"/>
  <c r="B134" i="5"/>
  <c r="B132" i="5"/>
  <c r="B189" i="5"/>
  <c r="B156" i="5"/>
  <c r="B136" i="5"/>
  <c r="B203" i="5"/>
  <c r="B179" i="5"/>
  <c r="B174" i="5"/>
  <c r="B152" i="5"/>
  <c r="B141" i="5"/>
  <c r="B172" i="5"/>
  <c r="B158" i="5"/>
  <c r="B125" i="5"/>
  <c r="B148" i="5"/>
  <c r="B192" i="5"/>
  <c r="B187" i="5"/>
  <c r="B147" i="5"/>
  <c r="B139" i="5"/>
  <c r="B24" i="5"/>
  <c r="B23" i="5"/>
  <c r="B200" i="5"/>
  <c r="B181" i="5"/>
  <c r="B20" i="5"/>
  <c r="B14" i="5"/>
  <c r="B128" i="5"/>
  <c r="B21" i="5"/>
  <c r="B19" i="5"/>
  <c r="B17" i="5"/>
  <c r="B15" i="5"/>
  <c r="B13" i="5"/>
  <c r="B11" i="5"/>
  <c r="B9" i="5"/>
  <c r="B12" i="5"/>
  <c r="B10" i="5"/>
  <c r="B150" i="5"/>
  <c r="B22" i="5"/>
  <c r="B18" i="5"/>
  <c r="B16" i="5"/>
  <c r="B8" i="5"/>
  <c r="B149" i="5"/>
  <c r="D7" i="5"/>
  <c r="I15" i="2"/>
  <c r="H5" i="2"/>
  <c r="H6" i="2" s="1"/>
  <c r="I16" i="2"/>
  <c r="J2" i="2"/>
  <c r="K2" i="2" s="1"/>
  <c r="H8" i="2"/>
  <c r="H114" i="5" l="1"/>
  <c r="D114" i="5" s="1"/>
  <c r="C114" i="5"/>
  <c r="E114" i="5" s="1"/>
  <c r="C67" i="5"/>
  <c r="E67" i="5" s="1"/>
  <c r="H67" i="5"/>
  <c r="D67" i="5" s="1"/>
  <c r="H110" i="5"/>
  <c r="D110" i="5" s="1"/>
  <c r="C110" i="5"/>
  <c r="E110" i="5" s="1"/>
  <c r="C123" i="5"/>
  <c r="E123" i="5" s="1"/>
  <c r="H123" i="5"/>
  <c r="D123" i="5" s="1"/>
  <c r="C112" i="5"/>
  <c r="E112" i="5" s="1"/>
  <c r="H112" i="5"/>
  <c r="D112" i="5" s="1"/>
  <c r="C75" i="5"/>
  <c r="E75" i="5" s="1"/>
  <c r="H75" i="5"/>
  <c r="D75" i="5" s="1"/>
  <c r="C101" i="5"/>
  <c r="E101" i="5" s="1"/>
  <c r="H101" i="5"/>
  <c r="D101" i="5" s="1"/>
  <c r="H36" i="5"/>
  <c r="D36" i="5" s="1"/>
  <c r="C36" i="5"/>
  <c r="E36" i="5" s="1"/>
  <c r="H104" i="5"/>
  <c r="D104" i="5" s="1"/>
  <c r="C104" i="5"/>
  <c r="E104" i="5" s="1"/>
  <c r="C47" i="5"/>
  <c r="E47" i="5" s="1"/>
  <c r="H47" i="5"/>
  <c r="D47" i="5" s="1"/>
  <c r="H122" i="5"/>
  <c r="D122" i="5" s="1"/>
  <c r="C122" i="5"/>
  <c r="E122" i="5" s="1"/>
  <c r="C108" i="5"/>
  <c r="E108" i="5" s="1"/>
  <c r="H108" i="5"/>
  <c r="D108" i="5" s="1"/>
  <c r="C109" i="5"/>
  <c r="E109" i="5" s="1"/>
  <c r="H109" i="5"/>
  <c r="D109" i="5" s="1"/>
  <c r="C46" i="5"/>
  <c r="E46" i="5" s="1"/>
  <c r="H46" i="5"/>
  <c r="D46" i="5" s="1"/>
  <c r="C124" i="5"/>
  <c r="E124" i="5" s="1"/>
  <c r="H124" i="5"/>
  <c r="D124" i="5" s="1"/>
  <c r="C55" i="5"/>
  <c r="E55" i="5" s="1"/>
  <c r="H55" i="5"/>
  <c r="D55" i="5" s="1"/>
  <c r="H97" i="5"/>
  <c r="D97" i="5" s="1"/>
  <c r="C97" i="5"/>
  <c r="E97" i="5" s="1"/>
  <c r="H61" i="5"/>
  <c r="D61" i="5" s="1"/>
  <c r="C61" i="5"/>
  <c r="E61" i="5" s="1"/>
  <c r="H118" i="5"/>
  <c r="D118" i="5" s="1"/>
  <c r="C118" i="5"/>
  <c r="E118" i="5" s="1"/>
  <c r="H66" i="5"/>
  <c r="D66" i="5" s="1"/>
  <c r="C66" i="5"/>
  <c r="E66" i="5" s="1"/>
  <c r="C50" i="5"/>
  <c r="E50" i="5" s="1"/>
  <c r="H50" i="5"/>
  <c r="D50" i="5" s="1"/>
  <c r="H58" i="5"/>
  <c r="D58" i="5" s="1"/>
  <c r="C58" i="5"/>
  <c r="E58" i="5" s="1"/>
  <c r="C102" i="5"/>
  <c r="E102" i="5" s="1"/>
  <c r="H102" i="5"/>
  <c r="D102" i="5" s="1"/>
  <c r="H64" i="5"/>
  <c r="D64" i="5" s="1"/>
  <c r="C64" i="5"/>
  <c r="E64" i="5" s="1"/>
  <c r="H81" i="5"/>
  <c r="D81" i="5" s="1"/>
  <c r="C81" i="5"/>
  <c r="E81" i="5" s="1"/>
  <c r="C32" i="5"/>
  <c r="E32" i="5" s="1"/>
  <c r="H32" i="5"/>
  <c r="D32" i="5" s="1"/>
  <c r="C100" i="5"/>
  <c r="E100" i="5" s="1"/>
  <c r="H100" i="5"/>
  <c r="D100" i="5" s="1"/>
  <c r="C38" i="5"/>
  <c r="E38" i="5" s="1"/>
  <c r="H38" i="5"/>
  <c r="D38" i="5" s="1"/>
  <c r="C107" i="5"/>
  <c r="E107" i="5" s="1"/>
  <c r="H107" i="5"/>
  <c r="D107" i="5" s="1"/>
  <c r="C111" i="5"/>
  <c r="E111" i="5" s="1"/>
  <c r="H111" i="5"/>
  <c r="D111" i="5" s="1"/>
  <c r="C106" i="5"/>
  <c r="E106" i="5" s="1"/>
  <c r="H106" i="5"/>
  <c r="D106" i="5" s="1"/>
  <c r="C37" i="5"/>
  <c r="E37" i="5" s="1"/>
  <c r="H37" i="5"/>
  <c r="D37" i="5" s="1"/>
  <c r="F37" i="5" s="1"/>
  <c r="H121" i="5"/>
  <c r="D121" i="5" s="1"/>
  <c r="C121" i="5"/>
  <c r="E121" i="5" s="1"/>
  <c r="C52" i="5"/>
  <c r="E52" i="5" s="1"/>
  <c r="H52" i="5"/>
  <c r="D52" i="5" s="1"/>
  <c r="H92" i="5"/>
  <c r="D92" i="5" s="1"/>
  <c r="C92" i="5"/>
  <c r="E92" i="5" s="1"/>
  <c r="C99" i="5"/>
  <c r="E99" i="5" s="1"/>
  <c r="H99" i="5"/>
  <c r="D99" i="5" s="1"/>
  <c r="H49" i="5"/>
  <c r="D49" i="5" s="1"/>
  <c r="C49" i="5"/>
  <c r="E49" i="5" s="1"/>
  <c r="H74" i="5"/>
  <c r="D74" i="5"/>
  <c r="C74" i="5"/>
  <c r="E74" i="5" s="1"/>
  <c r="H54" i="5"/>
  <c r="D54" i="5" s="1"/>
  <c r="C54" i="5"/>
  <c r="E54" i="5" s="1"/>
  <c r="C87" i="5"/>
  <c r="E87" i="5" s="1"/>
  <c r="H87" i="5"/>
  <c r="D87" i="5" s="1"/>
  <c r="C31" i="5"/>
  <c r="E31" i="5" s="1"/>
  <c r="H31" i="5"/>
  <c r="D31" i="5" s="1"/>
  <c r="H93" i="5"/>
  <c r="D93" i="5" s="1"/>
  <c r="C93" i="5"/>
  <c r="E93" i="5" s="1"/>
  <c r="H88" i="5"/>
  <c r="D88" i="5" s="1"/>
  <c r="C88" i="5"/>
  <c r="E88" i="5" s="1"/>
  <c r="C103" i="5"/>
  <c r="E103" i="5" s="1"/>
  <c r="H103" i="5"/>
  <c r="D103" i="5" s="1"/>
  <c r="C26" i="5"/>
  <c r="E26" i="5" s="1"/>
  <c r="H26" i="5"/>
  <c r="D26" i="5" s="1"/>
  <c r="H90" i="5"/>
  <c r="D90" i="5" s="1"/>
  <c r="C90" i="5"/>
  <c r="E90" i="5" s="1"/>
  <c r="H40" i="5"/>
  <c r="D40" i="5" s="1"/>
  <c r="C40" i="5"/>
  <c r="E40" i="5" s="1"/>
  <c r="H82" i="5"/>
  <c r="D82" i="5" s="1"/>
  <c r="C82" i="5"/>
  <c r="E82" i="5" s="1"/>
  <c r="C98" i="5"/>
  <c r="E98" i="5" s="1"/>
  <c r="H98" i="5"/>
  <c r="D98" i="5" s="1"/>
  <c r="H65" i="5"/>
  <c r="D65" i="5" s="1"/>
  <c r="C65" i="5"/>
  <c r="E65" i="5" s="1"/>
  <c r="C79" i="5"/>
  <c r="E79" i="5" s="1"/>
  <c r="H79" i="5"/>
  <c r="D79" i="5" s="1"/>
  <c r="H33" i="5"/>
  <c r="D33" i="5" s="1"/>
  <c r="C33" i="5"/>
  <c r="E33" i="5" s="1"/>
  <c r="C59" i="5"/>
  <c r="E59" i="5" s="1"/>
  <c r="H59" i="5"/>
  <c r="D59" i="5" s="1"/>
  <c r="H60" i="5"/>
  <c r="D60" i="5" s="1"/>
  <c r="C60" i="5"/>
  <c r="E60" i="5" s="1"/>
  <c r="H95" i="5"/>
  <c r="D95" i="5" s="1"/>
  <c r="C95" i="5"/>
  <c r="E95" i="5" s="1"/>
  <c r="C45" i="5"/>
  <c r="E45" i="5" s="1"/>
  <c r="H45" i="5"/>
  <c r="D45" i="5" s="1"/>
  <c r="H71" i="5"/>
  <c r="D71" i="5" s="1"/>
  <c r="C71" i="5"/>
  <c r="E71" i="5" s="1"/>
  <c r="H76" i="5"/>
  <c r="D76" i="5" s="1"/>
  <c r="C76" i="5"/>
  <c r="E76" i="5" s="1"/>
  <c r="C84" i="5"/>
  <c r="E84" i="5" s="1"/>
  <c r="F84" i="5" s="1"/>
  <c r="H84" i="5"/>
  <c r="D84" i="5" s="1"/>
  <c r="H27" i="5"/>
  <c r="D27" i="5" s="1"/>
  <c r="C27" i="5"/>
  <c r="E27" i="5" s="1"/>
  <c r="C80" i="5"/>
  <c r="E80" i="5" s="1"/>
  <c r="H80" i="5"/>
  <c r="D80" i="5" s="1"/>
  <c r="C78" i="5"/>
  <c r="E78" i="5" s="1"/>
  <c r="H78" i="5"/>
  <c r="D78" i="5" s="1"/>
  <c r="H96" i="5"/>
  <c r="D96" i="5" s="1"/>
  <c r="C96" i="5"/>
  <c r="E96" i="5" s="1"/>
  <c r="H115" i="5"/>
  <c r="D115" i="5" s="1"/>
  <c r="C115" i="5"/>
  <c r="E115" i="5" s="1"/>
  <c r="C86" i="5"/>
  <c r="E86" i="5" s="1"/>
  <c r="H86" i="5"/>
  <c r="D86" i="5" s="1"/>
  <c r="C35" i="5"/>
  <c r="E35" i="5" s="1"/>
  <c r="H35" i="5"/>
  <c r="D35" i="5" s="1"/>
  <c r="C51" i="5"/>
  <c r="E51" i="5" s="1"/>
  <c r="H51" i="5"/>
  <c r="D51" i="5" s="1"/>
  <c r="H48" i="5"/>
  <c r="D48" i="5" s="1"/>
  <c r="C48" i="5"/>
  <c r="E48" i="5" s="1"/>
  <c r="H117" i="5"/>
  <c r="D117" i="5" s="1"/>
  <c r="C117" i="5"/>
  <c r="E117" i="5" s="1"/>
  <c r="H41" i="5"/>
  <c r="D41" i="5" s="1"/>
  <c r="C41" i="5"/>
  <c r="E41" i="5" s="1"/>
  <c r="F41" i="5" s="1"/>
  <c r="H28" i="5"/>
  <c r="D28" i="5" s="1"/>
  <c r="C28" i="5"/>
  <c r="E28" i="5" s="1"/>
  <c r="H89" i="5"/>
  <c r="D89" i="5" s="1"/>
  <c r="C89" i="5"/>
  <c r="E89" i="5" s="1"/>
  <c r="C39" i="5"/>
  <c r="E39" i="5" s="1"/>
  <c r="H39" i="5"/>
  <c r="D39" i="5" s="1"/>
  <c r="C62" i="5"/>
  <c r="E62" i="5" s="1"/>
  <c r="H62" i="5"/>
  <c r="D62" i="5" s="1"/>
  <c r="H57" i="5"/>
  <c r="D57" i="5" s="1"/>
  <c r="C57" i="5"/>
  <c r="E57" i="5" s="1"/>
  <c r="H77" i="5"/>
  <c r="D77" i="5" s="1"/>
  <c r="C77" i="5"/>
  <c r="E77" i="5" s="1"/>
  <c r="C120" i="5"/>
  <c r="E120" i="5" s="1"/>
  <c r="H120" i="5"/>
  <c r="D120" i="5" s="1"/>
  <c r="H73" i="5"/>
  <c r="D73" i="5" s="1"/>
  <c r="C73" i="5"/>
  <c r="E73" i="5" s="1"/>
  <c r="C43" i="5"/>
  <c r="E43" i="5" s="1"/>
  <c r="H43" i="5"/>
  <c r="D43" i="5" s="1"/>
  <c r="H91" i="5"/>
  <c r="D91" i="5" s="1"/>
  <c r="C91" i="5"/>
  <c r="E91" i="5" s="1"/>
  <c r="H63" i="5"/>
  <c r="D63" i="5" s="1"/>
  <c r="C63" i="5"/>
  <c r="E63" i="5" s="1"/>
  <c r="C83" i="5"/>
  <c r="E83" i="5" s="1"/>
  <c r="H83" i="5"/>
  <c r="D83" i="5" s="1"/>
  <c r="C30" i="5"/>
  <c r="E30" i="5" s="1"/>
  <c r="H30" i="5"/>
  <c r="D30" i="5" s="1"/>
  <c r="H29" i="5"/>
  <c r="D29" i="5" s="1"/>
  <c r="C29" i="5"/>
  <c r="E29" i="5" s="1"/>
  <c r="H44" i="5"/>
  <c r="D44" i="5" s="1"/>
  <c r="C44" i="5"/>
  <c r="E44" i="5" s="1"/>
  <c r="H42" i="5"/>
  <c r="D42" i="5" s="1"/>
  <c r="C42" i="5"/>
  <c r="E42" i="5" s="1"/>
  <c r="H113" i="5"/>
  <c r="D113" i="5" s="1"/>
  <c r="C113" i="5"/>
  <c r="E113" i="5" s="1"/>
  <c r="C116" i="5"/>
  <c r="E116" i="5" s="1"/>
  <c r="H116" i="5"/>
  <c r="D116" i="5" s="1"/>
  <c r="C85" i="5"/>
  <c r="E85" i="5" s="1"/>
  <c r="H85" i="5"/>
  <c r="D85" i="5" s="1"/>
  <c r="C34" i="5"/>
  <c r="E34" i="5" s="1"/>
  <c r="H34" i="5"/>
  <c r="D34" i="5" s="1"/>
  <c r="C53" i="5"/>
  <c r="E53" i="5" s="1"/>
  <c r="H53" i="5"/>
  <c r="D53" i="5" s="1"/>
  <c r="H119" i="5"/>
  <c r="D119" i="5" s="1"/>
  <c r="C119" i="5"/>
  <c r="E119" i="5" s="1"/>
  <c r="C68" i="5"/>
  <c r="E68" i="5" s="1"/>
  <c r="H68" i="5"/>
  <c r="D68" i="5" s="1"/>
  <c r="H72" i="5"/>
  <c r="D72" i="5" s="1"/>
  <c r="C72" i="5"/>
  <c r="E72" i="5" s="1"/>
  <c r="C56" i="5"/>
  <c r="E56" i="5" s="1"/>
  <c r="H56" i="5"/>
  <c r="D56" i="5" s="1"/>
  <c r="H94" i="5"/>
  <c r="D94" i="5" s="1"/>
  <c r="F94" i="5" s="1"/>
  <c r="C70" i="5"/>
  <c r="E70" i="5" s="1"/>
  <c r="H70" i="5"/>
  <c r="D70" i="5" s="1"/>
  <c r="H105" i="5"/>
  <c r="D105" i="5" s="1"/>
  <c r="C105" i="5"/>
  <c r="E105" i="5" s="1"/>
  <c r="H69" i="5"/>
  <c r="D69" i="5" s="1"/>
  <c r="C69" i="5"/>
  <c r="E69" i="5" s="1"/>
  <c r="C25" i="5"/>
  <c r="E25" i="5" s="1"/>
  <c r="H25" i="5"/>
  <c r="D25" i="5" s="1"/>
  <c r="F7" i="5"/>
  <c r="H181" i="5"/>
  <c r="D181" i="5" s="1"/>
  <c r="C181" i="5"/>
  <c r="E181" i="5" s="1"/>
  <c r="H125" i="5"/>
  <c r="D125" i="5" s="1"/>
  <c r="C125" i="5"/>
  <c r="E125" i="5" s="1"/>
  <c r="C152" i="5"/>
  <c r="E152" i="5" s="1"/>
  <c r="H152" i="5"/>
  <c r="D152" i="5" s="1"/>
  <c r="H156" i="5"/>
  <c r="D156" i="5" s="1"/>
  <c r="C156" i="5"/>
  <c r="E156" i="5" s="1"/>
  <c r="H198" i="5"/>
  <c r="D198" i="5" s="1"/>
  <c r="C198" i="5"/>
  <c r="E198" i="5" s="1"/>
  <c r="C171" i="5"/>
  <c r="E171" i="5" s="1"/>
  <c r="H171" i="5"/>
  <c r="D171" i="5" s="1"/>
  <c r="C166" i="5"/>
  <c r="E166" i="5" s="1"/>
  <c r="H166" i="5"/>
  <c r="D166" i="5" s="1"/>
  <c r="H188" i="5"/>
  <c r="D188" i="5" s="1"/>
  <c r="C188" i="5"/>
  <c r="E188" i="5" s="1"/>
  <c r="C162" i="5"/>
  <c r="E162" i="5" s="1"/>
  <c r="H162" i="5"/>
  <c r="D162" i="5" s="1"/>
  <c r="C129" i="5"/>
  <c r="E129" i="5" s="1"/>
  <c r="H129" i="5"/>
  <c r="D129" i="5" s="1"/>
  <c r="C193" i="5"/>
  <c r="E193" i="5" s="1"/>
  <c r="H193" i="5"/>
  <c r="D193" i="5" s="1"/>
  <c r="H159" i="5"/>
  <c r="D159" i="5" s="1"/>
  <c r="C159" i="5"/>
  <c r="E159" i="5" s="1"/>
  <c r="H16" i="5"/>
  <c r="D16" i="5" s="1"/>
  <c r="C16" i="5"/>
  <c r="E16" i="5" s="1"/>
  <c r="H19" i="5"/>
  <c r="D19" i="5" s="1"/>
  <c r="C19" i="5"/>
  <c r="E19" i="5" s="1"/>
  <c r="C140" i="5"/>
  <c r="E140" i="5" s="1"/>
  <c r="H140" i="5"/>
  <c r="D140" i="5" s="1"/>
  <c r="H157" i="5"/>
  <c r="D157" i="5" s="1"/>
  <c r="C157" i="5"/>
  <c r="E157" i="5" s="1"/>
  <c r="C146" i="5"/>
  <c r="E146" i="5" s="1"/>
  <c r="H146" i="5"/>
  <c r="D146" i="5" s="1"/>
  <c r="H143" i="5"/>
  <c r="D143" i="5" s="1"/>
  <c r="C143" i="5"/>
  <c r="E143" i="5" s="1"/>
  <c r="H20" i="5"/>
  <c r="D20" i="5" s="1"/>
  <c r="C20" i="5"/>
  <c r="E20" i="5" s="1"/>
  <c r="C164" i="5"/>
  <c r="E164" i="5" s="1"/>
  <c r="H164" i="5"/>
  <c r="D164" i="5" s="1"/>
  <c r="C154" i="5"/>
  <c r="E154" i="5" s="1"/>
  <c r="H154" i="5"/>
  <c r="D154" i="5" s="1"/>
  <c r="H151" i="5"/>
  <c r="D151" i="5" s="1"/>
  <c r="C151" i="5"/>
  <c r="E151" i="5" s="1"/>
  <c r="C200" i="5"/>
  <c r="E200" i="5" s="1"/>
  <c r="H200" i="5"/>
  <c r="D200" i="5" s="1"/>
  <c r="H158" i="5"/>
  <c r="D158" i="5" s="1"/>
  <c r="C158" i="5"/>
  <c r="E158" i="5" s="1"/>
  <c r="H174" i="5"/>
  <c r="D174" i="5" s="1"/>
  <c r="C174" i="5"/>
  <c r="E174" i="5" s="1"/>
  <c r="H189" i="5"/>
  <c r="D189" i="5" s="1"/>
  <c r="C189" i="5"/>
  <c r="E189" i="5" s="1"/>
  <c r="C160" i="5"/>
  <c r="E160" i="5" s="1"/>
  <c r="H160" i="5"/>
  <c r="D160" i="5" s="1"/>
  <c r="H173" i="5"/>
  <c r="D173" i="5" s="1"/>
  <c r="C173" i="5"/>
  <c r="E173" i="5" s="1"/>
  <c r="C195" i="5"/>
  <c r="E195" i="5" s="1"/>
  <c r="H195" i="5"/>
  <c r="D195" i="5" s="1"/>
  <c r="H190" i="5"/>
  <c r="D190" i="5" s="1"/>
  <c r="C190" i="5"/>
  <c r="E190" i="5" s="1"/>
  <c r="C170" i="5"/>
  <c r="E170" i="5" s="1"/>
  <c r="H170" i="5"/>
  <c r="D170" i="5" s="1"/>
  <c r="C137" i="5"/>
  <c r="E137" i="5" s="1"/>
  <c r="H137" i="5"/>
  <c r="D137" i="5" s="1"/>
  <c r="H201" i="5"/>
  <c r="D201" i="5" s="1"/>
  <c r="C201" i="5"/>
  <c r="E201" i="5" s="1"/>
  <c r="H167" i="5"/>
  <c r="D167" i="5" s="1"/>
  <c r="C167" i="5"/>
  <c r="E167" i="5" s="1"/>
  <c r="H11" i="5"/>
  <c r="D11" i="5" s="1"/>
  <c r="C11" i="5"/>
  <c r="E11" i="5" s="1"/>
  <c r="H23" i="5"/>
  <c r="D23" i="5" s="1"/>
  <c r="C23" i="5"/>
  <c r="E23" i="5" s="1"/>
  <c r="C147" i="5"/>
  <c r="E147" i="5" s="1"/>
  <c r="H147" i="5"/>
  <c r="D147" i="5" s="1"/>
  <c r="H172" i="5"/>
  <c r="D172" i="5" s="1"/>
  <c r="C172" i="5"/>
  <c r="E172" i="5" s="1"/>
  <c r="C179" i="5"/>
  <c r="E179" i="5" s="1"/>
  <c r="H179" i="5"/>
  <c r="D179" i="5" s="1"/>
  <c r="H132" i="5"/>
  <c r="D132" i="5" s="1"/>
  <c r="C132" i="5"/>
  <c r="E132" i="5" s="1"/>
  <c r="H180" i="5"/>
  <c r="D180" i="5" s="1"/>
  <c r="C180" i="5"/>
  <c r="E180" i="5" s="1"/>
  <c r="C184" i="5"/>
  <c r="E184" i="5" s="1"/>
  <c r="H184" i="5"/>
  <c r="D184" i="5" s="1"/>
  <c r="H197" i="5"/>
  <c r="D197" i="5" s="1"/>
  <c r="C197" i="5"/>
  <c r="E197" i="5" s="1"/>
  <c r="C178" i="5"/>
  <c r="E178" i="5" s="1"/>
  <c r="H178" i="5"/>
  <c r="D178" i="5" s="1"/>
  <c r="H145" i="5"/>
  <c r="D145" i="5" s="1"/>
  <c r="C145" i="5"/>
  <c r="E145" i="5" s="1"/>
  <c r="H175" i="5"/>
  <c r="D175" i="5" s="1"/>
  <c r="C175" i="5"/>
  <c r="E175" i="5" s="1"/>
  <c r="H14" i="5"/>
  <c r="D14" i="5" s="1"/>
  <c r="C14" i="5"/>
  <c r="E14" i="5" s="1"/>
  <c r="C144" i="5"/>
  <c r="E144" i="5" s="1"/>
  <c r="H144" i="5"/>
  <c r="D144" i="5" s="1"/>
  <c r="C177" i="5"/>
  <c r="E177" i="5" s="1"/>
  <c r="H177" i="5"/>
  <c r="D177" i="5" s="1"/>
  <c r="H21" i="5"/>
  <c r="D21" i="5" s="1"/>
  <c r="C21" i="5"/>
  <c r="E21" i="5" s="1"/>
  <c r="C142" i="5"/>
  <c r="E142" i="5" s="1"/>
  <c r="H142" i="5"/>
  <c r="D142" i="5" s="1"/>
  <c r="H9" i="5"/>
  <c r="D9" i="5" s="1"/>
  <c r="C9" i="5"/>
  <c r="E9" i="5" s="1"/>
  <c r="H18" i="5"/>
  <c r="D18" i="5" s="1"/>
  <c r="C18" i="5"/>
  <c r="E18" i="5" s="1"/>
  <c r="H13" i="5"/>
  <c r="D13" i="5" s="1"/>
  <c r="C13" i="5"/>
  <c r="E13" i="5" s="1"/>
  <c r="H24" i="5"/>
  <c r="D24" i="5" s="1"/>
  <c r="C24" i="5"/>
  <c r="E24" i="5" s="1"/>
  <c r="C139" i="5"/>
  <c r="E139" i="5" s="1"/>
  <c r="H139" i="5"/>
  <c r="D139" i="5" s="1"/>
  <c r="C187" i="5"/>
  <c r="E187" i="5" s="1"/>
  <c r="H187" i="5"/>
  <c r="D187" i="5" s="1"/>
  <c r="C203" i="5"/>
  <c r="E203" i="5" s="1"/>
  <c r="H203" i="5"/>
  <c r="D203" i="5" s="1"/>
  <c r="H134" i="5"/>
  <c r="D134" i="5" s="1"/>
  <c r="C134" i="5"/>
  <c r="E134" i="5" s="1"/>
  <c r="C182" i="5"/>
  <c r="E182" i="5" s="1"/>
  <c r="H182" i="5"/>
  <c r="D182" i="5" s="1"/>
  <c r="H204" i="5"/>
  <c r="D204" i="5" s="1"/>
  <c r="C204" i="5"/>
  <c r="E204" i="5" s="1"/>
  <c r="C186" i="5"/>
  <c r="E186" i="5" s="1"/>
  <c r="H186" i="5"/>
  <c r="D186" i="5" s="1"/>
  <c r="C153" i="5"/>
  <c r="E153" i="5" s="1"/>
  <c r="H153" i="5"/>
  <c r="D153" i="5" s="1"/>
  <c r="H183" i="5"/>
  <c r="D183" i="5" s="1"/>
  <c r="C183" i="5"/>
  <c r="E183" i="5" s="1"/>
  <c r="H148" i="5"/>
  <c r="D148" i="5" s="1"/>
  <c r="C148" i="5"/>
  <c r="E148" i="5" s="1"/>
  <c r="C176" i="5"/>
  <c r="E176" i="5" s="1"/>
  <c r="H176" i="5"/>
  <c r="D176" i="5" s="1"/>
  <c r="H141" i="5"/>
  <c r="D141" i="5" s="1"/>
  <c r="C141" i="5"/>
  <c r="E141" i="5" s="1"/>
  <c r="H196" i="5"/>
  <c r="D196" i="5" s="1"/>
  <c r="C196" i="5"/>
  <c r="E196" i="5" s="1"/>
  <c r="C168" i="5"/>
  <c r="E168" i="5" s="1"/>
  <c r="H168" i="5"/>
  <c r="D168" i="5" s="1"/>
  <c r="H185" i="5"/>
  <c r="D185" i="5" s="1"/>
  <c r="C185" i="5"/>
  <c r="E185" i="5" s="1"/>
  <c r="H149" i="5"/>
  <c r="D149" i="5" s="1"/>
  <c r="C149" i="5"/>
  <c r="E149" i="5" s="1"/>
  <c r="H10" i="5"/>
  <c r="D10" i="5" s="1"/>
  <c r="C10" i="5"/>
  <c r="E10" i="5" s="1"/>
  <c r="H8" i="5"/>
  <c r="D8" i="5" s="1"/>
  <c r="C8" i="5"/>
  <c r="E8" i="5" s="1"/>
  <c r="H22" i="5"/>
  <c r="D22" i="5" s="1"/>
  <c r="C22" i="5"/>
  <c r="E22" i="5" s="1"/>
  <c r="H12" i="5"/>
  <c r="D12" i="5" s="1"/>
  <c r="C12" i="5"/>
  <c r="E12" i="5" s="1"/>
  <c r="H15" i="5"/>
  <c r="D15" i="5" s="1"/>
  <c r="C15" i="5"/>
  <c r="E15" i="5" s="1"/>
  <c r="C163" i="5"/>
  <c r="E163" i="5" s="1"/>
  <c r="H163" i="5"/>
  <c r="D163" i="5" s="1"/>
  <c r="C131" i="5"/>
  <c r="E131" i="5" s="1"/>
  <c r="H131" i="5"/>
  <c r="D131" i="5" s="1"/>
  <c r="H126" i="5"/>
  <c r="D126" i="5" s="1"/>
  <c r="C126" i="5"/>
  <c r="E126" i="5" s="1"/>
  <c r="C130" i="5"/>
  <c r="E130" i="5" s="1"/>
  <c r="H130" i="5"/>
  <c r="D130" i="5" s="1"/>
  <c r="C194" i="5"/>
  <c r="E194" i="5" s="1"/>
  <c r="H194" i="5"/>
  <c r="D194" i="5" s="1"/>
  <c r="H161" i="5"/>
  <c r="D161" i="5" s="1"/>
  <c r="C161" i="5"/>
  <c r="E161" i="5" s="1"/>
  <c r="H127" i="5"/>
  <c r="D127" i="5" s="1"/>
  <c r="C127" i="5"/>
  <c r="E127" i="5" s="1"/>
  <c r="H191" i="5"/>
  <c r="D191" i="5" s="1"/>
  <c r="C191" i="5"/>
  <c r="E191" i="5" s="1"/>
  <c r="H150" i="5"/>
  <c r="D150" i="5" s="1"/>
  <c r="C150" i="5"/>
  <c r="E150" i="5" s="1"/>
  <c r="H17" i="5"/>
  <c r="D17" i="5" s="1"/>
  <c r="C17" i="5"/>
  <c r="E17" i="5" s="1"/>
  <c r="C128" i="5"/>
  <c r="E128" i="5" s="1"/>
  <c r="H128" i="5"/>
  <c r="D128" i="5" s="1"/>
  <c r="C192" i="5"/>
  <c r="E192" i="5" s="1"/>
  <c r="H192" i="5"/>
  <c r="D192" i="5" s="1"/>
  <c r="C136" i="5"/>
  <c r="E136" i="5" s="1"/>
  <c r="H136" i="5"/>
  <c r="D136" i="5" s="1"/>
  <c r="H165" i="5"/>
  <c r="D165" i="5" s="1"/>
  <c r="C165" i="5"/>
  <c r="E165" i="5" s="1"/>
  <c r="H133" i="5"/>
  <c r="D133" i="5" s="1"/>
  <c r="C133" i="5"/>
  <c r="E133" i="5" s="1"/>
  <c r="C155" i="5"/>
  <c r="E155" i="5" s="1"/>
  <c r="H155" i="5"/>
  <c r="D155" i="5" s="1"/>
  <c r="C138" i="5"/>
  <c r="E138" i="5" s="1"/>
  <c r="H138" i="5"/>
  <c r="D138" i="5" s="1"/>
  <c r="C202" i="5"/>
  <c r="E202" i="5" s="1"/>
  <c r="H202" i="5"/>
  <c r="D202" i="5" s="1"/>
  <c r="C169" i="5"/>
  <c r="E169" i="5" s="1"/>
  <c r="H169" i="5"/>
  <c r="D169" i="5" s="1"/>
  <c r="H135" i="5"/>
  <c r="D135" i="5" s="1"/>
  <c r="C135" i="5"/>
  <c r="E135" i="5" s="1"/>
  <c r="H199" i="5"/>
  <c r="D199" i="5" s="1"/>
  <c r="C199" i="5"/>
  <c r="E199" i="5" s="1"/>
  <c r="L2" i="2"/>
  <c r="T2" i="2" s="1"/>
  <c r="M2" i="2"/>
  <c r="I17" i="2"/>
  <c r="I18" i="2"/>
  <c r="J13" i="2"/>
  <c r="K13" i="2" s="1"/>
  <c r="J7" i="2"/>
  <c r="K7" i="2" s="1"/>
  <c r="J10" i="2"/>
  <c r="K10" i="2" s="1"/>
  <c r="J3" i="2"/>
  <c r="K3" i="2" s="1"/>
  <c r="J173" i="2"/>
  <c r="K173" i="2" s="1"/>
  <c r="J64" i="2"/>
  <c r="K64" i="2" s="1"/>
  <c r="J14" i="2"/>
  <c r="K14" i="2" s="1"/>
  <c r="J52" i="2"/>
  <c r="K52" i="2" s="1"/>
  <c r="J78" i="2"/>
  <c r="K78" i="2" s="1"/>
  <c r="J127" i="2"/>
  <c r="K127" i="2" s="1"/>
  <c r="J184" i="2"/>
  <c r="K184" i="2" s="1"/>
  <c r="J58" i="2"/>
  <c r="K58" i="2" s="1"/>
  <c r="J116" i="2"/>
  <c r="J63" i="2"/>
  <c r="K63" i="2" s="1"/>
  <c r="J193" i="2"/>
  <c r="K193" i="2" s="1"/>
  <c r="J86" i="2"/>
  <c r="K86" i="2" s="1"/>
  <c r="J135" i="2"/>
  <c r="K135" i="2" s="1"/>
  <c r="J192" i="2"/>
  <c r="K192" i="2" s="1"/>
  <c r="J122" i="2"/>
  <c r="K122" i="2" s="1"/>
  <c r="J180" i="2"/>
  <c r="J120" i="2"/>
  <c r="J71" i="2"/>
  <c r="K71" i="2" s="1"/>
  <c r="J142" i="2"/>
  <c r="K142" i="2" s="1"/>
  <c r="J191" i="2"/>
  <c r="K191" i="2" s="1"/>
  <c r="J57" i="2"/>
  <c r="K57" i="2" s="1"/>
  <c r="J186" i="2"/>
  <c r="K186" i="2" s="1"/>
  <c r="J45" i="2"/>
  <c r="K45" i="2" s="1"/>
  <c r="J123" i="2"/>
  <c r="J185" i="2"/>
  <c r="K185" i="2" s="1"/>
  <c r="J128" i="2"/>
  <c r="K128" i="2" s="1"/>
  <c r="J150" i="2"/>
  <c r="K150" i="2" s="1"/>
  <c r="J199" i="2"/>
  <c r="K199" i="2" s="1"/>
  <c r="J65" i="2"/>
  <c r="K65" i="2" s="1"/>
  <c r="J194" i="2"/>
  <c r="K194" i="2" s="1"/>
  <c r="J109" i="2"/>
  <c r="K109" i="2" s="1"/>
  <c r="J129" i="2"/>
  <c r="J187" i="2"/>
  <c r="J22" i="2"/>
  <c r="K22" i="2" s="1"/>
  <c r="J56" i="2"/>
  <c r="K56" i="2" s="1"/>
  <c r="J121" i="2"/>
  <c r="K121" i="2" s="1"/>
  <c r="J59" i="2"/>
  <c r="K59" i="2" s="1"/>
  <c r="J124" i="2"/>
  <c r="K124" i="2" s="1"/>
  <c r="J53" i="2"/>
  <c r="K53" i="2" s="1"/>
  <c r="J181" i="2"/>
  <c r="K181" i="2" s="1"/>
  <c r="J30" i="2"/>
  <c r="J94" i="2"/>
  <c r="K94" i="2" s="1"/>
  <c r="J158" i="2"/>
  <c r="K158" i="2" s="1"/>
  <c r="J15" i="2"/>
  <c r="K15" i="2" s="1"/>
  <c r="J79" i="2"/>
  <c r="K79" i="2" s="1"/>
  <c r="J143" i="2"/>
  <c r="J8" i="2"/>
  <c r="J72" i="2"/>
  <c r="J136" i="2"/>
  <c r="K136" i="2" s="1"/>
  <c r="J9" i="2"/>
  <c r="J73" i="2"/>
  <c r="K73" i="2" s="1"/>
  <c r="J137" i="2"/>
  <c r="K137" i="2" s="1"/>
  <c r="J74" i="2"/>
  <c r="K74" i="2" s="1"/>
  <c r="J138" i="2"/>
  <c r="K138" i="2" s="1"/>
  <c r="J11" i="2"/>
  <c r="J75" i="2"/>
  <c r="K75" i="2" s="1"/>
  <c r="J139" i="2"/>
  <c r="K139" i="2" s="1"/>
  <c r="J4" i="2"/>
  <c r="K4" i="2" s="1"/>
  <c r="J68" i="2"/>
  <c r="K68" i="2" s="1"/>
  <c r="J132" i="2"/>
  <c r="K132" i="2" s="1"/>
  <c r="J196" i="2"/>
  <c r="K196" i="2" s="1"/>
  <c r="J61" i="2"/>
  <c r="K61" i="2" s="1"/>
  <c r="J125" i="2"/>
  <c r="J189" i="2"/>
  <c r="K189" i="2" s="1"/>
  <c r="J130" i="2"/>
  <c r="K130" i="2" s="1"/>
  <c r="J131" i="2"/>
  <c r="K131" i="2" s="1"/>
  <c r="J188" i="2"/>
  <c r="J117" i="2"/>
  <c r="K117" i="2" s="1"/>
  <c r="J38" i="2"/>
  <c r="K38" i="2" s="1"/>
  <c r="J102" i="2"/>
  <c r="K102" i="2" s="1"/>
  <c r="J166" i="2"/>
  <c r="K166" i="2" s="1"/>
  <c r="J23" i="2"/>
  <c r="J87" i="2"/>
  <c r="J151" i="2"/>
  <c r="K151" i="2" s="1"/>
  <c r="J16" i="2"/>
  <c r="K16" i="2" s="1"/>
  <c r="J80" i="2"/>
  <c r="K80" i="2" s="1"/>
  <c r="J144" i="2"/>
  <c r="K144" i="2" s="1"/>
  <c r="J17" i="2"/>
  <c r="K17" i="2" s="1"/>
  <c r="J81" i="2"/>
  <c r="K81" i="2" s="1"/>
  <c r="J145" i="2"/>
  <c r="K145" i="2" s="1"/>
  <c r="J18" i="2"/>
  <c r="J82" i="2"/>
  <c r="K82" i="2" s="1"/>
  <c r="J146" i="2"/>
  <c r="K146" i="2" s="1"/>
  <c r="J19" i="2"/>
  <c r="K19" i="2" s="1"/>
  <c r="J83" i="2"/>
  <c r="J147" i="2"/>
  <c r="K147" i="2" s="1"/>
  <c r="J12" i="2"/>
  <c r="J76" i="2"/>
  <c r="J140" i="2"/>
  <c r="K140" i="2" s="1"/>
  <c r="J5" i="2"/>
  <c r="J69" i="2"/>
  <c r="K69" i="2" s="1"/>
  <c r="J133" i="2"/>
  <c r="K133" i="2" s="1"/>
  <c r="J197" i="2"/>
  <c r="K197" i="2" s="1"/>
  <c r="J60" i="2"/>
  <c r="K60" i="2" s="1"/>
  <c r="J174" i="2"/>
  <c r="J159" i="2"/>
  <c r="J152" i="2"/>
  <c r="J153" i="2"/>
  <c r="K153" i="2" s="1"/>
  <c r="J27" i="2"/>
  <c r="K27" i="2" s="1"/>
  <c r="J195" i="2"/>
  <c r="K195" i="2" s="1"/>
  <c r="J110" i="2"/>
  <c r="K110" i="2" s="1"/>
  <c r="J95" i="2"/>
  <c r="J88" i="2"/>
  <c r="J89" i="2"/>
  <c r="K89" i="2" s="1"/>
  <c r="J90" i="2"/>
  <c r="K90" i="2" s="1"/>
  <c r="J91" i="2"/>
  <c r="K91" i="2" s="1"/>
  <c r="J20" i="2"/>
  <c r="K20" i="2" s="1"/>
  <c r="J77" i="2"/>
  <c r="K77" i="2" s="1"/>
  <c r="J54" i="2"/>
  <c r="J118" i="2"/>
  <c r="J182" i="2"/>
  <c r="K182" i="2" s="1"/>
  <c r="J39" i="2"/>
  <c r="K39" i="2" s="1"/>
  <c r="J103" i="2"/>
  <c r="K103" i="2" s="1"/>
  <c r="J167" i="2"/>
  <c r="K167" i="2" s="1"/>
  <c r="J32" i="2"/>
  <c r="K32" i="2" s="1"/>
  <c r="J96" i="2"/>
  <c r="K96" i="2" s="1"/>
  <c r="J160" i="2"/>
  <c r="J33" i="2"/>
  <c r="J97" i="2"/>
  <c r="K97" i="2" s="1"/>
  <c r="J161" i="2"/>
  <c r="K161" i="2" s="1"/>
  <c r="J34" i="2"/>
  <c r="K34" i="2" s="1"/>
  <c r="J98" i="2"/>
  <c r="K98" i="2" s="1"/>
  <c r="J162" i="2"/>
  <c r="K162" i="2" s="1"/>
  <c r="J35" i="2"/>
  <c r="K35" i="2" s="1"/>
  <c r="J99" i="2"/>
  <c r="J163" i="2"/>
  <c r="J28" i="2"/>
  <c r="K28" i="2" s="1"/>
  <c r="J92" i="2"/>
  <c r="K92" i="2" s="1"/>
  <c r="J156" i="2"/>
  <c r="K156" i="2" s="1"/>
  <c r="J21" i="2"/>
  <c r="K21" i="2" s="1"/>
  <c r="J85" i="2"/>
  <c r="K85" i="2" s="1"/>
  <c r="J149" i="2"/>
  <c r="K149" i="2" s="1"/>
  <c r="J62" i="2"/>
  <c r="J126" i="2"/>
  <c r="J190" i="2"/>
  <c r="J47" i="2"/>
  <c r="K47" i="2" s="1"/>
  <c r="J111" i="2"/>
  <c r="K111" i="2" s="1"/>
  <c r="J175" i="2"/>
  <c r="K175" i="2" s="1"/>
  <c r="J40" i="2"/>
  <c r="K40" i="2" s="1"/>
  <c r="J104" i="2"/>
  <c r="K104" i="2" s="1"/>
  <c r="J168" i="2"/>
  <c r="J41" i="2"/>
  <c r="J105" i="2"/>
  <c r="J169" i="2"/>
  <c r="K169" i="2" s="1"/>
  <c r="J42" i="2"/>
  <c r="K42" i="2" s="1"/>
  <c r="J106" i="2"/>
  <c r="K106" i="2" s="1"/>
  <c r="J170" i="2"/>
  <c r="K170" i="2" s="1"/>
  <c r="J43" i="2"/>
  <c r="K43" i="2" s="1"/>
  <c r="J107" i="2"/>
  <c r="J171" i="2"/>
  <c r="J36" i="2"/>
  <c r="J100" i="2"/>
  <c r="K100" i="2" s="1"/>
  <c r="J164" i="2"/>
  <c r="K164" i="2" s="1"/>
  <c r="J29" i="2"/>
  <c r="K29" i="2" s="1"/>
  <c r="J93" i="2"/>
  <c r="K93" i="2" s="1"/>
  <c r="J157" i="2"/>
  <c r="K157" i="2" s="1"/>
  <c r="J66" i="2"/>
  <c r="K66" i="2" s="1"/>
  <c r="J67" i="2"/>
  <c r="K67" i="2" s="1"/>
  <c r="J46" i="2"/>
  <c r="K46" i="2" s="1"/>
  <c r="J31" i="2"/>
  <c r="K31" i="2" s="1"/>
  <c r="J24" i="2"/>
  <c r="K24" i="2" s="1"/>
  <c r="J25" i="2"/>
  <c r="K25" i="2" s="1"/>
  <c r="J26" i="2"/>
  <c r="K26" i="2" s="1"/>
  <c r="J154" i="2"/>
  <c r="K154" i="2" s="1"/>
  <c r="J155" i="2"/>
  <c r="K155" i="2" s="1"/>
  <c r="J84" i="2"/>
  <c r="J148" i="2"/>
  <c r="K148" i="2" s="1"/>
  <c r="J141" i="2"/>
  <c r="K141" i="2" s="1"/>
  <c r="J6" i="2"/>
  <c r="J70" i="2"/>
  <c r="K70" i="2" s="1"/>
  <c r="J134" i="2"/>
  <c r="K134" i="2" s="1"/>
  <c r="J198" i="2"/>
  <c r="K198" i="2" s="1"/>
  <c r="J55" i="2"/>
  <c r="J119" i="2"/>
  <c r="J183" i="2"/>
  <c r="J48" i="2"/>
  <c r="K48" i="2" s="1"/>
  <c r="J112" i="2"/>
  <c r="K112" i="2" s="1"/>
  <c r="J176" i="2"/>
  <c r="K176" i="2" s="1"/>
  <c r="J49" i="2"/>
  <c r="K49" i="2" s="1"/>
  <c r="J113" i="2"/>
  <c r="K113" i="2" s="1"/>
  <c r="J177" i="2"/>
  <c r="J50" i="2"/>
  <c r="J114" i="2"/>
  <c r="J178" i="2"/>
  <c r="K178" i="2" s="1"/>
  <c r="J51" i="2"/>
  <c r="K51" i="2" s="1"/>
  <c r="J115" i="2"/>
  <c r="K115" i="2" s="1"/>
  <c r="J179" i="2"/>
  <c r="K179" i="2" s="1"/>
  <c r="J44" i="2"/>
  <c r="K44" i="2" s="1"/>
  <c r="J108" i="2"/>
  <c r="J172" i="2"/>
  <c r="J37" i="2"/>
  <c r="J101" i="2"/>
  <c r="K101" i="2" s="1"/>
  <c r="J165" i="2"/>
  <c r="K165" i="2" s="1"/>
  <c r="F64" i="5" l="1"/>
  <c r="F119" i="5"/>
  <c r="F58" i="5"/>
  <c r="F34" i="5"/>
  <c r="F83" i="5"/>
  <c r="F25" i="5"/>
  <c r="F116" i="5"/>
  <c r="F106" i="5"/>
  <c r="F46" i="5"/>
  <c r="F36" i="5"/>
  <c r="F53" i="5"/>
  <c r="F48" i="5"/>
  <c r="F118" i="5"/>
  <c r="F28" i="5"/>
  <c r="F62" i="5"/>
  <c r="F104" i="5"/>
  <c r="F70" i="5"/>
  <c r="F86" i="5"/>
  <c r="F55" i="5"/>
  <c r="F108" i="5"/>
  <c r="F122" i="5"/>
  <c r="F123" i="5"/>
  <c r="F44" i="5"/>
  <c r="F35" i="5"/>
  <c r="F60" i="5"/>
  <c r="F99" i="5"/>
  <c r="F95" i="5"/>
  <c r="F89" i="5"/>
  <c r="F74" i="5"/>
  <c r="F72" i="5"/>
  <c r="F113" i="5"/>
  <c r="F45" i="5"/>
  <c r="F98" i="5"/>
  <c r="F26" i="5"/>
  <c r="F31" i="5"/>
  <c r="F52" i="5"/>
  <c r="F42" i="5"/>
  <c r="F82" i="5"/>
  <c r="F32" i="5"/>
  <c r="F102" i="5"/>
  <c r="F124" i="5"/>
  <c r="F69" i="5"/>
  <c r="F57" i="5"/>
  <c r="F33" i="5"/>
  <c r="F93" i="5"/>
  <c r="F107" i="5"/>
  <c r="F109" i="5"/>
  <c r="F47" i="5"/>
  <c r="F101" i="5"/>
  <c r="F85" i="5"/>
  <c r="F120" i="5"/>
  <c r="F51" i="5"/>
  <c r="F27" i="5"/>
  <c r="F71" i="5"/>
  <c r="F79" i="5"/>
  <c r="F38" i="5"/>
  <c r="F81" i="5"/>
  <c r="F110" i="5"/>
  <c r="F68" i="5"/>
  <c r="F30" i="5"/>
  <c r="F115" i="5"/>
  <c r="F92" i="5"/>
  <c r="F105" i="5"/>
  <c r="F56" i="5"/>
  <c r="F77" i="5"/>
  <c r="F39" i="5"/>
  <c r="F40" i="5"/>
  <c r="F103" i="5"/>
  <c r="F75" i="5"/>
  <c r="F80" i="5"/>
  <c r="F117" i="5"/>
  <c r="F96" i="5"/>
  <c r="F65" i="5"/>
  <c r="F88" i="5"/>
  <c r="F87" i="5"/>
  <c r="F49" i="5"/>
  <c r="F100" i="5"/>
  <c r="F50" i="5"/>
  <c r="F61" i="5"/>
  <c r="F67" i="5"/>
  <c r="F91" i="5"/>
  <c r="F63" i="5"/>
  <c r="F43" i="5"/>
  <c r="F121" i="5"/>
  <c r="F66" i="5"/>
  <c r="F112" i="5"/>
  <c r="F114" i="5"/>
  <c r="F29" i="5"/>
  <c r="F73" i="5"/>
  <c r="F78" i="5"/>
  <c r="F76" i="5"/>
  <c r="F59" i="5"/>
  <c r="F90" i="5"/>
  <c r="F54" i="5"/>
  <c r="F111" i="5"/>
  <c r="F97" i="5"/>
  <c r="F196" i="5"/>
  <c r="F132" i="5"/>
  <c r="F195" i="5"/>
  <c r="F151" i="5"/>
  <c r="F129" i="5"/>
  <c r="F17" i="5"/>
  <c r="F167" i="5"/>
  <c r="F15" i="5"/>
  <c r="F171" i="5"/>
  <c r="F125" i="5"/>
  <c r="F190" i="5"/>
  <c r="F162" i="5"/>
  <c r="F177" i="5"/>
  <c r="F183" i="5"/>
  <c r="F9" i="5"/>
  <c r="F189" i="5"/>
  <c r="F156" i="5"/>
  <c r="D3" i="5"/>
  <c r="F12" i="5"/>
  <c r="F176" i="5"/>
  <c r="F172" i="5"/>
  <c r="F133" i="5"/>
  <c r="F138" i="5"/>
  <c r="F130" i="5"/>
  <c r="F144" i="5"/>
  <c r="F19" i="5"/>
  <c r="F126" i="5"/>
  <c r="F199" i="5"/>
  <c r="F163" i="5"/>
  <c r="F149" i="5"/>
  <c r="F153" i="5"/>
  <c r="F18" i="5"/>
  <c r="F145" i="5"/>
  <c r="F147" i="5"/>
  <c r="F23" i="5"/>
  <c r="F201" i="5"/>
  <c r="F170" i="5"/>
  <c r="F164" i="5"/>
  <c r="F157" i="5"/>
  <c r="F11" i="5"/>
  <c r="F136" i="5"/>
  <c r="F127" i="5"/>
  <c r="F139" i="5"/>
  <c r="F175" i="5"/>
  <c r="F193" i="5"/>
  <c r="F188" i="5"/>
  <c r="F135" i="5"/>
  <c r="F204" i="5"/>
  <c r="F203" i="5"/>
  <c r="F143" i="5"/>
  <c r="F16" i="5"/>
  <c r="F198" i="5"/>
  <c r="F168" i="5"/>
  <c r="F186" i="5"/>
  <c r="F14" i="5"/>
  <c r="F179" i="5"/>
  <c r="F137" i="5"/>
  <c r="F160" i="5"/>
  <c r="F158" i="5"/>
  <c r="F20" i="5"/>
  <c r="F140" i="5"/>
  <c r="F181" i="5"/>
  <c r="F202" i="5"/>
  <c r="F131" i="5"/>
  <c r="F134" i="5"/>
  <c r="F197" i="5"/>
  <c r="F13" i="5"/>
  <c r="F21" i="5"/>
  <c r="F169" i="5"/>
  <c r="F141" i="5"/>
  <c r="F154" i="5"/>
  <c r="F159" i="5"/>
  <c r="G7" i="5"/>
  <c r="F152" i="5"/>
  <c r="F194" i="5"/>
  <c r="F150" i="5"/>
  <c r="F22" i="5"/>
  <c r="F185" i="5"/>
  <c r="F128" i="5"/>
  <c r="F161" i="5"/>
  <c r="F10" i="5"/>
  <c r="F148" i="5"/>
  <c r="F142" i="5"/>
  <c r="F178" i="5"/>
  <c r="F192" i="5"/>
  <c r="F184" i="5"/>
  <c r="F155" i="5"/>
  <c r="F165" i="5"/>
  <c r="F191" i="5"/>
  <c r="F8" i="5"/>
  <c r="F182" i="5"/>
  <c r="F187" i="5"/>
  <c r="F24" i="5"/>
  <c r="F180" i="5"/>
  <c r="F173" i="5"/>
  <c r="F174" i="5"/>
  <c r="F200" i="5"/>
  <c r="F146" i="5"/>
  <c r="F166" i="5"/>
  <c r="P2" i="2"/>
  <c r="W2" i="2" s="1"/>
  <c r="M199" i="2"/>
  <c r="M198" i="2"/>
  <c r="M134" i="2"/>
  <c r="M85" i="2"/>
  <c r="M162" i="2"/>
  <c r="M133" i="2"/>
  <c r="M80" i="2"/>
  <c r="M117" i="2"/>
  <c r="M132" i="2"/>
  <c r="M79" i="2"/>
  <c r="M59" i="2"/>
  <c r="M194" i="2"/>
  <c r="M186" i="2"/>
  <c r="M184" i="2"/>
  <c r="M173" i="2"/>
  <c r="M176" i="2"/>
  <c r="M175" i="2"/>
  <c r="M98" i="2"/>
  <c r="M167" i="2"/>
  <c r="M91" i="2"/>
  <c r="M69" i="2"/>
  <c r="M146" i="2"/>
  <c r="M68" i="2"/>
  <c r="M137" i="2"/>
  <c r="M121" i="2"/>
  <c r="M65" i="2"/>
  <c r="M57" i="2"/>
  <c r="M135" i="2"/>
  <c r="M127" i="2"/>
  <c r="M113" i="2"/>
  <c r="M179" i="2"/>
  <c r="M192" i="2"/>
  <c r="M70" i="2"/>
  <c r="M111" i="2"/>
  <c r="M156" i="2"/>
  <c r="M103" i="2"/>
  <c r="M90" i="2"/>
  <c r="M153" i="2"/>
  <c r="M82" i="2"/>
  <c r="M151" i="2"/>
  <c r="M131" i="2"/>
  <c r="M73" i="2"/>
  <c r="M158" i="2"/>
  <c r="M56" i="2"/>
  <c r="M191" i="2"/>
  <c r="M86" i="2"/>
  <c r="M78" i="2"/>
  <c r="M92" i="2"/>
  <c r="M161" i="2"/>
  <c r="M89" i="2"/>
  <c r="M140" i="2"/>
  <c r="M130" i="2"/>
  <c r="M139" i="2"/>
  <c r="M94" i="2"/>
  <c r="M150" i="2"/>
  <c r="M142" i="2"/>
  <c r="M193" i="2"/>
  <c r="M52" i="2"/>
  <c r="M157" i="2"/>
  <c r="M170" i="2"/>
  <c r="M115" i="2"/>
  <c r="M106" i="2"/>
  <c r="M51" i="2"/>
  <c r="M100" i="2"/>
  <c r="M97" i="2"/>
  <c r="M75" i="2"/>
  <c r="M136" i="2"/>
  <c r="M128" i="2"/>
  <c r="M71" i="2"/>
  <c r="M63" i="2"/>
  <c r="M165" i="2"/>
  <c r="M164" i="2"/>
  <c r="M178" i="2"/>
  <c r="M141" i="2"/>
  <c r="M169" i="2"/>
  <c r="M148" i="2"/>
  <c r="M182" i="2"/>
  <c r="M145" i="2"/>
  <c r="M67" i="2"/>
  <c r="M81" i="2"/>
  <c r="M166" i="2"/>
  <c r="M181" i="2"/>
  <c r="M185" i="2"/>
  <c r="M64" i="2"/>
  <c r="M154" i="2"/>
  <c r="M93" i="2"/>
  <c r="M112" i="2"/>
  <c r="M101" i="2"/>
  <c r="M155" i="2"/>
  <c r="M66" i="2"/>
  <c r="M110" i="2"/>
  <c r="M60" i="2"/>
  <c r="M147" i="2"/>
  <c r="M102" i="2"/>
  <c r="M61" i="2"/>
  <c r="M138" i="2"/>
  <c r="M53" i="2"/>
  <c r="M104" i="2"/>
  <c r="M149" i="2"/>
  <c r="M96" i="2"/>
  <c r="M77" i="2"/>
  <c r="M195" i="2"/>
  <c r="M197" i="2"/>
  <c r="M144" i="2"/>
  <c r="M196" i="2"/>
  <c r="M74" i="2"/>
  <c r="M124" i="2"/>
  <c r="M109" i="2"/>
  <c r="M122" i="2"/>
  <c r="M58" i="2"/>
  <c r="M189" i="2"/>
  <c r="M46" i="2"/>
  <c r="M44" i="2"/>
  <c r="M43" i="2"/>
  <c r="M35" i="2"/>
  <c r="M38" i="2"/>
  <c r="M26" i="2"/>
  <c r="M40" i="2"/>
  <c r="M32" i="2"/>
  <c r="M20" i="2"/>
  <c r="M13" i="2"/>
  <c r="M19" i="2"/>
  <c r="M10" i="2"/>
  <c r="M3" i="2"/>
  <c r="M25" i="2"/>
  <c r="M29" i="2"/>
  <c r="M21" i="2"/>
  <c r="M27" i="2"/>
  <c r="M16" i="2"/>
  <c r="M15" i="2"/>
  <c r="M7" i="2"/>
  <c r="M42" i="2"/>
  <c r="M34" i="2"/>
  <c r="M39" i="2"/>
  <c r="M31" i="2"/>
  <c r="M47" i="2"/>
  <c r="M45" i="2"/>
  <c r="M28" i="2"/>
  <c r="M24" i="2"/>
  <c r="M48" i="2"/>
  <c r="M22" i="2"/>
  <c r="M14" i="2"/>
  <c r="M49" i="2"/>
  <c r="M17" i="2"/>
  <c r="L128" i="2"/>
  <c r="T128" i="2" s="1"/>
  <c r="L59" i="2"/>
  <c r="T59" i="2" s="1"/>
  <c r="L65" i="2"/>
  <c r="T65" i="2" s="1"/>
  <c r="L186" i="2"/>
  <c r="T186" i="2" s="1"/>
  <c r="L192" i="2"/>
  <c r="L122" i="2"/>
  <c r="T122" i="2" s="1"/>
  <c r="L64" i="2"/>
  <c r="L109" i="2"/>
  <c r="T109" i="2" s="1"/>
  <c r="L121" i="2"/>
  <c r="T121" i="2" s="1"/>
  <c r="L173" i="2"/>
  <c r="T173" i="2" s="1"/>
  <c r="L135" i="2"/>
  <c r="T135" i="2" s="1"/>
  <c r="L57" i="2"/>
  <c r="T57" i="2" s="1"/>
  <c r="K187" i="2"/>
  <c r="K120" i="2"/>
  <c r="K180" i="2"/>
  <c r="K129" i="2"/>
  <c r="K116" i="2"/>
  <c r="K123" i="2"/>
  <c r="K8" i="2"/>
  <c r="K5" i="2"/>
  <c r="L148" i="2"/>
  <c r="T148" i="2" s="1"/>
  <c r="L7" i="2"/>
  <c r="T7" i="2" s="1"/>
  <c r="L67" i="2"/>
  <c r="T67" i="2" s="1"/>
  <c r="L145" i="2"/>
  <c r="T145" i="2" s="1"/>
  <c r="L189" i="2"/>
  <c r="T189" i="2" s="1"/>
  <c r="L75" i="2"/>
  <c r="L136" i="2"/>
  <c r="L3" i="2"/>
  <c r="L155" i="2"/>
  <c r="T155" i="2" s="1"/>
  <c r="L66" i="2"/>
  <c r="T66" i="2" s="1"/>
  <c r="L110" i="2"/>
  <c r="T110" i="2" s="1"/>
  <c r="L81" i="2"/>
  <c r="T81" i="2" s="1"/>
  <c r="L166" i="2"/>
  <c r="T166" i="2" s="1"/>
  <c r="L181" i="2"/>
  <c r="T181" i="2" s="1"/>
  <c r="L46" i="2"/>
  <c r="T46" i="2" s="1"/>
  <c r="L97" i="2"/>
  <c r="T97" i="2" s="1"/>
  <c r="K76" i="2"/>
  <c r="K72" i="2"/>
  <c r="K172" i="2"/>
  <c r="K50" i="2"/>
  <c r="K119" i="2"/>
  <c r="K171" i="2"/>
  <c r="K41" i="2"/>
  <c r="K126" i="2"/>
  <c r="K159" i="2"/>
  <c r="K163" i="2"/>
  <c r="K33" i="2"/>
  <c r="K118" i="2"/>
  <c r="K23" i="2"/>
  <c r="K6" i="2"/>
  <c r="L44" i="2"/>
  <c r="T44" i="2" s="1"/>
  <c r="L113" i="2"/>
  <c r="T113" i="2" s="1"/>
  <c r="L198" i="2"/>
  <c r="T198" i="2" s="1"/>
  <c r="L154" i="2"/>
  <c r="T154" i="2" s="1"/>
  <c r="L157" i="2"/>
  <c r="T157" i="2" s="1"/>
  <c r="L43" i="2"/>
  <c r="T43" i="2" s="1"/>
  <c r="L104" i="2"/>
  <c r="L149" i="2"/>
  <c r="L35" i="2"/>
  <c r="T35" i="2" s="1"/>
  <c r="L96" i="2"/>
  <c r="T96" i="2" s="1"/>
  <c r="L77" i="2"/>
  <c r="T77" i="2" s="1"/>
  <c r="L195" i="2"/>
  <c r="T195" i="2" s="1"/>
  <c r="L60" i="2"/>
  <c r="T60" i="2" s="1"/>
  <c r="L147" i="2"/>
  <c r="T147" i="2" s="1"/>
  <c r="L17" i="2"/>
  <c r="T17" i="2" s="1"/>
  <c r="L102" i="2"/>
  <c r="L61" i="2"/>
  <c r="T61" i="2" s="1"/>
  <c r="L138" i="2"/>
  <c r="T138" i="2" s="1"/>
  <c r="L53" i="2"/>
  <c r="T53" i="2" s="1"/>
  <c r="L199" i="2"/>
  <c r="T199" i="2" s="1"/>
  <c r="L184" i="2"/>
  <c r="T184" i="2" s="1"/>
  <c r="L71" i="2"/>
  <c r="T71" i="2" s="1"/>
  <c r="L63" i="2"/>
  <c r="T63" i="2" s="1"/>
  <c r="K88" i="2"/>
  <c r="K108" i="2"/>
  <c r="K177" i="2"/>
  <c r="K55" i="2"/>
  <c r="K107" i="2"/>
  <c r="K168" i="2"/>
  <c r="K62" i="2"/>
  <c r="K99" i="2"/>
  <c r="K160" i="2"/>
  <c r="K54" i="2"/>
  <c r="K11" i="2"/>
  <c r="L179" i="2"/>
  <c r="T179" i="2" s="1"/>
  <c r="L134" i="2"/>
  <c r="T134" i="2" s="1"/>
  <c r="L26" i="2"/>
  <c r="T26" i="2" s="1"/>
  <c r="L170" i="2"/>
  <c r="T170" i="2" s="1"/>
  <c r="L40" i="2"/>
  <c r="L85" i="2"/>
  <c r="T85" i="2" s="1"/>
  <c r="L162" i="2"/>
  <c r="L32" i="2"/>
  <c r="T32" i="2" s="1"/>
  <c r="L20" i="2"/>
  <c r="T20" i="2" s="1"/>
  <c r="L58" i="2"/>
  <c r="T58" i="2" s="1"/>
  <c r="L56" i="2"/>
  <c r="T56" i="2" s="1"/>
  <c r="L28" i="2"/>
  <c r="T28" i="2" s="1"/>
  <c r="L182" i="2"/>
  <c r="T182" i="2" s="1"/>
  <c r="L140" i="2"/>
  <c r="T140" i="2" s="1"/>
  <c r="L130" i="2"/>
  <c r="T130" i="2" s="1"/>
  <c r="L139" i="2"/>
  <c r="T139" i="2" s="1"/>
  <c r="L94" i="2"/>
  <c r="T94" i="2" s="1"/>
  <c r="K37" i="2"/>
  <c r="K114" i="2"/>
  <c r="K183" i="2"/>
  <c r="K18" i="2"/>
  <c r="K36" i="2"/>
  <c r="K105" i="2"/>
  <c r="K190" i="2"/>
  <c r="K174" i="2"/>
  <c r="L49" i="2"/>
  <c r="L93" i="2"/>
  <c r="T93" i="2" s="1"/>
  <c r="L197" i="2"/>
  <c r="T197" i="2" s="1"/>
  <c r="L144" i="2"/>
  <c r="T144" i="2" s="1"/>
  <c r="L38" i="2"/>
  <c r="T38" i="2" s="1"/>
  <c r="L196" i="2"/>
  <c r="L74" i="2"/>
  <c r="T74" i="2" s="1"/>
  <c r="L124" i="2"/>
  <c r="T124" i="2" s="1"/>
  <c r="K83" i="2"/>
  <c r="K125" i="2"/>
  <c r="K143" i="2"/>
  <c r="L115" i="2"/>
  <c r="T115" i="2" s="1"/>
  <c r="L176" i="2"/>
  <c r="T176" i="2" s="1"/>
  <c r="L70" i="2"/>
  <c r="T70" i="2" s="1"/>
  <c r="L25" i="2"/>
  <c r="T25" i="2" s="1"/>
  <c r="L29" i="2"/>
  <c r="L106" i="2"/>
  <c r="T106" i="2" s="1"/>
  <c r="L175" i="2"/>
  <c r="T175" i="2" s="1"/>
  <c r="L21" i="2"/>
  <c r="T21" i="2" s="1"/>
  <c r="L98" i="2"/>
  <c r="T98" i="2" s="1"/>
  <c r="L167" i="2"/>
  <c r="T167" i="2" s="1"/>
  <c r="L91" i="2"/>
  <c r="T91" i="2" s="1"/>
  <c r="L13" i="2"/>
  <c r="T13" i="2" s="1"/>
  <c r="L133" i="2"/>
  <c r="T133" i="2" s="1"/>
  <c r="L19" i="2"/>
  <c r="T19" i="2" s="1"/>
  <c r="L80" i="2"/>
  <c r="T80" i="2" s="1"/>
  <c r="L117" i="2"/>
  <c r="T117" i="2" s="1"/>
  <c r="L132" i="2"/>
  <c r="T132" i="2" s="1"/>
  <c r="L10" i="2"/>
  <c r="T10" i="2" s="1"/>
  <c r="L79" i="2"/>
  <c r="T79" i="2" s="1"/>
  <c r="L150" i="2"/>
  <c r="T150" i="2" s="1"/>
  <c r="L191" i="2"/>
  <c r="T191" i="2" s="1"/>
  <c r="L127" i="2"/>
  <c r="T127" i="2" s="1"/>
  <c r="L52" i="2"/>
  <c r="T52" i="2" s="1"/>
  <c r="L22" i="2"/>
  <c r="T22" i="2" s="1"/>
  <c r="L14" i="2"/>
  <c r="T14" i="2" s="1"/>
  <c r="K152" i="2"/>
  <c r="K9" i="2"/>
  <c r="L165" i="2"/>
  <c r="T165" i="2" s="1"/>
  <c r="L51" i="2"/>
  <c r="T51" i="2" s="1"/>
  <c r="L112" i="2"/>
  <c r="T112" i="2" s="1"/>
  <c r="L24" i="2"/>
  <c r="T24" i="2" s="1"/>
  <c r="L164" i="2"/>
  <c r="T164" i="2" s="1"/>
  <c r="L42" i="2"/>
  <c r="T42" i="2" s="1"/>
  <c r="L111" i="2"/>
  <c r="T111" i="2" s="1"/>
  <c r="L156" i="2"/>
  <c r="T156" i="2" s="1"/>
  <c r="L34" i="2"/>
  <c r="T34" i="2" s="1"/>
  <c r="L103" i="2"/>
  <c r="T103" i="2" s="1"/>
  <c r="L90" i="2"/>
  <c r="T90" i="2" s="1"/>
  <c r="L27" i="2"/>
  <c r="T27" i="2" s="1"/>
  <c r="L69" i="2"/>
  <c r="T69" i="2" s="1"/>
  <c r="L146" i="2"/>
  <c r="T146" i="2" s="1"/>
  <c r="L16" i="2"/>
  <c r="T16" i="2" s="1"/>
  <c r="L68" i="2"/>
  <c r="T68" i="2" s="1"/>
  <c r="L137" i="2"/>
  <c r="T137" i="2" s="1"/>
  <c r="L15" i="2"/>
  <c r="T15" i="2" s="1"/>
  <c r="L78" i="2"/>
  <c r="T78" i="2" s="1"/>
  <c r="K188" i="2"/>
  <c r="K30" i="2"/>
  <c r="K84" i="2"/>
  <c r="K87" i="2"/>
  <c r="K95" i="2"/>
  <c r="K12" i="2"/>
  <c r="L101" i="2"/>
  <c r="T101" i="2" s="1"/>
  <c r="L178" i="2"/>
  <c r="T178" i="2" s="1"/>
  <c r="L48" i="2"/>
  <c r="T48" i="2" s="1"/>
  <c r="L141" i="2"/>
  <c r="T141" i="2" s="1"/>
  <c r="L31" i="2"/>
  <c r="T31" i="2" s="1"/>
  <c r="L100" i="2"/>
  <c r="T100" i="2" s="1"/>
  <c r="L169" i="2"/>
  <c r="T169" i="2" s="1"/>
  <c r="L47" i="2"/>
  <c r="T47" i="2" s="1"/>
  <c r="L92" i="2"/>
  <c r="T92" i="2" s="1"/>
  <c r="L161" i="2"/>
  <c r="T161" i="2" s="1"/>
  <c r="L39" i="2"/>
  <c r="T39" i="2" s="1"/>
  <c r="L89" i="2"/>
  <c r="T89" i="2" s="1"/>
  <c r="L153" i="2"/>
  <c r="T153" i="2" s="1"/>
  <c r="L82" i="2"/>
  <c r="T82" i="2" s="1"/>
  <c r="L151" i="2"/>
  <c r="T151" i="2" s="1"/>
  <c r="L131" i="2"/>
  <c r="T131" i="2" s="1"/>
  <c r="L73" i="2"/>
  <c r="T73" i="2" s="1"/>
  <c r="L158" i="2"/>
  <c r="T158" i="2" s="1"/>
  <c r="L194" i="2"/>
  <c r="T194" i="2" s="1"/>
  <c r="L45" i="2"/>
  <c r="T45" i="2" s="1"/>
  <c r="L142" i="2"/>
  <c r="T142" i="2" s="1"/>
  <c r="L193" i="2"/>
  <c r="T193" i="2" s="1"/>
  <c r="L185" i="2"/>
  <c r="L86" i="2"/>
  <c r="T86" i="2" s="1"/>
  <c r="G8" i="5" l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F3" i="5"/>
  <c r="G3" i="5" s="1"/>
  <c r="P64" i="2"/>
  <c r="W64" i="2" s="1"/>
  <c r="T64" i="2"/>
  <c r="P49" i="2"/>
  <c r="W49" i="2" s="1"/>
  <c r="T49" i="2"/>
  <c r="P29" i="2"/>
  <c r="Q29" i="2" s="1"/>
  <c r="X29" i="2" s="1"/>
  <c r="T29" i="2"/>
  <c r="P192" i="2"/>
  <c r="W192" i="2" s="1"/>
  <c r="T192" i="2"/>
  <c r="P3" i="2"/>
  <c r="W3" i="2" s="1"/>
  <c r="T3" i="2"/>
  <c r="P185" i="2"/>
  <c r="W185" i="2" s="1"/>
  <c r="T185" i="2"/>
  <c r="P196" i="2"/>
  <c r="Q196" i="2" s="1"/>
  <c r="X196" i="2" s="1"/>
  <c r="T196" i="2"/>
  <c r="P162" i="2"/>
  <c r="Q162" i="2" s="1"/>
  <c r="T162" i="2"/>
  <c r="P136" i="2"/>
  <c r="W136" i="2" s="1"/>
  <c r="T136" i="2"/>
  <c r="P102" i="2"/>
  <c r="W102" i="2" s="1"/>
  <c r="T102" i="2"/>
  <c r="P149" i="2"/>
  <c r="Q149" i="2" s="1"/>
  <c r="X149" i="2" s="1"/>
  <c r="T149" i="2"/>
  <c r="P75" i="2"/>
  <c r="W75" i="2" s="1"/>
  <c r="T75" i="2"/>
  <c r="P40" i="2"/>
  <c r="Q40" i="2" s="1"/>
  <c r="X40" i="2" s="1"/>
  <c r="T40" i="2"/>
  <c r="P104" i="2"/>
  <c r="W104" i="2" s="1"/>
  <c r="T104" i="2"/>
  <c r="Q2" i="2"/>
  <c r="M50" i="2"/>
  <c r="P189" i="2"/>
  <c r="Q189" i="2" s="1"/>
  <c r="P164" i="2"/>
  <c r="Q164" i="2" s="1"/>
  <c r="P155" i="2"/>
  <c r="Q155" i="2" s="1"/>
  <c r="P73" i="2"/>
  <c r="W73" i="2" s="1"/>
  <c r="P147" i="2"/>
  <c r="Q147" i="2" s="1"/>
  <c r="P173" i="2"/>
  <c r="Q173" i="2" s="1"/>
  <c r="P101" i="2"/>
  <c r="W101" i="2" s="1"/>
  <c r="P111" i="2"/>
  <c r="W111" i="2" s="1"/>
  <c r="P44" i="2"/>
  <c r="W44" i="2" s="1"/>
  <c r="P34" i="2"/>
  <c r="W34" i="2" s="1"/>
  <c r="P53" i="2"/>
  <c r="W53" i="2" s="1"/>
  <c r="P106" i="2"/>
  <c r="W106" i="2" s="1"/>
  <c r="P38" i="2"/>
  <c r="W38" i="2" s="1"/>
  <c r="P115" i="2"/>
  <c r="W115" i="2" s="1"/>
  <c r="P94" i="2"/>
  <c r="W94" i="2" s="1"/>
  <c r="P178" i="2"/>
  <c r="Q178" i="2" s="1"/>
  <c r="P139" i="2"/>
  <c r="W139" i="2" s="1"/>
  <c r="P117" i="2"/>
  <c r="W117" i="2" s="1"/>
  <c r="P42" i="2"/>
  <c r="W42" i="2" s="1"/>
  <c r="P85" i="2"/>
  <c r="W85" i="2" s="1"/>
  <c r="P67" i="2"/>
  <c r="W67" i="2" s="1"/>
  <c r="P31" i="2"/>
  <c r="W31" i="2" s="1"/>
  <c r="P98" i="2"/>
  <c r="W98" i="2" s="1"/>
  <c r="P7" i="2"/>
  <c r="W7" i="2" s="1"/>
  <c r="P141" i="2"/>
  <c r="W141" i="2" s="1"/>
  <c r="P176" i="2"/>
  <c r="W176" i="2" s="1"/>
  <c r="P22" i="2"/>
  <c r="W22" i="2" s="1"/>
  <c r="P48" i="2"/>
  <c r="W48" i="2" s="1"/>
  <c r="P109" i="2"/>
  <c r="W109" i="2" s="1"/>
  <c r="P158" i="2"/>
  <c r="W158" i="2" s="1"/>
  <c r="P103" i="2"/>
  <c r="W103" i="2" s="1"/>
  <c r="P167" i="2"/>
  <c r="Q167" i="2" s="1"/>
  <c r="P132" i="2"/>
  <c r="W132" i="2" s="1"/>
  <c r="P45" i="2"/>
  <c r="W45" i="2" s="1"/>
  <c r="P74" i="2"/>
  <c r="W74" i="2" s="1"/>
  <c r="P35" i="2"/>
  <c r="W35" i="2" s="1"/>
  <c r="P78" i="2"/>
  <c r="W78" i="2" s="1"/>
  <c r="P70" i="2"/>
  <c r="W70" i="2" s="1"/>
  <c r="P80" i="2"/>
  <c r="W80" i="2" s="1"/>
  <c r="P182" i="2"/>
  <c r="Q182" i="2" s="1"/>
  <c r="P112" i="2"/>
  <c r="W112" i="2" s="1"/>
  <c r="P58" i="2"/>
  <c r="W58" i="2" s="1"/>
  <c r="P145" i="2"/>
  <c r="P165" i="2"/>
  <c r="P17" i="2"/>
  <c r="W17" i="2" s="1"/>
  <c r="P130" i="2"/>
  <c r="Q130" i="2" s="1"/>
  <c r="P68" i="2"/>
  <c r="W68" i="2" s="1"/>
  <c r="P52" i="2"/>
  <c r="W52" i="2" s="1"/>
  <c r="P131" i="2"/>
  <c r="P24" i="2"/>
  <c r="W24" i="2" s="1"/>
  <c r="P179" i="2"/>
  <c r="Q179" i="2" s="1"/>
  <c r="P135" i="2"/>
  <c r="W135" i="2" s="1"/>
  <c r="P19" i="2"/>
  <c r="W19" i="2" s="1"/>
  <c r="P170" i="2"/>
  <c r="P184" i="2"/>
  <c r="Q184" i="2" s="1"/>
  <c r="P144" i="2"/>
  <c r="Q144" i="2" s="1"/>
  <c r="P43" i="2"/>
  <c r="W43" i="2" s="1"/>
  <c r="P156" i="2"/>
  <c r="Q156" i="2" s="1"/>
  <c r="P127" i="2"/>
  <c r="Q127" i="2" s="1"/>
  <c r="P28" i="2"/>
  <c r="W28" i="2" s="1"/>
  <c r="P86" i="2"/>
  <c r="W86" i="2" s="1"/>
  <c r="P138" i="2"/>
  <c r="P97" i="2"/>
  <c r="W97" i="2" s="1"/>
  <c r="P199" i="2"/>
  <c r="Q199" i="2" s="1"/>
  <c r="P14" i="2"/>
  <c r="W14" i="2" s="1"/>
  <c r="P140" i="2"/>
  <c r="Q140" i="2" s="1"/>
  <c r="P91" i="2"/>
  <c r="W91" i="2" s="1"/>
  <c r="P193" i="2"/>
  <c r="Q193" i="2" s="1"/>
  <c r="P151" i="2"/>
  <c r="Q151" i="2" s="1"/>
  <c r="P51" i="2"/>
  <c r="W51" i="2" s="1"/>
  <c r="P122" i="2"/>
  <c r="Q122" i="2" s="1"/>
  <c r="P57" i="2"/>
  <c r="W57" i="2" s="1"/>
  <c r="P133" i="2"/>
  <c r="W133" i="2" s="1"/>
  <c r="P93" i="2"/>
  <c r="W93" i="2" s="1"/>
  <c r="P197" i="2"/>
  <c r="Q197" i="2" s="1"/>
  <c r="P157" i="2"/>
  <c r="Q157" i="2" s="1"/>
  <c r="P181" i="2"/>
  <c r="Q181" i="2" s="1"/>
  <c r="P148" i="2"/>
  <c r="Q148" i="2" s="1"/>
  <c r="P121" i="2"/>
  <c r="Q121" i="2" s="1"/>
  <c r="P110" i="2"/>
  <c r="W110" i="2" s="1"/>
  <c r="P46" i="2"/>
  <c r="W46" i="2" s="1"/>
  <c r="P137" i="2"/>
  <c r="Q137" i="2" s="1"/>
  <c r="P63" i="2"/>
  <c r="W63" i="2" s="1"/>
  <c r="P89" i="2"/>
  <c r="W89" i="2" s="1"/>
  <c r="P175" i="2"/>
  <c r="Q175" i="2" s="1"/>
  <c r="P142" i="2"/>
  <c r="Q142" i="2" s="1"/>
  <c r="P82" i="2"/>
  <c r="W82" i="2" s="1"/>
  <c r="P191" i="2"/>
  <c r="Q191" i="2" s="1"/>
  <c r="P61" i="2"/>
  <c r="W61" i="2" s="1"/>
  <c r="P65" i="2"/>
  <c r="W65" i="2" s="1"/>
  <c r="P13" i="2"/>
  <c r="W13" i="2" s="1"/>
  <c r="P26" i="2"/>
  <c r="W26" i="2" s="1"/>
  <c r="P186" i="2"/>
  <c r="Q186" i="2" s="1"/>
  <c r="P195" i="2"/>
  <c r="P154" i="2"/>
  <c r="Q154" i="2" s="1"/>
  <c r="P166" i="2"/>
  <c r="Q166" i="2" s="1"/>
  <c r="P92" i="2"/>
  <c r="W92" i="2" s="1"/>
  <c r="P16" i="2"/>
  <c r="W16" i="2" s="1"/>
  <c r="P161" i="2"/>
  <c r="Q161" i="2" s="1"/>
  <c r="P27" i="2"/>
  <c r="W27" i="2" s="1"/>
  <c r="P71" i="2"/>
  <c r="W71" i="2" s="1"/>
  <c r="P39" i="2"/>
  <c r="W39" i="2" s="1"/>
  <c r="P25" i="2"/>
  <c r="W25" i="2" s="1"/>
  <c r="P150" i="2"/>
  <c r="P153" i="2"/>
  <c r="Q153" i="2" s="1"/>
  <c r="P15" i="2"/>
  <c r="W15" i="2" s="1"/>
  <c r="P66" i="2"/>
  <c r="W66" i="2" s="1"/>
  <c r="P59" i="2"/>
  <c r="W59" i="2" s="1"/>
  <c r="P20" i="2"/>
  <c r="W20" i="2" s="1"/>
  <c r="P134" i="2"/>
  <c r="Q134" i="2" s="1"/>
  <c r="P194" i="2"/>
  <c r="P77" i="2"/>
  <c r="W77" i="2" s="1"/>
  <c r="P198" i="2"/>
  <c r="W198" i="2" s="1"/>
  <c r="P81" i="2"/>
  <c r="W81" i="2" s="1"/>
  <c r="P47" i="2"/>
  <c r="W47" i="2" s="1"/>
  <c r="P69" i="2"/>
  <c r="W69" i="2" s="1"/>
  <c r="P169" i="2"/>
  <c r="Q169" i="2" s="1"/>
  <c r="P21" i="2"/>
  <c r="W21" i="2" s="1"/>
  <c r="P128" i="2"/>
  <c r="Q128" i="2" s="1"/>
  <c r="P100" i="2"/>
  <c r="W100" i="2" s="1"/>
  <c r="P113" i="2"/>
  <c r="W113" i="2" s="1"/>
  <c r="P56" i="2"/>
  <c r="W56" i="2" s="1"/>
  <c r="P90" i="2"/>
  <c r="W90" i="2" s="1"/>
  <c r="P146" i="2"/>
  <c r="P60" i="2"/>
  <c r="W60" i="2" s="1"/>
  <c r="P79" i="2"/>
  <c r="W79" i="2" s="1"/>
  <c r="P32" i="2"/>
  <c r="W32" i="2" s="1"/>
  <c r="P124" i="2"/>
  <c r="Q124" i="2" s="1"/>
  <c r="P96" i="2"/>
  <c r="W96" i="2" s="1"/>
  <c r="P10" i="2"/>
  <c r="W10" i="2" s="1"/>
  <c r="M143" i="2"/>
  <c r="M83" i="2"/>
  <c r="M107" i="2"/>
  <c r="M163" i="2"/>
  <c r="M72" i="2"/>
  <c r="M120" i="2"/>
  <c r="M174" i="2"/>
  <c r="M55" i="2"/>
  <c r="M159" i="2"/>
  <c r="M76" i="2"/>
  <c r="M187" i="2"/>
  <c r="M190" i="2"/>
  <c r="M177" i="2"/>
  <c r="M126" i="2"/>
  <c r="M95" i="2"/>
  <c r="M105" i="2"/>
  <c r="M54" i="2"/>
  <c r="M108" i="2"/>
  <c r="M87" i="2"/>
  <c r="M152" i="2"/>
  <c r="M160" i="2"/>
  <c r="M88" i="2"/>
  <c r="M171" i="2"/>
  <c r="M123" i="2"/>
  <c r="M84" i="2"/>
  <c r="M99" i="2"/>
  <c r="M119" i="2"/>
  <c r="M116" i="2"/>
  <c r="M62" i="2"/>
  <c r="M118" i="2"/>
  <c r="M183" i="2"/>
  <c r="M188" i="2"/>
  <c r="M125" i="2"/>
  <c r="M114" i="2"/>
  <c r="M168" i="2"/>
  <c r="M172" i="2"/>
  <c r="M180" i="2"/>
  <c r="L129" i="2"/>
  <c r="T129" i="2" s="1"/>
  <c r="M129" i="2"/>
  <c r="L88" i="2"/>
  <c r="T88" i="2" s="1"/>
  <c r="L187" i="2"/>
  <c r="T187" i="2" s="1"/>
  <c r="L87" i="2"/>
  <c r="T87" i="2" s="1"/>
  <c r="M6" i="2"/>
  <c r="M41" i="2"/>
  <c r="M30" i="2"/>
  <c r="M23" i="2"/>
  <c r="M12" i="2"/>
  <c r="M18" i="2"/>
  <c r="L123" i="2"/>
  <c r="T123" i="2" s="1"/>
  <c r="L180" i="2"/>
  <c r="T180" i="2" s="1"/>
  <c r="L120" i="2"/>
  <c r="T120" i="2" s="1"/>
  <c r="L114" i="2"/>
  <c r="L107" i="2"/>
  <c r="T107" i="2" s="1"/>
  <c r="L33" i="2"/>
  <c r="T33" i="2" s="1"/>
  <c r="M33" i="2"/>
  <c r="L50" i="2"/>
  <c r="L168" i="2"/>
  <c r="T168" i="2" s="1"/>
  <c r="L37" i="2"/>
  <c r="T37" i="2" s="1"/>
  <c r="M37" i="2"/>
  <c r="L11" i="2"/>
  <c r="T11" i="2" s="1"/>
  <c r="M11" i="2"/>
  <c r="L55" i="2"/>
  <c r="T55" i="2" s="1"/>
  <c r="L172" i="2"/>
  <c r="T172" i="2" s="1"/>
  <c r="L76" i="2"/>
  <c r="T76" i="2" s="1"/>
  <c r="M5" i="2"/>
  <c r="L54" i="2"/>
  <c r="T54" i="2" s="1"/>
  <c r="L159" i="2"/>
  <c r="T159" i="2" s="1"/>
  <c r="L8" i="2"/>
  <c r="T8" i="2" s="1"/>
  <c r="M8" i="2"/>
  <c r="L126" i="2"/>
  <c r="T126" i="2" s="1"/>
  <c r="L183" i="2"/>
  <c r="T183" i="2" s="1"/>
  <c r="L9" i="2"/>
  <c r="T9" i="2" s="1"/>
  <c r="M9" i="2"/>
  <c r="L116" i="2"/>
  <c r="T116" i="2" s="1"/>
  <c r="L36" i="2"/>
  <c r="T36" i="2" s="1"/>
  <c r="M36" i="2"/>
  <c r="L4" i="2"/>
  <c r="T4" i="2" s="1"/>
  <c r="M4" i="2"/>
  <c r="L171" i="2"/>
  <c r="T171" i="2" s="1"/>
  <c r="L188" i="2"/>
  <c r="T188" i="2" s="1"/>
  <c r="L83" i="2"/>
  <c r="T83" i="2" s="1"/>
  <c r="L62" i="2"/>
  <c r="T62" i="2" s="1"/>
  <c r="L5" i="2"/>
  <c r="T5" i="2" s="1"/>
  <c r="L143" i="2"/>
  <c r="L152" i="2"/>
  <c r="T152" i="2" s="1"/>
  <c r="L72" i="2"/>
  <c r="L105" i="2"/>
  <c r="T105" i="2" s="1"/>
  <c r="L12" i="2"/>
  <c r="T12" i="2" s="1"/>
  <c r="L160" i="2"/>
  <c r="T160" i="2" s="1"/>
  <c r="L177" i="2"/>
  <c r="T177" i="2" s="1"/>
  <c r="L163" i="2"/>
  <c r="T163" i="2" s="1"/>
  <c r="L30" i="2"/>
  <c r="T30" i="2" s="1"/>
  <c r="L23" i="2"/>
  <c r="T23" i="2" s="1"/>
  <c r="L84" i="2"/>
  <c r="T84" i="2" s="1"/>
  <c r="L190" i="2"/>
  <c r="T190" i="2" s="1"/>
  <c r="L18" i="2"/>
  <c r="T18" i="2" s="1"/>
  <c r="L125" i="2"/>
  <c r="T125" i="2" s="1"/>
  <c r="L174" i="2"/>
  <c r="T174" i="2" s="1"/>
  <c r="L108" i="2"/>
  <c r="T108" i="2" s="1"/>
  <c r="L95" i="2"/>
  <c r="T95" i="2" s="1"/>
  <c r="L6" i="2"/>
  <c r="T6" i="2" s="1"/>
  <c r="L99" i="2"/>
  <c r="L118" i="2"/>
  <c r="T118" i="2" s="1"/>
  <c r="L41" i="2"/>
  <c r="T41" i="2" s="1"/>
  <c r="L119" i="2"/>
  <c r="T119" i="2" s="1"/>
  <c r="G25" i="5" l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R2" i="2"/>
  <c r="Z2" i="2" s="1"/>
  <c r="X2" i="2"/>
  <c r="Q49" i="2"/>
  <c r="X49" i="2" s="1"/>
  <c r="Q104" i="2"/>
  <c r="X104" i="2" s="1"/>
  <c r="Q102" i="2"/>
  <c r="N102" i="2" s="1"/>
  <c r="O102" i="2" s="1"/>
  <c r="W166" i="2"/>
  <c r="Q136" i="2"/>
  <c r="X136" i="2" s="1"/>
  <c r="W121" i="2"/>
  <c r="W191" i="2"/>
  <c r="Q185" i="2"/>
  <c r="X185" i="2" s="1"/>
  <c r="W167" i="2"/>
  <c r="W169" i="2"/>
  <c r="W155" i="2"/>
  <c r="W181" i="2"/>
  <c r="W196" i="2"/>
  <c r="W149" i="2"/>
  <c r="W130" i="2"/>
  <c r="W153" i="2"/>
  <c r="W137" i="2"/>
  <c r="Q131" i="2"/>
  <c r="R131" i="2" s="1"/>
  <c r="Z131" i="2" s="1"/>
  <c r="W131" i="2"/>
  <c r="Q150" i="2"/>
  <c r="W150" i="2"/>
  <c r="Q3" i="2"/>
  <c r="X3" i="2" s="1"/>
  <c r="W173" i="2"/>
  <c r="W127" i="2"/>
  <c r="W151" i="2"/>
  <c r="W128" i="2"/>
  <c r="Q194" i="2"/>
  <c r="S194" i="2" s="1"/>
  <c r="W194" i="2"/>
  <c r="Q64" i="2"/>
  <c r="R64" i="2" s="1"/>
  <c r="Z64" i="2" s="1"/>
  <c r="W124" i="2"/>
  <c r="W156" i="2"/>
  <c r="Q170" i="2"/>
  <c r="S170" i="2" s="1"/>
  <c r="W170" i="2"/>
  <c r="W142" i="2"/>
  <c r="W122" i="2"/>
  <c r="W148" i="2"/>
  <c r="W154" i="2"/>
  <c r="W182" i="2"/>
  <c r="W40" i="2"/>
  <c r="W184" i="2"/>
  <c r="W175" i="2"/>
  <c r="W147" i="2"/>
  <c r="W140" i="2"/>
  <c r="W179" i="2"/>
  <c r="W29" i="2"/>
  <c r="Q195" i="2"/>
  <c r="U195" i="2" s="1"/>
  <c r="Y195" i="2" s="1"/>
  <c r="W195" i="2"/>
  <c r="Q138" i="2"/>
  <c r="V138" i="2" s="1"/>
  <c r="AB138" i="2" s="1"/>
  <c r="W138" i="2"/>
  <c r="Q146" i="2"/>
  <c r="V146" i="2" s="1"/>
  <c r="AB146" i="2" s="1"/>
  <c r="W146" i="2"/>
  <c r="Q165" i="2"/>
  <c r="V165" i="2" s="1"/>
  <c r="AB165" i="2" s="1"/>
  <c r="W165" i="2"/>
  <c r="W164" i="2"/>
  <c r="W144" i="2"/>
  <c r="W161" i="2"/>
  <c r="W199" i="2"/>
  <c r="W197" i="2"/>
  <c r="W157" i="2"/>
  <c r="W162" i="2"/>
  <c r="Q145" i="2"/>
  <c r="R145" i="2" s="1"/>
  <c r="Z145" i="2" s="1"/>
  <c r="W145" i="2"/>
  <c r="W189" i="2"/>
  <c r="W178" i="2"/>
  <c r="W193" i="2"/>
  <c r="W134" i="2"/>
  <c r="W186" i="2"/>
  <c r="Q192" i="2"/>
  <c r="X192" i="2" s="1"/>
  <c r="Q75" i="2"/>
  <c r="X75" i="2" s="1"/>
  <c r="P143" i="2"/>
  <c r="W143" i="2" s="1"/>
  <c r="T143" i="2"/>
  <c r="P114" i="2"/>
  <c r="W114" i="2" s="1"/>
  <c r="T114" i="2"/>
  <c r="P50" i="2"/>
  <c r="W50" i="2" s="1"/>
  <c r="T50" i="2"/>
  <c r="P99" i="2"/>
  <c r="W99" i="2" s="1"/>
  <c r="T99" i="2"/>
  <c r="P72" i="2"/>
  <c r="W72" i="2" s="1"/>
  <c r="T72" i="2"/>
  <c r="S2" i="2"/>
  <c r="AA2" i="2" s="1"/>
  <c r="V2" i="2"/>
  <c r="AB2" i="2" s="1"/>
  <c r="Q158" i="2"/>
  <c r="V158" i="2" s="1"/>
  <c r="AB158" i="2" s="1"/>
  <c r="Q176" i="2"/>
  <c r="U176" i="2" s="1"/>
  <c r="Y176" i="2" s="1"/>
  <c r="Q135" i="2"/>
  <c r="U135" i="2" s="1"/>
  <c r="Y135" i="2" s="1"/>
  <c r="Q198" i="2"/>
  <c r="U198" i="2" s="1"/>
  <c r="Y198" i="2" s="1"/>
  <c r="Q133" i="2"/>
  <c r="S133" i="2" s="1"/>
  <c r="Q132" i="2"/>
  <c r="R132" i="2" s="1"/>
  <c r="Z132" i="2" s="1"/>
  <c r="Q141" i="2"/>
  <c r="U141" i="2" s="1"/>
  <c r="Y141" i="2" s="1"/>
  <c r="Q139" i="2"/>
  <c r="X139" i="2" s="1"/>
  <c r="Q20" i="2"/>
  <c r="U20" i="2" s="1"/>
  <c r="Q19" i="2"/>
  <c r="V19" i="2" s="1"/>
  <c r="AB19" i="2" s="1"/>
  <c r="Q17" i="2"/>
  <c r="U17" i="2" s="1"/>
  <c r="Q69" i="2"/>
  <c r="R69" i="2" s="1"/>
  <c r="Z69" i="2" s="1"/>
  <c r="Q13" i="2"/>
  <c r="S13" i="2" s="1"/>
  <c r="Q74" i="2"/>
  <c r="X74" i="2" s="1"/>
  <c r="Q22" i="2"/>
  <c r="U22" i="2" s="1"/>
  <c r="Q53" i="2"/>
  <c r="V53" i="2" s="1"/>
  <c r="Q10" i="2"/>
  <c r="R10" i="2" s="1"/>
  <c r="Z10" i="2" s="1"/>
  <c r="Q81" i="2"/>
  <c r="U81" i="2" s="1"/>
  <c r="Y81" i="2" s="1"/>
  <c r="Q15" i="2"/>
  <c r="X15" i="2" s="1"/>
  <c r="Q16" i="2"/>
  <c r="R16" i="2" s="1"/>
  <c r="Q65" i="2"/>
  <c r="S65" i="2" s="1"/>
  <c r="Q93" i="2"/>
  <c r="U93" i="2" s="1"/>
  <c r="Y93" i="2" s="1"/>
  <c r="Q24" i="2"/>
  <c r="R24" i="2" s="1"/>
  <c r="Z24" i="2" s="1"/>
  <c r="Q58" i="2"/>
  <c r="V58" i="2" s="1"/>
  <c r="AB58" i="2" s="1"/>
  <c r="Q117" i="2"/>
  <c r="R117" i="2" s="1"/>
  <c r="Z117" i="2" s="1"/>
  <c r="Q14" i="2"/>
  <c r="R14" i="2" s="1"/>
  <c r="Z14" i="2" s="1"/>
  <c r="Q43" i="2"/>
  <c r="U43" i="2" s="1"/>
  <c r="Y43" i="2" s="1"/>
  <c r="Q112" i="2"/>
  <c r="X112" i="2" s="1"/>
  <c r="Q44" i="2"/>
  <c r="U44" i="2" s="1"/>
  <c r="Y44" i="2" s="1"/>
  <c r="Q77" i="2"/>
  <c r="U77" i="2" s="1"/>
  <c r="Q110" i="2"/>
  <c r="X110" i="2" s="1"/>
  <c r="Q52" i="2"/>
  <c r="X52" i="2" s="1"/>
  <c r="Q7" i="2"/>
  <c r="X7" i="2" s="1"/>
  <c r="Q111" i="2"/>
  <c r="X111" i="2" s="1"/>
  <c r="Q25" i="2"/>
  <c r="S25" i="2" s="1"/>
  <c r="Q80" i="2"/>
  <c r="U80" i="2" s="1"/>
  <c r="Y80" i="2" s="1"/>
  <c r="Q103" i="2"/>
  <c r="X103" i="2" s="1"/>
  <c r="Q98" i="2"/>
  <c r="U98" i="2" s="1"/>
  <c r="Y98" i="2" s="1"/>
  <c r="Q94" i="2"/>
  <c r="S94" i="2" s="1"/>
  <c r="Q101" i="2"/>
  <c r="X101" i="2" s="1"/>
  <c r="Q100" i="2"/>
  <c r="X100" i="2" s="1"/>
  <c r="Q32" i="2"/>
  <c r="U32" i="2" s="1"/>
  <c r="Y32" i="2" s="1"/>
  <c r="Q79" i="2"/>
  <c r="X79" i="2" s="1"/>
  <c r="Q21" i="2"/>
  <c r="S21" i="2" s="1"/>
  <c r="Q39" i="2"/>
  <c r="S39" i="2" s="1"/>
  <c r="Q70" i="2"/>
  <c r="X70" i="2" s="1"/>
  <c r="Q31" i="2"/>
  <c r="X31" i="2" s="1"/>
  <c r="Q115" i="2"/>
  <c r="R115" i="2" s="1"/>
  <c r="Z115" i="2" s="1"/>
  <c r="N2" i="2"/>
  <c r="O2" i="2" s="1"/>
  <c r="U2" i="2"/>
  <c r="Y2" i="2" s="1"/>
  <c r="S43" i="2"/>
  <c r="AA43" i="2" s="1"/>
  <c r="Q109" i="2"/>
  <c r="V109" i="2" s="1"/>
  <c r="AB109" i="2" s="1"/>
  <c r="Q59" i="2"/>
  <c r="X59" i="2" s="1"/>
  <c r="Q38" i="2"/>
  <c r="X38" i="2" s="1"/>
  <c r="Q42" i="2"/>
  <c r="V42" i="2" s="1"/>
  <c r="AB42" i="2" s="1"/>
  <c r="Q27" i="2"/>
  <c r="X27" i="2" s="1"/>
  <c r="Q48" i="2"/>
  <c r="S48" i="2" s="1"/>
  <c r="Q35" i="2"/>
  <c r="X35" i="2" s="1"/>
  <c r="Q60" i="2"/>
  <c r="X60" i="2" s="1"/>
  <c r="Q56" i="2"/>
  <c r="X56" i="2" s="1"/>
  <c r="Q78" i="2"/>
  <c r="X78" i="2" s="1"/>
  <c r="Q71" i="2"/>
  <c r="S71" i="2" s="1"/>
  <c r="Q86" i="2"/>
  <c r="N86" i="2" s="1"/>
  <c r="Q96" i="2"/>
  <c r="V96" i="2" s="1"/>
  <c r="AB96" i="2" s="1"/>
  <c r="Q89" i="2"/>
  <c r="X89" i="2" s="1"/>
  <c r="Q85" i="2"/>
  <c r="X85" i="2" s="1"/>
  <c r="Q106" i="2"/>
  <c r="U106" i="2" s="1"/>
  <c r="Y106" i="2" s="1"/>
  <c r="Q66" i="2"/>
  <c r="N66" i="2" s="1"/>
  <c r="Q45" i="2"/>
  <c r="U45" i="2" s="1"/>
  <c r="Y45" i="2" s="1"/>
  <c r="Q91" i="2"/>
  <c r="X91" i="2" s="1"/>
  <c r="Q57" i="2"/>
  <c r="X57" i="2" s="1"/>
  <c r="Q82" i="2"/>
  <c r="R82" i="2" s="1"/>
  <c r="Z82" i="2" s="1"/>
  <c r="Q63" i="2"/>
  <c r="X63" i="2" s="1"/>
  <c r="Q61" i="2"/>
  <c r="N61" i="2" s="1"/>
  <c r="Q67" i="2"/>
  <c r="X67" i="2" s="1"/>
  <c r="Q28" i="2"/>
  <c r="X28" i="2" s="1"/>
  <c r="Q47" i="2"/>
  <c r="U47" i="2" s="1"/>
  <c r="Y47" i="2" s="1"/>
  <c r="Q97" i="2"/>
  <c r="R97" i="2" s="1"/>
  <c r="Z97" i="2" s="1"/>
  <c r="Q92" i="2"/>
  <c r="R92" i="2" s="1"/>
  <c r="Z92" i="2" s="1"/>
  <c r="Q34" i="2"/>
  <c r="X34" i="2" s="1"/>
  <c r="Q51" i="2"/>
  <c r="X51" i="2" s="1"/>
  <c r="Q46" i="2"/>
  <c r="X46" i="2" s="1"/>
  <c r="Q73" i="2"/>
  <c r="V73" i="2" s="1"/>
  <c r="AB73" i="2" s="1"/>
  <c r="X162" i="2"/>
  <c r="Q26" i="2"/>
  <c r="Q90" i="2"/>
  <c r="N90" i="2" s="1"/>
  <c r="Q68" i="2"/>
  <c r="U68" i="2" s="1"/>
  <c r="Y68" i="2" s="1"/>
  <c r="Q113" i="2"/>
  <c r="N113" i="2" s="1"/>
  <c r="S128" i="2"/>
  <c r="AA128" i="2" s="1"/>
  <c r="U154" i="2"/>
  <c r="Y154" i="2" s="1"/>
  <c r="U142" i="2"/>
  <c r="Y142" i="2" s="1"/>
  <c r="X173" i="2"/>
  <c r="X169" i="2"/>
  <c r="U186" i="2"/>
  <c r="Y186" i="2" s="1"/>
  <c r="X151" i="2"/>
  <c r="V157" i="2"/>
  <c r="AB157" i="2" s="1"/>
  <c r="U193" i="2"/>
  <c r="Y193" i="2" s="1"/>
  <c r="N93" i="2"/>
  <c r="O93" i="2" s="1"/>
  <c r="X148" i="2"/>
  <c r="X161" i="2"/>
  <c r="V197" i="2"/>
  <c r="AB197" i="2" s="1"/>
  <c r="X127" i="2"/>
  <c r="V155" i="2"/>
  <c r="AB155" i="2" s="1"/>
  <c r="X181" i="2"/>
  <c r="U147" i="2"/>
  <c r="Y147" i="2" s="1"/>
  <c r="U137" i="2"/>
  <c r="Y137" i="2" s="1"/>
  <c r="U140" i="2"/>
  <c r="Y140" i="2" s="1"/>
  <c r="X156" i="2"/>
  <c r="X164" i="2"/>
  <c r="X175" i="2"/>
  <c r="X153" i="2"/>
  <c r="X189" i="2"/>
  <c r="X130" i="2"/>
  <c r="X124" i="2"/>
  <c r="S150" i="2"/>
  <c r="V166" i="2"/>
  <c r="AB166" i="2" s="1"/>
  <c r="X191" i="2"/>
  <c r="S199" i="2"/>
  <c r="X144" i="2"/>
  <c r="X182" i="2"/>
  <c r="X167" i="2"/>
  <c r="X178" i="2"/>
  <c r="X121" i="2"/>
  <c r="X184" i="2"/>
  <c r="U178" i="2"/>
  <c r="Y178" i="2" s="1"/>
  <c r="U173" i="2"/>
  <c r="Y173" i="2" s="1"/>
  <c r="U149" i="2"/>
  <c r="Y149" i="2" s="1"/>
  <c r="U127" i="2"/>
  <c r="Y127" i="2" s="1"/>
  <c r="U196" i="2"/>
  <c r="Y196" i="2" s="1"/>
  <c r="U162" i="2"/>
  <c r="Y162" i="2" s="1"/>
  <c r="U29" i="2"/>
  <c r="U40" i="2"/>
  <c r="N196" i="2"/>
  <c r="O196" i="2" s="1"/>
  <c r="S196" i="2"/>
  <c r="AA196" i="2" s="1"/>
  <c r="N189" i="2"/>
  <c r="O189" i="2" s="1"/>
  <c r="N29" i="2"/>
  <c r="O29" i="2" s="1"/>
  <c r="N40" i="2"/>
  <c r="O40" i="2" s="1"/>
  <c r="S181" i="2"/>
  <c r="AA181" i="2" s="1"/>
  <c r="S149" i="2"/>
  <c r="AA149" i="2" s="1"/>
  <c r="N149" i="2"/>
  <c r="O149" i="2" s="1"/>
  <c r="N162" i="2"/>
  <c r="O162" i="2" s="1"/>
  <c r="N144" i="2"/>
  <c r="O144" i="2" s="1"/>
  <c r="V149" i="2"/>
  <c r="AB149" i="2" s="1"/>
  <c r="R149" i="2"/>
  <c r="Z149" i="2" s="1"/>
  <c r="V196" i="2"/>
  <c r="AB196" i="2" s="1"/>
  <c r="S64" i="2"/>
  <c r="AA64" i="2" s="1"/>
  <c r="P18" i="2"/>
  <c r="W18" i="2" s="1"/>
  <c r="P41" i="2"/>
  <c r="W41" i="2" s="1"/>
  <c r="P177" i="2"/>
  <c r="Q177" i="2" s="1"/>
  <c r="P171" i="2"/>
  <c r="Q171" i="2" s="1"/>
  <c r="P11" i="2"/>
  <c r="W11" i="2" s="1"/>
  <c r="P6" i="2"/>
  <c r="W6" i="2" s="1"/>
  <c r="P118" i="2"/>
  <c r="W118" i="2" s="1"/>
  <c r="P84" i="2"/>
  <c r="W84" i="2" s="1"/>
  <c r="P88" i="2"/>
  <c r="W88" i="2" s="1"/>
  <c r="P83" i="2"/>
  <c r="W83" i="2" s="1"/>
  <c r="P54" i="2"/>
  <c r="W54" i="2" s="1"/>
  <c r="P190" i="2"/>
  <c r="Q190" i="2" s="1"/>
  <c r="P62" i="2"/>
  <c r="W62" i="2" s="1"/>
  <c r="P120" i="2"/>
  <c r="W120" i="2" s="1"/>
  <c r="P9" i="2"/>
  <c r="W9" i="2" s="1"/>
  <c r="P160" i="2"/>
  <c r="Q160" i="2" s="1"/>
  <c r="P172" i="2"/>
  <c r="Q172" i="2" s="1"/>
  <c r="P125" i="2"/>
  <c r="Q125" i="2" s="1"/>
  <c r="P12" i="2"/>
  <c r="W12" i="2" s="1"/>
  <c r="P187" i="2"/>
  <c r="Q187" i="2" s="1"/>
  <c r="P183" i="2"/>
  <c r="Q183" i="2" s="1"/>
  <c r="P108" i="2"/>
  <c r="W108" i="2" s="1"/>
  <c r="P37" i="2"/>
  <c r="W37" i="2" s="1"/>
  <c r="P36" i="2"/>
  <c r="W36" i="2" s="1"/>
  <c r="P76" i="2"/>
  <c r="W76" i="2" s="1"/>
  <c r="P180" i="2"/>
  <c r="Q180" i="2" s="1"/>
  <c r="P116" i="2"/>
  <c r="W116" i="2" s="1"/>
  <c r="P152" i="2"/>
  <c r="Q152" i="2" s="1"/>
  <c r="P159" i="2"/>
  <c r="Q159" i="2" s="1"/>
  <c r="P168" i="2"/>
  <c r="Q168" i="2" s="1"/>
  <c r="P30" i="2"/>
  <c r="W30" i="2" s="1"/>
  <c r="P119" i="2"/>
  <c r="W119" i="2" s="1"/>
  <c r="P87" i="2"/>
  <c r="W87" i="2" s="1"/>
  <c r="P5" i="2"/>
  <c r="W5" i="2" s="1"/>
  <c r="P163" i="2"/>
  <c r="Q163" i="2" s="1"/>
  <c r="P55" i="2"/>
  <c r="W55" i="2" s="1"/>
  <c r="P107" i="2"/>
  <c r="W107" i="2" s="1"/>
  <c r="P95" i="2"/>
  <c r="W95" i="2" s="1"/>
  <c r="P4" i="2"/>
  <c r="W4" i="2" s="1"/>
  <c r="P23" i="2"/>
  <c r="W23" i="2" s="1"/>
  <c r="P123" i="2"/>
  <c r="Q123" i="2" s="1"/>
  <c r="P105" i="2"/>
  <c r="W105" i="2" s="1"/>
  <c r="P8" i="2"/>
  <c r="W8" i="2" s="1"/>
  <c r="P126" i="2"/>
  <c r="W126" i="2" s="1"/>
  <c r="P33" i="2"/>
  <c r="W33" i="2" s="1"/>
  <c r="P174" i="2"/>
  <c r="Q174" i="2" s="1"/>
  <c r="P129" i="2"/>
  <c r="Q129" i="2" s="1"/>
  <c r="P188" i="2"/>
  <c r="Q188" i="2" s="1"/>
  <c r="R196" i="2"/>
  <c r="Z196" i="2" s="1"/>
  <c r="R189" i="2"/>
  <c r="Z189" i="2" s="1"/>
  <c r="V189" i="2"/>
  <c r="AB189" i="2" s="1"/>
  <c r="V121" i="2"/>
  <c r="AB121" i="2" s="1"/>
  <c r="S189" i="2"/>
  <c r="AA189" i="2" s="1"/>
  <c r="S40" i="2"/>
  <c r="R40" i="2"/>
  <c r="V40" i="2"/>
  <c r="V178" i="2"/>
  <c r="AB178" i="2" s="1"/>
  <c r="V29" i="2"/>
  <c r="V142" i="2"/>
  <c r="AB142" i="2" s="1"/>
  <c r="V162" i="2"/>
  <c r="AB162" i="2" s="1"/>
  <c r="V161" i="2"/>
  <c r="AB161" i="2" s="1"/>
  <c r="V144" i="2"/>
  <c r="AB144" i="2" s="1"/>
  <c r="V179" i="2"/>
  <c r="AB179" i="2" s="1"/>
  <c r="V77" i="2"/>
  <c r="S140" i="2"/>
  <c r="S29" i="2"/>
  <c r="R29" i="2"/>
  <c r="S142" i="2"/>
  <c r="R142" i="2"/>
  <c r="Z142" i="2" s="1"/>
  <c r="R77" i="2"/>
  <c r="R197" i="2"/>
  <c r="Z197" i="2" s="1"/>
  <c r="S162" i="2"/>
  <c r="R162" i="2"/>
  <c r="Z162" i="2" s="1"/>
  <c r="R191" i="2"/>
  <c r="Z191" i="2" s="1"/>
  <c r="S127" i="2"/>
  <c r="S153" i="2"/>
  <c r="S148" i="2"/>
  <c r="R148" i="2"/>
  <c r="R124" i="2"/>
  <c r="Z124" i="2" s="1"/>
  <c r="S179" i="2"/>
  <c r="S104" i="2" l="1"/>
  <c r="N49" i="2"/>
  <c r="O49" i="2" s="1"/>
  <c r="V49" i="2"/>
  <c r="AB49" i="2" s="1"/>
  <c r="S131" i="2"/>
  <c r="V104" i="2"/>
  <c r="AB104" i="2" s="1"/>
  <c r="R49" i="2"/>
  <c r="Z49" i="2" s="1"/>
  <c r="S49" i="2"/>
  <c r="V131" i="2"/>
  <c r="AB131" i="2" s="1"/>
  <c r="U49" i="2"/>
  <c r="Y49" i="2" s="1"/>
  <c r="R104" i="2"/>
  <c r="Z104" i="2" s="1"/>
  <c r="R15" i="2"/>
  <c r="Z15" i="2" s="1"/>
  <c r="R136" i="2"/>
  <c r="R195" i="2"/>
  <c r="Z195" i="2" s="1"/>
  <c r="V136" i="2"/>
  <c r="S3" i="2"/>
  <c r="N3" i="2"/>
  <c r="O3" i="2" s="1"/>
  <c r="AC2" i="2"/>
  <c r="X102" i="2"/>
  <c r="R102" i="2"/>
  <c r="Z102" i="2" s="1"/>
  <c r="V3" i="2"/>
  <c r="AB3" i="2" s="1"/>
  <c r="V194" i="2"/>
  <c r="AB194" i="2" s="1"/>
  <c r="U131" i="2"/>
  <c r="Y131" i="2" s="1"/>
  <c r="S102" i="2"/>
  <c r="S195" i="2"/>
  <c r="V195" i="2"/>
  <c r="AB195" i="2" s="1"/>
  <c r="V102" i="2"/>
  <c r="AB102" i="2" s="1"/>
  <c r="U102" i="2"/>
  <c r="Y102" i="2" s="1"/>
  <c r="U194" i="2"/>
  <c r="Y194" i="2" s="1"/>
  <c r="N104" i="2"/>
  <c r="O104" i="2" s="1"/>
  <c r="Q50" i="2"/>
  <c r="X50" i="2" s="1"/>
  <c r="U104" i="2"/>
  <c r="Y104" i="2" s="1"/>
  <c r="R3" i="2"/>
  <c r="Z3" i="2" s="1"/>
  <c r="U3" i="2"/>
  <c r="Y3" i="2" s="1"/>
  <c r="V64" i="2"/>
  <c r="AB64" i="2" s="1"/>
  <c r="U145" i="2"/>
  <c r="Y145" i="2" s="1"/>
  <c r="R75" i="2"/>
  <c r="Z75" i="2" s="1"/>
  <c r="U64" i="2"/>
  <c r="Y64" i="2" s="1"/>
  <c r="X64" i="2"/>
  <c r="S70" i="2"/>
  <c r="R79" i="2"/>
  <c r="Z79" i="2" s="1"/>
  <c r="S145" i="2"/>
  <c r="AA145" i="2" s="1"/>
  <c r="N64" i="2"/>
  <c r="O64" i="2" s="1"/>
  <c r="R74" i="2"/>
  <c r="Z74" i="2" s="1"/>
  <c r="V43" i="2"/>
  <c r="AB43" i="2" s="1"/>
  <c r="S74" i="2"/>
  <c r="S75" i="2"/>
  <c r="AA75" i="2" s="1"/>
  <c r="S185" i="2"/>
  <c r="AA185" i="2" s="1"/>
  <c r="N136" i="2"/>
  <c r="O136" i="2" s="1"/>
  <c r="U75" i="2"/>
  <c r="Y75" i="2" s="1"/>
  <c r="U136" i="2"/>
  <c r="N79" i="2"/>
  <c r="O79" i="2" s="1"/>
  <c r="R185" i="2"/>
  <c r="Z185" i="2" s="1"/>
  <c r="V98" i="2"/>
  <c r="AB98" i="2" s="1"/>
  <c r="V75" i="2"/>
  <c r="AB75" i="2" s="1"/>
  <c r="S77" i="2"/>
  <c r="S136" i="2"/>
  <c r="V70" i="2"/>
  <c r="AB70" i="2" s="1"/>
  <c r="V185" i="2"/>
  <c r="AB185" i="2" s="1"/>
  <c r="N185" i="2"/>
  <c r="O185" i="2" s="1"/>
  <c r="N43" i="2"/>
  <c r="O43" i="2" s="1"/>
  <c r="V170" i="2"/>
  <c r="AB170" i="2" s="1"/>
  <c r="R98" i="2"/>
  <c r="Z98" i="2" s="1"/>
  <c r="R93" i="2"/>
  <c r="Z93" i="2" s="1"/>
  <c r="R170" i="2"/>
  <c r="Z170" i="2" s="1"/>
  <c r="V74" i="2"/>
  <c r="AB74" i="2" s="1"/>
  <c r="R70" i="2"/>
  <c r="Z70" i="2" s="1"/>
  <c r="S98" i="2"/>
  <c r="AA98" i="2" s="1"/>
  <c r="S93" i="2"/>
  <c r="AA93" i="2" s="1"/>
  <c r="V93" i="2"/>
  <c r="AB93" i="2" s="1"/>
  <c r="N75" i="2"/>
  <c r="O75" i="2" s="1"/>
  <c r="U185" i="2"/>
  <c r="Y185" i="2" s="1"/>
  <c r="V68" i="2"/>
  <c r="AB68" i="2" s="1"/>
  <c r="S198" i="2"/>
  <c r="AA198" i="2" s="1"/>
  <c r="Q143" i="2"/>
  <c r="S143" i="2" s="1"/>
  <c r="Q72" i="2"/>
  <c r="X72" i="2" s="1"/>
  <c r="W159" i="2"/>
  <c r="U70" i="2"/>
  <c r="Y70" i="2" s="1"/>
  <c r="W180" i="2"/>
  <c r="W125" i="2"/>
  <c r="W187" i="2"/>
  <c r="R165" i="2"/>
  <c r="Z165" i="2" s="1"/>
  <c r="N192" i="2"/>
  <c r="O192" i="2" s="1"/>
  <c r="W183" i="2"/>
  <c r="W188" i="2"/>
  <c r="W190" i="2"/>
  <c r="W168" i="2"/>
  <c r="N139" i="2"/>
  <c r="O139" i="2" s="1"/>
  <c r="S192" i="2"/>
  <c r="AA192" i="2" s="1"/>
  <c r="W152" i="2"/>
  <c r="W163" i="2"/>
  <c r="W123" i="2"/>
  <c r="W172" i="2"/>
  <c r="R192" i="2"/>
  <c r="Z192" i="2" s="1"/>
  <c r="U192" i="2"/>
  <c r="Y192" i="2" s="1"/>
  <c r="X77" i="2"/>
  <c r="W160" i="2"/>
  <c r="V192" i="2"/>
  <c r="AB192" i="2" s="1"/>
  <c r="W177" i="2"/>
  <c r="W171" i="2"/>
  <c r="W129" i="2"/>
  <c r="W174" i="2"/>
  <c r="Q114" i="2"/>
  <c r="X114" i="2" s="1"/>
  <c r="U74" i="2"/>
  <c r="Y74" i="2" s="1"/>
  <c r="S103" i="2"/>
  <c r="AA103" i="2" s="1"/>
  <c r="U158" i="2"/>
  <c r="Y158" i="2" s="1"/>
  <c r="R39" i="2"/>
  <c r="Z39" i="2" s="1"/>
  <c r="Q99" i="2"/>
  <c r="R99" i="2" s="1"/>
  <c r="Z99" i="2" s="1"/>
  <c r="V38" i="2"/>
  <c r="AB38" i="2" s="1"/>
  <c r="S101" i="2"/>
  <c r="AA101" i="2" s="1"/>
  <c r="S58" i="2"/>
  <c r="AA58" i="2" s="1"/>
  <c r="S89" i="2"/>
  <c r="R56" i="2"/>
  <c r="Z56" i="2" s="1"/>
  <c r="R68" i="2"/>
  <c r="Z68" i="2" s="1"/>
  <c r="S68" i="2"/>
  <c r="AA68" i="2" s="1"/>
  <c r="V52" i="2"/>
  <c r="N77" i="2"/>
  <c r="O77" i="2" s="1"/>
  <c r="X98" i="2"/>
  <c r="V47" i="2"/>
  <c r="AB47" i="2" s="1"/>
  <c r="N98" i="2"/>
  <c r="O98" i="2" s="1"/>
  <c r="V14" i="2"/>
  <c r="N74" i="2"/>
  <c r="O74" i="2" s="1"/>
  <c r="R19" i="2"/>
  <c r="Z19" i="2" s="1"/>
  <c r="N70" i="2"/>
  <c r="O70" i="2" s="1"/>
  <c r="U94" i="2"/>
  <c r="Y94" i="2" s="1"/>
  <c r="N47" i="2"/>
  <c r="O47" i="2" s="1"/>
  <c r="X43" i="2"/>
  <c r="U111" i="2"/>
  <c r="Y111" i="2" s="1"/>
  <c r="N117" i="2"/>
  <c r="O117" i="2" s="1"/>
  <c r="S19" i="2"/>
  <c r="AA19" i="2" s="1"/>
  <c r="N32" i="2"/>
  <c r="O32" i="2" s="1"/>
  <c r="U14" i="2"/>
  <c r="R111" i="2"/>
  <c r="Z111" i="2" s="1"/>
  <c r="R48" i="2"/>
  <c r="Z48" i="2" s="1"/>
  <c r="V111" i="2"/>
  <c r="AB111" i="2" s="1"/>
  <c r="N19" i="2"/>
  <c r="O19" i="2" s="1"/>
  <c r="V91" i="2"/>
  <c r="AB91" i="2" s="1"/>
  <c r="S81" i="2"/>
  <c r="AA81" i="2" s="1"/>
  <c r="R31" i="2"/>
  <c r="Z31" i="2" s="1"/>
  <c r="R32" i="2"/>
  <c r="Z32" i="2" s="1"/>
  <c r="V32" i="2"/>
  <c r="AB32" i="2" s="1"/>
  <c r="V71" i="2"/>
  <c r="AB71" i="2" s="1"/>
  <c r="V94" i="2"/>
  <c r="AB94" i="2" s="1"/>
  <c r="N81" i="2"/>
  <c r="O81" i="2" s="1"/>
  <c r="N71" i="2"/>
  <c r="O71" i="2" s="1"/>
  <c r="X32" i="2"/>
  <c r="X81" i="2"/>
  <c r="R81" i="2"/>
  <c r="Z81" i="2" s="1"/>
  <c r="S111" i="2"/>
  <c r="AA111" i="2" s="1"/>
  <c r="S31" i="2"/>
  <c r="AA31" i="2" s="1"/>
  <c r="V81" i="2"/>
  <c r="AB81" i="2" s="1"/>
  <c r="U19" i="2"/>
  <c r="Y19" i="2" s="1"/>
  <c r="X19" i="2"/>
  <c r="S32" i="2"/>
  <c r="AA32" i="2" s="1"/>
  <c r="R91" i="2"/>
  <c r="Z91" i="2" s="1"/>
  <c r="S91" i="2"/>
  <c r="AA91" i="2" s="1"/>
  <c r="N111" i="2"/>
  <c r="O111" i="2" s="1"/>
  <c r="N48" i="2"/>
  <c r="O48" i="2" s="1"/>
  <c r="R139" i="2"/>
  <c r="Z139" i="2" s="1"/>
  <c r="S117" i="2"/>
  <c r="AA117" i="2" s="1"/>
  <c r="R198" i="2"/>
  <c r="Z198" i="2" s="1"/>
  <c r="S100" i="2"/>
  <c r="V92" i="2"/>
  <c r="AB92" i="2" s="1"/>
  <c r="V198" i="2"/>
  <c r="AB198" i="2" s="1"/>
  <c r="V100" i="2"/>
  <c r="N35" i="2"/>
  <c r="O35" i="2" s="1"/>
  <c r="V10" i="2"/>
  <c r="AB10" i="2" s="1"/>
  <c r="V117" i="2"/>
  <c r="AB117" i="2" s="1"/>
  <c r="N52" i="2"/>
  <c r="O52" i="2" s="1"/>
  <c r="U117" i="2"/>
  <c r="Y117" i="2" s="1"/>
  <c r="U71" i="2"/>
  <c r="Y71" i="2" s="1"/>
  <c r="V139" i="2"/>
  <c r="AB139" i="2" s="1"/>
  <c r="N100" i="2"/>
  <c r="O100" i="2" s="1"/>
  <c r="N38" i="2"/>
  <c r="O38" i="2" s="1"/>
  <c r="X10" i="2"/>
  <c r="X117" i="2"/>
  <c r="U48" i="2"/>
  <c r="Y48" i="2" s="1"/>
  <c r="R38" i="2"/>
  <c r="Z38" i="2" s="1"/>
  <c r="R35" i="2"/>
  <c r="Z35" i="2" s="1"/>
  <c r="S38" i="2"/>
  <c r="AA38" i="2" s="1"/>
  <c r="R71" i="2"/>
  <c r="Z71" i="2" s="1"/>
  <c r="V35" i="2"/>
  <c r="AB35" i="2" s="1"/>
  <c r="N92" i="2"/>
  <c r="O92" i="2" s="1"/>
  <c r="V48" i="2"/>
  <c r="AB48" i="2" s="1"/>
  <c r="S139" i="2"/>
  <c r="S35" i="2"/>
  <c r="AA35" i="2" s="1"/>
  <c r="R100" i="2"/>
  <c r="U38" i="2"/>
  <c r="Y38" i="2" s="1"/>
  <c r="U100" i="2"/>
  <c r="S78" i="2"/>
  <c r="X24" i="2"/>
  <c r="N59" i="2"/>
  <c r="O59" i="2" s="1"/>
  <c r="V59" i="2"/>
  <c r="AB59" i="2" s="1"/>
  <c r="R110" i="2"/>
  <c r="Z110" i="2" s="1"/>
  <c r="R78" i="2"/>
  <c r="Z78" i="2" s="1"/>
  <c r="S110" i="2"/>
  <c r="AA110" i="2" s="1"/>
  <c r="V78" i="2"/>
  <c r="N110" i="2"/>
  <c r="O110" i="2" s="1"/>
  <c r="U110" i="2"/>
  <c r="Y110" i="2" s="1"/>
  <c r="S59" i="2"/>
  <c r="AA59" i="2" s="1"/>
  <c r="X94" i="2"/>
  <c r="N78" i="2"/>
  <c r="O78" i="2" s="1"/>
  <c r="V31" i="2"/>
  <c r="AB31" i="2" s="1"/>
  <c r="N96" i="2"/>
  <c r="O96" i="2" s="1"/>
  <c r="N94" i="2"/>
  <c r="O94" i="2" s="1"/>
  <c r="R94" i="2"/>
  <c r="Z94" i="2" s="1"/>
  <c r="V110" i="2"/>
  <c r="AB110" i="2" s="1"/>
  <c r="S67" i="2"/>
  <c r="AA67" i="2" s="1"/>
  <c r="S96" i="2"/>
  <c r="AA96" i="2" s="1"/>
  <c r="N31" i="2"/>
  <c r="O31" i="2" s="1"/>
  <c r="U31" i="2"/>
  <c r="Y31" i="2" s="1"/>
  <c r="S69" i="2"/>
  <c r="AA69" i="2" s="1"/>
  <c r="V90" i="2"/>
  <c r="AB90" i="2" s="1"/>
  <c r="S63" i="2"/>
  <c r="AA63" i="2" s="1"/>
  <c r="R109" i="2"/>
  <c r="Z109" i="2" s="1"/>
  <c r="R25" i="2"/>
  <c r="Z25" i="2" s="1"/>
  <c r="V112" i="2"/>
  <c r="AB112" i="2" s="1"/>
  <c r="V79" i="2"/>
  <c r="AB79" i="2" s="1"/>
  <c r="R43" i="2"/>
  <c r="Z43" i="2" s="1"/>
  <c r="U15" i="2"/>
  <c r="Y15" i="2" s="1"/>
  <c r="U51" i="2"/>
  <c r="Y51" i="2" s="1"/>
  <c r="U79" i="2"/>
  <c r="Y79" i="2" s="1"/>
  <c r="N80" i="2"/>
  <c r="O80" i="2" s="1"/>
  <c r="S80" i="2"/>
  <c r="AA80" i="2" s="1"/>
  <c r="V69" i="2"/>
  <c r="AB69" i="2" s="1"/>
  <c r="R47" i="2"/>
  <c r="Z47" i="2" s="1"/>
  <c r="U27" i="2"/>
  <c r="Y27" i="2" s="1"/>
  <c r="R112" i="2"/>
  <c r="Z112" i="2" s="1"/>
  <c r="S47" i="2"/>
  <c r="AA47" i="2" s="1"/>
  <c r="S79" i="2"/>
  <c r="AA79" i="2" s="1"/>
  <c r="N109" i="2"/>
  <c r="O109" i="2" s="1"/>
  <c r="X93" i="2"/>
  <c r="S85" i="2"/>
  <c r="AA85" i="2" s="1"/>
  <c r="V86" i="2"/>
  <c r="AB86" i="2" s="1"/>
  <c r="V44" i="2"/>
  <c r="AB44" i="2" s="1"/>
  <c r="S56" i="2"/>
  <c r="V103" i="2"/>
  <c r="AB103" i="2" s="1"/>
  <c r="S109" i="2"/>
  <c r="AA109" i="2" s="1"/>
  <c r="R65" i="2"/>
  <c r="Z65" i="2" s="1"/>
  <c r="Q120" i="2"/>
  <c r="X120" i="2" s="1"/>
  <c r="U103" i="2"/>
  <c r="Y103" i="2" s="1"/>
  <c r="X13" i="2"/>
  <c r="X39" i="2"/>
  <c r="X109" i="2"/>
  <c r="N57" i="2"/>
  <c r="O57" i="2" s="1"/>
  <c r="R44" i="2"/>
  <c r="Z44" i="2" s="1"/>
  <c r="V56" i="2"/>
  <c r="AB56" i="2" s="1"/>
  <c r="R57" i="2"/>
  <c r="Z57" i="2" s="1"/>
  <c r="S44" i="2"/>
  <c r="AA44" i="2" s="1"/>
  <c r="N103" i="2"/>
  <c r="O103" i="2" s="1"/>
  <c r="U65" i="2"/>
  <c r="Y65" i="2" s="1"/>
  <c r="N44" i="2"/>
  <c r="O44" i="2" s="1"/>
  <c r="U101" i="2"/>
  <c r="Y101" i="2" s="1"/>
  <c r="Q126" i="2"/>
  <c r="X126" i="2" s="1"/>
  <c r="U109" i="2"/>
  <c r="Y109" i="2" s="1"/>
  <c r="R13" i="2"/>
  <c r="Z13" i="2" s="1"/>
  <c r="V13" i="2"/>
  <c r="AB13" i="2" s="1"/>
  <c r="R103" i="2"/>
  <c r="Z103" i="2" s="1"/>
  <c r="N39" i="2"/>
  <c r="O39" i="2" s="1"/>
  <c r="U39" i="2"/>
  <c r="Y39" i="2" s="1"/>
  <c r="X65" i="2"/>
  <c r="V39" i="2"/>
  <c r="AB39" i="2" s="1"/>
  <c r="V57" i="2"/>
  <c r="AB57" i="2" s="1"/>
  <c r="S57" i="2"/>
  <c r="AA57" i="2" s="1"/>
  <c r="N65" i="2"/>
  <c r="O65" i="2" s="1"/>
  <c r="V65" i="2"/>
  <c r="N91" i="2"/>
  <c r="O91" i="2" s="1"/>
  <c r="X44" i="2"/>
  <c r="N56" i="2"/>
  <c r="O56" i="2" s="1"/>
  <c r="U56" i="2"/>
  <c r="Y56" i="2" s="1"/>
  <c r="U69" i="2"/>
  <c r="Y69" i="2" s="1"/>
  <c r="Q11" i="2"/>
  <c r="R58" i="2"/>
  <c r="Z58" i="2" s="1"/>
  <c r="S115" i="2"/>
  <c r="AA115" i="2" s="1"/>
  <c r="V115" i="2"/>
  <c r="AB115" i="2" s="1"/>
  <c r="V80" i="2"/>
  <c r="AB80" i="2" s="1"/>
  <c r="Q8" i="2"/>
  <c r="V8" i="2" s="1"/>
  <c r="AB8" i="2" s="1"/>
  <c r="Q12" i="2"/>
  <c r="X12" i="2" s="1"/>
  <c r="Q54" i="2"/>
  <c r="R54" i="2" s="1"/>
  <c r="Z54" i="2" s="1"/>
  <c r="X69" i="2"/>
  <c r="Q105" i="2"/>
  <c r="S105" i="2" s="1"/>
  <c r="R52" i="2"/>
  <c r="S112" i="2"/>
  <c r="AA112" i="2" s="1"/>
  <c r="Q87" i="2"/>
  <c r="X87" i="2" s="1"/>
  <c r="Q76" i="2"/>
  <c r="U76" i="2" s="1"/>
  <c r="Y76" i="2" s="1"/>
  <c r="Q88" i="2"/>
  <c r="S88" i="2" s="1"/>
  <c r="Q18" i="2"/>
  <c r="V18" i="2" s="1"/>
  <c r="AB18" i="2" s="1"/>
  <c r="U52" i="2"/>
  <c r="X80" i="2"/>
  <c r="X58" i="2"/>
  <c r="S52" i="2"/>
  <c r="V101" i="2"/>
  <c r="AB101" i="2" s="1"/>
  <c r="Q23" i="2"/>
  <c r="U23" i="2" s="1"/>
  <c r="Y23" i="2" s="1"/>
  <c r="N112" i="2"/>
  <c r="O112" i="2" s="1"/>
  <c r="R59" i="2"/>
  <c r="Z59" i="2" s="1"/>
  <c r="U112" i="2"/>
  <c r="Y112" i="2" s="1"/>
  <c r="Q4" i="2"/>
  <c r="R4" i="2" s="1"/>
  <c r="Z4" i="2" s="1"/>
  <c r="Q9" i="2"/>
  <c r="V9" i="2" s="1"/>
  <c r="AB9" i="2" s="1"/>
  <c r="U115" i="2"/>
  <c r="Y115" i="2" s="1"/>
  <c r="N69" i="2"/>
  <c r="O69" i="2" s="1"/>
  <c r="N53" i="2"/>
  <c r="O53" i="2" s="1"/>
  <c r="N58" i="2"/>
  <c r="O58" i="2" s="1"/>
  <c r="U53" i="2"/>
  <c r="Y53" i="2" s="1"/>
  <c r="X53" i="2"/>
  <c r="Q5" i="2"/>
  <c r="X5" i="2" s="1"/>
  <c r="Q41" i="2"/>
  <c r="X41" i="2" s="1"/>
  <c r="R53" i="2"/>
  <c r="Z53" i="2" s="1"/>
  <c r="R101" i="2"/>
  <c r="Z101" i="2" s="1"/>
  <c r="S53" i="2"/>
  <c r="R80" i="2"/>
  <c r="Z80" i="2" s="1"/>
  <c r="Q6" i="2"/>
  <c r="S6" i="2" s="1"/>
  <c r="N115" i="2"/>
  <c r="O115" i="2" s="1"/>
  <c r="N101" i="2"/>
  <c r="O101" i="2" s="1"/>
  <c r="X115" i="2"/>
  <c r="U58" i="2"/>
  <c r="Y58" i="2" s="1"/>
  <c r="Q55" i="2"/>
  <c r="X55" i="2" s="1"/>
  <c r="U78" i="2"/>
  <c r="Y78" i="2" s="1"/>
  <c r="U35" i="2"/>
  <c r="Y35" i="2" s="1"/>
  <c r="R86" i="2"/>
  <c r="Z86" i="2" s="1"/>
  <c r="S86" i="2"/>
  <c r="AA86" i="2" s="1"/>
  <c r="N63" i="2"/>
  <c r="O63" i="2" s="1"/>
  <c r="U86" i="2"/>
  <c r="Y86" i="2" s="1"/>
  <c r="U34" i="2"/>
  <c r="Y34" i="2" s="1"/>
  <c r="U63" i="2"/>
  <c r="Y63" i="2" s="1"/>
  <c r="R63" i="2"/>
  <c r="Z63" i="2" s="1"/>
  <c r="S34" i="2"/>
  <c r="AA34" i="2" s="1"/>
  <c r="V63" i="2"/>
  <c r="AB63" i="2" s="1"/>
  <c r="R66" i="2"/>
  <c r="Z66" i="2" s="1"/>
  <c r="S73" i="2"/>
  <c r="AA73" i="2" s="1"/>
  <c r="R67" i="2"/>
  <c r="Z67" i="2" s="1"/>
  <c r="S66" i="2"/>
  <c r="AA66" i="2" s="1"/>
  <c r="R27" i="2"/>
  <c r="Z27" i="2" s="1"/>
  <c r="R73" i="2"/>
  <c r="Z73" i="2" s="1"/>
  <c r="V67" i="2"/>
  <c r="AB67" i="2" s="1"/>
  <c r="N67" i="2"/>
  <c r="O67" i="2" s="1"/>
  <c r="N26" i="2"/>
  <c r="O26" i="2" s="1"/>
  <c r="X26" i="2"/>
  <c r="R28" i="2"/>
  <c r="U67" i="2"/>
  <c r="Y67" i="2" s="1"/>
  <c r="U73" i="2"/>
  <c r="Y73" i="2" s="1"/>
  <c r="N68" i="2"/>
  <c r="O68" i="2" s="1"/>
  <c r="S45" i="2"/>
  <c r="AA45" i="2" s="1"/>
  <c r="V27" i="2"/>
  <c r="AB27" i="2" s="1"/>
  <c r="S27" i="2"/>
  <c r="AA27" i="2" s="1"/>
  <c r="N27" i="2"/>
  <c r="O27" i="2" s="1"/>
  <c r="U46" i="2"/>
  <c r="Y46" i="2" s="1"/>
  <c r="R61" i="2"/>
  <c r="Z61" i="2" s="1"/>
  <c r="R46" i="2"/>
  <c r="Z46" i="2" s="1"/>
  <c r="V46" i="2"/>
  <c r="AB46" i="2" s="1"/>
  <c r="N46" i="2"/>
  <c r="O46" i="2" s="1"/>
  <c r="U85" i="2"/>
  <c r="Y85" i="2" s="1"/>
  <c r="S46" i="2"/>
  <c r="AA46" i="2" s="1"/>
  <c r="R51" i="2"/>
  <c r="Z51" i="2" s="1"/>
  <c r="V61" i="2"/>
  <c r="AB61" i="2" s="1"/>
  <c r="N85" i="2"/>
  <c r="O85" i="2" s="1"/>
  <c r="V85" i="2"/>
  <c r="AB85" i="2" s="1"/>
  <c r="V51" i="2"/>
  <c r="AB51" i="2" s="1"/>
  <c r="N51" i="2"/>
  <c r="O51" i="2" s="1"/>
  <c r="N106" i="2"/>
  <c r="O106" i="2" s="1"/>
  <c r="R85" i="2"/>
  <c r="Z85" i="2" s="1"/>
  <c r="S51" i="2"/>
  <c r="AA51" i="2" s="1"/>
  <c r="N73" i="2"/>
  <c r="O73" i="2" s="1"/>
  <c r="V45" i="2"/>
  <c r="AB45" i="2" s="1"/>
  <c r="R45" i="2"/>
  <c r="Z45" i="2" s="1"/>
  <c r="N45" i="2"/>
  <c r="O45" i="2" s="1"/>
  <c r="V28" i="2"/>
  <c r="S28" i="2"/>
  <c r="U28" i="2"/>
  <c r="R106" i="2"/>
  <c r="Z106" i="2" s="1"/>
  <c r="R113" i="2"/>
  <c r="Z113" i="2" s="1"/>
  <c r="U113" i="2"/>
  <c r="Y113" i="2" s="1"/>
  <c r="S106" i="2"/>
  <c r="AA106" i="2" s="1"/>
  <c r="R34" i="2"/>
  <c r="Z34" i="2" s="1"/>
  <c r="V106" i="2"/>
  <c r="AB106" i="2" s="1"/>
  <c r="S113" i="2"/>
  <c r="AA113" i="2" s="1"/>
  <c r="N34" i="2"/>
  <c r="O34" i="2" s="1"/>
  <c r="S61" i="2"/>
  <c r="AA61" i="2" s="1"/>
  <c r="N97" i="2"/>
  <c r="O97" i="2" s="1"/>
  <c r="U61" i="2"/>
  <c r="Y61" i="2" s="1"/>
  <c r="V34" i="2"/>
  <c r="AB34" i="2" s="1"/>
  <c r="U96" i="2"/>
  <c r="Y96" i="2" s="1"/>
  <c r="U57" i="2"/>
  <c r="Y57" i="2" s="1"/>
  <c r="S90" i="2"/>
  <c r="AA90" i="2" s="1"/>
  <c r="S97" i="2"/>
  <c r="AA97" i="2" s="1"/>
  <c r="R89" i="2"/>
  <c r="Z89" i="2" s="1"/>
  <c r="S82" i="2"/>
  <c r="AA82" i="2" s="1"/>
  <c r="S92" i="2"/>
  <c r="AA92" i="2" s="1"/>
  <c r="V89" i="2"/>
  <c r="V82" i="2"/>
  <c r="AB82" i="2" s="1"/>
  <c r="V97" i="2"/>
  <c r="AB97" i="2" s="1"/>
  <c r="U60" i="2"/>
  <c r="Y60" i="2" s="1"/>
  <c r="U42" i="2"/>
  <c r="Y42" i="2" s="1"/>
  <c r="R90" i="2"/>
  <c r="Z90" i="2" s="1"/>
  <c r="V60" i="2"/>
  <c r="AB60" i="2" s="1"/>
  <c r="R96" i="2"/>
  <c r="Z96" i="2" s="1"/>
  <c r="N89" i="2"/>
  <c r="O89" i="2" s="1"/>
  <c r="N82" i="2"/>
  <c r="O82" i="2" s="1"/>
  <c r="R60" i="2"/>
  <c r="Z60" i="2" s="1"/>
  <c r="U82" i="2"/>
  <c r="Y82" i="2" s="1"/>
  <c r="N42" i="2"/>
  <c r="O42" i="2" s="1"/>
  <c r="S26" i="2"/>
  <c r="R42" i="2"/>
  <c r="Z42" i="2" s="1"/>
  <c r="V26" i="2"/>
  <c r="N60" i="2"/>
  <c r="O60" i="2" s="1"/>
  <c r="U89" i="2"/>
  <c r="Y89" i="2" s="1"/>
  <c r="U91" i="2"/>
  <c r="Y91" i="2" s="1"/>
  <c r="N28" i="2"/>
  <c r="O28" i="2" s="1"/>
  <c r="S60" i="2"/>
  <c r="AA60" i="2" s="1"/>
  <c r="R26" i="2"/>
  <c r="Z26" i="2" s="1"/>
  <c r="S42" i="2"/>
  <c r="AA42" i="2" s="1"/>
  <c r="Q84" i="2"/>
  <c r="U84" i="2" s="1"/>
  <c r="Y84" i="2" s="1"/>
  <c r="O66" i="2"/>
  <c r="V66" i="2"/>
  <c r="AB66" i="2" s="1"/>
  <c r="X42" i="2"/>
  <c r="X48" i="2"/>
  <c r="U59" i="2"/>
  <c r="Y59" i="2" s="1"/>
  <c r="U66" i="2"/>
  <c r="Y66" i="2" s="1"/>
  <c r="Q36" i="2"/>
  <c r="X36" i="2" s="1"/>
  <c r="O61" i="2"/>
  <c r="Q108" i="2"/>
  <c r="X108" i="2" s="1"/>
  <c r="X61" i="2"/>
  <c r="Q30" i="2"/>
  <c r="U30" i="2" s="1"/>
  <c r="Y30" i="2" s="1"/>
  <c r="X92" i="2"/>
  <c r="Q37" i="2"/>
  <c r="N37" i="2" s="1"/>
  <c r="Q95" i="2"/>
  <c r="X95" i="2" s="1"/>
  <c r="Q33" i="2"/>
  <c r="X33" i="2" s="1"/>
  <c r="O113" i="2"/>
  <c r="V113" i="2"/>
  <c r="AB113" i="2" s="1"/>
  <c r="U97" i="2"/>
  <c r="Y97" i="2" s="1"/>
  <c r="O86" i="2"/>
  <c r="X113" i="2"/>
  <c r="Q107" i="2"/>
  <c r="X107" i="2" s="1"/>
  <c r="U26" i="2"/>
  <c r="X68" i="2"/>
  <c r="X143" i="2"/>
  <c r="X96" i="2"/>
  <c r="X66" i="2"/>
  <c r="Q116" i="2"/>
  <c r="X116" i="2" s="1"/>
  <c r="O90" i="2"/>
  <c r="X97" i="2"/>
  <c r="U92" i="2"/>
  <c r="Y92" i="2" s="1"/>
  <c r="X47" i="2"/>
  <c r="X73" i="2"/>
  <c r="Q119" i="2"/>
  <c r="U119" i="2" s="1"/>
  <c r="Y119" i="2" s="1"/>
  <c r="X86" i="2"/>
  <c r="Q62" i="2"/>
  <c r="R62" i="2" s="1"/>
  <c r="Z62" i="2" s="1"/>
  <c r="Q118" i="2"/>
  <c r="X118" i="2" s="1"/>
  <c r="U90" i="2"/>
  <c r="Y90" i="2" s="1"/>
  <c r="X82" i="2"/>
  <c r="X45" i="2"/>
  <c r="X90" i="2"/>
  <c r="X106" i="2"/>
  <c r="X71" i="2"/>
  <c r="Q83" i="2"/>
  <c r="R83" i="2" s="1"/>
  <c r="Z83" i="2" s="1"/>
  <c r="R155" i="2"/>
  <c r="Z155" i="2" s="1"/>
  <c r="S155" i="2"/>
  <c r="AA155" i="2" s="1"/>
  <c r="V25" i="2"/>
  <c r="AB25" i="2" s="1"/>
  <c r="V127" i="2"/>
  <c r="AB127" i="2" s="1"/>
  <c r="N127" i="2"/>
  <c r="O127" i="2" s="1"/>
  <c r="R127" i="2"/>
  <c r="Z127" i="2" s="1"/>
  <c r="U25" i="2"/>
  <c r="Y25" i="2" s="1"/>
  <c r="S186" i="2"/>
  <c r="AA186" i="2" s="1"/>
  <c r="V22" i="2"/>
  <c r="S158" i="2"/>
  <c r="AA158" i="2" s="1"/>
  <c r="R181" i="2"/>
  <c r="Z181" i="2" s="1"/>
  <c r="U181" i="2"/>
  <c r="Y181" i="2" s="1"/>
  <c r="R22" i="2"/>
  <c r="Z22" i="2" s="1"/>
  <c r="S193" i="2"/>
  <c r="AA193" i="2" s="1"/>
  <c r="S22" i="2"/>
  <c r="V181" i="2"/>
  <c r="AB181" i="2" s="1"/>
  <c r="N181" i="2"/>
  <c r="O181" i="2" s="1"/>
  <c r="R137" i="2"/>
  <c r="Z137" i="2" s="1"/>
  <c r="S137" i="2"/>
  <c r="AA137" i="2" s="1"/>
  <c r="R158" i="2"/>
  <c r="Z158" i="2" s="1"/>
  <c r="S197" i="2"/>
  <c r="AA197" i="2" s="1"/>
  <c r="V175" i="2"/>
  <c r="AB175" i="2" s="1"/>
  <c r="U189" i="2"/>
  <c r="Y189" i="2" s="1"/>
  <c r="AC189" i="2" s="1"/>
  <c r="V153" i="2"/>
  <c r="AB153" i="2" s="1"/>
  <c r="S176" i="2"/>
  <c r="AA176" i="2" s="1"/>
  <c r="N175" i="2"/>
  <c r="O175" i="2" s="1"/>
  <c r="U153" i="2"/>
  <c r="Y153" i="2" s="1"/>
  <c r="R193" i="2"/>
  <c r="Z193" i="2" s="1"/>
  <c r="V176" i="2"/>
  <c r="AB176" i="2" s="1"/>
  <c r="S175" i="2"/>
  <c r="AA175" i="2" s="1"/>
  <c r="R166" i="2"/>
  <c r="Z166" i="2" s="1"/>
  <c r="V137" i="2"/>
  <c r="AB137" i="2" s="1"/>
  <c r="R175" i="2"/>
  <c r="Z175" i="2" s="1"/>
  <c r="U175" i="2"/>
  <c r="Y175" i="2" s="1"/>
  <c r="S147" i="2"/>
  <c r="AA147" i="2" s="1"/>
  <c r="V193" i="2"/>
  <c r="AB193" i="2" s="1"/>
  <c r="N153" i="2"/>
  <c r="O153" i="2" s="1"/>
  <c r="S191" i="2"/>
  <c r="AA191" i="2" s="1"/>
  <c r="S166" i="2"/>
  <c r="AA166" i="2" s="1"/>
  <c r="S167" i="2"/>
  <c r="AA167" i="2" s="1"/>
  <c r="R167" i="2"/>
  <c r="Z167" i="2" s="1"/>
  <c r="R138" i="2"/>
  <c r="Z138" i="2" s="1"/>
  <c r="V191" i="2"/>
  <c r="AB191" i="2" s="1"/>
  <c r="N167" i="2"/>
  <c r="O167" i="2" s="1"/>
  <c r="U191" i="2"/>
  <c r="Y191" i="2" s="1"/>
  <c r="V182" i="2"/>
  <c r="AB182" i="2" s="1"/>
  <c r="V148" i="2"/>
  <c r="V156" i="2"/>
  <c r="AB156" i="2" s="1"/>
  <c r="N184" i="2"/>
  <c r="O184" i="2" s="1"/>
  <c r="N191" i="2"/>
  <c r="O191" i="2" s="1"/>
  <c r="U148" i="2"/>
  <c r="U139" i="2"/>
  <c r="Y139" i="2" s="1"/>
  <c r="R17" i="2"/>
  <c r="N156" i="2"/>
  <c r="O156" i="2" s="1"/>
  <c r="V167" i="2"/>
  <c r="AB167" i="2" s="1"/>
  <c r="N148" i="2"/>
  <c r="O148" i="2" s="1"/>
  <c r="S138" i="2"/>
  <c r="AA138" i="2" s="1"/>
  <c r="R169" i="2"/>
  <c r="Z169" i="2" s="1"/>
  <c r="V128" i="2"/>
  <c r="AB128" i="2" s="1"/>
  <c r="U169" i="2"/>
  <c r="Y169" i="2" s="1"/>
  <c r="N178" i="2"/>
  <c r="O178" i="2" s="1"/>
  <c r="N10" i="2"/>
  <c r="O10" i="2" s="1"/>
  <c r="S144" i="2"/>
  <c r="AA144" i="2" s="1"/>
  <c r="S178" i="2"/>
  <c r="AA178" i="2" s="1"/>
  <c r="V150" i="2"/>
  <c r="AB150" i="2" s="1"/>
  <c r="N15" i="2"/>
  <c r="O15" i="2" s="1"/>
  <c r="N169" i="2"/>
  <c r="O169" i="2" s="1"/>
  <c r="U157" i="2"/>
  <c r="Y157" i="2" s="1"/>
  <c r="V20" i="2"/>
  <c r="AB20" i="2" s="1"/>
  <c r="R150" i="2"/>
  <c r="Z150" i="2" s="1"/>
  <c r="U128" i="2"/>
  <c r="Y128" i="2" s="1"/>
  <c r="R178" i="2"/>
  <c r="Z178" i="2" s="1"/>
  <c r="S169" i="2"/>
  <c r="AA169" i="2" s="1"/>
  <c r="R20" i="2"/>
  <c r="Z20" i="2" s="1"/>
  <c r="S141" i="2"/>
  <c r="AA141" i="2" s="1"/>
  <c r="V169" i="2"/>
  <c r="AB169" i="2" s="1"/>
  <c r="V15" i="2"/>
  <c r="AB15" i="2" s="1"/>
  <c r="R144" i="2"/>
  <c r="Z144" i="2" s="1"/>
  <c r="S20" i="2"/>
  <c r="V17" i="2"/>
  <c r="V133" i="2"/>
  <c r="AB133" i="2" s="1"/>
  <c r="R121" i="2"/>
  <c r="Z121" i="2" s="1"/>
  <c r="N124" i="2"/>
  <c r="O124" i="2" s="1"/>
  <c r="S121" i="2"/>
  <c r="AA121" i="2" s="1"/>
  <c r="U13" i="2"/>
  <c r="Y13" i="2" s="1"/>
  <c r="R156" i="2"/>
  <c r="Z156" i="2" s="1"/>
  <c r="S156" i="2"/>
  <c r="AA156" i="2" s="1"/>
  <c r="S17" i="2"/>
  <c r="R141" i="2"/>
  <c r="Z141" i="2" s="1"/>
  <c r="R194" i="2"/>
  <c r="Z194" i="2" s="1"/>
  <c r="V145" i="2"/>
  <c r="AB145" i="2" s="1"/>
  <c r="V199" i="2"/>
  <c r="AB199" i="2" s="1"/>
  <c r="U151" i="2"/>
  <c r="Y151" i="2" s="1"/>
  <c r="V154" i="2"/>
  <c r="AB154" i="2" s="1"/>
  <c r="R154" i="2"/>
  <c r="Z154" i="2" s="1"/>
  <c r="N173" i="2"/>
  <c r="O173" i="2" s="1"/>
  <c r="U130" i="2"/>
  <c r="Y130" i="2" s="1"/>
  <c r="U156" i="2"/>
  <c r="Y156" i="2" s="1"/>
  <c r="U133" i="2"/>
  <c r="Y133" i="2" s="1"/>
  <c r="S124" i="2"/>
  <c r="AA124" i="2" s="1"/>
  <c r="R133" i="2"/>
  <c r="Z133" i="2" s="1"/>
  <c r="R157" i="2"/>
  <c r="Z157" i="2" s="1"/>
  <c r="S15" i="2"/>
  <c r="AA15" i="2" s="1"/>
  <c r="N13" i="2"/>
  <c r="O13" i="2" s="1"/>
  <c r="N7" i="2"/>
  <c r="O7" i="2" s="1"/>
  <c r="U124" i="2"/>
  <c r="Y124" i="2" s="1"/>
  <c r="V141" i="2"/>
  <c r="AB141" i="2" s="1"/>
  <c r="R151" i="2"/>
  <c r="Z151" i="2" s="1"/>
  <c r="S151" i="2"/>
  <c r="AA151" i="2" s="1"/>
  <c r="R199" i="2"/>
  <c r="Z199" i="2" s="1"/>
  <c r="R7" i="2"/>
  <c r="Z7" i="2" s="1"/>
  <c r="S157" i="2"/>
  <c r="AA157" i="2" s="1"/>
  <c r="V7" i="2"/>
  <c r="AB7" i="2" s="1"/>
  <c r="V124" i="2"/>
  <c r="AB124" i="2" s="1"/>
  <c r="N151" i="2"/>
  <c r="O151" i="2" s="1"/>
  <c r="S7" i="2"/>
  <c r="AA7" i="2" s="1"/>
  <c r="V151" i="2"/>
  <c r="AB151" i="2" s="1"/>
  <c r="X166" i="2"/>
  <c r="N166" i="2"/>
  <c r="O166" i="2" s="1"/>
  <c r="X16" i="2"/>
  <c r="N16" i="2"/>
  <c r="O16" i="2" s="1"/>
  <c r="X21" i="2"/>
  <c r="N21" i="2"/>
  <c r="O21" i="2" s="1"/>
  <c r="X179" i="2"/>
  <c r="N179" i="2"/>
  <c r="O179" i="2" s="1"/>
  <c r="X146" i="2"/>
  <c r="N146" i="2"/>
  <c r="O146" i="2" s="1"/>
  <c r="X186" i="2"/>
  <c r="N186" i="2"/>
  <c r="O186" i="2" s="1"/>
  <c r="V186" i="2"/>
  <c r="AB186" i="2" s="1"/>
  <c r="X134" i="2"/>
  <c r="N134" i="2"/>
  <c r="O134" i="2" s="1"/>
  <c r="R179" i="2"/>
  <c r="Z179" i="2" s="1"/>
  <c r="S16" i="2"/>
  <c r="R21" i="2"/>
  <c r="Z21" i="2" s="1"/>
  <c r="R140" i="2"/>
  <c r="Z140" i="2" s="1"/>
  <c r="V140" i="2"/>
  <c r="AB140" i="2" s="1"/>
  <c r="R186" i="2"/>
  <c r="Z186" i="2" s="1"/>
  <c r="S173" i="2"/>
  <c r="AA173" i="2" s="1"/>
  <c r="U174" i="2"/>
  <c r="Y174" i="2" s="1"/>
  <c r="U168" i="2"/>
  <c r="Y168" i="2" s="1"/>
  <c r="N130" i="2"/>
  <c r="O130" i="2" s="1"/>
  <c r="U167" i="2"/>
  <c r="Y167" i="2" s="1"/>
  <c r="U146" i="2"/>
  <c r="Y146" i="2" s="1"/>
  <c r="X141" i="2"/>
  <c r="N141" i="2"/>
  <c r="O141" i="2" s="1"/>
  <c r="X133" i="2"/>
  <c r="N133" i="2"/>
  <c r="O133" i="2" s="1"/>
  <c r="X194" i="2"/>
  <c r="N194" i="2"/>
  <c r="O194" i="2" s="1"/>
  <c r="X157" i="2"/>
  <c r="N157" i="2"/>
  <c r="O157" i="2" s="1"/>
  <c r="V21" i="2"/>
  <c r="AB21" i="2" s="1"/>
  <c r="U159" i="2"/>
  <c r="Y159" i="2" s="1"/>
  <c r="U7" i="2"/>
  <c r="Y7" i="2" s="1"/>
  <c r="U164" i="2"/>
  <c r="Y164" i="2" s="1"/>
  <c r="X122" i="2"/>
  <c r="S122" i="2"/>
  <c r="AA122" i="2" s="1"/>
  <c r="N122" i="2"/>
  <c r="O122" i="2" s="1"/>
  <c r="R122" i="2"/>
  <c r="Z122" i="2" s="1"/>
  <c r="V122" i="2"/>
  <c r="AB122" i="2" s="1"/>
  <c r="X150" i="2"/>
  <c r="N150" i="2"/>
  <c r="O150" i="2" s="1"/>
  <c r="X170" i="2"/>
  <c r="N170" i="2"/>
  <c r="O170" i="2" s="1"/>
  <c r="X155" i="2"/>
  <c r="N155" i="2"/>
  <c r="O155" i="2" s="1"/>
  <c r="U122" i="2"/>
  <c r="Y122" i="2" s="1"/>
  <c r="X158" i="2"/>
  <c r="N158" i="2"/>
  <c r="O158" i="2" s="1"/>
  <c r="U150" i="2"/>
  <c r="Y150" i="2" s="1"/>
  <c r="X129" i="2"/>
  <c r="X147" i="2"/>
  <c r="N147" i="2"/>
  <c r="O147" i="2" s="1"/>
  <c r="U16" i="2"/>
  <c r="V16" i="2"/>
  <c r="V173" i="2"/>
  <c r="AB173" i="2" s="1"/>
  <c r="R173" i="2"/>
  <c r="Z173" i="2" s="1"/>
  <c r="V163" i="2"/>
  <c r="AB163" i="2" s="1"/>
  <c r="U184" i="2"/>
  <c r="Y184" i="2" s="1"/>
  <c r="X199" i="2"/>
  <c r="N199" i="2"/>
  <c r="O199" i="2" s="1"/>
  <c r="U199" i="2"/>
  <c r="Y199" i="2" s="1"/>
  <c r="X197" i="2"/>
  <c r="N197" i="2"/>
  <c r="O197" i="2" s="1"/>
  <c r="U21" i="2"/>
  <c r="Y21" i="2" s="1"/>
  <c r="U197" i="2"/>
  <c r="Y197" i="2" s="1"/>
  <c r="X138" i="2"/>
  <c r="N138" i="2"/>
  <c r="O138" i="2" s="1"/>
  <c r="X154" i="2"/>
  <c r="S154" i="2"/>
  <c r="AA154" i="2" s="1"/>
  <c r="N154" i="2"/>
  <c r="O154" i="2" s="1"/>
  <c r="R152" i="2"/>
  <c r="Z152" i="2" s="1"/>
  <c r="S171" i="2"/>
  <c r="AA171" i="2" s="1"/>
  <c r="R182" i="2"/>
  <c r="Z182" i="2" s="1"/>
  <c r="V24" i="2"/>
  <c r="AB24" i="2" s="1"/>
  <c r="V164" i="2"/>
  <c r="AB164" i="2" s="1"/>
  <c r="S130" i="2"/>
  <c r="AA130" i="2" s="1"/>
  <c r="U180" i="2"/>
  <c r="Y180" i="2" s="1"/>
  <c r="V125" i="2"/>
  <c r="AB125" i="2" s="1"/>
  <c r="U24" i="2"/>
  <c r="Y24" i="2" s="1"/>
  <c r="X131" i="2"/>
  <c r="N131" i="2"/>
  <c r="O131" i="2" s="1"/>
  <c r="X198" i="2"/>
  <c r="N198" i="2"/>
  <c r="O198" i="2" s="1"/>
  <c r="X176" i="2"/>
  <c r="N176" i="2"/>
  <c r="O176" i="2" s="1"/>
  <c r="R176" i="2"/>
  <c r="Z176" i="2" s="1"/>
  <c r="X137" i="2"/>
  <c r="N137" i="2"/>
  <c r="O137" i="2" s="1"/>
  <c r="U165" i="2"/>
  <c r="Y165" i="2" s="1"/>
  <c r="X22" i="2"/>
  <c r="N22" i="2"/>
  <c r="O22" i="2" s="1"/>
  <c r="X17" i="2"/>
  <c r="N17" i="2"/>
  <c r="O17" i="2" s="1"/>
  <c r="X25" i="2"/>
  <c r="N25" i="2"/>
  <c r="O25" i="2" s="1"/>
  <c r="X135" i="2"/>
  <c r="S135" i="2"/>
  <c r="AA135" i="2" s="1"/>
  <c r="R135" i="2"/>
  <c r="Z135" i="2" s="1"/>
  <c r="V135" i="2"/>
  <c r="AB135" i="2" s="1"/>
  <c r="N135" i="2"/>
  <c r="O135" i="2" s="1"/>
  <c r="U155" i="2"/>
  <c r="Y155" i="2" s="1"/>
  <c r="S190" i="2"/>
  <c r="X132" i="2"/>
  <c r="N132" i="2"/>
  <c r="O132" i="2" s="1"/>
  <c r="S132" i="2"/>
  <c r="AA132" i="2" s="1"/>
  <c r="S165" i="2"/>
  <c r="AA165" i="2" s="1"/>
  <c r="R184" i="2"/>
  <c r="Z184" i="2" s="1"/>
  <c r="R146" i="2"/>
  <c r="Z146" i="2" s="1"/>
  <c r="S182" i="2"/>
  <c r="AA182" i="2" s="1"/>
  <c r="S184" i="2"/>
  <c r="AA184" i="2" s="1"/>
  <c r="S146" i="2"/>
  <c r="AA146" i="2" s="1"/>
  <c r="R164" i="2"/>
  <c r="Z164" i="2" s="1"/>
  <c r="R134" i="2"/>
  <c r="Z134" i="2" s="1"/>
  <c r="R161" i="2"/>
  <c r="Z161" i="2" s="1"/>
  <c r="R130" i="2"/>
  <c r="Z130" i="2" s="1"/>
  <c r="U123" i="2"/>
  <c r="Y123" i="2" s="1"/>
  <c r="X172" i="2"/>
  <c r="N164" i="2"/>
  <c r="O164" i="2" s="1"/>
  <c r="N24" i="2"/>
  <c r="O24" i="2" s="1"/>
  <c r="U182" i="2"/>
  <c r="Y182" i="2" s="1"/>
  <c r="U161" i="2"/>
  <c r="Y161" i="2" s="1"/>
  <c r="U121" i="2"/>
  <c r="Y121" i="2" s="1"/>
  <c r="U138" i="2"/>
  <c r="Y138" i="2" s="1"/>
  <c r="X20" i="2"/>
  <c r="N20" i="2"/>
  <c r="O20" i="2" s="1"/>
  <c r="U179" i="2"/>
  <c r="Y179" i="2" s="1"/>
  <c r="X145" i="2"/>
  <c r="N145" i="2"/>
  <c r="O145" i="2" s="1"/>
  <c r="U132" i="2"/>
  <c r="Y132" i="2" s="1"/>
  <c r="X195" i="2"/>
  <c r="N195" i="2"/>
  <c r="O195" i="2" s="1"/>
  <c r="X142" i="2"/>
  <c r="N142" i="2"/>
  <c r="O142" i="2" s="1"/>
  <c r="X128" i="2"/>
  <c r="N128" i="2"/>
  <c r="O128" i="2" s="1"/>
  <c r="R128" i="2"/>
  <c r="Z128" i="2" s="1"/>
  <c r="X187" i="2"/>
  <c r="X140" i="2"/>
  <c r="N140" i="2"/>
  <c r="O140" i="2" s="1"/>
  <c r="X165" i="2"/>
  <c r="N165" i="2"/>
  <c r="O165" i="2" s="1"/>
  <c r="S24" i="2"/>
  <c r="AA24" i="2" s="1"/>
  <c r="S10" i="2"/>
  <c r="AA10" i="2" s="1"/>
  <c r="R153" i="2"/>
  <c r="Z153" i="2" s="1"/>
  <c r="S164" i="2"/>
  <c r="AA164" i="2" s="1"/>
  <c r="S134" i="2"/>
  <c r="AA134" i="2" s="1"/>
  <c r="R147" i="2"/>
  <c r="Z147" i="2" s="1"/>
  <c r="S161" i="2"/>
  <c r="AA161" i="2" s="1"/>
  <c r="V184" i="2"/>
  <c r="AB184" i="2" s="1"/>
  <c r="V132" i="2"/>
  <c r="AB132" i="2" s="1"/>
  <c r="V134" i="2"/>
  <c r="AB134" i="2" s="1"/>
  <c r="V130" i="2"/>
  <c r="AB130" i="2" s="1"/>
  <c r="V147" i="2"/>
  <c r="AB147" i="2" s="1"/>
  <c r="X188" i="2"/>
  <c r="X160" i="2"/>
  <c r="N182" i="2"/>
  <c r="O182" i="2" s="1"/>
  <c r="N161" i="2"/>
  <c r="O161" i="2" s="1"/>
  <c r="N121" i="2"/>
  <c r="O121" i="2" s="1"/>
  <c r="U10" i="2"/>
  <c r="Y10" i="2" s="1"/>
  <c r="U144" i="2"/>
  <c r="Y144" i="2" s="1"/>
  <c r="U134" i="2"/>
  <c r="Y134" i="2" s="1"/>
  <c r="X14" i="2"/>
  <c r="S14" i="2"/>
  <c r="N14" i="2"/>
  <c r="O14" i="2" s="1"/>
  <c r="U170" i="2"/>
  <c r="Y170" i="2" s="1"/>
  <c r="U166" i="2"/>
  <c r="Y166" i="2" s="1"/>
  <c r="X193" i="2"/>
  <c r="N193" i="2"/>
  <c r="O193" i="2" s="1"/>
  <c r="AC149" i="2"/>
  <c r="S180" i="2"/>
  <c r="AA180" i="2" s="1"/>
  <c r="V180" i="2"/>
  <c r="AB180" i="2" s="1"/>
  <c r="AC196" i="2"/>
  <c r="R187" i="2"/>
  <c r="Z187" i="2" s="1"/>
  <c r="S159" i="2"/>
  <c r="AA159" i="2" s="1"/>
  <c r="V188" i="2"/>
  <c r="AB188" i="2" s="1"/>
  <c r="AA94" i="2"/>
  <c r="AA199" i="2"/>
  <c r="AA133" i="2"/>
  <c r="AA71" i="2"/>
  <c r="AA102" i="2"/>
  <c r="AA74" i="2"/>
  <c r="AA179" i="2"/>
  <c r="AA21" i="2"/>
  <c r="AA170" i="2"/>
  <c r="AA13" i="2"/>
  <c r="AA153" i="2"/>
  <c r="AA139" i="2"/>
  <c r="AA48" i="2"/>
  <c r="AA127" i="2"/>
  <c r="AA142" i="2"/>
  <c r="AC142" i="2" s="1"/>
  <c r="AA194" i="2"/>
  <c r="AA104" i="2"/>
  <c r="AA39" i="2"/>
  <c r="AA195" i="2"/>
  <c r="AA49" i="2"/>
  <c r="AA70" i="2"/>
  <c r="AA162" i="2"/>
  <c r="AC162" i="2" s="1"/>
  <c r="AA150" i="2"/>
  <c r="AA25" i="2"/>
  <c r="AA131" i="2"/>
  <c r="AA140" i="2"/>
  <c r="R168" i="2"/>
  <c r="Z168" i="2" s="1"/>
  <c r="S168" i="2"/>
  <c r="V174" i="2"/>
  <c r="AB174" i="2" s="1"/>
  <c r="S174" i="2"/>
  <c r="R174" i="2"/>
  <c r="Z174" i="2" s="1"/>
  <c r="Y20" i="2"/>
  <c r="Y22" i="2"/>
  <c r="AA3" i="2"/>
  <c r="Z29" i="2"/>
  <c r="Y29" i="2"/>
  <c r="Y77" i="2"/>
  <c r="Z77" i="2"/>
  <c r="AC49" i="2" l="1"/>
  <c r="R50" i="2"/>
  <c r="Z50" i="2" s="1"/>
  <c r="N50" i="2"/>
  <c r="O50" i="2" s="1"/>
  <c r="V50" i="2"/>
  <c r="AB50" i="2" s="1"/>
  <c r="U50" i="2"/>
  <c r="Y50" i="2" s="1"/>
  <c r="S50" i="2"/>
  <c r="AA50" i="2" s="1"/>
  <c r="AC131" i="2"/>
  <c r="N143" i="2"/>
  <c r="O143" i="2" s="1"/>
  <c r="U143" i="2"/>
  <c r="Y143" i="2" s="1"/>
  <c r="R143" i="2"/>
  <c r="Z143" i="2" s="1"/>
  <c r="V143" i="2"/>
  <c r="AB143" i="2" s="1"/>
  <c r="S99" i="2"/>
  <c r="N72" i="2"/>
  <c r="O72" i="2" s="1"/>
  <c r="V72" i="2"/>
  <c r="AB72" i="2" s="1"/>
  <c r="U72" i="2"/>
  <c r="Y72" i="2" s="1"/>
  <c r="R72" i="2"/>
  <c r="Z72" i="2" s="1"/>
  <c r="V55" i="2"/>
  <c r="AB55" i="2" s="1"/>
  <c r="S72" i="2"/>
  <c r="AA72" i="2" s="1"/>
  <c r="AC102" i="2"/>
  <c r="N99" i="2"/>
  <c r="O99" i="2" s="1"/>
  <c r="AC43" i="2"/>
  <c r="AC104" i="2"/>
  <c r="AC93" i="2"/>
  <c r="AC64" i="2"/>
  <c r="AC195" i="2"/>
  <c r="U88" i="2"/>
  <c r="Y88" i="2" s="1"/>
  <c r="R88" i="2"/>
  <c r="Z88" i="2" s="1"/>
  <c r="AC75" i="2"/>
  <c r="AC98" i="2"/>
  <c r="AC70" i="2"/>
  <c r="S55" i="2"/>
  <c r="AA55" i="2" s="1"/>
  <c r="AC185" i="2"/>
  <c r="AC74" i="2"/>
  <c r="U87" i="2"/>
  <c r="Y87" i="2" s="1"/>
  <c r="R55" i="2"/>
  <c r="Z55" i="2" s="1"/>
  <c r="R87" i="2"/>
  <c r="Z87" i="2" s="1"/>
  <c r="S114" i="2"/>
  <c r="AA114" i="2" s="1"/>
  <c r="N88" i="2"/>
  <c r="O88" i="2" s="1"/>
  <c r="N114" i="2"/>
  <c r="O114" i="2" s="1"/>
  <c r="U114" i="2"/>
  <c r="Y114" i="2" s="1"/>
  <c r="V114" i="2"/>
  <c r="AB114" i="2" s="1"/>
  <c r="X88" i="2"/>
  <c r="V88" i="2"/>
  <c r="AB88" i="2" s="1"/>
  <c r="R114" i="2"/>
  <c r="Z114" i="2" s="1"/>
  <c r="V99" i="2"/>
  <c r="AB99" i="2" s="1"/>
  <c r="AC192" i="2"/>
  <c r="S87" i="2"/>
  <c r="AA87" i="2" s="1"/>
  <c r="N87" i="2"/>
  <c r="O87" i="2" s="1"/>
  <c r="U99" i="2"/>
  <c r="Y99" i="2" s="1"/>
  <c r="X99" i="2"/>
  <c r="V87" i="2"/>
  <c r="AB87" i="2" s="1"/>
  <c r="S62" i="2"/>
  <c r="AA62" i="2" s="1"/>
  <c r="U62" i="2"/>
  <c r="Y62" i="2" s="1"/>
  <c r="AC68" i="2"/>
  <c r="AC198" i="2"/>
  <c r="R76" i="2"/>
  <c r="Z76" i="2" s="1"/>
  <c r="V30" i="2"/>
  <c r="AB30" i="2" s="1"/>
  <c r="R33" i="2"/>
  <c r="Z33" i="2" s="1"/>
  <c r="N105" i="2"/>
  <c r="O105" i="2" s="1"/>
  <c r="R105" i="2"/>
  <c r="Z105" i="2" s="1"/>
  <c r="V62" i="2"/>
  <c r="AB62" i="2" s="1"/>
  <c r="AC32" i="2"/>
  <c r="AC81" i="2"/>
  <c r="AC94" i="2"/>
  <c r="AC111" i="2"/>
  <c r="N9" i="2"/>
  <c r="O9" i="2" s="1"/>
  <c r="N30" i="2"/>
  <c r="O30" i="2" s="1"/>
  <c r="AC71" i="2"/>
  <c r="AC48" i="2"/>
  <c r="AC117" i="2"/>
  <c r="V118" i="2"/>
  <c r="AB118" i="2" s="1"/>
  <c r="U54" i="2"/>
  <c r="Y54" i="2" s="1"/>
  <c r="R118" i="2"/>
  <c r="Z118" i="2" s="1"/>
  <c r="AC31" i="2"/>
  <c r="S37" i="2"/>
  <c r="AA37" i="2" s="1"/>
  <c r="R8" i="2"/>
  <c r="Z8" i="2" s="1"/>
  <c r="X76" i="2"/>
  <c r="S8" i="2"/>
  <c r="AA8" i="2" s="1"/>
  <c r="R23" i="2"/>
  <c r="Z23" i="2" s="1"/>
  <c r="V76" i="2"/>
  <c r="AB76" i="2" s="1"/>
  <c r="S23" i="2"/>
  <c r="AA23" i="2" s="1"/>
  <c r="S76" i="2"/>
  <c r="AA76" i="2" s="1"/>
  <c r="V23" i="2"/>
  <c r="AB23" i="2" s="1"/>
  <c r="N76" i="2"/>
  <c r="O76" i="2" s="1"/>
  <c r="AC109" i="2"/>
  <c r="AC19" i="2"/>
  <c r="AC110" i="2"/>
  <c r="AC69" i="2"/>
  <c r="N55" i="2"/>
  <c r="O55" i="2" s="1"/>
  <c r="U55" i="2"/>
  <c r="Y55" i="2" s="1"/>
  <c r="AC38" i="2"/>
  <c r="N62" i="2"/>
  <c r="O62" i="2" s="1"/>
  <c r="N33" i="2"/>
  <c r="O33" i="2" s="1"/>
  <c r="V105" i="2"/>
  <c r="AB105" i="2" s="1"/>
  <c r="V4" i="2"/>
  <c r="AB4" i="2" s="1"/>
  <c r="AC39" i="2"/>
  <c r="S4" i="2"/>
  <c r="U4" i="2"/>
  <c r="Y4" i="2" s="1"/>
  <c r="U105" i="2"/>
  <c r="Y105" i="2" s="1"/>
  <c r="X105" i="2"/>
  <c r="S9" i="2"/>
  <c r="AA9" i="2" s="1"/>
  <c r="X9" i="2"/>
  <c r="R9" i="2"/>
  <c r="Z9" i="2" s="1"/>
  <c r="U9" i="2"/>
  <c r="Y9" i="2" s="1"/>
  <c r="AC47" i="2"/>
  <c r="AC103" i="2"/>
  <c r="AC58" i="2"/>
  <c r="AC79" i="2"/>
  <c r="V83" i="2"/>
  <c r="AB83" i="2" s="1"/>
  <c r="AC44" i="2"/>
  <c r="AC112" i="2"/>
  <c r="V37" i="2"/>
  <c r="AB37" i="2" s="1"/>
  <c r="X6" i="2"/>
  <c r="V54" i="2"/>
  <c r="AB54" i="2" s="1"/>
  <c r="AC57" i="2"/>
  <c r="AC101" i="2"/>
  <c r="N54" i="2"/>
  <c r="O54" i="2" s="1"/>
  <c r="S54" i="2"/>
  <c r="AA54" i="2" s="1"/>
  <c r="X54" i="2"/>
  <c r="U37" i="2"/>
  <c r="Y37" i="2" s="1"/>
  <c r="R37" i="2"/>
  <c r="Z37" i="2" s="1"/>
  <c r="AC59" i="2"/>
  <c r="AC80" i="2"/>
  <c r="U18" i="2"/>
  <c r="Y18" i="2" s="1"/>
  <c r="S118" i="2"/>
  <c r="AA118" i="2" s="1"/>
  <c r="R41" i="2"/>
  <c r="Z41" i="2" s="1"/>
  <c r="V116" i="2"/>
  <c r="AB116" i="2" s="1"/>
  <c r="S41" i="2"/>
  <c r="S107" i="2"/>
  <c r="AA107" i="2" s="1"/>
  <c r="AC115" i="2"/>
  <c r="U41" i="2"/>
  <c r="Y41" i="2" s="1"/>
  <c r="V41" i="2"/>
  <c r="N41" i="2"/>
  <c r="O41" i="2" s="1"/>
  <c r="R116" i="2"/>
  <c r="Z116" i="2" s="1"/>
  <c r="N116" i="2"/>
  <c r="O116" i="2" s="1"/>
  <c r="R107" i="2"/>
  <c r="Z107" i="2" s="1"/>
  <c r="AC63" i="2"/>
  <c r="R30" i="2"/>
  <c r="Z30" i="2" s="1"/>
  <c r="V95" i="2"/>
  <c r="AB95" i="2" s="1"/>
  <c r="S30" i="2"/>
  <c r="AA30" i="2" s="1"/>
  <c r="AC86" i="2"/>
  <c r="N95" i="2"/>
  <c r="O95" i="2" s="1"/>
  <c r="R95" i="2"/>
  <c r="Z95" i="2" s="1"/>
  <c r="S95" i="2"/>
  <c r="AA95" i="2" s="1"/>
  <c r="N108" i="2"/>
  <c r="O108" i="2" s="1"/>
  <c r="R108" i="2"/>
  <c r="Z108" i="2" s="1"/>
  <c r="AC73" i="2"/>
  <c r="AC92" i="2"/>
  <c r="U118" i="2"/>
  <c r="Y118" i="2" s="1"/>
  <c r="N36" i="2"/>
  <c r="O36" i="2" s="1"/>
  <c r="R36" i="2"/>
  <c r="Z36" i="2" s="1"/>
  <c r="V36" i="2"/>
  <c r="AB36" i="2" s="1"/>
  <c r="AC27" i="2"/>
  <c r="S36" i="2"/>
  <c r="AA36" i="2" s="1"/>
  <c r="AC46" i="2"/>
  <c r="AC67" i="2"/>
  <c r="V108" i="2"/>
  <c r="AB108" i="2" s="1"/>
  <c r="S108" i="2"/>
  <c r="AA108" i="2" s="1"/>
  <c r="R84" i="2"/>
  <c r="Z84" i="2" s="1"/>
  <c r="S116" i="2"/>
  <c r="AA116" i="2" s="1"/>
  <c r="S84" i="2"/>
  <c r="AA84" i="2" s="1"/>
  <c r="AC45" i="2"/>
  <c r="U108" i="2"/>
  <c r="Y108" i="2" s="1"/>
  <c r="V84" i="2"/>
  <c r="AB84" i="2" s="1"/>
  <c r="AC42" i="2"/>
  <c r="AC85" i="2"/>
  <c r="AC51" i="2"/>
  <c r="R119" i="2"/>
  <c r="Z119" i="2" s="1"/>
  <c r="AC61" i="2"/>
  <c r="V33" i="2"/>
  <c r="AB33" i="2" s="1"/>
  <c r="S119" i="2"/>
  <c r="AA119" i="2" s="1"/>
  <c r="V119" i="2"/>
  <c r="AB119" i="2" s="1"/>
  <c r="AC106" i="2"/>
  <c r="S33" i="2"/>
  <c r="AA33" i="2" s="1"/>
  <c r="N119" i="2"/>
  <c r="O119" i="2" s="1"/>
  <c r="U33" i="2"/>
  <c r="Y33" i="2" s="1"/>
  <c r="U95" i="2"/>
  <c r="Y95" i="2" s="1"/>
  <c r="S83" i="2"/>
  <c r="AA83" i="2" s="1"/>
  <c r="N83" i="2"/>
  <c r="O83" i="2" s="1"/>
  <c r="U83" i="2"/>
  <c r="Y83" i="2" s="1"/>
  <c r="U116" i="2"/>
  <c r="Y116" i="2" s="1"/>
  <c r="AC96" i="2"/>
  <c r="N118" i="2"/>
  <c r="O118" i="2" s="1"/>
  <c r="AC90" i="2"/>
  <c r="AC25" i="2"/>
  <c r="AC66" i="2"/>
  <c r="AC113" i="2"/>
  <c r="AC82" i="2"/>
  <c r="AC91" i="2"/>
  <c r="N84" i="2"/>
  <c r="O84" i="2" s="1"/>
  <c r="X84" i="2"/>
  <c r="V107" i="2"/>
  <c r="AB107" i="2" s="1"/>
  <c r="U107" i="2"/>
  <c r="Y107" i="2" s="1"/>
  <c r="N107" i="2"/>
  <c r="O107" i="2" s="1"/>
  <c r="AB22" i="2"/>
  <c r="AC60" i="2"/>
  <c r="AC97" i="2"/>
  <c r="AC158" i="2"/>
  <c r="AC128" i="2"/>
  <c r="X62" i="2"/>
  <c r="O37" i="2"/>
  <c r="X37" i="2"/>
  <c r="X30" i="2"/>
  <c r="X119" i="2"/>
  <c r="AC181" i="2"/>
  <c r="U36" i="2"/>
  <c r="Y36" i="2" s="1"/>
  <c r="X83" i="2"/>
  <c r="AC139" i="2"/>
  <c r="AC175" i="2"/>
  <c r="AC132" i="2"/>
  <c r="AC193" i="2"/>
  <c r="AC141" i="2"/>
  <c r="AC127" i="2"/>
  <c r="AC176" i="2"/>
  <c r="U12" i="2"/>
  <c r="Y12" i="2" s="1"/>
  <c r="R12" i="2"/>
  <c r="Z12" i="2" s="1"/>
  <c r="V12" i="2"/>
  <c r="AB12" i="2" s="1"/>
  <c r="S12" i="2"/>
  <c r="AA12" i="2" s="1"/>
  <c r="AC178" i="2"/>
  <c r="AC186" i="2"/>
  <c r="S160" i="2"/>
  <c r="AA160" i="2" s="1"/>
  <c r="R160" i="2"/>
  <c r="Z160" i="2" s="1"/>
  <c r="V160" i="2"/>
  <c r="AB160" i="2" s="1"/>
  <c r="AC146" i="2"/>
  <c r="N160" i="2"/>
  <c r="O160" i="2" s="1"/>
  <c r="AC138" i="2"/>
  <c r="AC155" i="2"/>
  <c r="V152" i="2"/>
  <c r="AB152" i="2" s="1"/>
  <c r="R6" i="2"/>
  <c r="Z6" i="2" s="1"/>
  <c r="V6" i="2"/>
  <c r="AB6" i="2" s="1"/>
  <c r="AC194" i="2"/>
  <c r="R159" i="2"/>
  <c r="Z159" i="2" s="1"/>
  <c r="N6" i="2"/>
  <c r="O6" i="2" s="1"/>
  <c r="S152" i="2"/>
  <c r="AA152" i="2" s="1"/>
  <c r="AC191" i="2"/>
  <c r="V5" i="2"/>
  <c r="R190" i="2"/>
  <c r="Z190" i="2" s="1"/>
  <c r="V190" i="2"/>
  <c r="AB190" i="2" s="1"/>
  <c r="AC15" i="2"/>
  <c r="V123" i="2"/>
  <c r="AB123" i="2" s="1"/>
  <c r="AC154" i="2"/>
  <c r="AC137" i="2"/>
  <c r="S129" i="2"/>
  <c r="AA129" i="2" s="1"/>
  <c r="N129" i="2"/>
  <c r="O129" i="2" s="1"/>
  <c r="U6" i="2"/>
  <c r="Y6" i="2" s="1"/>
  <c r="U129" i="2"/>
  <c r="Y129" i="2" s="1"/>
  <c r="V129" i="2"/>
  <c r="AB129" i="2" s="1"/>
  <c r="AC167" i="2"/>
  <c r="AC153" i="2"/>
  <c r="R129" i="2"/>
  <c r="Z129" i="2" s="1"/>
  <c r="V126" i="2"/>
  <c r="AB126" i="2" s="1"/>
  <c r="AC124" i="2"/>
  <c r="S125" i="2"/>
  <c r="AA125" i="2" s="1"/>
  <c r="R126" i="2"/>
  <c r="Z126" i="2" s="1"/>
  <c r="R125" i="2"/>
  <c r="Z125" i="2" s="1"/>
  <c r="S126" i="2"/>
  <c r="AA126" i="2" s="1"/>
  <c r="N126" i="2"/>
  <c r="O126" i="2" s="1"/>
  <c r="S18" i="2"/>
  <c r="AA18" i="2" s="1"/>
  <c r="R120" i="2"/>
  <c r="Z120" i="2" s="1"/>
  <c r="R18" i="2"/>
  <c r="Z18" i="2" s="1"/>
  <c r="V159" i="2"/>
  <c r="AB159" i="2" s="1"/>
  <c r="R123" i="2"/>
  <c r="Z123" i="2" s="1"/>
  <c r="R5" i="2"/>
  <c r="Z5" i="2" s="1"/>
  <c r="N12" i="2"/>
  <c r="O12" i="2" s="1"/>
  <c r="U120" i="2"/>
  <c r="Y120" i="2" s="1"/>
  <c r="AC150" i="2"/>
  <c r="N120" i="2"/>
  <c r="O120" i="2" s="1"/>
  <c r="V120" i="2"/>
  <c r="AB120" i="2" s="1"/>
  <c r="AC21" i="2"/>
  <c r="AC197" i="2"/>
  <c r="AC133" i="2"/>
  <c r="AC169" i="2"/>
  <c r="V171" i="2"/>
  <c r="AB171" i="2" s="1"/>
  <c r="N5" i="2"/>
  <c r="O5" i="2" s="1"/>
  <c r="S163" i="2"/>
  <c r="AA163" i="2" s="1"/>
  <c r="AC151" i="2"/>
  <c r="R171" i="2"/>
  <c r="Z171" i="2" s="1"/>
  <c r="R163" i="2"/>
  <c r="Z163" i="2" s="1"/>
  <c r="U5" i="2"/>
  <c r="Y5" i="2" s="1"/>
  <c r="AC121" i="2"/>
  <c r="U163" i="2"/>
  <c r="Y163" i="2" s="1"/>
  <c r="S120" i="2"/>
  <c r="AA120" i="2" s="1"/>
  <c r="AC157" i="2"/>
  <c r="V168" i="2"/>
  <c r="AB168" i="2" s="1"/>
  <c r="S5" i="2"/>
  <c r="AC144" i="2"/>
  <c r="AC179" i="2"/>
  <c r="AC130" i="2"/>
  <c r="AC7" i="2"/>
  <c r="AC170" i="2"/>
  <c r="AC13" i="2"/>
  <c r="AC134" i="2"/>
  <c r="AC147" i="2"/>
  <c r="AC24" i="2"/>
  <c r="AC145" i="2"/>
  <c r="AC156" i="2"/>
  <c r="AC173" i="2"/>
  <c r="AC165" i="2"/>
  <c r="AC164" i="2"/>
  <c r="U187" i="2"/>
  <c r="Y187" i="2" s="1"/>
  <c r="AC10" i="2"/>
  <c r="AC182" i="2"/>
  <c r="AC199" i="2"/>
  <c r="V187" i="2"/>
  <c r="AB187" i="2" s="1"/>
  <c r="U160" i="2"/>
  <c r="Y160" i="2" s="1"/>
  <c r="AC135" i="2"/>
  <c r="S187" i="2"/>
  <c r="AA187" i="2" s="1"/>
  <c r="N187" i="2"/>
  <c r="O187" i="2" s="1"/>
  <c r="X11" i="2"/>
  <c r="R11" i="2"/>
  <c r="Z11" i="2" s="1"/>
  <c r="N11" i="2"/>
  <c r="O11" i="2" s="1"/>
  <c r="S11" i="2"/>
  <c r="AA11" i="2" s="1"/>
  <c r="U152" i="2"/>
  <c r="Y152" i="2" s="1"/>
  <c r="AC166" i="2"/>
  <c r="AC161" i="2"/>
  <c r="S172" i="2"/>
  <c r="AA172" i="2" s="1"/>
  <c r="U126" i="2"/>
  <c r="Y126" i="2" s="1"/>
  <c r="X180" i="2"/>
  <c r="N180" i="2"/>
  <c r="O180" i="2" s="1"/>
  <c r="R180" i="2"/>
  <c r="Z180" i="2" s="1"/>
  <c r="AC180" i="2" s="1"/>
  <c r="U11" i="2"/>
  <c r="Y11" i="2" s="1"/>
  <c r="AC122" i="2"/>
  <c r="X152" i="2"/>
  <c r="N152" i="2"/>
  <c r="O152" i="2" s="1"/>
  <c r="X177" i="2"/>
  <c r="N177" i="2"/>
  <c r="O177" i="2" s="1"/>
  <c r="S177" i="2"/>
  <c r="AA177" i="2" s="1"/>
  <c r="AC184" i="2"/>
  <c r="V11" i="2"/>
  <c r="AB11" i="2" s="1"/>
  <c r="N188" i="2"/>
  <c r="O188" i="2" s="1"/>
  <c r="U172" i="2"/>
  <c r="Y172" i="2" s="1"/>
  <c r="U171" i="2"/>
  <c r="Y171" i="2" s="1"/>
  <c r="X123" i="2"/>
  <c r="N123" i="2"/>
  <c r="O123" i="2" s="1"/>
  <c r="S123" i="2"/>
  <c r="AA123" i="2" s="1"/>
  <c r="X183" i="2"/>
  <c r="S183" i="2"/>
  <c r="AA183" i="2" s="1"/>
  <c r="R183" i="2"/>
  <c r="Z183" i="2" s="1"/>
  <c r="V183" i="2"/>
  <c r="AB183" i="2" s="1"/>
  <c r="N183" i="2"/>
  <c r="O183" i="2" s="1"/>
  <c r="R177" i="2"/>
  <c r="Z177" i="2" s="1"/>
  <c r="R172" i="2"/>
  <c r="Z172" i="2" s="1"/>
  <c r="S188" i="2"/>
  <c r="AA188" i="2" s="1"/>
  <c r="R188" i="2"/>
  <c r="Z188" i="2" s="1"/>
  <c r="U183" i="2"/>
  <c r="Y183" i="2" s="1"/>
  <c r="V177" i="2"/>
  <c r="AB177" i="2" s="1"/>
  <c r="X190" i="2"/>
  <c r="N190" i="2"/>
  <c r="O190" i="2" s="1"/>
  <c r="X163" i="2"/>
  <c r="N163" i="2"/>
  <c r="O163" i="2" s="1"/>
  <c r="X159" i="2"/>
  <c r="N159" i="2"/>
  <c r="O159" i="2" s="1"/>
  <c r="U188" i="2"/>
  <c r="Y188" i="2" s="1"/>
  <c r="AC140" i="2"/>
  <c r="N172" i="2"/>
  <c r="O172" i="2" s="1"/>
  <c r="U177" i="2"/>
  <c r="Y177" i="2" s="1"/>
  <c r="X168" i="2"/>
  <c r="N168" i="2"/>
  <c r="O168" i="2" s="1"/>
  <c r="X4" i="2"/>
  <c r="N4" i="2"/>
  <c r="O4" i="2" s="1"/>
  <c r="V172" i="2"/>
  <c r="AB172" i="2" s="1"/>
  <c r="X23" i="2"/>
  <c r="N23" i="2"/>
  <c r="O23" i="2" s="1"/>
  <c r="X18" i="2"/>
  <c r="N18" i="2"/>
  <c r="O18" i="2" s="1"/>
  <c r="X171" i="2"/>
  <c r="N171" i="2"/>
  <c r="O171" i="2" s="1"/>
  <c r="X8" i="2"/>
  <c r="N8" i="2"/>
  <c r="O8" i="2" s="1"/>
  <c r="U8" i="2"/>
  <c r="Y8" i="2" s="1"/>
  <c r="X125" i="2"/>
  <c r="N125" i="2"/>
  <c r="O125" i="2" s="1"/>
  <c r="U125" i="2"/>
  <c r="Y125" i="2" s="1"/>
  <c r="U190" i="2"/>
  <c r="Y190" i="2" s="1"/>
  <c r="X174" i="2"/>
  <c r="N174" i="2"/>
  <c r="O174" i="2" s="1"/>
  <c r="AA105" i="2"/>
  <c r="AA99" i="2"/>
  <c r="AA168" i="2"/>
  <c r="AA143" i="2"/>
  <c r="AA190" i="2"/>
  <c r="AA174" i="2"/>
  <c r="AC174" i="2" s="1"/>
  <c r="AA88" i="2"/>
  <c r="AA20" i="2"/>
  <c r="AA22" i="2" s="1"/>
  <c r="AA56" i="2"/>
  <c r="AC56" i="2" s="1"/>
  <c r="AC3" i="2"/>
  <c r="AB89" i="2"/>
  <c r="AB78" i="2"/>
  <c r="AA6" i="2"/>
  <c r="AB29" i="2"/>
  <c r="Z16" i="2"/>
  <c r="AA4" i="2"/>
  <c r="Y14" i="2"/>
  <c r="AB14" i="2"/>
  <c r="Y16" i="2"/>
  <c r="AB16" i="2"/>
  <c r="AB26" i="2"/>
  <c r="Y26" i="2"/>
  <c r="Z28" i="2"/>
  <c r="Y28" i="2"/>
  <c r="Z136" i="2"/>
  <c r="Y136" i="2"/>
  <c r="AB28" i="2"/>
  <c r="Y148" i="2"/>
  <c r="Z148" i="2"/>
  <c r="Z100" i="2"/>
  <c r="Y100" i="2"/>
  <c r="AB40" i="2"/>
  <c r="Y40" i="2"/>
  <c r="Z40" i="2"/>
  <c r="AB5" i="2"/>
  <c r="AA5" i="2"/>
  <c r="AB17" i="2"/>
  <c r="Y17" i="2"/>
  <c r="Z17" i="2"/>
  <c r="Y52" i="2"/>
  <c r="Z52" i="2"/>
  <c r="AC50" i="2" l="1"/>
  <c r="AC143" i="2"/>
  <c r="AC72" i="2"/>
  <c r="AC88" i="2"/>
  <c r="AC87" i="2"/>
  <c r="AC62" i="2"/>
  <c r="AC99" i="2"/>
  <c r="AC114" i="2"/>
  <c r="AC76" i="2"/>
  <c r="AC55" i="2"/>
  <c r="AC54" i="2"/>
  <c r="AC9" i="2"/>
  <c r="AC23" i="2"/>
  <c r="AC105" i="2"/>
  <c r="AC37" i="2"/>
  <c r="AC30" i="2"/>
  <c r="AC118" i="2"/>
  <c r="AC116" i="2"/>
  <c r="AC108" i="2"/>
  <c r="AC36" i="2"/>
  <c r="AC84" i="2"/>
  <c r="AC95" i="2"/>
  <c r="AC83" i="2"/>
  <c r="AC119" i="2"/>
  <c r="AC33" i="2"/>
  <c r="AC159" i="2"/>
  <c r="AC107" i="2"/>
  <c r="AC22" i="2"/>
  <c r="AC18" i="2"/>
  <c r="AC123" i="2"/>
  <c r="AC12" i="2"/>
  <c r="AC168" i="2"/>
  <c r="AC129" i="2"/>
  <c r="AC152" i="2"/>
  <c r="AC190" i="2"/>
  <c r="AC11" i="2"/>
  <c r="AC120" i="2"/>
  <c r="AC160" i="2"/>
  <c r="AC171" i="2"/>
  <c r="AC8" i="2"/>
  <c r="AC163" i="2"/>
  <c r="AC187" i="2"/>
  <c r="AC177" i="2"/>
  <c r="AC188" i="2"/>
  <c r="AC126" i="2"/>
  <c r="AC125" i="2"/>
  <c r="AC183" i="2"/>
  <c r="AC172" i="2"/>
  <c r="AC20" i="2"/>
  <c r="AA89" i="2"/>
  <c r="AA78" i="2"/>
  <c r="AC6" i="2"/>
  <c r="AB41" i="2"/>
  <c r="AB53" i="2"/>
  <c r="AB65" i="2"/>
  <c r="AB77" i="2"/>
  <c r="AA29" i="2"/>
  <c r="AB100" i="2"/>
  <c r="AB136" i="2"/>
  <c r="AB148" i="2" s="1"/>
  <c r="AC4" i="2"/>
  <c r="AA14" i="2"/>
  <c r="AC14" i="2" s="1"/>
  <c r="AA26" i="2"/>
  <c r="AA16" i="2"/>
  <c r="AC16" i="2" s="1"/>
  <c r="AA28" i="2"/>
  <c r="AA40" i="2"/>
  <c r="AC5" i="2"/>
  <c r="AA17" i="2"/>
  <c r="AB52" i="2"/>
  <c r="AC26" i="2" l="1"/>
  <c r="AC35" i="2"/>
  <c r="AC34" i="2"/>
  <c r="AC89" i="2"/>
  <c r="AC78" i="2"/>
  <c r="AA41" i="2"/>
  <c r="AA53" i="2"/>
  <c r="AC53" i="2" s="1"/>
  <c r="AA65" i="2"/>
  <c r="AC65" i="2" s="1"/>
  <c r="AA77" i="2"/>
  <c r="AC77" i="2" s="1"/>
  <c r="AC29" i="2"/>
  <c r="AA100" i="2"/>
  <c r="AA136" i="2"/>
  <c r="AA148" i="2" s="1"/>
  <c r="AC28" i="2"/>
  <c r="AC40" i="2"/>
  <c r="AC17" i="2"/>
  <c r="AA52" i="2"/>
  <c r="AC41" i="2" l="1"/>
  <c r="AC100" i="2"/>
  <c r="AC136" i="2"/>
  <c r="AC148" i="2" s="1"/>
  <c r="AC52" i="2"/>
  <c r="I19" i="2" l="1"/>
  <c r="I21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11A44F-3E36-48EB-8CB6-52F67E091E5A}" keepAlive="1" name="Consulta - IPC AÑO" description="Conexión a la consulta 'IPC AÑO' en el libro." type="5" refreshedVersion="8" background="1" saveData="1">
    <dbPr connection="Provider=Microsoft.Mashup.OleDb.1;Data Source=$Workbook$;Location=&quot;IPC AÑO&quot;;Extended Properties=&quot;&quot;" command="SELECT * FROM [IPC AÑO]"/>
  </connection>
  <connection id="2" xr16:uid="{2C2319F5-165B-4A18-92D1-709D2161BE5C}" keepAlive="1" name="Consulta - IPC AÑO (2)" description="Conexión a la consulta 'IPC AÑO (2)' en el libro." type="5" refreshedVersion="8" background="1" saveData="1">
    <dbPr connection="Provider=Microsoft.Mashup.OleDb.1;Data Source=$Workbook$;Location=&quot;IPC AÑO (2)&quot;;Extended Properties=&quot;&quot;" command="SELECT * FROM [IPC AÑO (2)]"/>
  </connection>
  <connection id="3" xr16:uid="{7E9F7736-15CD-4E3F-8443-C157D65B1040}" keepAlive="1" name="Consulta - IPC AÑO (3)" description="Conexión a la consulta 'IPC AÑO (3)' en el libro." type="5" refreshedVersion="8" background="1" saveData="1">
    <dbPr connection="Provider=Microsoft.Mashup.OleDb.1;Data Source=$Workbook$;Location=&quot;IPC AÑO (3)&quot;;Extended Properties=&quot;&quot;" command="SELECT * FROM [IPC AÑO (3)]"/>
  </connection>
  <connection id="4" xr16:uid="{0BB1D7D1-4B14-4210-AC87-3252AF8736D9}" keepAlive="1" name="Consulta - TABLA SMLMV Y AUX TRANS" description="Conexión a la consulta 'TABLA SMLMV Y AUX TRANS' en el libro." type="5" refreshedVersion="8" background="1" saveData="1">
    <dbPr connection="Provider=Microsoft.Mashup.OleDb.1;Data Source=$Workbook$;Location=&quot;TABLA SMLMV Y AUX TRANS&quot;;Extended Properties=&quot;&quot;" command="SELECT * FROM [TABLA SMLMV Y AUX TRANS]"/>
  </connection>
</connections>
</file>

<file path=xl/sharedStrings.xml><?xml version="1.0" encoding="utf-8"?>
<sst xmlns="http://schemas.openxmlformats.org/spreadsheetml/2006/main" count="65" uniqueCount="61">
  <si>
    <t>AÑO</t>
  </si>
  <si>
    <t>Inflación total 1</t>
  </si>
  <si>
    <t xml:space="preserve">IPC </t>
  </si>
  <si>
    <t xml:space="preserve">FECHA DE INDEXACIÓN </t>
  </si>
  <si>
    <t>TOTAL MESES:</t>
  </si>
  <si>
    <t>TOTAL DÍAS:</t>
  </si>
  <si>
    <t>FECHA FINAL:</t>
  </si>
  <si>
    <t>FECHA INICIAL:</t>
  </si>
  <si>
    <t>OTRO SALARIO</t>
  </si>
  <si>
    <t>LIQUIDADOR  LABORAL</t>
  </si>
  <si>
    <t>TOTAL
INDEXADO</t>
  </si>
  <si>
    <t>INT. SESANTÍAS
INDEXADA</t>
  </si>
  <si>
    <t>SESANTÍAS
INDEXADA</t>
  </si>
  <si>
    <t>PRIMA
INDEXADA</t>
  </si>
  <si>
    <t>SALARIO 
INDEXADO</t>
  </si>
  <si>
    <t>AUXILIO DE
TRANSPORTE 
INDEXADO</t>
  </si>
  <si>
    <t>VACACIONES 
INDEXADA</t>
  </si>
  <si>
    <t>INT.
SESANTÍAS</t>
  </si>
  <si>
    <t>SESANTÍAS</t>
  </si>
  <si>
    <t xml:space="preserve">VACACIONES </t>
  </si>
  <si>
    <t>PRIMA</t>
  </si>
  <si>
    <t>AUXILIO DE
TRANSPORTE</t>
  </si>
  <si>
    <t>SALARIO</t>
  </si>
  <si>
    <t>AUX 
TRANS</t>
  </si>
  <si>
    <t>SALARIO
DIARIO</t>
  </si>
  <si>
    <t>SALARIO 
MENSUAL</t>
  </si>
  <si>
    <t>Año(aaaa)-Mes(mm)</t>
  </si>
  <si>
    <t>DÍAS 
MES</t>
  </si>
  <si>
    <t>PERIODO INICIO MES</t>
  </si>
  <si>
    <t>PERIODO FIN DE MES</t>
  </si>
  <si>
    <t>INDICE
IPC</t>
  </si>
  <si>
    <t>TRABAJO EXTRA Y BONIFICACIONES</t>
  </si>
  <si>
    <t>HORAS EXTRA DIURNA:</t>
  </si>
  <si>
    <t>HORAS EXTRA NOCTURNA:</t>
  </si>
  <si>
    <t xml:space="preserve">HORAS EXTRA DIURNO
FESTIVO  O DOMINICAL: </t>
  </si>
  <si>
    <t xml:space="preserve">HORAS EXTRA NOCTURNO
FESTIVO  O DOMINICAL: </t>
  </si>
  <si>
    <t xml:space="preserve">TOTAL GENERAL </t>
  </si>
  <si>
    <t>BONIFICACIÓN</t>
  </si>
  <si>
    <t xml:space="preserve">BONIFICACIÓN </t>
  </si>
  <si>
    <t>SALARIO CON
BONIFICACIÓN
Y AUX TRANS</t>
  </si>
  <si>
    <t>SUB TOTAL</t>
  </si>
  <si>
    <t>SALARIO HORAS EXTRA</t>
  </si>
  <si>
    <t xml:space="preserve">CONVERSIÓN DE 
LAS VACACIONES </t>
  </si>
  <si>
    <t>SI.ERROR(SI(TEXTO($H$4,"DDMMAAAA")=TEXTO($K1,"DDMMAAAA"),SUMA($W$2:INDIRECTO(DIRECCION(FILA(W1),COLUMNA(W1))))=0,$H$8/M2*P2)," ") FORMULA PARA SUMAS AUX INDEX</t>
  </si>
  <si>
    <t>Días de mora liquidados</t>
  </si>
  <si>
    <t>Tipo de interés liquidado</t>
  </si>
  <si>
    <t>Intereses generados</t>
  </si>
  <si>
    <t>Corriente</t>
  </si>
  <si>
    <t>Fecha</t>
  </si>
  <si>
    <t>Tasa de interés corriente</t>
  </si>
  <si>
    <t>Días liquidados por mes</t>
  </si>
  <si>
    <t>Interés diario (Corriente)</t>
  </si>
  <si>
    <t>Desde</t>
  </si>
  <si>
    <t>Hasta</t>
  </si>
  <si>
    <t>Moratoria</t>
  </si>
  <si>
    <t>RESUMEN DE LA LIQUIDACIÓN DE INTERESES</t>
  </si>
  <si>
    <t>DETALLE DE LA LIQUIDACIÓN DE INTERESES</t>
  </si>
  <si>
    <t>Interés 
mensual</t>
  </si>
  <si>
    <t>Deuda 
total</t>
  </si>
  <si>
    <t>Interés 
acumulado</t>
  </si>
  <si>
    <t>Valor de 
la deuda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</si>
</sst>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&quot;$&quot;#,##0.00"/>
    <numFmt numFmtId="165" formatCode="[$-F800]dddd\,\ mmmm\ dd\,\ yyyy"/>
    <numFmt numFmtId="166" formatCode="0.0000%"/>
    <numFmt numFmtId="167" formatCode="mmm\-yyyy"/>
  </numFmts>
  <fonts count="2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rial"/>
      <family val="2"/>
    </font>
    <font>
      <b/>
      <sz val="22"/>
      <color theme="1"/>
      <name val="Aptos Narrow"/>
      <family val="2"/>
      <scheme val="minor"/>
    </font>
    <font>
      <b/>
      <sz val="24"/>
      <color theme="1"/>
      <name val="Arial"/>
      <family val="2"/>
    </font>
    <font>
      <b/>
      <sz val="26"/>
      <color theme="1"/>
      <name val="Arial"/>
      <family val="2"/>
    </font>
    <font>
      <sz val="20"/>
      <color theme="1"/>
      <name val="Aptos Narrow"/>
      <family val="2"/>
      <scheme val="minor"/>
    </font>
    <font>
      <b/>
      <sz val="26"/>
      <color rgb="FFFF0000"/>
      <name val="Arial"/>
      <family val="2"/>
    </font>
    <font>
      <b/>
      <sz val="22"/>
      <name val="Aptos Narrow"/>
      <family val="2"/>
      <scheme val="minor"/>
    </font>
    <font>
      <b/>
      <sz val="14"/>
      <name val="Aptos Narrow"/>
      <family val="2"/>
      <scheme val="minor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sz val="24"/>
      <color theme="1"/>
      <name val="Aptos Narrow"/>
      <family val="2"/>
      <scheme val="minor"/>
    </font>
    <font>
      <b/>
      <sz val="36"/>
      <name val="Aptos Narrow"/>
      <family val="2"/>
      <scheme val="minor"/>
    </font>
    <font>
      <b/>
      <sz val="24"/>
      <color theme="1"/>
      <name val="Arial"/>
      <family val="2"/>
    </font>
    <font>
      <b/>
      <sz val="48"/>
      <color theme="1"/>
      <name val="Aptos Narrow"/>
      <family val="2"/>
      <scheme val="minor"/>
    </font>
    <font>
      <b/>
      <sz val="24"/>
      <color rgb="FF222222"/>
      <name val="Arial"/>
      <family val="2"/>
    </font>
    <font>
      <b/>
      <sz val="14"/>
      <color rgb="FF333333"/>
      <name val="Arial"/>
      <family val="2"/>
    </font>
    <font>
      <sz val="11"/>
      <color rgb="FF333333"/>
      <name val="Arial"/>
      <family val="2"/>
    </font>
    <font>
      <b/>
      <sz val="13.5"/>
      <color rgb="FF222222"/>
      <name val="Arial"/>
      <family val="2"/>
    </font>
    <font>
      <b/>
      <sz val="24"/>
      <color rgb="FF333333"/>
      <name val="Aptos Display"/>
      <family val="2"/>
      <scheme val="major"/>
    </font>
    <font>
      <sz val="24"/>
      <color theme="1"/>
      <name val="Aptos Display"/>
      <family val="2"/>
      <scheme val="major"/>
    </font>
    <font>
      <b/>
      <sz val="28"/>
      <color rgb="FF333333"/>
      <name val="Aptos Display"/>
      <family val="2"/>
      <scheme val="major"/>
    </font>
    <font>
      <b/>
      <sz val="28"/>
      <color rgb="FF333333"/>
      <name val="Times New Roman"/>
      <family val="1"/>
    </font>
    <font>
      <sz val="28"/>
      <color theme="1"/>
      <name val="Times New Roman"/>
      <family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5F5F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0091D5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rgb="FFCCCCCC"/>
      </right>
      <top style="medium">
        <color rgb="FF0091D5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9" fontId="1" fillId="0" borderId="0" applyFont="0" applyFill="0" applyBorder="0" applyAlignment="0" applyProtection="0"/>
  </cellStyleXfs>
  <cellXfs count="103">
    <xf numFmtId="0" fontId="0" fillId="0" borderId="0" xfId="0"/>
    <xf numFmtId="2" fontId="0" fillId="0" borderId="0" xfId="0" applyNumberFormat="1"/>
    <xf numFmtId="1" fontId="0" fillId="0" borderId="0" xfId="0" applyNumberFormat="1"/>
    <xf numFmtId="44" fontId="0" fillId="0" borderId="0" xfId="1" applyFont="1"/>
    <xf numFmtId="164" fontId="0" fillId="0" borderId="0" xfId="1" applyNumberFormat="1" applyFont="1"/>
    <xf numFmtId="164" fontId="0" fillId="0" borderId="0" xfId="0" applyNumberFormat="1"/>
    <xf numFmtId="0" fontId="3" fillId="0" borderId="0" xfId="0" applyFont="1"/>
    <xf numFmtId="0" fontId="4" fillId="5" borderId="1" xfId="4" applyFont="1" applyBorder="1" applyAlignment="1">
      <alignment horizontal="right" vertical="center"/>
    </xf>
    <xf numFmtId="0" fontId="4" fillId="3" borderId="1" xfId="2" applyFont="1" applyBorder="1" applyAlignment="1">
      <alignment horizontal="center" vertical="center" wrapText="1"/>
    </xf>
    <xf numFmtId="0" fontId="7" fillId="0" borderId="0" xfId="0" applyFont="1"/>
    <xf numFmtId="1" fontId="9" fillId="6" borderId="1" xfId="2" applyNumberFormat="1" applyFont="1" applyFill="1" applyBorder="1" applyAlignment="1">
      <alignment horizontal="center" vertical="center" wrapText="1"/>
    </xf>
    <xf numFmtId="2" fontId="7" fillId="0" borderId="0" xfId="0" applyNumberFormat="1" applyFont="1"/>
    <xf numFmtId="44" fontId="7" fillId="0" borderId="0" xfId="1" applyFont="1"/>
    <xf numFmtId="1" fontId="7" fillId="0" borderId="0" xfId="0" applyNumberFormat="1" applyFont="1"/>
    <xf numFmtId="164" fontId="7" fillId="0" borderId="0" xfId="1" applyNumberFormat="1" applyFont="1"/>
    <xf numFmtId="0" fontId="7" fillId="2" borderId="4" xfId="0" applyFont="1" applyFill="1" applyBorder="1"/>
    <xf numFmtId="164" fontId="7" fillId="2" borderId="5" xfId="0" applyNumberFormat="1" applyFont="1" applyFill="1" applyBorder="1"/>
    <xf numFmtId="0" fontId="7" fillId="0" borderId="4" xfId="0" applyFont="1" applyBorder="1"/>
    <xf numFmtId="164" fontId="7" fillId="0" borderId="5" xfId="0" applyNumberFormat="1" applyFont="1" applyBorder="1"/>
    <xf numFmtId="165" fontId="11" fillId="0" borderId="0" xfId="0" applyNumberFormat="1" applyFont="1"/>
    <xf numFmtId="165" fontId="12" fillId="0" borderId="0" xfId="0" applyNumberFormat="1" applyFont="1"/>
    <xf numFmtId="0" fontId="0" fillId="0" borderId="0" xfId="0" applyAlignment="1">
      <alignment vertical="center"/>
    </xf>
    <xf numFmtId="14" fontId="13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0" xfId="1" applyNumberFormat="1" applyFont="1"/>
    <xf numFmtId="165" fontId="10" fillId="7" borderId="6" xfId="3" applyNumberFormat="1" applyFont="1" applyFill="1" applyBorder="1" applyAlignment="1">
      <alignment horizontal="center" vertical="center"/>
    </xf>
    <xf numFmtId="1" fontId="10" fillId="7" borderId="6" xfId="3" applyNumberFormat="1" applyFont="1" applyFill="1" applyBorder="1" applyAlignment="1">
      <alignment horizontal="center" vertical="center" wrapText="1"/>
    </xf>
    <xf numFmtId="2" fontId="10" fillId="7" borderId="6" xfId="3" applyNumberFormat="1" applyFont="1" applyFill="1" applyBorder="1" applyAlignment="1">
      <alignment horizontal="center" vertical="center" wrapText="1"/>
    </xf>
    <xf numFmtId="164" fontId="10" fillId="7" borderId="6" xfId="1" applyNumberFormat="1" applyFont="1" applyFill="1" applyBorder="1" applyAlignment="1">
      <alignment horizontal="center" vertical="center" wrapText="1"/>
    </xf>
    <xf numFmtId="44" fontId="10" fillId="7" borderId="6" xfId="1" applyFont="1" applyFill="1" applyBorder="1" applyAlignment="1">
      <alignment horizontal="center" vertical="center"/>
    </xf>
    <xf numFmtId="2" fontId="10" fillId="7" borderId="6" xfId="3" applyNumberFormat="1" applyFont="1" applyFill="1" applyBorder="1" applyAlignment="1">
      <alignment horizontal="center" vertical="center"/>
    </xf>
    <xf numFmtId="44" fontId="10" fillId="7" borderId="6" xfId="1" applyFont="1" applyFill="1" applyBorder="1" applyAlignment="1">
      <alignment horizontal="center" vertical="center" wrapText="1"/>
    </xf>
    <xf numFmtId="0" fontId="10" fillId="7" borderId="6" xfId="1" applyNumberFormat="1" applyFont="1" applyFill="1" applyBorder="1" applyAlignment="1">
      <alignment horizontal="center" vertical="center" wrapText="1"/>
    </xf>
    <xf numFmtId="14" fontId="5" fillId="0" borderId="1" xfId="0" applyNumberFormat="1" applyFont="1" applyBorder="1" applyProtection="1">
      <protection locked="0"/>
    </xf>
    <xf numFmtId="14" fontId="6" fillId="0" borderId="1" xfId="0" applyNumberFormat="1" applyFont="1" applyBorder="1" applyAlignment="1" applyProtection="1">
      <alignment horizontal="right"/>
      <protection locked="0"/>
    </xf>
    <xf numFmtId="1" fontId="5" fillId="0" borderId="1" xfId="0" applyNumberFormat="1" applyFont="1" applyBorder="1" applyAlignment="1">
      <alignment horizontal="right"/>
    </xf>
    <xf numFmtId="2" fontId="5" fillId="0" borderId="1" xfId="0" applyNumberFormat="1" applyFont="1" applyBorder="1" applyAlignment="1">
      <alignment horizontal="right"/>
    </xf>
    <xf numFmtId="2" fontId="5" fillId="0" borderId="1" xfId="0" applyNumberFormat="1" applyFont="1" applyBorder="1"/>
    <xf numFmtId="0" fontId="4" fillId="5" borderId="2" xfId="4" applyFont="1" applyBorder="1" applyAlignment="1">
      <alignment horizontal="right" vertical="center"/>
    </xf>
    <xf numFmtId="9" fontId="4" fillId="5" borderId="2" xfId="4" applyNumberFormat="1" applyFont="1" applyBorder="1" applyAlignment="1">
      <alignment horizontal="center" vertical="center"/>
    </xf>
    <xf numFmtId="0" fontId="4" fillId="5" borderId="2" xfId="4" applyFont="1" applyBorder="1" applyAlignment="1">
      <alignment horizontal="right" vertical="center" wrapText="1"/>
    </xf>
    <xf numFmtId="164" fontId="11" fillId="0" borderId="0" xfId="0" applyNumberFormat="1" applyFont="1"/>
    <xf numFmtId="1" fontId="5" fillId="0" borderId="1" xfId="0" applyNumberFormat="1" applyFont="1" applyBorder="1" applyProtection="1">
      <protection locked="0"/>
    </xf>
    <xf numFmtId="44" fontId="0" fillId="0" borderId="0" xfId="0" applyNumberFormat="1"/>
    <xf numFmtId="164" fontId="8" fillId="0" borderId="1" xfId="1" applyNumberFormat="1" applyFont="1" applyBorder="1" applyAlignment="1" applyProtection="1">
      <alignment horizontal="right"/>
      <protection locked="0"/>
    </xf>
    <xf numFmtId="164" fontId="3" fillId="0" borderId="0" xfId="0" applyNumberFormat="1" applyFont="1"/>
    <xf numFmtId="164" fontId="7" fillId="0" borderId="0" xfId="0" applyNumberFormat="1" applyFont="1"/>
    <xf numFmtId="1" fontId="5" fillId="0" borderId="8" xfId="0" applyNumberFormat="1" applyFont="1" applyBorder="1" applyProtection="1">
      <protection locked="0"/>
    </xf>
    <xf numFmtId="1" fontId="5" fillId="0" borderId="1" xfId="0" applyNumberFormat="1" applyFont="1" applyBorder="1"/>
    <xf numFmtId="164" fontId="5" fillId="0" borderId="1" xfId="1" applyNumberFormat="1" applyFont="1" applyBorder="1" applyProtection="1"/>
    <xf numFmtId="164" fontId="5" fillId="0" borderId="8" xfId="1" applyNumberFormat="1" applyFont="1" applyBorder="1" applyProtection="1"/>
    <xf numFmtId="44" fontId="7" fillId="0" borderId="0" xfId="1" applyFont="1" applyFill="1"/>
    <xf numFmtId="44" fontId="0" fillId="0" borderId="0" xfId="1" applyFont="1" applyFill="1"/>
    <xf numFmtId="164" fontId="7" fillId="0" borderId="0" xfId="1" applyNumberFormat="1" applyFont="1" applyFill="1"/>
    <xf numFmtId="164" fontId="8" fillId="0" borderId="1" xfId="1" applyNumberFormat="1" applyFont="1" applyBorder="1" applyAlignment="1" applyProtection="1">
      <alignment horizontal="right" vertical="center"/>
      <protection locked="0"/>
    </xf>
    <xf numFmtId="1" fontId="15" fillId="0" borderId="1" xfId="0" applyNumberFormat="1" applyFont="1" applyBorder="1" applyProtection="1">
      <protection locked="0"/>
    </xf>
    <xf numFmtId="10" fontId="0" fillId="0" borderId="0" xfId="5" applyNumberFormat="1" applyFont="1"/>
    <xf numFmtId="10" fontId="7" fillId="0" borderId="0" xfId="5" applyNumberFormat="1" applyFont="1"/>
    <xf numFmtId="167" fontId="11" fillId="0" borderId="0" xfId="0" applyNumberFormat="1" applyFont="1"/>
    <xf numFmtId="167" fontId="12" fillId="0" borderId="0" xfId="0" applyNumberFormat="1" applyFont="1"/>
    <xf numFmtId="166" fontId="7" fillId="0" borderId="0" xfId="5" applyNumberFormat="1" applyFont="1"/>
    <xf numFmtId="0" fontId="17" fillId="0" borderId="10" xfId="0" applyFont="1" applyBorder="1" applyAlignment="1">
      <alignment vertical="center" wrapText="1"/>
    </xf>
    <xf numFmtId="0" fontId="20" fillId="0" borderId="10" xfId="0" applyFont="1" applyBorder="1" applyAlignment="1">
      <alignment vertical="center" wrapText="1"/>
    </xf>
    <xf numFmtId="44" fontId="19" fillId="10" borderId="0" xfId="1" applyFont="1" applyFill="1" applyBorder="1" applyAlignment="1">
      <alignment horizontal="left" vertical="center" wrapText="1"/>
    </xf>
    <xf numFmtId="0" fontId="18" fillId="9" borderId="12" xfId="0" applyFont="1" applyFill="1" applyBorder="1" applyAlignment="1">
      <alignment horizontal="center" vertical="center" wrapText="1"/>
    </xf>
    <xf numFmtId="44" fontId="19" fillId="10" borderId="13" xfId="1" applyFont="1" applyFill="1" applyBorder="1" applyAlignment="1">
      <alignment horizontal="left" vertical="center" wrapText="1"/>
    </xf>
    <xf numFmtId="0" fontId="13" fillId="0" borderId="0" xfId="0" applyFont="1"/>
    <xf numFmtId="14" fontId="21" fillId="9" borderId="6" xfId="0" applyNumberFormat="1" applyFont="1" applyFill="1" applyBorder="1" applyAlignment="1">
      <alignment horizontal="center" vertical="center" wrapText="1"/>
    </xf>
    <xf numFmtId="0" fontId="21" fillId="9" borderId="6" xfId="0" applyFont="1" applyFill="1" applyBorder="1" applyAlignment="1">
      <alignment horizontal="center" vertical="center" wrapText="1"/>
    </xf>
    <xf numFmtId="44" fontId="21" fillId="9" borderId="6" xfId="1" applyFont="1" applyFill="1" applyBorder="1" applyAlignment="1">
      <alignment horizontal="center" vertical="center" wrapText="1"/>
    </xf>
    <xf numFmtId="14" fontId="22" fillId="0" borderId="0" xfId="0" applyNumberFormat="1" applyFont="1" applyProtection="1">
      <protection locked="0"/>
    </xf>
    <xf numFmtId="0" fontId="22" fillId="0" borderId="0" xfId="0" applyFont="1"/>
    <xf numFmtId="0" fontId="23" fillId="9" borderId="6" xfId="0" applyFont="1" applyFill="1" applyBorder="1" applyAlignment="1">
      <alignment horizontal="center" vertical="center" wrapText="1"/>
    </xf>
    <xf numFmtId="0" fontId="24" fillId="9" borderId="6" xfId="0" applyFont="1" applyFill="1" applyBorder="1" applyAlignment="1">
      <alignment horizontal="center" vertical="center" wrapText="1"/>
    </xf>
    <xf numFmtId="164" fontId="23" fillId="10" borderId="6" xfId="0" applyNumberFormat="1" applyFont="1" applyFill="1" applyBorder="1" applyAlignment="1">
      <alignment horizontal="center" vertical="center" wrapText="1"/>
    </xf>
    <xf numFmtId="0" fontId="23" fillId="9" borderId="17" xfId="0" applyFont="1" applyFill="1" applyBorder="1" applyAlignment="1">
      <alignment horizontal="center" vertical="center" wrapText="1"/>
    </xf>
    <xf numFmtId="0" fontId="13" fillId="0" borderId="14" xfId="0" applyFont="1" applyBorder="1"/>
    <xf numFmtId="167" fontId="25" fillId="0" borderId="14" xfId="0" applyNumberFormat="1" applyFont="1" applyBorder="1"/>
    <xf numFmtId="10" fontId="26" fillId="0" borderId="14" xfId="5" applyNumberFormat="1" applyFont="1" applyBorder="1"/>
    <xf numFmtId="1" fontId="26" fillId="0" borderId="14" xfId="0" applyNumberFormat="1" applyFont="1" applyBorder="1"/>
    <xf numFmtId="166" fontId="26" fillId="0" borderId="14" xfId="5" applyNumberFormat="1" applyFont="1" applyBorder="1"/>
    <xf numFmtId="164" fontId="26" fillId="0" borderId="14" xfId="0" applyNumberFormat="1" applyFont="1" applyBorder="1"/>
    <xf numFmtId="164" fontId="26" fillId="0" borderId="14" xfId="1" applyNumberFormat="1" applyFont="1" applyFill="1" applyBorder="1"/>
    <xf numFmtId="0" fontId="0" fillId="0" borderId="14" xfId="0" applyBorder="1"/>
    <xf numFmtId="44" fontId="0" fillId="0" borderId="14" xfId="0" applyNumberFormat="1" applyBorder="1"/>
    <xf numFmtId="1" fontId="5" fillId="0" borderId="14" xfId="0" applyNumberFormat="1" applyFont="1" applyBorder="1"/>
    <xf numFmtId="164" fontId="5" fillId="0" borderId="14" xfId="1" applyNumberFormat="1" applyFont="1" applyBorder="1" applyProtection="1"/>
    <xf numFmtId="164" fontId="5" fillId="0" borderId="14" xfId="0" applyNumberFormat="1" applyFont="1" applyBorder="1" applyAlignment="1">
      <alignment horizontal="center"/>
    </xf>
    <xf numFmtId="0" fontId="3" fillId="0" borderId="14" xfId="0" applyFont="1" applyBorder="1"/>
    <xf numFmtId="0" fontId="23" fillId="9" borderId="15" xfId="0" applyFont="1" applyFill="1" applyBorder="1" applyAlignment="1">
      <alignment horizontal="center" vertical="center" wrapText="1"/>
    </xf>
    <xf numFmtId="0" fontId="23" fillId="9" borderId="16" xfId="0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1" fontId="14" fillId="6" borderId="8" xfId="2" applyNumberFormat="1" applyFont="1" applyFill="1" applyBorder="1" applyAlignment="1">
      <alignment horizontal="center" vertical="center" wrapText="1"/>
    </xf>
    <xf numFmtId="1" fontId="14" fillId="6" borderId="9" xfId="2" applyNumberFormat="1" applyFont="1" applyFill="1" applyBorder="1" applyAlignment="1">
      <alignment horizontal="center" vertical="center" wrapText="1"/>
    </xf>
    <xf numFmtId="164" fontId="5" fillId="8" borderId="1" xfId="0" applyNumberFormat="1" applyFont="1" applyFill="1" applyBorder="1" applyAlignment="1">
      <alignment horizontal="center"/>
    </xf>
    <xf numFmtId="0" fontId="16" fillId="3" borderId="0" xfId="2" applyFont="1" applyBorder="1" applyAlignment="1">
      <alignment horizontal="center" vertical="center"/>
    </xf>
    <xf numFmtId="0" fontId="4" fillId="3" borderId="0" xfId="2" applyFont="1" applyBorder="1" applyAlignment="1">
      <alignment horizontal="center" vertical="center"/>
    </xf>
    <xf numFmtId="1" fontId="14" fillId="6" borderId="2" xfId="2" applyNumberFormat="1" applyFont="1" applyFill="1" applyBorder="1" applyAlignment="1">
      <alignment horizontal="center" vertical="center" wrapText="1"/>
    </xf>
    <xf numFmtId="1" fontId="14" fillId="6" borderId="3" xfId="2" applyNumberFormat="1" applyFont="1" applyFill="1" applyBorder="1" applyAlignment="1">
      <alignment horizontal="center" vertical="center" wrapText="1"/>
    </xf>
    <xf numFmtId="0" fontId="4" fillId="3" borderId="2" xfId="2" applyFont="1" applyBorder="1" applyAlignment="1">
      <alignment horizontal="center" vertical="center"/>
    </xf>
    <xf numFmtId="0" fontId="4" fillId="3" borderId="7" xfId="2" applyFont="1" applyBorder="1" applyAlignment="1">
      <alignment horizontal="center" vertical="center"/>
    </xf>
    <xf numFmtId="0" fontId="4" fillId="3" borderId="3" xfId="2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/>
    </xf>
  </cellXfs>
  <cellStyles count="6">
    <cellStyle name="20% - Énfasis6" xfId="4" builtinId="50"/>
    <cellStyle name="40% - Énfasis1" xfId="2" builtinId="31"/>
    <cellStyle name="40% - Énfasis3" xfId="3" builtinId="39"/>
    <cellStyle name="Moneda" xfId="1" builtinId="4"/>
    <cellStyle name="Normal" xfId="0" builtinId="0"/>
    <cellStyle name="Porcentaje" xfId="5" builtinId="5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ptos Narrow"/>
        <family val="2"/>
        <scheme val="minor"/>
      </font>
      <numFmt numFmtId="164" formatCode="&quot;$&quot;#,##0.0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ptos Narrow"/>
        <family val="2"/>
        <scheme val="minor"/>
      </font>
      <numFmt numFmtId="164" formatCode="&quot;$&quot;#,##0.0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ptos Narrow"/>
        <family val="2"/>
        <scheme val="minor"/>
      </font>
      <numFmt numFmtId="164" formatCode="&quot;$&quot;#,##0.0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ptos Narrow"/>
        <family val="2"/>
        <scheme val="minor"/>
      </font>
      <border diagonalUp="0" diagonalDown="0" outline="0">
        <left/>
        <right/>
        <top style="thin">
          <color theme="9" tint="0.39997558519241921"/>
        </top>
        <bottom/>
      </border>
    </dxf>
    <dxf>
      <border outline="0">
        <right style="thin">
          <color theme="9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Aptos Narrow"/>
        <family val="2"/>
        <scheme val="minor"/>
      </font>
      <numFmt numFmtId="164" formatCode="&quot;$&quot;#,##0.00"/>
      <fill>
        <patternFill patternType="solid">
          <fgColor theme="9" tint="0.79998168889431442"/>
          <bgColor theme="9" tint="0.79998168889431442"/>
        </patternFill>
      </fill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3" xr16:uid="{736E9C39-1637-4999-9443-A816F1B5929C}" autoFormatId="16" applyNumberFormats="0" applyBorderFormats="0" applyFontFormats="0" applyPatternFormats="0" applyAlignmentFormats="0" applyWidthHeightFormats="0">
  <queryTableRefresh nextId="390">
    <queryTableFields count="2">
      <queryTableField id="388" name="Año(aaaa)-Mes(mm)" tableColumnId="1"/>
      <queryTableField id="386" name="Inflación total 1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E6750E6F-EB86-4458-994A-C36B3389E2CE}" autoFormatId="16" applyNumberFormats="0" applyBorderFormats="0" applyFontFormats="0" applyPatternFormats="0" applyAlignmentFormats="0" applyWidthHeightFormats="0">
  <queryTableRefresh nextId="390">
    <queryTableFields count="2">
      <queryTableField id="388" name="Año(aaaa)-Mes(mm)" tableColumnId="1"/>
      <queryTableField id="386" name="Inflación total 1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DF9FF6-AE89-4054-AFAB-086AD1428126}" name="IPC_AÑO23" displayName="IPC_AÑO23" ref="J6:K388" tableType="queryTable" totalsRowShown="0" headerRowDxfId="8">
  <autoFilter ref="J6:K388" xr:uid="{44DF9FF6-AE89-4054-AFAB-086AD1428126}"/>
  <tableColumns count="2">
    <tableColumn id="1" xr3:uid="{0395A144-0CC8-4F41-A4E5-2526AA948FA4}" uniqueName="1" name="Año(aaaa)-Mes(mm)" queryTableFieldId="388"/>
    <tableColumn id="2" xr3:uid="{87B26916-F2A3-48C0-9866-6EFE853A3C9E}" uniqueName="2" name="Inflación total 1" queryTableFieldId="38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7C02525-CF01-4D87-9FA5-95737CDC52B1}" name="IPC_AÑO" displayName="IPC_AÑO" ref="AE1:AF383" tableType="queryTable" totalsRowShown="0" headerRowDxfId="7">
  <autoFilter ref="AE1:AF383" xr:uid="{97C02525-CF01-4D87-9FA5-95737CDC52B1}"/>
  <tableColumns count="2">
    <tableColumn id="1" xr3:uid="{E5B0F61B-4163-44F4-B5B5-1FF686389CD0}" uniqueName="1" name="Año(aaaa)-Mes(mm)" queryTableFieldId="388"/>
    <tableColumn id="2" xr3:uid="{3BA270DC-8E55-46BC-9B03-E488E364F536}" uniqueName="2" name="Inflación total 1" queryTableFieldId="38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E8534A9-5EE3-402F-AE46-4190E6EB247E}" name="Tabla3" displayName="Tabla3" ref="AG1:AJ41" totalsRowShown="0" headerRowDxfId="6" dataDxfId="5" tableBorderDxfId="4">
  <autoFilter ref="AG1:AJ41" xr:uid="{3E8534A9-5EE3-402F-AE46-4190E6EB247E}"/>
  <tableColumns count="4">
    <tableColumn id="2" xr3:uid="{B2E7F6E4-510B-4F93-8F61-177E55FC9049}" name="AÑO" dataDxfId="3"/>
    <tableColumn id="3" xr3:uid="{B95EC593-FFB1-45E5-B8A5-09FDD050329B}" name="AUX _x000a_TRANS" dataDxfId="2"/>
    <tableColumn id="4" xr3:uid="{AF5A3BF1-3948-4504-A4DA-B15632006861}" name="SALARIO_x000a_DIARIO" dataDxfId="1"/>
    <tableColumn id="5" xr3:uid="{50E4972B-9467-45D3-9BC4-CA287EF52D01}" name="SALARIO _x000a_MENSUA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38163-54B5-4002-8841-ED9F7DED85F2}">
  <sheetPr>
    <tabColor rgb="FF92D050"/>
    <pageSetUpPr fitToPage="1"/>
  </sheetPr>
  <dimension ref="A1:L381"/>
  <sheetViews>
    <sheetView tabSelected="1" view="pageBreakPreview" topLeftCell="B1" zoomScale="59" zoomScaleNormal="55" zoomScaleSheetLayoutView="59" zoomScalePageLayoutView="40" workbookViewId="0">
      <selection activeCell="E3" sqref="E3"/>
    </sheetView>
  </sheetViews>
  <sheetFormatPr baseColWidth="10" defaultColWidth="11.42578125" defaultRowHeight="26.25" zeroHeight="1" x14ac:dyDescent="0.4"/>
  <cols>
    <col min="1" max="1" width="15.5703125" customWidth="1"/>
    <col min="2" max="2" width="27" style="58" customWidth="1"/>
    <col min="3" max="3" width="36.42578125" style="56" customWidth="1"/>
    <col min="4" max="4" width="27.7109375" style="2" customWidth="1"/>
    <col min="5" max="5" width="30.5703125" customWidth="1"/>
    <col min="6" max="6" width="36.28515625" customWidth="1"/>
    <col min="7" max="7" width="37.85546875" style="5" customWidth="1"/>
    <col min="8" max="8" width="0.28515625" style="19" hidden="1" customWidth="1"/>
    <col min="9" max="9" width="69.85546875" hidden="1" customWidth="1"/>
    <col min="10" max="10" width="25.85546875" hidden="1" customWidth="1"/>
    <col min="11" max="11" width="20.42578125" hidden="1" customWidth="1"/>
    <col min="12" max="12" width="7.5703125" hidden="1" customWidth="1"/>
    <col min="13" max="13" width="22.28515625" customWidth="1"/>
    <col min="14" max="19" width="23.5703125" customWidth="1"/>
  </cols>
  <sheetData>
    <row r="1" spans="1:12" ht="30.75" customHeight="1" thickBot="1" x14ac:dyDescent="0.3">
      <c r="A1" s="91" t="s">
        <v>55</v>
      </c>
      <c r="B1" s="91"/>
      <c r="C1" s="91"/>
      <c r="D1" s="91"/>
      <c r="E1" s="91"/>
      <c r="F1" s="91"/>
      <c r="G1" s="91"/>
      <c r="H1" s="61"/>
    </row>
    <row r="2" spans="1:12" ht="109.5" thickTop="1" thickBot="1" x14ac:dyDescent="0.3">
      <c r="A2" s="73" t="s">
        <v>52</v>
      </c>
      <c r="B2" s="67">
        <v>44924</v>
      </c>
      <c r="C2" s="72" t="s">
        <v>60</v>
      </c>
      <c r="D2" s="72" t="s">
        <v>44</v>
      </c>
      <c r="E2" s="72" t="s">
        <v>45</v>
      </c>
      <c r="F2" s="72" t="s">
        <v>46</v>
      </c>
      <c r="G2" s="72" t="s">
        <v>58</v>
      </c>
      <c r="H2" s="64"/>
    </row>
    <row r="3" spans="1:12" ht="72" customHeight="1" thickTop="1" thickBot="1" x14ac:dyDescent="0.3">
      <c r="A3" s="73" t="s">
        <v>53</v>
      </c>
      <c r="B3" s="67">
        <v>44977</v>
      </c>
      <c r="C3" s="69">
        <v>19000000</v>
      </c>
      <c r="D3" s="68">
        <f>SUM(D7:D201)</f>
        <v>52</v>
      </c>
      <c r="E3" s="74" t="s">
        <v>47</v>
      </c>
      <c r="F3" s="69">
        <f>SUM(F7:F201)</f>
        <v>804375.5555555555</v>
      </c>
      <c r="G3" s="69">
        <f>F3+C3</f>
        <v>19804375.555555556</v>
      </c>
      <c r="H3" s="65"/>
      <c r="L3" t="s">
        <v>47</v>
      </c>
    </row>
    <row r="4" spans="1:12" ht="32.25" thickTop="1" x14ac:dyDescent="0.5">
      <c r="A4" s="66"/>
      <c r="B4" s="70"/>
      <c r="C4" s="71"/>
      <c r="D4" s="71"/>
      <c r="E4" s="71"/>
      <c r="F4" s="71"/>
      <c r="G4" s="71"/>
      <c r="H4" s="63"/>
      <c r="L4" t="s">
        <v>54</v>
      </c>
    </row>
    <row r="5" spans="1:12" ht="89.25" customHeight="1" thickBot="1" x14ac:dyDescent="0.3">
      <c r="A5" s="91" t="s">
        <v>56</v>
      </c>
      <c r="B5" s="91"/>
      <c r="C5" s="91"/>
      <c r="D5" s="91"/>
      <c r="E5" s="91"/>
      <c r="F5" s="91"/>
      <c r="G5" s="91"/>
      <c r="H5" s="62"/>
    </row>
    <row r="6" spans="1:12" s="21" customFormat="1" ht="105.75" customHeight="1" thickTop="1" thickBot="1" x14ac:dyDescent="0.3">
      <c r="A6" s="89" t="s">
        <v>48</v>
      </c>
      <c r="B6" s="90"/>
      <c r="C6" s="75" t="s">
        <v>49</v>
      </c>
      <c r="D6" s="75" t="s">
        <v>50</v>
      </c>
      <c r="E6" s="75" t="s">
        <v>51</v>
      </c>
      <c r="F6" s="75" t="s">
        <v>57</v>
      </c>
      <c r="G6" s="75" t="s">
        <v>59</v>
      </c>
      <c r="H6" s="25" t="s">
        <v>29</v>
      </c>
      <c r="I6"/>
      <c r="J6" s="21" t="s">
        <v>26</v>
      </c>
      <c r="K6" s="21" t="s">
        <v>1</v>
      </c>
    </row>
    <row r="7" spans="1:12" ht="33" customHeight="1" thickTop="1" x14ac:dyDescent="0.55000000000000004">
      <c r="A7" s="76"/>
      <c r="B7" s="77">
        <f>B2</f>
        <v>44924</v>
      </c>
      <c r="C7" s="78">
        <f t="shared" ref="C7:C38" si="0">IFERROR(IF($E$3="Corriente",VLOOKUP(INT(TEXT(B7,"AAAAMM")),$J$6:$K$381,2,0),VLOOKUP(INT(TEXT(B7,"AAAAMM")),$J$6:$K$381,2,0)*1.5)," ")</f>
        <v>0.27639999999999998</v>
      </c>
      <c r="D7" s="79">
        <f t="shared" ref="D7:D38" si="1">IFERROR(IF(AND(TEXT(B7,"D")="1",TEXT(H7,"DD")=TEXT(EOMONTH(B7,0),"D")),30,IF(TEXT(H7,"DDMMYYYY")=TEXT($B$3,"DDMMYYYY"),INT(TEXT($B$3,"DD")),H7-B7))," ")</f>
        <v>2</v>
      </c>
      <c r="E7" s="80">
        <f>IFERROR(C7/12/30," ")</f>
        <v>7.6777777777777771E-4</v>
      </c>
      <c r="F7" s="81">
        <f t="shared" ref="F7:F38" si="2">IFERROR(E7*$C$3*D7,"")</f>
        <v>29175.555555555551</v>
      </c>
      <c r="G7" s="82">
        <f>F7</f>
        <v>29175.555555555551</v>
      </c>
      <c r="H7" s="19">
        <f t="shared" ref="H7:H38" si="3">IFERROR(IF(TEXT(B7,"MMAAA")=TEXT($B$3,"MMAAAA"),$B$3,EOMONTH(B7,0))," ")</f>
        <v>44926</v>
      </c>
      <c r="I7" s="6"/>
      <c r="J7">
        <v>202411</v>
      </c>
      <c r="K7" s="56">
        <f>0.186</f>
        <v>0.186</v>
      </c>
    </row>
    <row r="8" spans="1:12" ht="36" x14ac:dyDescent="0.55000000000000004">
      <c r="A8" s="76"/>
      <c r="B8" s="77">
        <f>IF(EDATE($H$7,ROW()-8)&lt;=$B$3,EDATE($H$7+1,ROW()-8),"")</f>
        <v>44927</v>
      </c>
      <c r="C8" s="78">
        <f t="shared" si="0"/>
        <v>0.28839999999999999</v>
      </c>
      <c r="D8" s="79">
        <f t="shared" si="1"/>
        <v>30</v>
      </c>
      <c r="E8" s="80">
        <f t="shared" ref="E8:E71" si="4">IFERROR(C8/12/30," ")</f>
        <v>8.0111111111111116E-4</v>
      </c>
      <c r="F8" s="81">
        <f t="shared" si="2"/>
        <v>456633.33333333331</v>
      </c>
      <c r="G8" s="82">
        <f>IFERROR(F8+G7,"")</f>
        <v>485808.88888888888</v>
      </c>
      <c r="H8" s="19">
        <f t="shared" si="3"/>
        <v>44957</v>
      </c>
      <c r="I8" s="6"/>
      <c r="J8">
        <v>202410</v>
      </c>
      <c r="K8" s="56">
        <f>0.1878</f>
        <v>0.18779999999999999</v>
      </c>
    </row>
    <row r="9" spans="1:12" ht="36" x14ac:dyDescent="0.55000000000000004">
      <c r="A9" s="76"/>
      <c r="B9" s="77">
        <f t="shared" ref="B9:B72" si="5">IF(EDATE($H$7,ROW()-8)&lt;=$B$3,EDATE($H$7+1,ROW()-8),"")</f>
        <v>44958</v>
      </c>
      <c r="C9" s="78">
        <f t="shared" si="0"/>
        <v>0.30180000000000001</v>
      </c>
      <c r="D9" s="79">
        <f t="shared" si="1"/>
        <v>20</v>
      </c>
      <c r="E9" s="80">
        <f t="shared" si="4"/>
        <v>8.383333333333334E-4</v>
      </c>
      <c r="F9" s="81">
        <f t="shared" si="2"/>
        <v>318566.66666666669</v>
      </c>
      <c r="G9" s="82">
        <f t="shared" ref="G9:G72" si="6">IFERROR(F9+G8,"")</f>
        <v>804375.5555555555</v>
      </c>
      <c r="H9" s="19">
        <f t="shared" si="3"/>
        <v>44977</v>
      </c>
      <c r="I9" s="6"/>
      <c r="J9">
        <v>202409</v>
      </c>
      <c r="K9" s="56">
        <f>0.1923</f>
        <v>0.1923</v>
      </c>
    </row>
    <row r="10" spans="1:12" ht="36" x14ac:dyDescent="0.55000000000000004">
      <c r="A10" s="83"/>
      <c r="B10" s="77" t="str">
        <f t="shared" si="5"/>
        <v/>
      </c>
      <c r="C10" s="78" t="str">
        <f t="shared" si="0"/>
        <v xml:space="preserve"> </v>
      </c>
      <c r="D10" s="79" t="str">
        <f t="shared" si="1"/>
        <v xml:space="preserve"> </v>
      </c>
      <c r="E10" s="80" t="str">
        <f t="shared" si="4"/>
        <v xml:space="preserve"> </v>
      </c>
      <c r="F10" s="81" t="str">
        <f t="shared" si="2"/>
        <v/>
      </c>
      <c r="G10" s="82" t="str">
        <f t="shared" si="6"/>
        <v/>
      </c>
      <c r="H10" s="19" t="str">
        <f t="shared" si="3"/>
        <v xml:space="preserve"> </v>
      </c>
      <c r="I10" s="6"/>
      <c r="J10">
        <v>202408</v>
      </c>
      <c r="K10" s="56">
        <f>0.1947</f>
        <v>0.19470000000000001</v>
      </c>
    </row>
    <row r="11" spans="1:12" ht="36" x14ac:dyDescent="0.55000000000000004">
      <c r="A11" s="83"/>
      <c r="B11" s="77" t="str">
        <f t="shared" si="5"/>
        <v/>
      </c>
      <c r="C11" s="78" t="str">
        <f t="shared" si="0"/>
        <v xml:space="preserve"> </v>
      </c>
      <c r="D11" s="79" t="str">
        <f t="shared" si="1"/>
        <v xml:space="preserve"> </v>
      </c>
      <c r="E11" s="80" t="str">
        <f t="shared" si="4"/>
        <v xml:space="preserve"> </v>
      </c>
      <c r="F11" s="81" t="str">
        <f t="shared" si="2"/>
        <v/>
      </c>
      <c r="G11" s="82" t="str">
        <f t="shared" si="6"/>
        <v/>
      </c>
      <c r="H11" s="19" t="str">
        <f t="shared" si="3"/>
        <v xml:space="preserve"> </v>
      </c>
      <c r="I11" s="6"/>
      <c r="J11">
        <v>202407</v>
      </c>
      <c r="K11" s="56">
        <f>0.1966</f>
        <v>0.1966</v>
      </c>
    </row>
    <row r="12" spans="1:12" ht="36" x14ac:dyDescent="0.55000000000000004">
      <c r="A12" s="83"/>
      <c r="B12" s="77" t="str">
        <f t="shared" si="5"/>
        <v/>
      </c>
      <c r="C12" s="78" t="str">
        <f t="shared" si="0"/>
        <v xml:space="preserve"> </v>
      </c>
      <c r="D12" s="79" t="str">
        <f t="shared" si="1"/>
        <v xml:space="preserve"> </v>
      </c>
      <c r="E12" s="80" t="str">
        <f t="shared" si="4"/>
        <v xml:space="preserve"> </v>
      </c>
      <c r="F12" s="81" t="str">
        <f t="shared" si="2"/>
        <v/>
      </c>
      <c r="G12" s="82" t="str">
        <f t="shared" si="6"/>
        <v/>
      </c>
      <c r="H12" s="19" t="str">
        <f t="shared" si="3"/>
        <v xml:space="preserve"> </v>
      </c>
      <c r="I12" s="6"/>
      <c r="J12">
        <v>202406</v>
      </c>
      <c r="K12" s="56">
        <f>0.2056</f>
        <v>0.2056</v>
      </c>
    </row>
    <row r="13" spans="1:12" ht="36" x14ac:dyDescent="0.55000000000000004">
      <c r="A13" s="83"/>
      <c r="B13" s="77" t="str">
        <f t="shared" si="5"/>
        <v/>
      </c>
      <c r="C13" s="78" t="str">
        <f t="shared" si="0"/>
        <v xml:space="preserve"> </v>
      </c>
      <c r="D13" s="79" t="str">
        <f t="shared" si="1"/>
        <v xml:space="preserve"> </v>
      </c>
      <c r="E13" s="80" t="str">
        <f t="shared" si="4"/>
        <v xml:space="preserve"> </v>
      </c>
      <c r="F13" s="81" t="str">
        <f t="shared" si="2"/>
        <v/>
      </c>
      <c r="G13" s="82" t="str">
        <f t="shared" si="6"/>
        <v/>
      </c>
      <c r="H13" s="19" t="str">
        <f t="shared" si="3"/>
        <v xml:space="preserve"> </v>
      </c>
      <c r="I13" s="6"/>
      <c r="J13">
        <v>202405</v>
      </c>
      <c r="K13" s="56">
        <f>0.2102</f>
        <v>0.2102</v>
      </c>
    </row>
    <row r="14" spans="1:12" ht="36" x14ac:dyDescent="0.55000000000000004">
      <c r="A14" s="84"/>
      <c r="B14" s="77" t="str">
        <f t="shared" si="5"/>
        <v/>
      </c>
      <c r="C14" s="78" t="str">
        <f t="shared" si="0"/>
        <v xml:space="preserve"> </v>
      </c>
      <c r="D14" s="79" t="str">
        <f t="shared" si="1"/>
        <v xml:space="preserve"> </v>
      </c>
      <c r="E14" s="80" t="str">
        <f t="shared" si="4"/>
        <v xml:space="preserve"> </v>
      </c>
      <c r="F14" s="81" t="str">
        <f t="shared" si="2"/>
        <v/>
      </c>
      <c r="G14" s="82" t="str">
        <f t="shared" si="6"/>
        <v/>
      </c>
      <c r="H14" s="19" t="str">
        <f t="shared" si="3"/>
        <v xml:space="preserve"> </v>
      </c>
      <c r="I14" s="6"/>
      <c r="J14">
        <v>202404</v>
      </c>
      <c r="K14" s="56">
        <f>0.2206</f>
        <v>0.22059999999999999</v>
      </c>
    </row>
    <row r="15" spans="1:12" ht="36" x14ac:dyDescent="0.55000000000000004">
      <c r="A15" s="83"/>
      <c r="B15" s="77" t="str">
        <f t="shared" si="5"/>
        <v/>
      </c>
      <c r="C15" s="78" t="str">
        <f t="shared" si="0"/>
        <v xml:space="preserve"> </v>
      </c>
      <c r="D15" s="79" t="str">
        <f t="shared" si="1"/>
        <v xml:space="preserve"> </v>
      </c>
      <c r="E15" s="80" t="str">
        <f t="shared" si="4"/>
        <v xml:space="preserve"> </v>
      </c>
      <c r="F15" s="81" t="str">
        <f t="shared" si="2"/>
        <v/>
      </c>
      <c r="G15" s="82" t="str">
        <f t="shared" si="6"/>
        <v/>
      </c>
      <c r="H15" s="19" t="str">
        <f t="shared" si="3"/>
        <v xml:space="preserve"> </v>
      </c>
      <c r="I15" s="6"/>
      <c r="J15">
        <v>202403</v>
      </c>
      <c r="K15" s="56">
        <f>0.222</f>
        <v>0.222</v>
      </c>
    </row>
    <row r="16" spans="1:12" ht="36" x14ac:dyDescent="0.55000000000000004">
      <c r="A16" s="83"/>
      <c r="B16" s="77" t="str">
        <f t="shared" si="5"/>
        <v/>
      </c>
      <c r="C16" s="78" t="str">
        <f t="shared" si="0"/>
        <v xml:space="preserve"> </v>
      </c>
      <c r="D16" s="79" t="str">
        <f t="shared" si="1"/>
        <v xml:space="preserve"> </v>
      </c>
      <c r="E16" s="80" t="str">
        <f t="shared" si="4"/>
        <v xml:space="preserve"> </v>
      </c>
      <c r="F16" s="81" t="str">
        <f t="shared" si="2"/>
        <v/>
      </c>
      <c r="G16" s="82" t="str">
        <f t="shared" si="6"/>
        <v/>
      </c>
      <c r="H16" s="19" t="str">
        <f t="shared" si="3"/>
        <v xml:space="preserve"> </v>
      </c>
      <c r="I16" s="6"/>
      <c r="J16">
        <v>202402</v>
      </c>
      <c r="K16" s="56">
        <f>0.2331</f>
        <v>0.2331</v>
      </c>
    </row>
    <row r="17" spans="1:11" ht="36" x14ac:dyDescent="0.55000000000000004">
      <c r="A17" s="83"/>
      <c r="B17" s="77" t="str">
        <f t="shared" si="5"/>
        <v/>
      </c>
      <c r="C17" s="78" t="str">
        <f t="shared" si="0"/>
        <v xml:space="preserve"> </v>
      </c>
      <c r="D17" s="79" t="str">
        <f t="shared" si="1"/>
        <v xml:space="preserve"> </v>
      </c>
      <c r="E17" s="80" t="str">
        <f t="shared" si="4"/>
        <v xml:space="preserve"> </v>
      </c>
      <c r="F17" s="81" t="str">
        <f t="shared" si="2"/>
        <v/>
      </c>
      <c r="G17" s="82" t="str">
        <f t="shared" si="6"/>
        <v/>
      </c>
      <c r="H17" s="19" t="str">
        <f t="shared" si="3"/>
        <v xml:space="preserve"> </v>
      </c>
      <c r="I17" s="6"/>
      <c r="J17">
        <v>202401</v>
      </c>
      <c r="K17" s="56">
        <f>0.2332</f>
        <v>0.23319999999999999</v>
      </c>
    </row>
    <row r="18" spans="1:11" ht="34.5" customHeight="1" x14ac:dyDescent="0.55000000000000004">
      <c r="A18" s="85"/>
      <c r="B18" s="77" t="str">
        <f t="shared" si="5"/>
        <v/>
      </c>
      <c r="C18" s="78" t="str">
        <f t="shared" si="0"/>
        <v xml:space="preserve"> </v>
      </c>
      <c r="D18" s="79" t="str">
        <f t="shared" si="1"/>
        <v xml:space="preserve"> </v>
      </c>
      <c r="E18" s="80" t="str">
        <f t="shared" si="4"/>
        <v xml:space="preserve"> </v>
      </c>
      <c r="F18" s="81" t="str">
        <f t="shared" si="2"/>
        <v/>
      </c>
      <c r="G18" s="82" t="str">
        <f t="shared" si="6"/>
        <v/>
      </c>
      <c r="H18" s="19" t="str">
        <f t="shared" si="3"/>
        <v xml:space="preserve"> </v>
      </c>
      <c r="I18" s="6"/>
      <c r="J18">
        <v>202312</v>
      </c>
      <c r="K18" s="56">
        <f>0.2504</f>
        <v>0.25040000000000001</v>
      </c>
    </row>
    <row r="19" spans="1:11" ht="34.5" customHeight="1" x14ac:dyDescent="0.55000000000000004">
      <c r="A19" s="86"/>
      <c r="B19" s="77" t="str">
        <f t="shared" si="5"/>
        <v/>
      </c>
      <c r="C19" s="78" t="str">
        <f t="shared" si="0"/>
        <v xml:space="preserve"> </v>
      </c>
      <c r="D19" s="79" t="str">
        <f t="shared" si="1"/>
        <v xml:space="preserve"> </v>
      </c>
      <c r="E19" s="80" t="str">
        <f t="shared" si="4"/>
        <v xml:space="preserve"> </v>
      </c>
      <c r="F19" s="81" t="str">
        <f t="shared" si="2"/>
        <v/>
      </c>
      <c r="G19" s="82" t="str">
        <f t="shared" si="6"/>
        <v/>
      </c>
      <c r="H19" s="19" t="str">
        <f t="shared" si="3"/>
        <v xml:space="preserve"> </v>
      </c>
      <c r="I19" s="6"/>
      <c r="J19">
        <v>202311</v>
      </c>
      <c r="K19" s="56">
        <f>0.2552</f>
        <v>0.25519999999999998</v>
      </c>
    </row>
    <row r="20" spans="1:11" ht="36" x14ac:dyDescent="0.55000000000000004">
      <c r="A20" s="86"/>
      <c r="B20" s="77" t="str">
        <f t="shared" si="5"/>
        <v/>
      </c>
      <c r="C20" s="78" t="str">
        <f t="shared" si="0"/>
        <v xml:space="preserve"> </v>
      </c>
      <c r="D20" s="79" t="str">
        <f t="shared" si="1"/>
        <v xml:space="preserve"> </v>
      </c>
      <c r="E20" s="80" t="str">
        <f t="shared" si="4"/>
        <v xml:space="preserve"> </v>
      </c>
      <c r="F20" s="81" t="str">
        <f t="shared" si="2"/>
        <v/>
      </c>
      <c r="G20" s="82" t="str">
        <f t="shared" si="6"/>
        <v/>
      </c>
      <c r="H20" s="19" t="str">
        <f t="shared" si="3"/>
        <v xml:space="preserve"> </v>
      </c>
      <c r="I20" s="6"/>
      <c r="J20">
        <v>202310</v>
      </c>
      <c r="K20" s="56">
        <f>0.2653</f>
        <v>0.26529999999999998</v>
      </c>
    </row>
    <row r="21" spans="1:11" ht="36" x14ac:dyDescent="0.55000000000000004">
      <c r="A21" s="86"/>
      <c r="B21" s="77" t="str">
        <f t="shared" si="5"/>
        <v/>
      </c>
      <c r="C21" s="78" t="str">
        <f t="shared" si="0"/>
        <v xml:space="preserve"> </v>
      </c>
      <c r="D21" s="79" t="str">
        <f t="shared" si="1"/>
        <v xml:space="preserve"> </v>
      </c>
      <c r="E21" s="80" t="str">
        <f t="shared" si="4"/>
        <v xml:space="preserve"> </v>
      </c>
      <c r="F21" s="81" t="str">
        <f t="shared" si="2"/>
        <v/>
      </c>
      <c r="G21" s="82" t="str">
        <f t="shared" si="6"/>
        <v/>
      </c>
      <c r="H21" s="19" t="str">
        <f t="shared" si="3"/>
        <v xml:space="preserve"> </v>
      </c>
      <c r="I21" s="6"/>
      <c r="J21">
        <v>202309</v>
      </c>
      <c r="K21" s="56">
        <f>0.2803</f>
        <v>0.28029999999999999</v>
      </c>
    </row>
    <row r="22" spans="1:11" ht="36" x14ac:dyDescent="0.55000000000000004">
      <c r="A22" s="86"/>
      <c r="B22" s="77" t="str">
        <f t="shared" si="5"/>
        <v/>
      </c>
      <c r="C22" s="78" t="str">
        <f t="shared" si="0"/>
        <v xml:space="preserve"> </v>
      </c>
      <c r="D22" s="79" t="str">
        <f t="shared" si="1"/>
        <v xml:space="preserve"> </v>
      </c>
      <c r="E22" s="80" t="str">
        <f t="shared" si="4"/>
        <v xml:space="preserve"> </v>
      </c>
      <c r="F22" s="81" t="str">
        <f t="shared" si="2"/>
        <v/>
      </c>
      <c r="G22" s="82" t="str">
        <f t="shared" si="6"/>
        <v/>
      </c>
      <c r="H22" s="19" t="str">
        <f t="shared" si="3"/>
        <v xml:space="preserve"> </v>
      </c>
      <c r="I22" s="6"/>
      <c r="J22">
        <v>202308</v>
      </c>
      <c r="K22" s="56">
        <f>0.2875</f>
        <v>0.28749999999999998</v>
      </c>
    </row>
    <row r="23" spans="1:11" ht="36" x14ac:dyDescent="0.55000000000000004">
      <c r="A23" s="86"/>
      <c r="B23" s="77" t="str">
        <f t="shared" si="5"/>
        <v/>
      </c>
      <c r="C23" s="78" t="str">
        <f t="shared" si="0"/>
        <v xml:space="preserve"> </v>
      </c>
      <c r="D23" s="79" t="str">
        <f t="shared" si="1"/>
        <v xml:space="preserve"> </v>
      </c>
      <c r="E23" s="80" t="str">
        <f t="shared" si="4"/>
        <v xml:space="preserve"> </v>
      </c>
      <c r="F23" s="81" t="str">
        <f t="shared" si="2"/>
        <v/>
      </c>
      <c r="G23" s="82" t="str">
        <f t="shared" si="6"/>
        <v/>
      </c>
      <c r="H23" s="19" t="str">
        <f t="shared" si="3"/>
        <v xml:space="preserve"> </v>
      </c>
      <c r="I23" s="6"/>
      <c r="J23">
        <v>202307</v>
      </c>
      <c r="K23" s="56">
        <f>0.2936</f>
        <v>0.29360000000000003</v>
      </c>
    </row>
    <row r="24" spans="1:11" ht="33" customHeight="1" x14ac:dyDescent="0.55000000000000004">
      <c r="A24" s="87"/>
      <c r="B24" s="77" t="str">
        <f t="shared" si="5"/>
        <v/>
      </c>
      <c r="C24" s="78" t="str">
        <f t="shared" si="0"/>
        <v xml:space="preserve"> </v>
      </c>
      <c r="D24" s="79" t="str">
        <f t="shared" si="1"/>
        <v xml:space="preserve"> </v>
      </c>
      <c r="E24" s="80" t="str">
        <f t="shared" si="4"/>
        <v xml:space="preserve"> </v>
      </c>
      <c r="F24" s="81" t="str">
        <f t="shared" si="2"/>
        <v/>
      </c>
      <c r="G24" s="82" t="str">
        <f t="shared" si="6"/>
        <v/>
      </c>
      <c r="H24" s="19" t="str">
        <f t="shared" si="3"/>
        <v xml:space="preserve"> </v>
      </c>
      <c r="I24" s="6"/>
      <c r="J24">
        <v>202306</v>
      </c>
      <c r="K24" s="56">
        <f>0.2976</f>
        <v>0.29759999999999998</v>
      </c>
    </row>
    <row r="25" spans="1:11" ht="36.75" customHeight="1" x14ac:dyDescent="0.55000000000000004">
      <c r="A25" s="87"/>
      <c r="B25" s="77" t="str">
        <f t="shared" si="5"/>
        <v/>
      </c>
      <c r="C25" s="78" t="str">
        <f t="shared" si="0"/>
        <v xml:space="preserve"> </v>
      </c>
      <c r="D25" s="79" t="str">
        <f t="shared" si="1"/>
        <v xml:space="preserve"> </v>
      </c>
      <c r="E25" s="80" t="str">
        <f t="shared" si="4"/>
        <v xml:space="preserve"> </v>
      </c>
      <c r="F25" s="81" t="str">
        <f t="shared" si="2"/>
        <v/>
      </c>
      <c r="G25" s="82" t="str">
        <f t="shared" si="6"/>
        <v/>
      </c>
      <c r="H25" s="19" t="str">
        <f t="shared" si="3"/>
        <v xml:space="preserve"> </v>
      </c>
      <c r="I25" s="6"/>
      <c r="J25">
        <v>202305</v>
      </c>
      <c r="K25" s="56">
        <f>0.3027</f>
        <v>0.30270000000000002</v>
      </c>
    </row>
    <row r="26" spans="1:11" ht="36" x14ac:dyDescent="0.55000000000000004">
      <c r="A26" s="83"/>
      <c r="B26" s="77" t="str">
        <f t="shared" si="5"/>
        <v/>
      </c>
      <c r="C26" s="78" t="str">
        <f t="shared" si="0"/>
        <v xml:space="preserve"> </v>
      </c>
      <c r="D26" s="79" t="str">
        <f t="shared" si="1"/>
        <v xml:space="preserve"> </v>
      </c>
      <c r="E26" s="80" t="str">
        <f t="shared" si="4"/>
        <v xml:space="preserve"> </v>
      </c>
      <c r="F26" s="81" t="str">
        <f t="shared" si="2"/>
        <v/>
      </c>
      <c r="G26" s="82" t="str">
        <f t="shared" si="6"/>
        <v/>
      </c>
      <c r="H26" s="19" t="str">
        <f t="shared" si="3"/>
        <v xml:space="preserve"> </v>
      </c>
      <c r="I26" s="6"/>
      <c r="J26">
        <v>202304</v>
      </c>
      <c r="K26" s="56">
        <f>0.3139</f>
        <v>0.31390000000000001</v>
      </c>
    </row>
    <row r="27" spans="1:11" ht="36" x14ac:dyDescent="0.55000000000000004">
      <c r="A27" s="83"/>
      <c r="B27" s="77" t="str">
        <f t="shared" si="5"/>
        <v/>
      </c>
      <c r="C27" s="78" t="str">
        <f t="shared" si="0"/>
        <v xml:space="preserve"> </v>
      </c>
      <c r="D27" s="79" t="str">
        <f t="shared" si="1"/>
        <v xml:space="preserve"> </v>
      </c>
      <c r="E27" s="80" t="str">
        <f t="shared" si="4"/>
        <v xml:space="preserve"> </v>
      </c>
      <c r="F27" s="81" t="str">
        <f t="shared" si="2"/>
        <v/>
      </c>
      <c r="G27" s="82" t="str">
        <f t="shared" si="6"/>
        <v/>
      </c>
      <c r="H27" s="19" t="str">
        <f t="shared" si="3"/>
        <v xml:space="preserve"> </v>
      </c>
      <c r="I27" s="6"/>
      <c r="J27">
        <v>202303</v>
      </c>
      <c r="K27" s="56">
        <f>0.3084</f>
        <v>0.30840000000000001</v>
      </c>
    </row>
    <row r="28" spans="1:11" ht="36" x14ac:dyDescent="0.55000000000000004">
      <c r="A28" s="88"/>
      <c r="B28" s="77" t="str">
        <f t="shared" si="5"/>
        <v/>
      </c>
      <c r="C28" s="78" t="str">
        <f t="shared" si="0"/>
        <v xml:space="preserve"> </v>
      </c>
      <c r="D28" s="79" t="str">
        <f t="shared" si="1"/>
        <v xml:space="preserve"> </v>
      </c>
      <c r="E28" s="80" t="str">
        <f t="shared" si="4"/>
        <v xml:space="preserve"> </v>
      </c>
      <c r="F28" s="81" t="str">
        <f t="shared" si="2"/>
        <v/>
      </c>
      <c r="G28" s="82" t="str">
        <f t="shared" si="6"/>
        <v/>
      </c>
      <c r="H28" s="19" t="str">
        <f t="shared" si="3"/>
        <v xml:space="preserve"> </v>
      </c>
      <c r="I28" s="6"/>
      <c r="J28">
        <v>202302</v>
      </c>
      <c r="K28" s="56">
        <f>0.3018</f>
        <v>0.30180000000000001</v>
      </c>
    </row>
    <row r="29" spans="1:11" x14ac:dyDescent="0.4">
      <c r="A29" s="6"/>
      <c r="B29" s="58" t="str">
        <f t="shared" si="5"/>
        <v/>
      </c>
      <c r="C29" s="57" t="str">
        <f t="shared" si="0"/>
        <v xml:space="preserve"> </v>
      </c>
      <c r="D29" s="13" t="str">
        <f t="shared" si="1"/>
        <v xml:space="preserve"> </v>
      </c>
      <c r="E29" s="60" t="str">
        <f t="shared" si="4"/>
        <v xml:space="preserve"> </v>
      </c>
      <c r="F29" s="46" t="str">
        <f t="shared" si="2"/>
        <v/>
      </c>
      <c r="G29" s="53" t="str">
        <f t="shared" si="6"/>
        <v/>
      </c>
      <c r="H29" s="19" t="str">
        <f t="shared" si="3"/>
        <v xml:space="preserve"> </v>
      </c>
      <c r="I29" s="6"/>
      <c r="J29">
        <v>202301</v>
      </c>
      <c r="K29" s="56">
        <f>0.2884</f>
        <v>0.28839999999999999</v>
      </c>
    </row>
    <row r="30" spans="1:11" x14ac:dyDescent="0.4">
      <c r="A30" s="6"/>
      <c r="B30" s="58" t="str">
        <f t="shared" si="5"/>
        <v/>
      </c>
      <c r="C30" s="57" t="str">
        <f t="shared" si="0"/>
        <v xml:space="preserve"> </v>
      </c>
      <c r="D30" s="13" t="str">
        <f t="shared" si="1"/>
        <v xml:space="preserve"> </v>
      </c>
      <c r="E30" s="60" t="str">
        <f t="shared" si="4"/>
        <v xml:space="preserve"> </v>
      </c>
      <c r="F30" s="46" t="str">
        <f t="shared" si="2"/>
        <v/>
      </c>
      <c r="G30" s="53" t="str">
        <f t="shared" si="6"/>
        <v/>
      </c>
      <c r="H30" s="19" t="str">
        <f t="shared" si="3"/>
        <v xml:space="preserve"> </v>
      </c>
      <c r="I30" s="6"/>
      <c r="J30">
        <v>202212</v>
      </c>
      <c r="K30" s="56">
        <f>0.2764</f>
        <v>0.27639999999999998</v>
      </c>
    </row>
    <row r="31" spans="1:11" x14ac:dyDescent="0.4">
      <c r="A31" s="6"/>
      <c r="B31" s="58" t="str">
        <f t="shared" si="5"/>
        <v/>
      </c>
      <c r="C31" s="57" t="str">
        <f t="shared" si="0"/>
        <v xml:space="preserve"> </v>
      </c>
      <c r="D31" s="13" t="str">
        <f t="shared" si="1"/>
        <v xml:space="preserve"> </v>
      </c>
      <c r="E31" s="60" t="str">
        <f t="shared" si="4"/>
        <v xml:space="preserve"> </v>
      </c>
      <c r="F31" s="46" t="str">
        <f t="shared" si="2"/>
        <v/>
      </c>
      <c r="G31" s="53" t="str">
        <f t="shared" si="6"/>
        <v/>
      </c>
      <c r="H31" s="19" t="str">
        <f t="shared" si="3"/>
        <v xml:space="preserve"> </v>
      </c>
      <c r="I31" s="6"/>
      <c r="J31">
        <v>202211</v>
      </c>
      <c r="K31" s="56">
        <f>0.2578</f>
        <v>0.25779999999999997</v>
      </c>
    </row>
    <row r="32" spans="1:11" x14ac:dyDescent="0.4">
      <c r="A32" s="6"/>
      <c r="B32" s="58" t="str">
        <f t="shared" si="5"/>
        <v/>
      </c>
      <c r="C32" s="57" t="str">
        <f t="shared" si="0"/>
        <v xml:space="preserve"> </v>
      </c>
      <c r="D32" s="13" t="str">
        <f t="shared" si="1"/>
        <v xml:space="preserve"> </v>
      </c>
      <c r="E32" s="60" t="str">
        <f t="shared" si="4"/>
        <v xml:space="preserve"> </v>
      </c>
      <c r="F32" s="46" t="str">
        <f t="shared" si="2"/>
        <v/>
      </c>
      <c r="G32" s="53" t="str">
        <f t="shared" si="6"/>
        <v/>
      </c>
      <c r="H32" s="19" t="str">
        <f t="shared" si="3"/>
        <v xml:space="preserve"> </v>
      </c>
      <c r="I32" s="6"/>
      <c r="J32">
        <v>202210</v>
      </c>
      <c r="K32" s="56">
        <f>0.2461</f>
        <v>0.24610000000000001</v>
      </c>
    </row>
    <row r="33" spans="1:11" x14ac:dyDescent="0.4">
      <c r="A33" s="6"/>
      <c r="B33" s="58" t="str">
        <f t="shared" si="5"/>
        <v/>
      </c>
      <c r="C33" s="57" t="str">
        <f t="shared" si="0"/>
        <v xml:space="preserve"> </v>
      </c>
      <c r="D33" s="13" t="str">
        <f t="shared" si="1"/>
        <v xml:space="preserve"> </v>
      </c>
      <c r="E33" s="60" t="str">
        <f t="shared" si="4"/>
        <v xml:space="preserve"> </v>
      </c>
      <c r="F33" s="46" t="str">
        <f t="shared" si="2"/>
        <v/>
      </c>
      <c r="G33" s="53" t="str">
        <f t="shared" si="6"/>
        <v/>
      </c>
      <c r="H33" s="19" t="str">
        <f t="shared" si="3"/>
        <v xml:space="preserve"> </v>
      </c>
      <c r="I33" s="6"/>
      <c r="J33">
        <v>202209</v>
      </c>
      <c r="K33" s="56">
        <f>0.235</f>
        <v>0.23499999999999999</v>
      </c>
    </row>
    <row r="34" spans="1:11" x14ac:dyDescent="0.4">
      <c r="A34" s="6"/>
      <c r="B34" s="58" t="str">
        <f t="shared" si="5"/>
        <v/>
      </c>
      <c r="C34" s="57" t="str">
        <f t="shared" si="0"/>
        <v xml:space="preserve"> </v>
      </c>
      <c r="D34" s="13" t="str">
        <f t="shared" si="1"/>
        <v xml:space="preserve"> </v>
      </c>
      <c r="E34" s="60" t="str">
        <f t="shared" si="4"/>
        <v xml:space="preserve"> </v>
      </c>
      <c r="F34" s="46" t="str">
        <f t="shared" si="2"/>
        <v/>
      </c>
      <c r="G34" s="53" t="str">
        <f t="shared" si="6"/>
        <v/>
      </c>
      <c r="H34" s="19" t="str">
        <f t="shared" si="3"/>
        <v xml:space="preserve"> </v>
      </c>
      <c r="I34" s="6"/>
      <c r="J34">
        <v>202208</v>
      </c>
      <c r="K34" s="56">
        <f>0.2221</f>
        <v>0.22209999999999999</v>
      </c>
    </row>
    <row r="35" spans="1:11" x14ac:dyDescent="0.4">
      <c r="A35" s="6"/>
      <c r="B35" s="58" t="str">
        <f t="shared" si="5"/>
        <v/>
      </c>
      <c r="C35" s="57" t="str">
        <f t="shared" si="0"/>
        <v xml:space="preserve"> </v>
      </c>
      <c r="D35" s="13" t="str">
        <f t="shared" si="1"/>
        <v xml:space="preserve"> </v>
      </c>
      <c r="E35" s="60" t="str">
        <f t="shared" si="4"/>
        <v xml:space="preserve"> </v>
      </c>
      <c r="F35" s="46" t="str">
        <f t="shared" si="2"/>
        <v/>
      </c>
      <c r="G35" s="53" t="str">
        <f t="shared" si="6"/>
        <v/>
      </c>
      <c r="H35" s="19" t="str">
        <f t="shared" si="3"/>
        <v xml:space="preserve"> </v>
      </c>
      <c r="I35" s="6"/>
      <c r="J35">
        <v>202207</v>
      </c>
      <c r="K35" s="56">
        <f>0.2128</f>
        <v>0.21279999999999999</v>
      </c>
    </row>
    <row r="36" spans="1:11" x14ac:dyDescent="0.4">
      <c r="A36" s="6"/>
      <c r="B36" s="58" t="str">
        <f t="shared" si="5"/>
        <v/>
      </c>
      <c r="C36" s="57" t="str">
        <f t="shared" si="0"/>
        <v xml:space="preserve"> </v>
      </c>
      <c r="D36" s="13" t="str">
        <f t="shared" si="1"/>
        <v xml:space="preserve"> </v>
      </c>
      <c r="E36" s="60" t="str">
        <f t="shared" si="4"/>
        <v xml:space="preserve"> </v>
      </c>
      <c r="F36" s="46" t="str">
        <f t="shared" si="2"/>
        <v/>
      </c>
      <c r="G36" s="53" t="str">
        <f t="shared" si="6"/>
        <v/>
      </c>
      <c r="H36" s="19" t="str">
        <f t="shared" si="3"/>
        <v xml:space="preserve"> </v>
      </c>
      <c r="I36" s="6"/>
      <c r="J36">
        <v>202206</v>
      </c>
      <c r="K36" s="56">
        <f>0.204</f>
        <v>0.20399999999999999</v>
      </c>
    </row>
    <row r="37" spans="1:11" x14ac:dyDescent="0.4">
      <c r="A37" s="6"/>
      <c r="B37" s="58" t="str">
        <f t="shared" si="5"/>
        <v/>
      </c>
      <c r="C37" s="57" t="str">
        <f t="shared" si="0"/>
        <v xml:space="preserve"> </v>
      </c>
      <c r="D37" s="13" t="str">
        <f t="shared" si="1"/>
        <v xml:space="preserve"> </v>
      </c>
      <c r="E37" s="60" t="str">
        <f t="shared" si="4"/>
        <v xml:space="preserve"> </v>
      </c>
      <c r="F37" s="46" t="str">
        <f t="shared" si="2"/>
        <v/>
      </c>
      <c r="G37" s="53" t="str">
        <f t="shared" si="6"/>
        <v/>
      </c>
      <c r="H37" s="19" t="str">
        <f t="shared" si="3"/>
        <v xml:space="preserve"> </v>
      </c>
      <c r="I37" s="6"/>
      <c r="J37">
        <v>202205</v>
      </c>
      <c r="K37" s="56">
        <f>0.1971</f>
        <v>0.1971</v>
      </c>
    </row>
    <row r="38" spans="1:11" x14ac:dyDescent="0.4">
      <c r="A38" s="6"/>
      <c r="B38" s="58" t="str">
        <f t="shared" si="5"/>
        <v/>
      </c>
      <c r="C38" s="57" t="str">
        <f t="shared" si="0"/>
        <v xml:space="preserve"> </v>
      </c>
      <c r="D38" s="13" t="str">
        <f t="shared" si="1"/>
        <v xml:space="preserve"> </v>
      </c>
      <c r="E38" s="60" t="str">
        <f t="shared" si="4"/>
        <v xml:space="preserve"> </v>
      </c>
      <c r="F38" s="46" t="str">
        <f t="shared" si="2"/>
        <v/>
      </c>
      <c r="G38" s="53" t="str">
        <f t="shared" si="6"/>
        <v/>
      </c>
      <c r="H38" s="19" t="str">
        <f t="shared" si="3"/>
        <v xml:space="preserve"> </v>
      </c>
      <c r="I38" s="6"/>
      <c r="J38">
        <v>202204</v>
      </c>
      <c r="K38" s="56">
        <f>0.1905</f>
        <v>0.1905</v>
      </c>
    </row>
    <row r="39" spans="1:11" x14ac:dyDescent="0.4">
      <c r="A39" s="6"/>
      <c r="B39" s="58" t="str">
        <f t="shared" si="5"/>
        <v/>
      </c>
      <c r="C39" s="57" t="str">
        <f t="shared" ref="C39:C70" si="7">IFERROR(IF($E$3="Corriente",VLOOKUP(INT(TEXT(B39,"AAAAMM")),$J$6:$K$381,2,0),VLOOKUP(INT(TEXT(B39,"AAAAMM")),$J$6:$K$381,2,0)*1.5)," ")</f>
        <v xml:space="preserve"> </v>
      </c>
      <c r="D39" s="13" t="str">
        <f t="shared" ref="D39:D70" si="8">IFERROR(IF(AND(TEXT(B39,"D")="1",TEXT(H39,"DD")=TEXT(EOMONTH(B39,0),"D")),30,IF(TEXT(H39,"DDMMYYYY")=TEXT($B$3,"DDMMYYYY"),INT(TEXT($B$3,"DD")),H39-B39))," ")</f>
        <v xml:space="preserve"> </v>
      </c>
      <c r="E39" s="60" t="str">
        <f t="shared" si="4"/>
        <v xml:space="preserve"> </v>
      </c>
      <c r="F39" s="46" t="str">
        <f t="shared" ref="F39:F70" si="9">IFERROR(E39*$C$3*D39,"")</f>
        <v/>
      </c>
      <c r="G39" s="53" t="str">
        <f t="shared" si="6"/>
        <v/>
      </c>
      <c r="H39" s="19" t="str">
        <f t="shared" ref="H39:H70" si="10">IFERROR(IF(TEXT(B39,"MMAAA")=TEXT($B$3,"MMAAAA"),$B$3,EOMONTH(B39,0))," ")</f>
        <v xml:space="preserve"> </v>
      </c>
      <c r="I39" s="6"/>
      <c r="J39">
        <v>202203</v>
      </c>
      <c r="K39" s="56">
        <f>0.1847</f>
        <v>0.1847</v>
      </c>
    </row>
    <row r="40" spans="1:11" x14ac:dyDescent="0.4">
      <c r="A40" s="6"/>
      <c r="B40" s="58" t="str">
        <f t="shared" si="5"/>
        <v/>
      </c>
      <c r="C40" s="57" t="str">
        <f t="shared" si="7"/>
        <v xml:space="preserve"> </v>
      </c>
      <c r="D40" s="13" t="str">
        <f t="shared" si="8"/>
        <v xml:space="preserve"> </v>
      </c>
      <c r="E40" s="60" t="str">
        <f t="shared" si="4"/>
        <v xml:space="preserve"> </v>
      </c>
      <c r="F40" s="46" t="str">
        <f t="shared" si="9"/>
        <v/>
      </c>
      <c r="G40" s="53" t="str">
        <f t="shared" si="6"/>
        <v/>
      </c>
      <c r="H40" s="19" t="str">
        <f t="shared" si="10"/>
        <v xml:space="preserve"> </v>
      </c>
      <c r="I40" s="6"/>
      <c r="J40">
        <v>202202</v>
      </c>
      <c r="K40" s="56">
        <f>0.183</f>
        <v>0.183</v>
      </c>
    </row>
    <row r="41" spans="1:11" x14ac:dyDescent="0.4">
      <c r="A41" s="6"/>
      <c r="B41" s="58" t="str">
        <f t="shared" si="5"/>
        <v/>
      </c>
      <c r="C41" s="57" t="str">
        <f t="shared" si="7"/>
        <v xml:space="preserve"> </v>
      </c>
      <c r="D41" s="13" t="str">
        <f t="shared" si="8"/>
        <v xml:space="preserve"> </v>
      </c>
      <c r="E41" s="60" t="str">
        <f t="shared" si="4"/>
        <v xml:space="preserve"> </v>
      </c>
      <c r="F41" s="46" t="str">
        <f t="shared" si="9"/>
        <v/>
      </c>
      <c r="G41" s="53" t="str">
        <f t="shared" si="6"/>
        <v/>
      </c>
      <c r="H41" s="19" t="str">
        <f t="shared" si="10"/>
        <v xml:space="preserve"> </v>
      </c>
      <c r="I41" s="6"/>
      <c r="J41">
        <v>202201</v>
      </c>
      <c r="K41" s="56">
        <f>0.1766</f>
        <v>0.17660000000000001</v>
      </c>
    </row>
    <row r="42" spans="1:11" x14ac:dyDescent="0.4">
      <c r="A42" s="6"/>
      <c r="B42" s="58" t="str">
        <f t="shared" si="5"/>
        <v/>
      </c>
      <c r="C42" s="57" t="str">
        <f t="shared" si="7"/>
        <v xml:space="preserve"> </v>
      </c>
      <c r="D42" s="13" t="str">
        <f t="shared" si="8"/>
        <v xml:space="preserve"> </v>
      </c>
      <c r="E42" s="60" t="str">
        <f t="shared" si="4"/>
        <v xml:space="preserve"> </v>
      </c>
      <c r="F42" s="46" t="str">
        <f t="shared" si="9"/>
        <v/>
      </c>
      <c r="G42" s="53" t="str">
        <f t="shared" si="6"/>
        <v/>
      </c>
      <c r="H42" s="19" t="str">
        <f t="shared" si="10"/>
        <v xml:space="preserve"> </v>
      </c>
      <c r="I42" s="6"/>
      <c r="J42">
        <v>202112</v>
      </c>
      <c r="K42" s="56">
        <f>0.1746</f>
        <v>0.17460000000000001</v>
      </c>
    </row>
    <row r="43" spans="1:11" x14ac:dyDescent="0.4">
      <c r="A43" s="6"/>
      <c r="B43" s="58" t="str">
        <f t="shared" si="5"/>
        <v/>
      </c>
      <c r="C43" s="57" t="str">
        <f t="shared" si="7"/>
        <v xml:space="preserve"> </v>
      </c>
      <c r="D43" s="13" t="str">
        <f t="shared" si="8"/>
        <v xml:space="preserve"> </v>
      </c>
      <c r="E43" s="60" t="str">
        <f t="shared" si="4"/>
        <v xml:space="preserve"> </v>
      </c>
      <c r="F43" s="46" t="str">
        <f t="shared" si="9"/>
        <v/>
      </c>
      <c r="G43" s="53" t="str">
        <f t="shared" si="6"/>
        <v/>
      </c>
      <c r="H43" s="19" t="str">
        <f t="shared" si="10"/>
        <v xml:space="preserve"> </v>
      </c>
      <c r="I43" s="6"/>
      <c r="J43">
        <v>202111</v>
      </c>
      <c r="K43" s="56">
        <f>0.1727</f>
        <v>0.17269999999999999</v>
      </c>
    </row>
    <row r="44" spans="1:11" x14ac:dyDescent="0.4">
      <c r="A44" s="6"/>
      <c r="B44" s="58" t="str">
        <f t="shared" si="5"/>
        <v/>
      </c>
      <c r="C44" s="57" t="str">
        <f t="shared" si="7"/>
        <v xml:space="preserve"> </v>
      </c>
      <c r="D44" s="13" t="str">
        <f t="shared" si="8"/>
        <v xml:space="preserve"> </v>
      </c>
      <c r="E44" s="60" t="str">
        <f t="shared" si="4"/>
        <v xml:space="preserve"> </v>
      </c>
      <c r="F44" s="46" t="str">
        <f t="shared" si="9"/>
        <v/>
      </c>
      <c r="G44" s="53" t="str">
        <f t="shared" si="6"/>
        <v/>
      </c>
      <c r="H44" s="19" t="str">
        <f t="shared" si="10"/>
        <v xml:space="preserve"> </v>
      </c>
      <c r="I44" s="6"/>
      <c r="J44">
        <v>202110</v>
      </c>
      <c r="K44" s="56">
        <f>0.1708</f>
        <v>0.17080000000000001</v>
      </c>
    </row>
    <row r="45" spans="1:11" x14ac:dyDescent="0.4">
      <c r="A45" s="6"/>
      <c r="B45" s="58" t="str">
        <f t="shared" si="5"/>
        <v/>
      </c>
      <c r="C45" s="57" t="str">
        <f t="shared" si="7"/>
        <v xml:space="preserve"> </v>
      </c>
      <c r="D45" s="13" t="str">
        <f t="shared" si="8"/>
        <v xml:space="preserve"> </v>
      </c>
      <c r="E45" s="60" t="str">
        <f t="shared" si="4"/>
        <v xml:space="preserve"> </v>
      </c>
      <c r="F45" s="46" t="str">
        <f t="shared" si="9"/>
        <v/>
      </c>
      <c r="G45" s="53" t="str">
        <f t="shared" si="6"/>
        <v/>
      </c>
      <c r="H45" s="19" t="str">
        <f t="shared" si="10"/>
        <v xml:space="preserve"> </v>
      </c>
      <c r="I45" s="6"/>
      <c r="J45">
        <v>202109</v>
      </c>
      <c r="K45" s="56">
        <f>0.1719</f>
        <v>0.1719</v>
      </c>
    </row>
    <row r="46" spans="1:11" x14ac:dyDescent="0.4">
      <c r="A46" s="6"/>
      <c r="B46" s="58" t="str">
        <f t="shared" si="5"/>
        <v/>
      </c>
      <c r="C46" s="57" t="str">
        <f t="shared" si="7"/>
        <v xml:space="preserve"> </v>
      </c>
      <c r="D46" s="13" t="str">
        <f t="shared" si="8"/>
        <v xml:space="preserve"> </v>
      </c>
      <c r="E46" s="60" t="str">
        <f t="shared" si="4"/>
        <v xml:space="preserve"> </v>
      </c>
      <c r="F46" s="46" t="str">
        <f t="shared" si="9"/>
        <v/>
      </c>
      <c r="G46" s="53" t="str">
        <f t="shared" si="6"/>
        <v/>
      </c>
      <c r="H46" s="19" t="str">
        <f t="shared" si="10"/>
        <v xml:space="preserve"> </v>
      </c>
      <c r="I46" s="6"/>
      <c r="J46">
        <v>202108</v>
      </c>
      <c r="K46" s="56">
        <f>0.1724</f>
        <v>0.1724</v>
      </c>
    </row>
    <row r="47" spans="1:11" x14ac:dyDescent="0.4">
      <c r="A47" s="6"/>
      <c r="B47" s="58" t="str">
        <f t="shared" si="5"/>
        <v/>
      </c>
      <c r="C47" s="57" t="str">
        <f t="shared" si="7"/>
        <v xml:space="preserve"> </v>
      </c>
      <c r="D47" s="13" t="str">
        <f t="shared" si="8"/>
        <v xml:space="preserve"> </v>
      </c>
      <c r="E47" s="60" t="str">
        <f t="shared" si="4"/>
        <v xml:space="preserve"> </v>
      </c>
      <c r="F47" s="46" t="str">
        <f t="shared" si="9"/>
        <v/>
      </c>
      <c r="G47" s="53" t="str">
        <f t="shared" si="6"/>
        <v/>
      </c>
      <c r="H47" s="19" t="str">
        <f t="shared" si="10"/>
        <v xml:space="preserve"> </v>
      </c>
      <c r="I47" s="6"/>
      <c r="J47">
        <v>202107</v>
      </c>
      <c r="K47" s="56">
        <f>0.1718</f>
        <v>0.17180000000000001</v>
      </c>
    </row>
    <row r="48" spans="1:11" x14ac:dyDescent="0.4">
      <c r="A48" s="6"/>
      <c r="B48" s="58" t="str">
        <f t="shared" si="5"/>
        <v/>
      </c>
      <c r="C48" s="57" t="str">
        <f t="shared" si="7"/>
        <v xml:space="preserve"> </v>
      </c>
      <c r="D48" s="13" t="str">
        <f t="shared" si="8"/>
        <v xml:space="preserve"> </v>
      </c>
      <c r="E48" s="60" t="str">
        <f t="shared" si="4"/>
        <v xml:space="preserve"> </v>
      </c>
      <c r="F48" s="46" t="str">
        <f t="shared" si="9"/>
        <v/>
      </c>
      <c r="G48" s="53" t="str">
        <f t="shared" si="6"/>
        <v/>
      </c>
      <c r="H48" s="19" t="str">
        <f t="shared" si="10"/>
        <v xml:space="preserve"> </v>
      </c>
      <c r="I48" s="6"/>
      <c r="J48">
        <v>202106</v>
      </c>
      <c r="K48" s="56">
        <f>0.1721</f>
        <v>0.1721</v>
      </c>
    </row>
    <row r="49" spans="1:11" x14ac:dyDescent="0.4">
      <c r="A49" s="6"/>
      <c r="B49" s="58" t="str">
        <f t="shared" si="5"/>
        <v/>
      </c>
      <c r="C49" s="57" t="str">
        <f t="shared" si="7"/>
        <v xml:space="preserve"> </v>
      </c>
      <c r="D49" s="13" t="str">
        <f t="shared" si="8"/>
        <v xml:space="preserve"> </v>
      </c>
      <c r="E49" s="60" t="str">
        <f t="shared" si="4"/>
        <v xml:space="preserve"> </v>
      </c>
      <c r="F49" s="46" t="str">
        <f t="shared" si="9"/>
        <v/>
      </c>
      <c r="G49" s="53" t="str">
        <f t="shared" si="6"/>
        <v/>
      </c>
      <c r="H49" s="19" t="str">
        <f t="shared" si="10"/>
        <v xml:space="preserve"> </v>
      </c>
      <c r="I49" s="6"/>
      <c r="J49">
        <v>202105</v>
      </c>
      <c r="K49" s="56">
        <f>0.1722</f>
        <v>0.17219999999999999</v>
      </c>
    </row>
    <row r="50" spans="1:11" x14ac:dyDescent="0.4">
      <c r="A50" s="6"/>
      <c r="B50" s="58" t="str">
        <f t="shared" si="5"/>
        <v/>
      </c>
      <c r="C50" s="57" t="str">
        <f t="shared" si="7"/>
        <v xml:space="preserve"> </v>
      </c>
      <c r="D50" s="13" t="str">
        <f t="shared" si="8"/>
        <v xml:space="preserve"> </v>
      </c>
      <c r="E50" s="60" t="str">
        <f t="shared" si="4"/>
        <v xml:space="preserve"> </v>
      </c>
      <c r="F50" s="46" t="str">
        <f t="shared" si="9"/>
        <v/>
      </c>
      <c r="G50" s="53" t="str">
        <f t="shared" si="6"/>
        <v/>
      </c>
      <c r="H50" s="19" t="str">
        <f t="shared" si="10"/>
        <v xml:space="preserve"> </v>
      </c>
      <c r="I50" s="6"/>
      <c r="J50">
        <v>202104</v>
      </c>
      <c r="K50" s="56">
        <f>0.1731</f>
        <v>0.1731</v>
      </c>
    </row>
    <row r="51" spans="1:11" x14ac:dyDescent="0.4">
      <c r="A51" s="6"/>
      <c r="B51" s="58" t="str">
        <f t="shared" si="5"/>
        <v/>
      </c>
      <c r="C51" s="57" t="str">
        <f t="shared" si="7"/>
        <v xml:space="preserve"> </v>
      </c>
      <c r="D51" s="13" t="str">
        <f t="shared" si="8"/>
        <v xml:space="preserve"> </v>
      </c>
      <c r="E51" s="60" t="str">
        <f t="shared" si="4"/>
        <v xml:space="preserve"> </v>
      </c>
      <c r="F51" s="46" t="str">
        <f t="shared" si="9"/>
        <v/>
      </c>
      <c r="G51" s="53" t="str">
        <f t="shared" si="6"/>
        <v/>
      </c>
      <c r="H51" s="19" t="str">
        <f t="shared" si="10"/>
        <v xml:space="preserve"> </v>
      </c>
      <c r="I51" s="6"/>
      <c r="J51">
        <v>202103</v>
      </c>
      <c r="K51" s="56">
        <f>0.1741</f>
        <v>0.1741</v>
      </c>
    </row>
    <row r="52" spans="1:11" x14ac:dyDescent="0.4">
      <c r="A52" s="6"/>
      <c r="B52" s="58" t="str">
        <f t="shared" si="5"/>
        <v/>
      </c>
      <c r="C52" s="57" t="str">
        <f t="shared" si="7"/>
        <v xml:space="preserve"> </v>
      </c>
      <c r="D52" s="13" t="str">
        <f t="shared" si="8"/>
        <v xml:space="preserve"> </v>
      </c>
      <c r="E52" s="60" t="str">
        <f t="shared" si="4"/>
        <v xml:space="preserve"> </v>
      </c>
      <c r="F52" s="46" t="str">
        <f t="shared" si="9"/>
        <v/>
      </c>
      <c r="G52" s="53" t="str">
        <f t="shared" si="6"/>
        <v/>
      </c>
      <c r="H52" s="19" t="str">
        <f t="shared" si="10"/>
        <v xml:space="preserve"> </v>
      </c>
      <c r="I52" s="6"/>
      <c r="J52">
        <v>202102</v>
      </c>
      <c r="K52" s="56">
        <f>0.1754</f>
        <v>0.1754</v>
      </c>
    </row>
    <row r="53" spans="1:11" x14ac:dyDescent="0.4">
      <c r="A53" s="6"/>
      <c r="B53" s="58" t="str">
        <f t="shared" si="5"/>
        <v/>
      </c>
      <c r="C53" s="57" t="str">
        <f t="shared" si="7"/>
        <v xml:space="preserve"> </v>
      </c>
      <c r="D53" s="13" t="str">
        <f t="shared" si="8"/>
        <v xml:space="preserve"> </v>
      </c>
      <c r="E53" s="60" t="str">
        <f t="shared" si="4"/>
        <v xml:space="preserve"> </v>
      </c>
      <c r="F53" s="46" t="str">
        <f t="shared" si="9"/>
        <v/>
      </c>
      <c r="G53" s="53" t="str">
        <f t="shared" si="6"/>
        <v/>
      </c>
      <c r="H53" s="19" t="str">
        <f t="shared" si="10"/>
        <v xml:space="preserve"> </v>
      </c>
      <c r="I53" s="6"/>
      <c r="J53">
        <v>202101</v>
      </c>
      <c r="K53" s="56">
        <f>0.1732</f>
        <v>0.17319999999999999</v>
      </c>
    </row>
    <row r="54" spans="1:11" x14ac:dyDescent="0.4">
      <c r="A54" s="6"/>
      <c r="B54" s="58" t="str">
        <f t="shared" si="5"/>
        <v/>
      </c>
      <c r="C54" s="57" t="str">
        <f t="shared" si="7"/>
        <v xml:space="preserve"> </v>
      </c>
      <c r="D54" s="13" t="str">
        <f t="shared" si="8"/>
        <v xml:space="preserve"> </v>
      </c>
      <c r="E54" s="60" t="str">
        <f t="shared" si="4"/>
        <v xml:space="preserve"> </v>
      </c>
      <c r="F54" s="46" t="str">
        <f t="shared" si="9"/>
        <v/>
      </c>
      <c r="G54" s="53" t="str">
        <f t="shared" si="6"/>
        <v/>
      </c>
      <c r="H54" s="19" t="str">
        <f t="shared" si="10"/>
        <v xml:space="preserve"> </v>
      </c>
      <c r="I54" s="6"/>
      <c r="J54">
        <v>202012</v>
      </c>
      <c r="K54" s="56">
        <f>0.1746</f>
        <v>0.17460000000000001</v>
      </c>
    </row>
    <row r="55" spans="1:11" x14ac:dyDescent="0.4">
      <c r="A55" s="6"/>
      <c r="B55" s="58" t="str">
        <f t="shared" si="5"/>
        <v/>
      </c>
      <c r="C55" s="57" t="str">
        <f t="shared" si="7"/>
        <v xml:space="preserve"> </v>
      </c>
      <c r="D55" s="13" t="str">
        <f t="shared" si="8"/>
        <v xml:space="preserve"> </v>
      </c>
      <c r="E55" s="60" t="str">
        <f t="shared" si="4"/>
        <v xml:space="preserve"> </v>
      </c>
      <c r="F55" s="46" t="str">
        <f t="shared" si="9"/>
        <v/>
      </c>
      <c r="G55" s="53" t="str">
        <f t="shared" si="6"/>
        <v/>
      </c>
      <c r="H55" s="19" t="str">
        <f t="shared" si="10"/>
        <v xml:space="preserve"> </v>
      </c>
      <c r="I55" s="6"/>
      <c r="J55">
        <v>202011</v>
      </c>
      <c r="K55" s="56">
        <f>0.1784</f>
        <v>0.1784</v>
      </c>
    </row>
    <row r="56" spans="1:11" x14ac:dyDescent="0.4">
      <c r="A56" s="6"/>
      <c r="B56" s="58" t="str">
        <f t="shared" si="5"/>
        <v/>
      </c>
      <c r="C56" s="57" t="str">
        <f t="shared" si="7"/>
        <v xml:space="preserve"> </v>
      </c>
      <c r="D56" s="13" t="str">
        <f t="shared" si="8"/>
        <v xml:space="preserve"> </v>
      </c>
      <c r="E56" s="60" t="str">
        <f t="shared" si="4"/>
        <v xml:space="preserve"> </v>
      </c>
      <c r="F56" s="46" t="str">
        <f t="shared" si="9"/>
        <v/>
      </c>
      <c r="G56" s="53" t="str">
        <f t="shared" si="6"/>
        <v/>
      </c>
      <c r="H56" s="19" t="str">
        <f t="shared" si="10"/>
        <v xml:space="preserve"> </v>
      </c>
      <c r="I56" s="6"/>
      <c r="J56">
        <v>202010</v>
      </c>
      <c r="K56" s="56">
        <f>0.1809</f>
        <v>0.18090000000000001</v>
      </c>
    </row>
    <row r="57" spans="1:11" x14ac:dyDescent="0.4">
      <c r="A57" s="6"/>
      <c r="B57" s="58" t="str">
        <f t="shared" si="5"/>
        <v/>
      </c>
      <c r="C57" s="57" t="str">
        <f t="shared" si="7"/>
        <v xml:space="preserve"> </v>
      </c>
      <c r="D57" s="13" t="str">
        <f t="shared" si="8"/>
        <v xml:space="preserve"> </v>
      </c>
      <c r="E57" s="60" t="str">
        <f t="shared" si="4"/>
        <v xml:space="preserve"> </v>
      </c>
      <c r="F57" s="46" t="str">
        <f t="shared" si="9"/>
        <v/>
      </c>
      <c r="G57" s="53" t="str">
        <f t="shared" si="6"/>
        <v/>
      </c>
      <c r="H57" s="19" t="str">
        <f t="shared" si="10"/>
        <v xml:space="preserve"> </v>
      </c>
      <c r="I57" s="6"/>
      <c r="J57">
        <v>202009</v>
      </c>
      <c r="K57" s="56">
        <f>0.1835</f>
        <v>0.1835</v>
      </c>
    </row>
    <row r="58" spans="1:11" x14ac:dyDescent="0.4">
      <c r="A58" s="6"/>
      <c r="B58" s="58" t="str">
        <f t="shared" si="5"/>
        <v/>
      </c>
      <c r="C58" s="57" t="str">
        <f t="shared" si="7"/>
        <v xml:space="preserve"> </v>
      </c>
      <c r="D58" s="13" t="str">
        <f t="shared" si="8"/>
        <v xml:space="preserve"> </v>
      </c>
      <c r="E58" s="60" t="str">
        <f t="shared" si="4"/>
        <v xml:space="preserve"> </v>
      </c>
      <c r="F58" s="46" t="str">
        <f t="shared" si="9"/>
        <v/>
      </c>
      <c r="G58" s="53" t="str">
        <f t="shared" si="6"/>
        <v/>
      </c>
      <c r="H58" s="19" t="str">
        <f t="shared" si="10"/>
        <v xml:space="preserve"> </v>
      </c>
      <c r="I58" s="6"/>
      <c r="J58">
        <v>202008</v>
      </c>
      <c r="K58" s="56">
        <f>0.1829</f>
        <v>0.18290000000000001</v>
      </c>
    </row>
    <row r="59" spans="1:11" x14ac:dyDescent="0.4">
      <c r="A59" s="6"/>
      <c r="B59" s="58" t="str">
        <f t="shared" si="5"/>
        <v/>
      </c>
      <c r="C59" s="57" t="str">
        <f t="shared" si="7"/>
        <v xml:space="preserve"> </v>
      </c>
      <c r="D59" s="13" t="str">
        <f t="shared" si="8"/>
        <v xml:space="preserve"> </v>
      </c>
      <c r="E59" s="60" t="str">
        <f t="shared" si="4"/>
        <v xml:space="preserve"> </v>
      </c>
      <c r="F59" s="46" t="str">
        <f t="shared" si="9"/>
        <v/>
      </c>
      <c r="G59" s="53" t="str">
        <f t="shared" si="6"/>
        <v/>
      </c>
      <c r="H59" s="19" t="str">
        <f t="shared" si="10"/>
        <v xml:space="preserve"> </v>
      </c>
      <c r="I59" s="6"/>
      <c r="J59">
        <v>202007</v>
      </c>
      <c r="K59" s="56">
        <f>0.1812</f>
        <v>0.1812</v>
      </c>
    </row>
    <row r="60" spans="1:11" x14ac:dyDescent="0.4">
      <c r="A60" s="6"/>
      <c r="B60" s="58" t="str">
        <f t="shared" si="5"/>
        <v/>
      </c>
      <c r="C60" s="57" t="str">
        <f t="shared" si="7"/>
        <v xml:space="preserve"> </v>
      </c>
      <c r="D60" s="13" t="str">
        <f t="shared" si="8"/>
        <v xml:space="preserve"> </v>
      </c>
      <c r="E60" s="60" t="str">
        <f t="shared" si="4"/>
        <v xml:space="preserve"> </v>
      </c>
      <c r="F60" s="46" t="str">
        <f t="shared" si="9"/>
        <v/>
      </c>
      <c r="G60" s="53" t="str">
        <f t="shared" si="6"/>
        <v/>
      </c>
      <c r="H60" s="19" t="str">
        <f t="shared" si="10"/>
        <v xml:space="preserve"> </v>
      </c>
      <c r="I60" s="6"/>
      <c r="J60">
        <v>202006</v>
      </c>
      <c r="K60" s="56">
        <f>0.1812</f>
        <v>0.1812</v>
      </c>
    </row>
    <row r="61" spans="1:11" x14ac:dyDescent="0.4">
      <c r="A61" s="6"/>
      <c r="B61" s="58" t="str">
        <f t="shared" si="5"/>
        <v/>
      </c>
      <c r="C61" s="57" t="str">
        <f t="shared" si="7"/>
        <v xml:space="preserve"> </v>
      </c>
      <c r="D61" s="13" t="str">
        <f t="shared" si="8"/>
        <v xml:space="preserve"> </v>
      </c>
      <c r="E61" s="60" t="str">
        <f t="shared" si="4"/>
        <v xml:space="preserve"> </v>
      </c>
      <c r="F61" s="46" t="str">
        <f t="shared" si="9"/>
        <v/>
      </c>
      <c r="G61" s="53" t="str">
        <f t="shared" si="6"/>
        <v/>
      </c>
      <c r="H61" s="19" t="str">
        <f t="shared" si="10"/>
        <v xml:space="preserve"> </v>
      </c>
      <c r="J61">
        <v>202005</v>
      </c>
      <c r="K61" s="56">
        <f>0.1819</f>
        <v>0.18190000000000001</v>
      </c>
    </row>
    <row r="62" spans="1:11" x14ac:dyDescent="0.4">
      <c r="A62" s="6"/>
      <c r="B62" s="58" t="str">
        <f t="shared" si="5"/>
        <v/>
      </c>
      <c r="C62" s="57" t="str">
        <f t="shared" si="7"/>
        <v xml:space="preserve"> </v>
      </c>
      <c r="D62" s="13" t="str">
        <f t="shared" si="8"/>
        <v xml:space="preserve"> </v>
      </c>
      <c r="E62" s="60" t="str">
        <f t="shared" si="4"/>
        <v xml:space="preserve"> </v>
      </c>
      <c r="F62" s="46" t="str">
        <f t="shared" si="9"/>
        <v/>
      </c>
      <c r="G62" s="53" t="str">
        <f t="shared" si="6"/>
        <v/>
      </c>
      <c r="H62" s="19" t="str">
        <f t="shared" si="10"/>
        <v xml:space="preserve"> </v>
      </c>
      <c r="J62">
        <v>202004</v>
      </c>
      <c r="K62" s="56">
        <f>0.1869</f>
        <v>0.18690000000000001</v>
      </c>
    </row>
    <row r="63" spans="1:11" x14ac:dyDescent="0.4">
      <c r="B63" s="58" t="str">
        <f t="shared" si="5"/>
        <v/>
      </c>
      <c r="C63" s="57" t="str">
        <f t="shared" si="7"/>
        <v xml:space="preserve"> </v>
      </c>
      <c r="D63" s="13" t="str">
        <f t="shared" si="8"/>
        <v xml:space="preserve"> </v>
      </c>
      <c r="E63" s="60" t="str">
        <f t="shared" si="4"/>
        <v xml:space="preserve"> </v>
      </c>
      <c r="F63" s="46" t="str">
        <f t="shared" si="9"/>
        <v/>
      </c>
      <c r="G63" s="53" t="str">
        <f t="shared" si="6"/>
        <v/>
      </c>
      <c r="H63" s="19" t="str">
        <f t="shared" si="10"/>
        <v xml:space="preserve"> </v>
      </c>
      <c r="J63">
        <v>202003</v>
      </c>
      <c r="K63" s="56">
        <f>0.1895</f>
        <v>0.1895</v>
      </c>
    </row>
    <row r="64" spans="1:11" x14ac:dyDescent="0.4">
      <c r="B64" s="58" t="str">
        <f t="shared" si="5"/>
        <v/>
      </c>
      <c r="C64" s="57" t="str">
        <f t="shared" si="7"/>
        <v xml:space="preserve"> </v>
      </c>
      <c r="D64" s="13" t="str">
        <f t="shared" si="8"/>
        <v xml:space="preserve"> </v>
      </c>
      <c r="E64" s="60" t="str">
        <f t="shared" si="4"/>
        <v xml:space="preserve"> </v>
      </c>
      <c r="F64" s="46" t="str">
        <f t="shared" si="9"/>
        <v/>
      </c>
      <c r="G64" s="53" t="str">
        <f t="shared" si="6"/>
        <v/>
      </c>
      <c r="H64" s="19" t="str">
        <f t="shared" si="10"/>
        <v xml:space="preserve"> </v>
      </c>
      <c r="J64">
        <v>202002</v>
      </c>
      <c r="K64" s="56">
        <f>0.1906</f>
        <v>0.19059999999999999</v>
      </c>
    </row>
    <row r="65" spans="2:11" x14ac:dyDescent="0.4">
      <c r="B65" s="58" t="str">
        <f t="shared" si="5"/>
        <v/>
      </c>
      <c r="C65" s="57" t="str">
        <f t="shared" si="7"/>
        <v xml:space="preserve"> </v>
      </c>
      <c r="D65" s="13" t="str">
        <f t="shared" si="8"/>
        <v xml:space="preserve"> </v>
      </c>
      <c r="E65" s="60" t="str">
        <f t="shared" si="4"/>
        <v xml:space="preserve"> </v>
      </c>
      <c r="F65" s="46" t="str">
        <f t="shared" si="9"/>
        <v/>
      </c>
      <c r="G65" s="53" t="str">
        <f t="shared" si="6"/>
        <v/>
      </c>
      <c r="H65" s="19" t="str">
        <f t="shared" si="10"/>
        <v xml:space="preserve"> </v>
      </c>
      <c r="J65">
        <v>202001</v>
      </c>
      <c r="K65" s="56">
        <f>0.1877</f>
        <v>0.18770000000000001</v>
      </c>
    </row>
    <row r="66" spans="2:11" x14ac:dyDescent="0.4">
      <c r="B66" s="58" t="str">
        <f t="shared" si="5"/>
        <v/>
      </c>
      <c r="C66" s="57" t="str">
        <f t="shared" si="7"/>
        <v xml:space="preserve"> </v>
      </c>
      <c r="D66" s="13" t="str">
        <f t="shared" si="8"/>
        <v xml:space="preserve"> </v>
      </c>
      <c r="E66" s="60" t="str">
        <f t="shared" si="4"/>
        <v xml:space="preserve"> </v>
      </c>
      <c r="F66" s="46" t="str">
        <f t="shared" si="9"/>
        <v/>
      </c>
      <c r="G66" s="53" t="str">
        <f t="shared" si="6"/>
        <v/>
      </c>
      <c r="H66" s="19" t="str">
        <f t="shared" si="10"/>
        <v xml:space="preserve"> </v>
      </c>
      <c r="J66">
        <v>201912</v>
      </c>
      <c r="K66" s="56">
        <f>0.1891</f>
        <v>0.18909999999999999</v>
      </c>
    </row>
    <row r="67" spans="2:11" x14ac:dyDescent="0.4">
      <c r="B67" s="58" t="str">
        <f t="shared" si="5"/>
        <v/>
      </c>
      <c r="C67" s="57" t="str">
        <f t="shared" si="7"/>
        <v xml:space="preserve"> </v>
      </c>
      <c r="D67" s="13" t="str">
        <f t="shared" si="8"/>
        <v xml:space="preserve"> </v>
      </c>
      <c r="E67" s="60" t="str">
        <f t="shared" si="4"/>
        <v xml:space="preserve"> </v>
      </c>
      <c r="F67" s="46" t="str">
        <f t="shared" si="9"/>
        <v/>
      </c>
      <c r="G67" s="53" t="str">
        <f t="shared" si="6"/>
        <v/>
      </c>
      <c r="H67" s="19" t="str">
        <f t="shared" si="10"/>
        <v xml:space="preserve"> </v>
      </c>
      <c r="J67">
        <v>201911</v>
      </c>
      <c r="K67" s="56">
        <f>0.1903</f>
        <v>0.1903</v>
      </c>
    </row>
    <row r="68" spans="2:11" x14ac:dyDescent="0.4">
      <c r="B68" s="58" t="str">
        <f t="shared" si="5"/>
        <v/>
      </c>
      <c r="C68" s="57" t="str">
        <f t="shared" si="7"/>
        <v xml:space="preserve"> </v>
      </c>
      <c r="D68" s="13" t="str">
        <f t="shared" si="8"/>
        <v xml:space="preserve"> </v>
      </c>
      <c r="E68" s="60" t="str">
        <f t="shared" si="4"/>
        <v xml:space="preserve"> </v>
      </c>
      <c r="F68" s="46" t="str">
        <f t="shared" si="9"/>
        <v/>
      </c>
      <c r="G68" s="53" t="str">
        <f t="shared" si="6"/>
        <v/>
      </c>
      <c r="H68" s="19" t="str">
        <f t="shared" si="10"/>
        <v xml:space="preserve"> </v>
      </c>
      <c r="J68">
        <v>201910</v>
      </c>
      <c r="K68" s="56">
        <f>0.191</f>
        <v>0.191</v>
      </c>
    </row>
    <row r="69" spans="2:11" x14ac:dyDescent="0.4">
      <c r="B69" s="58" t="str">
        <f t="shared" si="5"/>
        <v/>
      </c>
      <c r="C69" s="57" t="str">
        <f t="shared" si="7"/>
        <v xml:space="preserve"> </v>
      </c>
      <c r="D69" s="13" t="str">
        <f t="shared" si="8"/>
        <v xml:space="preserve"> </v>
      </c>
      <c r="E69" s="60" t="str">
        <f t="shared" si="4"/>
        <v xml:space="preserve"> </v>
      </c>
      <c r="F69" s="46" t="str">
        <f t="shared" si="9"/>
        <v/>
      </c>
      <c r="G69" s="53" t="str">
        <f t="shared" si="6"/>
        <v/>
      </c>
      <c r="H69" s="19" t="str">
        <f t="shared" si="10"/>
        <v xml:space="preserve"> </v>
      </c>
      <c r="J69">
        <v>201909</v>
      </c>
      <c r="K69" s="56">
        <f>0.1932</f>
        <v>0.19320000000000001</v>
      </c>
    </row>
    <row r="70" spans="2:11" x14ac:dyDescent="0.4">
      <c r="B70" s="58" t="str">
        <f t="shared" si="5"/>
        <v/>
      </c>
      <c r="C70" s="57" t="str">
        <f t="shared" si="7"/>
        <v xml:space="preserve"> </v>
      </c>
      <c r="D70" s="13" t="str">
        <f t="shared" si="8"/>
        <v xml:space="preserve"> </v>
      </c>
      <c r="E70" s="60" t="str">
        <f t="shared" si="4"/>
        <v xml:space="preserve"> </v>
      </c>
      <c r="F70" s="46" t="str">
        <f t="shared" si="9"/>
        <v/>
      </c>
      <c r="G70" s="53" t="str">
        <f t="shared" si="6"/>
        <v/>
      </c>
      <c r="H70" s="19" t="str">
        <f t="shared" si="10"/>
        <v xml:space="preserve"> </v>
      </c>
      <c r="J70">
        <v>201908</v>
      </c>
      <c r="K70" s="56">
        <f>0.1932</f>
        <v>0.19320000000000001</v>
      </c>
    </row>
    <row r="71" spans="2:11" x14ac:dyDescent="0.4">
      <c r="B71" s="58" t="str">
        <f t="shared" si="5"/>
        <v/>
      </c>
      <c r="C71" s="57" t="str">
        <f t="shared" ref="C71:C93" si="11">IFERROR(IF($E$3="Corriente",VLOOKUP(INT(TEXT(B71,"AAAAMM")),$J$6:$K$381,2,0),VLOOKUP(INT(TEXT(B71,"AAAAMM")),$J$6:$K$381,2,0)*1.5)," ")</f>
        <v xml:space="preserve"> </v>
      </c>
      <c r="D71" s="13" t="str">
        <f t="shared" ref="D71:D102" si="12">IFERROR(IF(AND(TEXT(B71,"D")="1",TEXT(H71,"DD")=TEXT(EOMONTH(B71,0),"D")),30,IF(TEXT(H71,"DDMMYYYY")=TEXT($B$3,"DDMMYYYY"),INT(TEXT($B$3,"DD")),H71-B71))," ")</f>
        <v xml:space="preserve"> </v>
      </c>
      <c r="E71" s="60" t="str">
        <f t="shared" si="4"/>
        <v xml:space="preserve"> </v>
      </c>
      <c r="F71" s="46" t="str">
        <f t="shared" ref="F71:F102" si="13">IFERROR(E71*$C$3*D71,"")</f>
        <v/>
      </c>
      <c r="G71" s="53" t="str">
        <f t="shared" si="6"/>
        <v/>
      </c>
      <c r="H71" s="19" t="str">
        <f t="shared" ref="H71:H102" si="14">IFERROR(IF(TEXT(B71,"MMAAA")=TEXT($B$3,"MMAAAA"),$B$3,EOMONTH(B71,0))," ")</f>
        <v xml:space="preserve"> </v>
      </c>
      <c r="J71">
        <v>201907</v>
      </c>
      <c r="K71" s="56">
        <f>0.1928</f>
        <v>0.1928</v>
      </c>
    </row>
    <row r="72" spans="2:11" x14ac:dyDescent="0.4">
      <c r="B72" s="58" t="str">
        <f t="shared" si="5"/>
        <v/>
      </c>
      <c r="C72" s="57" t="str">
        <f t="shared" si="11"/>
        <v xml:space="preserve"> </v>
      </c>
      <c r="D72" s="13" t="str">
        <f t="shared" si="12"/>
        <v xml:space="preserve"> </v>
      </c>
      <c r="E72" s="60" t="str">
        <f t="shared" ref="E72:E135" si="15">IFERROR(C72/12/30," ")</f>
        <v xml:space="preserve"> </v>
      </c>
      <c r="F72" s="46" t="str">
        <f t="shared" si="13"/>
        <v/>
      </c>
      <c r="G72" s="53" t="str">
        <f t="shared" si="6"/>
        <v/>
      </c>
      <c r="H72" s="19" t="str">
        <f t="shared" si="14"/>
        <v xml:space="preserve"> </v>
      </c>
      <c r="J72">
        <v>201906</v>
      </c>
      <c r="K72" s="56">
        <f>0.193</f>
        <v>0.193</v>
      </c>
    </row>
    <row r="73" spans="2:11" x14ac:dyDescent="0.4">
      <c r="B73" s="58" t="str">
        <f t="shared" ref="B73:B136" si="16">IF(EDATE($H$7,ROW()-8)&lt;=$B$3,EDATE($H$7+1,ROW()-8),"")</f>
        <v/>
      </c>
      <c r="C73" s="57" t="str">
        <f t="shared" si="11"/>
        <v xml:space="preserve"> </v>
      </c>
      <c r="D73" s="13" t="str">
        <f t="shared" si="12"/>
        <v xml:space="preserve"> </v>
      </c>
      <c r="E73" s="60" t="str">
        <f t="shared" si="15"/>
        <v xml:space="preserve"> </v>
      </c>
      <c r="F73" s="46" t="str">
        <f t="shared" si="13"/>
        <v/>
      </c>
      <c r="G73" s="53" t="str">
        <f t="shared" ref="G73:G136" si="17">IFERROR(F73+G72,"")</f>
        <v/>
      </c>
      <c r="H73" s="19" t="str">
        <f t="shared" si="14"/>
        <v xml:space="preserve"> </v>
      </c>
      <c r="J73">
        <v>201905</v>
      </c>
      <c r="K73" s="56">
        <f>0.1934</f>
        <v>0.19339999999999999</v>
      </c>
    </row>
    <row r="74" spans="2:11" x14ac:dyDescent="0.4">
      <c r="B74" s="58" t="str">
        <f t="shared" si="16"/>
        <v/>
      </c>
      <c r="C74" s="57" t="str">
        <f t="shared" si="11"/>
        <v xml:space="preserve"> </v>
      </c>
      <c r="D74" s="13" t="str">
        <f t="shared" si="12"/>
        <v xml:space="preserve"> </v>
      </c>
      <c r="E74" s="60" t="str">
        <f t="shared" si="15"/>
        <v xml:space="preserve"> </v>
      </c>
      <c r="F74" s="46" t="str">
        <f t="shared" si="13"/>
        <v/>
      </c>
      <c r="G74" s="53" t="str">
        <f t="shared" si="17"/>
        <v/>
      </c>
      <c r="H74" s="19" t="str">
        <f t="shared" si="14"/>
        <v xml:space="preserve"> </v>
      </c>
      <c r="J74">
        <v>201904</v>
      </c>
      <c r="K74" s="56">
        <f>0.1932</f>
        <v>0.19320000000000001</v>
      </c>
    </row>
    <row r="75" spans="2:11" x14ac:dyDescent="0.4">
      <c r="B75" s="58" t="str">
        <f t="shared" si="16"/>
        <v/>
      </c>
      <c r="C75" s="57" t="str">
        <f t="shared" si="11"/>
        <v xml:space="preserve"> </v>
      </c>
      <c r="D75" s="13" t="str">
        <f t="shared" si="12"/>
        <v xml:space="preserve"> </v>
      </c>
      <c r="E75" s="60" t="str">
        <f t="shared" si="15"/>
        <v xml:space="preserve"> </v>
      </c>
      <c r="F75" s="46" t="str">
        <f t="shared" si="13"/>
        <v/>
      </c>
      <c r="G75" s="53" t="str">
        <f t="shared" si="17"/>
        <v/>
      </c>
      <c r="H75" s="19" t="str">
        <f t="shared" si="14"/>
        <v xml:space="preserve"> </v>
      </c>
      <c r="J75">
        <v>201903</v>
      </c>
      <c r="K75" s="56">
        <f>0.1937</f>
        <v>0.19370000000000001</v>
      </c>
    </row>
    <row r="76" spans="2:11" x14ac:dyDescent="0.4">
      <c r="B76" s="58" t="str">
        <f t="shared" si="16"/>
        <v/>
      </c>
      <c r="C76" s="57" t="str">
        <f t="shared" si="11"/>
        <v xml:space="preserve"> </v>
      </c>
      <c r="D76" s="13" t="str">
        <f t="shared" si="12"/>
        <v xml:space="preserve"> </v>
      </c>
      <c r="E76" s="60" t="str">
        <f t="shared" si="15"/>
        <v xml:space="preserve"> </v>
      </c>
      <c r="F76" s="46" t="str">
        <f t="shared" si="13"/>
        <v/>
      </c>
      <c r="G76" s="53" t="str">
        <f t="shared" si="17"/>
        <v/>
      </c>
      <c r="H76" s="19" t="str">
        <f t="shared" si="14"/>
        <v xml:space="preserve"> </v>
      </c>
      <c r="J76">
        <v>201902</v>
      </c>
      <c r="K76" s="56">
        <f>0.197</f>
        <v>0.19700000000000001</v>
      </c>
    </row>
    <row r="77" spans="2:11" x14ac:dyDescent="0.4">
      <c r="B77" s="58" t="str">
        <f t="shared" si="16"/>
        <v/>
      </c>
      <c r="C77" s="57" t="str">
        <f t="shared" si="11"/>
        <v xml:space="preserve"> </v>
      </c>
      <c r="D77" s="13" t="str">
        <f t="shared" si="12"/>
        <v xml:space="preserve"> </v>
      </c>
      <c r="E77" s="60" t="str">
        <f t="shared" si="15"/>
        <v xml:space="preserve"> </v>
      </c>
      <c r="F77" s="46" t="str">
        <f t="shared" si="13"/>
        <v/>
      </c>
      <c r="G77" s="53" t="str">
        <f t="shared" si="17"/>
        <v/>
      </c>
      <c r="H77" s="19" t="str">
        <f t="shared" si="14"/>
        <v xml:space="preserve"> </v>
      </c>
      <c r="J77">
        <v>201901</v>
      </c>
      <c r="K77" s="56">
        <f>0.1916</f>
        <v>0.19159999999999999</v>
      </c>
    </row>
    <row r="78" spans="2:11" x14ac:dyDescent="0.4">
      <c r="B78" s="58" t="str">
        <f t="shared" si="16"/>
        <v/>
      </c>
      <c r="C78" s="57" t="str">
        <f t="shared" si="11"/>
        <v xml:space="preserve"> </v>
      </c>
      <c r="D78" s="13" t="str">
        <f t="shared" si="12"/>
        <v xml:space="preserve"> </v>
      </c>
      <c r="E78" s="60" t="str">
        <f t="shared" si="15"/>
        <v xml:space="preserve"> </v>
      </c>
      <c r="F78" s="46" t="str">
        <f t="shared" si="13"/>
        <v/>
      </c>
      <c r="G78" s="53" t="str">
        <f t="shared" si="17"/>
        <v/>
      </c>
      <c r="H78" s="19" t="str">
        <f t="shared" si="14"/>
        <v xml:space="preserve"> </v>
      </c>
      <c r="J78">
        <v>201812</v>
      </c>
      <c r="K78" s="56">
        <f>0.194</f>
        <v>0.19400000000000001</v>
      </c>
    </row>
    <row r="79" spans="2:11" x14ac:dyDescent="0.4">
      <c r="B79" s="58" t="str">
        <f t="shared" si="16"/>
        <v/>
      </c>
      <c r="C79" s="57" t="str">
        <f t="shared" si="11"/>
        <v xml:space="preserve"> </v>
      </c>
      <c r="D79" s="13" t="str">
        <f t="shared" si="12"/>
        <v xml:space="preserve"> </v>
      </c>
      <c r="E79" s="60" t="str">
        <f t="shared" si="15"/>
        <v xml:space="preserve"> </v>
      </c>
      <c r="F79" s="46" t="str">
        <f t="shared" si="13"/>
        <v/>
      </c>
      <c r="G79" s="53" t="str">
        <f t="shared" si="17"/>
        <v/>
      </c>
      <c r="H79" s="19" t="str">
        <f t="shared" si="14"/>
        <v xml:space="preserve"> </v>
      </c>
      <c r="J79">
        <v>201811</v>
      </c>
      <c r="K79" s="56">
        <f>0.1949</f>
        <v>0.19489999999999999</v>
      </c>
    </row>
    <row r="80" spans="2:11" x14ac:dyDescent="0.4">
      <c r="B80" s="58" t="str">
        <f t="shared" si="16"/>
        <v/>
      </c>
      <c r="C80" s="57" t="str">
        <f t="shared" si="11"/>
        <v xml:space="preserve"> </v>
      </c>
      <c r="D80" s="13" t="str">
        <f t="shared" si="12"/>
        <v xml:space="preserve"> </v>
      </c>
      <c r="E80" s="60" t="str">
        <f t="shared" si="15"/>
        <v xml:space="preserve"> </v>
      </c>
      <c r="F80" s="46" t="str">
        <f t="shared" si="13"/>
        <v/>
      </c>
      <c r="G80" s="53" t="str">
        <f t="shared" si="17"/>
        <v/>
      </c>
      <c r="H80" s="19" t="str">
        <f t="shared" si="14"/>
        <v xml:space="preserve"> </v>
      </c>
      <c r="J80">
        <v>201810</v>
      </c>
      <c r="K80" s="56">
        <f>0.1963</f>
        <v>0.1963</v>
      </c>
    </row>
    <row r="81" spans="2:11" x14ac:dyDescent="0.4">
      <c r="B81" s="58" t="str">
        <f t="shared" si="16"/>
        <v/>
      </c>
      <c r="C81" s="57" t="str">
        <f t="shared" si="11"/>
        <v xml:space="preserve"> </v>
      </c>
      <c r="D81" s="13" t="str">
        <f t="shared" si="12"/>
        <v xml:space="preserve"> </v>
      </c>
      <c r="E81" s="60" t="str">
        <f t="shared" si="15"/>
        <v xml:space="preserve"> </v>
      </c>
      <c r="F81" s="46" t="str">
        <f t="shared" si="13"/>
        <v/>
      </c>
      <c r="G81" s="53" t="str">
        <f t="shared" si="17"/>
        <v/>
      </c>
      <c r="H81" s="19" t="str">
        <f t="shared" si="14"/>
        <v xml:space="preserve"> </v>
      </c>
      <c r="J81">
        <v>201809</v>
      </c>
      <c r="K81" s="56">
        <f>0.1981</f>
        <v>0.1981</v>
      </c>
    </row>
    <row r="82" spans="2:11" x14ac:dyDescent="0.4">
      <c r="B82" s="58" t="str">
        <f t="shared" si="16"/>
        <v/>
      </c>
      <c r="C82" s="57" t="str">
        <f t="shared" si="11"/>
        <v xml:space="preserve"> </v>
      </c>
      <c r="D82" s="13" t="str">
        <f t="shared" si="12"/>
        <v xml:space="preserve"> </v>
      </c>
      <c r="E82" s="60" t="str">
        <f t="shared" si="15"/>
        <v xml:space="preserve"> </v>
      </c>
      <c r="F82" s="46" t="str">
        <f t="shared" si="13"/>
        <v/>
      </c>
      <c r="G82" s="53" t="str">
        <f t="shared" si="17"/>
        <v/>
      </c>
      <c r="H82" s="19" t="str">
        <f t="shared" si="14"/>
        <v xml:space="preserve"> </v>
      </c>
      <c r="J82">
        <v>201808</v>
      </c>
      <c r="K82" s="56">
        <f>0.1994</f>
        <v>0.19939999999999999</v>
      </c>
    </row>
    <row r="83" spans="2:11" x14ac:dyDescent="0.4">
      <c r="B83" s="58" t="str">
        <f t="shared" si="16"/>
        <v/>
      </c>
      <c r="C83" s="57" t="str">
        <f t="shared" si="11"/>
        <v xml:space="preserve"> </v>
      </c>
      <c r="D83" s="13" t="str">
        <f t="shared" si="12"/>
        <v xml:space="preserve"> </v>
      </c>
      <c r="E83" s="60" t="str">
        <f t="shared" si="15"/>
        <v xml:space="preserve"> </v>
      </c>
      <c r="F83" s="46" t="str">
        <f t="shared" si="13"/>
        <v/>
      </c>
      <c r="G83" s="53" t="str">
        <f t="shared" si="17"/>
        <v/>
      </c>
      <c r="H83" s="19" t="str">
        <f t="shared" si="14"/>
        <v xml:space="preserve"> </v>
      </c>
      <c r="J83">
        <v>201807</v>
      </c>
      <c r="K83" s="56">
        <f>0.2003</f>
        <v>0.20030000000000001</v>
      </c>
    </row>
    <row r="84" spans="2:11" x14ac:dyDescent="0.4">
      <c r="B84" s="58" t="str">
        <f t="shared" si="16"/>
        <v/>
      </c>
      <c r="C84" s="57" t="str">
        <f t="shared" si="11"/>
        <v xml:space="preserve"> </v>
      </c>
      <c r="D84" s="13" t="str">
        <f t="shared" si="12"/>
        <v xml:space="preserve"> </v>
      </c>
      <c r="E84" s="60" t="str">
        <f t="shared" si="15"/>
        <v xml:space="preserve"> </v>
      </c>
      <c r="F84" s="46" t="str">
        <f t="shared" si="13"/>
        <v/>
      </c>
      <c r="G84" s="53" t="str">
        <f t="shared" si="17"/>
        <v/>
      </c>
      <c r="H84" s="19" t="str">
        <f t="shared" si="14"/>
        <v xml:space="preserve"> </v>
      </c>
      <c r="J84">
        <v>201806</v>
      </c>
      <c r="K84" s="56">
        <f>0.2028</f>
        <v>0.20280000000000001</v>
      </c>
    </row>
    <row r="85" spans="2:11" x14ac:dyDescent="0.4">
      <c r="B85" s="58" t="str">
        <f t="shared" si="16"/>
        <v/>
      </c>
      <c r="C85" s="57" t="str">
        <f t="shared" si="11"/>
        <v xml:space="preserve"> </v>
      </c>
      <c r="D85" s="13" t="str">
        <f t="shared" si="12"/>
        <v xml:space="preserve"> </v>
      </c>
      <c r="E85" s="60" t="str">
        <f t="shared" si="15"/>
        <v xml:space="preserve"> </v>
      </c>
      <c r="F85" s="46" t="str">
        <f t="shared" si="13"/>
        <v/>
      </c>
      <c r="G85" s="53" t="str">
        <f t="shared" si="17"/>
        <v/>
      </c>
      <c r="H85" s="19" t="str">
        <f t="shared" si="14"/>
        <v xml:space="preserve"> </v>
      </c>
      <c r="J85">
        <v>201805</v>
      </c>
      <c r="K85" s="56">
        <f>0.2044</f>
        <v>0.2044</v>
      </c>
    </row>
    <row r="86" spans="2:11" x14ac:dyDescent="0.4">
      <c r="B86" s="58" t="str">
        <f t="shared" si="16"/>
        <v/>
      </c>
      <c r="C86" s="57" t="str">
        <f t="shared" si="11"/>
        <v xml:space="preserve"> </v>
      </c>
      <c r="D86" s="13" t="str">
        <f t="shared" si="12"/>
        <v xml:space="preserve"> </v>
      </c>
      <c r="E86" s="60" t="str">
        <f t="shared" si="15"/>
        <v xml:space="preserve"> </v>
      </c>
      <c r="F86" s="46" t="str">
        <f t="shared" si="13"/>
        <v/>
      </c>
      <c r="G86" s="53" t="str">
        <f t="shared" si="17"/>
        <v/>
      </c>
      <c r="H86" s="19" t="str">
        <f t="shared" si="14"/>
        <v xml:space="preserve"> </v>
      </c>
      <c r="J86">
        <v>201804</v>
      </c>
      <c r="K86" s="56">
        <f>0.2048</f>
        <v>0.20480000000000001</v>
      </c>
    </row>
    <row r="87" spans="2:11" x14ac:dyDescent="0.4">
      <c r="B87" s="58" t="str">
        <f t="shared" si="16"/>
        <v/>
      </c>
      <c r="C87" s="57" t="str">
        <f t="shared" si="11"/>
        <v xml:space="preserve"> </v>
      </c>
      <c r="D87" s="13" t="str">
        <f t="shared" si="12"/>
        <v xml:space="preserve"> </v>
      </c>
      <c r="E87" s="60" t="str">
        <f t="shared" si="15"/>
        <v xml:space="preserve"> </v>
      </c>
      <c r="F87" s="46" t="str">
        <f t="shared" si="13"/>
        <v/>
      </c>
      <c r="G87" s="53" t="str">
        <f t="shared" si="17"/>
        <v/>
      </c>
      <c r="H87" s="19" t="str">
        <f t="shared" si="14"/>
        <v xml:space="preserve"> </v>
      </c>
      <c r="J87">
        <v>201803</v>
      </c>
      <c r="K87" s="56">
        <f>0.2068</f>
        <v>0.20680000000000001</v>
      </c>
    </row>
    <row r="88" spans="2:11" x14ac:dyDescent="0.4">
      <c r="B88" s="58" t="str">
        <f t="shared" si="16"/>
        <v/>
      </c>
      <c r="C88" s="57" t="str">
        <f t="shared" si="11"/>
        <v xml:space="preserve"> </v>
      </c>
      <c r="D88" s="13" t="str">
        <f t="shared" si="12"/>
        <v xml:space="preserve"> </v>
      </c>
      <c r="E88" s="60" t="str">
        <f t="shared" si="15"/>
        <v xml:space="preserve"> </v>
      </c>
      <c r="F88" s="46" t="str">
        <f t="shared" si="13"/>
        <v/>
      </c>
      <c r="G88" s="53" t="str">
        <f t="shared" si="17"/>
        <v/>
      </c>
      <c r="H88" s="19" t="str">
        <f t="shared" si="14"/>
        <v xml:space="preserve"> </v>
      </c>
      <c r="J88">
        <v>201802</v>
      </c>
      <c r="K88" s="56">
        <f>0.2101</f>
        <v>0.21010000000000001</v>
      </c>
    </row>
    <row r="89" spans="2:11" x14ac:dyDescent="0.4">
      <c r="B89" s="58" t="str">
        <f t="shared" si="16"/>
        <v/>
      </c>
      <c r="C89" s="57" t="str">
        <f t="shared" si="11"/>
        <v xml:space="preserve"> </v>
      </c>
      <c r="D89" s="13" t="str">
        <f t="shared" si="12"/>
        <v xml:space="preserve"> </v>
      </c>
      <c r="E89" s="60" t="str">
        <f t="shared" si="15"/>
        <v xml:space="preserve"> </v>
      </c>
      <c r="F89" s="46" t="str">
        <f t="shared" si="13"/>
        <v/>
      </c>
      <c r="G89" s="53" t="str">
        <f t="shared" si="17"/>
        <v/>
      </c>
      <c r="H89" s="19" t="str">
        <f t="shared" si="14"/>
        <v xml:space="preserve"> </v>
      </c>
      <c r="J89">
        <v>201801</v>
      </c>
      <c r="K89" s="56">
        <f>0.2069</f>
        <v>0.2069</v>
      </c>
    </row>
    <row r="90" spans="2:11" x14ac:dyDescent="0.4">
      <c r="B90" s="58" t="str">
        <f t="shared" si="16"/>
        <v/>
      </c>
      <c r="C90" s="57" t="str">
        <f t="shared" si="11"/>
        <v xml:space="preserve"> </v>
      </c>
      <c r="D90" s="13" t="str">
        <f t="shared" si="12"/>
        <v xml:space="preserve"> </v>
      </c>
      <c r="E90" s="60" t="str">
        <f t="shared" si="15"/>
        <v xml:space="preserve"> </v>
      </c>
      <c r="F90" s="46" t="str">
        <f t="shared" si="13"/>
        <v/>
      </c>
      <c r="G90" s="53" t="str">
        <f t="shared" si="17"/>
        <v/>
      </c>
      <c r="H90" s="19" t="str">
        <f t="shared" si="14"/>
        <v xml:space="preserve"> </v>
      </c>
      <c r="J90">
        <v>201712</v>
      </c>
      <c r="K90" s="56">
        <f>0.2077</f>
        <v>0.2077</v>
      </c>
    </row>
    <row r="91" spans="2:11" x14ac:dyDescent="0.4">
      <c r="B91" s="58" t="str">
        <f t="shared" si="16"/>
        <v/>
      </c>
      <c r="C91" s="57" t="str">
        <f t="shared" si="11"/>
        <v xml:space="preserve"> </v>
      </c>
      <c r="D91" s="13" t="str">
        <f t="shared" si="12"/>
        <v xml:space="preserve"> </v>
      </c>
      <c r="E91" s="60" t="str">
        <f t="shared" si="15"/>
        <v xml:space="preserve"> </v>
      </c>
      <c r="F91" s="46" t="str">
        <f t="shared" si="13"/>
        <v/>
      </c>
      <c r="G91" s="53" t="str">
        <f t="shared" si="17"/>
        <v/>
      </c>
      <c r="H91" s="19" t="str">
        <f t="shared" si="14"/>
        <v xml:space="preserve"> </v>
      </c>
      <c r="J91">
        <v>201711</v>
      </c>
      <c r="K91" s="56">
        <f>0.2096</f>
        <v>0.20960000000000001</v>
      </c>
    </row>
    <row r="92" spans="2:11" x14ac:dyDescent="0.4">
      <c r="B92" s="58" t="str">
        <f t="shared" si="16"/>
        <v/>
      </c>
      <c r="C92" s="57" t="str">
        <f t="shared" si="11"/>
        <v xml:space="preserve"> </v>
      </c>
      <c r="D92" s="13" t="str">
        <f t="shared" si="12"/>
        <v xml:space="preserve"> </v>
      </c>
      <c r="E92" s="60" t="str">
        <f t="shared" si="15"/>
        <v xml:space="preserve"> </v>
      </c>
      <c r="F92" s="46" t="str">
        <f t="shared" si="13"/>
        <v/>
      </c>
      <c r="G92" s="53" t="str">
        <f t="shared" si="17"/>
        <v/>
      </c>
      <c r="H92" s="19" t="str">
        <f t="shared" si="14"/>
        <v xml:space="preserve"> </v>
      </c>
      <c r="J92">
        <v>201710</v>
      </c>
      <c r="K92" s="56">
        <f>0.2115</f>
        <v>0.21149999999999999</v>
      </c>
    </row>
    <row r="93" spans="2:11" x14ac:dyDescent="0.4">
      <c r="B93" s="58" t="str">
        <f t="shared" si="16"/>
        <v/>
      </c>
      <c r="C93" s="57" t="str">
        <f t="shared" si="11"/>
        <v xml:space="preserve"> </v>
      </c>
      <c r="D93" s="13" t="str">
        <f t="shared" si="12"/>
        <v xml:space="preserve"> </v>
      </c>
      <c r="E93" s="60" t="str">
        <f t="shared" si="15"/>
        <v xml:space="preserve"> </v>
      </c>
      <c r="F93" s="46" t="str">
        <f t="shared" si="13"/>
        <v/>
      </c>
      <c r="G93" s="53" t="str">
        <f t="shared" si="17"/>
        <v/>
      </c>
      <c r="H93" s="19" t="str">
        <f t="shared" si="14"/>
        <v xml:space="preserve"> </v>
      </c>
      <c r="J93">
        <v>201709</v>
      </c>
      <c r="K93" s="56">
        <f>0.2148</f>
        <v>0.21479999999999999</v>
      </c>
    </row>
    <row r="94" spans="2:11" x14ac:dyDescent="0.4">
      <c r="B94" s="58" t="str">
        <f t="shared" si="16"/>
        <v/>
      </c>
      <c r="C94" s="57"/>
      <c r="D94" s="13" t="str">
        <f t="shared" si="12"/>
        <v xml:space="preserve"> </v>
      </c>
      <c r="E94" s="60">
        <f t="shared" si="15"/>
        <v>0</v>
      </c>
      <c r="F94" s="46" t="str">
        <f t="shared" si="13"/>
        <v/>
      </c>
      <c r="G94" s="53" t="str">
        <f t="shared" si="17"/>
        <v/>
      </c>
      <c r="H94" s="19" t="str">
        <f t="shared" si="14"/>
        <v xml:space="preserve"> </v>
      </c>
      <c r="J94">
        <v>201708</v>
      </c>
      <c r="K94" s="56">
        <f>0.2198</f>
        <v>0.2198</v>
      </c>
    </row>
    <row r="95" spans="2:11" x14ac:dyDescent="0.4">
      <c r="B95" s="58" t="str">
        <f t="shared" si="16"/>
        <v/>
      </c>
      <c r="C95" s="57" t="str">
        <f t="shared" ref="C95:C126" si="18">IFERROR(IF($E$3="Corriente",VLOOKUP(INT(TEXT(B95,"AAAAMM")),$J$6:$K$381,2,0),VLOOKUP(INT(TEXT(B95,"AAAAMM")),$J$6:$K$381,2,0)*1.5)," ")</f>
        <v xml:space="preserve"> </v>
      </c>
      <c r="D95" s="13" t="str">
        <f t="shared" si="12"/>
        <v xml:space="preserve"> </v>
      </c>
      <c r="E95" s="60" t="str">
        <f t="shared" si="15"/>
        <v xml:space="preserve"> </v>
      </c>
      <c r="F95" s="46" t="str">
        <f t="shared" si="13"/>
        <v/>
      </c>
      <c r="G95" s="53" t="str">
        <f t="shared" si="17"/>
        <v/>
      </c>
      <c r="H95" s="19" t="str">
        <f t="shared" si="14"/>
        <v xml:space="preserve"> </v>
      </c>
      <c r="J95">
        <v>201707</v>
      </c>
      <c r="K95" s="56">
        <f>0.2198</f>
        <v>0.2198</v>
      </c>
    </row>
    <row r="96" spans="2:11" x14ac:dyDescent="0.4">
      <c r="B96" s="58" t="str">
        <f t="shared" si="16"/>
        <v/>
      </c>
      <c r="C96" s="57" t="str">
        <f t="shared" si="18"/>
        <v xml:space="preserve"> </v>
      </c>
      <c r="D96" s="13" t="str">
        <f t="shared" si="12"/>
        <v xml:space="preserve"> </v>
      </c>
      <c r="E96" s="60" t="str">
        <f t="shared" si="15"/>
        <v xml:space="preserve"> </v>
      </c>
      <c r="F96" s="46" t="str">
        <f t="shared" si="13"/>
        <v/>
      </c>
      <c r="G96" s="53" t="str">
        <f t="shared" si="17"/>
        <v/>
      </c>
      <c r="H96" s="19" t="str">
        <f t="shared" si="14"/>
        <v xml:space="preserve"> </v>
      </c>
      <c r="J96">
        <v>201706</v>
      </c>
      <c r="K96" s="56">
        <f>0.2233</f>
        <v>0.2233</v>
      </c>
    </row>
    <row r="97" spans="2:11" x14ac:dyDescent="0.4">
      <c r="B97" s="58" t="str">
        <f t="shared" si="16"/>
        <v/>
      </c>
      <c r="C97" s="57" t="str">
        <f t="shared" si="18"/>
        <v xml:space="preserve"> </v>
      </c>
      <c r="D97" s="13" t="str">
        <f t="shared" si="12"/>
        <v xml:space="preserve"> </v>
      </c>
      <c r="E97" s="60" t="str">
        <f t="shared" si="15"/>
        <v xml:space="preserve"> </v>
      </c>
      <c r="F97" s="46" t="str">
        <f t="shared" si="13"/>
        <v/>
      </c>
      <c r="G97" s="53" t="str">
        <f t="shared" si="17"/>
        <v/>
      </c>
      <c r="H97" s="19" t="str">
        <f t="shared" si="14"/>
        <v xml:space="preserve"> </v>
      </c>
      <c r="J97">
        <v>201705</v>
      </c>
      <c r="K97" s="56">
        <f>0.2233</f>
        <v>0.2233</v>
      </c>
    </row>
    <row r="98" spans="2:11" x14ac:dyDescent="0.4">
      <c r="B98" s="58" t="str">
        <f t="shared" si="16"/>
        <v/>
      </c>
      <c r="C98" s="57" t="str">
        <f t="shared" si="18"/>
        <v xml:space="preserve"> </v>
      </c>
      <c r="D98" s="13" t="str">
        <f t="shared" si="12"/>
        <v xml:space="preserve"> </v>
      </c>
      <c r="E98" s="60" t="str">
        <f t="shared" si="15"/>
        <v xml:space="preserve"> </v>
      </c>
      <c r="F98" s="46" t="str">
        <f t="shared" si="13"/>
        <v/>
      </c>
      <c r="G98" s="53" t="str">
        <f t="shared" si="17"/>
        <v/>
      </c>
      <c r="H98" s="19" t="str">
        <f t="shared" si="14"/>
        <v xml:space="preserve"> </v>
      </c>
      <c r="J98">
        <v>201704</v>
      </c>
      <c r="K98" s="56">
        <f>0.2233</f>
        <v>0.2233</v>
      </c>
    </row>
    <row r="99" spans="2:11" x14ac:dyDescent="0.4">
      <c r="B99" s="58" t="str">
        <f t="shared" si="16"/>
        <v/>
      </c>
      <c r="C99" s="57" t="str">
        <f t="shared" si="18"/>
        <v xml:space="preserve"> </v>
      </c>
      <c r="D99" s="13" t="str">
        <f t="shared" si="12"/>
        <v xml:space="preserve"> </v>
      </c>
      <c r="E99" s="60" t="str">
        <f t="shared" si="15"/>
        <v xml:space="preserve"> </v>
      </c>
      <c r="F99" s="46" t="str">
        <f t="shared" si="13"/>
        <v/>
      </c>
      <c r="G99" s="53" t="str">
        <f t="shared" si="17"/>
        <v/>
      </c>
      <c r="H99" s="19" t="str">
        <f t="shared" si="14"/>
        <v xml:space="preserve"> </v>
      </c>
      <c r="J99">
        <v>201703</v>
      </c>
      <c r="K99" s="56">
        <f>0.2234</f>
        <v>0.22339999999999999</v>
      </c>
    </row>
    <row r="100" spans="2:11" x14ac:dyDescent="0.4">
      <c r="B100" s="58" t="str">
        <f t="shared" si="16"/>
        <v/>
      </c>
      <c r="C100" s="57" t="str">
        <f t="shared" si="18"/>
        <v xml:space="preserve"> </v>
      </c>
      <c r="D100" s="13" t="str">
        <f t="shared" si="12"/>
        <v xml:space="preserve"> </v>
      </c>
      <c r="E100" s="60" t="str">
        <f t="shared" si="15"/>
        <v xml:space="preserve"> </v>
      </c>
      <c r="F100" s="46" t="str">
        <f t="shared" si="13"/>
        <v/>
      </c>
      <c r="G100" s="53" t="str">
        <f t="shared" si="17"/>
        <v/>
      </c>
      <c r="H100" s="19" t="str">
        <f t="shared" si="14"/>
        <v xml:space="preserve"> </v>
      </c>
      <c r="J100">
        <v>201702</v>
      </c>
      <c r="K100" s="56">
        <f>0.2234</f>
        <v>0.22339999999999999</v>
      </c>
    </row>
    <row r="101" spans="2:11" x14ac:dyDescent="0.4">
      <c r="B101" s="58" t="str">
        <f t="shared" si="16"/>
        <v/>
      </c>
      <c r="C101" s="57" t="str">
        <f t="shared" si="18"/>
        <v xml:space="preserve"> </v>
      </c>
      <c r="D101" s="13" t="str">
        <f t="shared" si="12"/>
        <v xml:space="preserve"> </v>
      </c>
      <c r="E101" s="60" t="str">
        <f t="shared" si="15"/>
        <v xml:space="preserve"> </v>
      </c>
      <c r="F101" s="46" t="str">
        <f t="shared" si="13"/>
        <v/>
      </c>
      <c r="G101" s="53" t="str">
        <f t="shared" si="17"/>
        <v/>
      </c>
      <c r="H101" s="19" t="str">
        <f t="shared" si="14"/>
        <v xml:space="preserve"> </v>
      </c>
      <c r="J101">
        <v>201701</v>
      </c>
      <c r="K101" s="56">
        <f>0.2234</f>
        <v>0.22339999999999999</v>
      </c>
    </row>
    <row r="102" spans="2:11" x14ac:dyDescent="0.4">
      <c r="B102" s="58" t="str">
        <f t="shared" si="16"/>
        <v/>
      </c>
      <c r="C102" s="57" t="str">
        <f t="shared" si="18"/>
        <v xml:space="preserve"> </v>
      </c>
      <c r="D102" s="13" t="str">
        <f t="shared" si="12"/>
        <v xml:space="preserve"> </v>
      </c>
      <c r="E102" s="60" t="str">
        <f t="shared" si="15"/>
        <v xml:space="preserve"> </v>
      </c>
      <c r="F102" s="46" t="str">
        <f t="shared" si="13"/>
        <v/>
      </c>
      <c r="G102" s="53" t="str">
        <f t="shared" si="17"/>
        <v/>
      </c>
      <c r="H102" s="19" t="str">
        <f t="shared" si="14"/>
        <v xml:space="preserve"> </v>
      </c>
      <c r="J102">
        <v>201612</v>
      </c>
      <c r="K102" s="56">
        <f>0.2199</f>
        <v>0.21990000000000001</v>
      </c>
    </row>
    <row r="103" spans="2:11" x14ac:dyDescent="0.4">
      <c r="B103" s="58" t="str">
        <f t="shared" si="16"/>
        <v/>
      </c>
      <c r="C103" s="57" t="str">
        <f t="shared" si="18"/>
        <v xml:space="preserve"> </v>
      </c>
      <c r="D103" s="13" t="str">
        <f t="shared" ref="D103:D134" si="19">IFERROR(IF(AND(TEXT(B103,"D")="1",TEXT(H103,"DD")=TEXT(EOMONTH(B103,0),"D")),30,IF(TEXT(H103,"DDMMYYYY")=TEXT($B$3,"DDMMYYYY"),INT(TEXT($B$3,"DD")),H103-B103))," ")</f>
        <v xml:space="preserve"> </v>
      </c>
      <c r="E103" s="60" t="str">
        <f t="shared" si="15"/>
        <v xml:space="preserve"> </v>
      </c>
      <c r="F103" s="46" t="str">
        <f t="shared" ref="F103:F134" si="20">IFERROR(E103*$C$3*D103,"")</f>
        <v/>
      </c>
      <c r="G103" s="53" t="str">
        <f t="shared" si="17"/>
        <v/>
      </c>
      <c r="H103" s="19" t="str">
        <f t="shared" ref="H103:H134" si="21">IFERROR(IF(TEXT(B103,"MMAAA")=TEXT($B$3,"MMAAAA"),$B$3,EOMONTH(B103,0))," ")</f>
        <v xml:space="preserve"> </v>
      </c>
      <c r="J103">
        <v>201611</v>
      </c>
      <c r="K103" s="56">
        <f>0.2199</f>
        <v>0.21990000000000001</v>
      </c>
    </row>
    <row r="104" spans="2:11" x14ac:dyDescent="0.4">
      <c r="B104" s="58" t="str">
        <f t="shared" si="16"/>
        <v/>
      </c>
      <c r="C104" s="57" t="str">
        <f t="shared" si="18"/>
        <v xml:space="preserve"> </v>
      </c>
      <c r="D104" s="13" t="str">
        <f t="shared" si="19"/>
        <v xml:space="preserve"> </v>
      </c>
      <c r="E104" s="60" t="str">
        <f t="shared" si="15"/>
        <v xml:space="preserve"> </v>
      </c>
      <c r="F104" s="46" t="str">
        <f t="shared" si="20"/>
        <v/>
      </c>
      <c r="G104" s="53" t="str">
        <f t="shared" si="17"/>
        <v/>
      </c>
      <c r="H104" s="19" t="str">
        <f t="shared" si="21"/>
        <v xml:space="preserve"> </v>
      </c>
      <c r="J104">
        <v>201610</v>
      </c>
      <c r="K104" s="56">
        <f>0.2199</f>
        <v>0.21990000000000001</v>
      </c>
    </row>
    <row r="105" spans="2:11" x14ac:dyDescent="0.4">
      <c r="B105" s="58" t="str">
        <f t="shared" si="16"/>
        <v/>
      </c>
      <c r="C105" s="57" t="str">
        <f t="shared" si="18"/>
        <v xml:space="preserve"> </v>
      </c>
      <c r="D105" s="13" t="str">
        <f t="shared" si="19"/>
        <v xml:space="preserve"> </v>
      </c>
      <c r="E105" s="60" t="str">
        <f t="shared" si="15"/>
        <v xml:space="preserve"> </v>
      </c>
      <c r="F105" s="46" t="str">
        <f t="shared" si="20"/>
        <v/>
      </c>
      <c r="G105" s="53" t="str">
        <f t="shared" si="17"/>
        <v/>
      </c>
      <c r="H105" s="19" t="str">
        <f t="shared" si="21"/>
        <v xml:space="preserve"> </v>
      </c>
    </row>
    <row r="106" spans="2:11" x14ac:dyDescent="0.4">
      <c r="B106" s="58" t="str">
        <f t="shared" si="16"/>
        <v/>
      </c>
      <c r="C106" s="57" t="str">
        <f t="shared" si="18"/>
        <v xml:space="preserve"> </v>
      </c>
      <c r="D106" s="13" t="str">
        <f t="shared" si="19"/>
        <v xml:space="preserve"> </v>
      </c>
      <c r="E106" s="60" t="str">
        <f t="shared" si="15"/>
        <v xml:space="preserve"> </v>
      </c>
      <c r="F106" s="46" t="str">
        <f t="shared" si="20"/>
        <v/>
      </c>
      <c r="G106" s="53" t="str">
        <f t="shared" si="17"/>
        <v/>
      </c>
      <c r="H106" s="19" t="str">
        <f t="shared" si="21"/>
        <v xml:space="preserve"> </v>
      </c>
    </row>
    <row r="107" spans="2:11" x14ac:dyDescent="0.4">
      <c r="B107" s="58" t="str">
        <f t="shared" si="16"/>
        <v/>
      </c>
      <c r="C107" s="57" t="str">
        <f t="shared" si="18"/>
        <v xml:space="preserve"> </v>
      </c>
      <c r="D107" s="13" t="str">
        <f t="shared" si="19"/>
        <v xml:space="preserve"> </v>
      </c>
      <c r="E107" s="60" t="str">
        <f t="shared" si="15"/>
        <v xml:space="preserve"> </v>
      </c>
      <c r="F107" s="46" t="str">
        <f t="shared" si="20"/>
        <v/>
      </c>
      <c r="G107" s="53" t="str">
        <f t="shared" si="17"/>
        <v/>
      </c>
      <c r="H107" s="19" t="str">
        <f t="shared" si="21"/>
        <v xml:space="preserve"> </v>
      </c>
    </row>
    <row r="108" spans="2:11" x14ac:dyDescent="0.4">
      <c r="B108" s="58" t="str">
        <f t="shared" si="16"/>
        <v/>
      </c>
      <c r="C108" s="57" t="str">
        <f t="shared" si="18"/>
        <v xml:space="preserve"> </v>
      </c>
      <c r="D108" s="13" t="str">
        <f t="shared" si="19"/>
        <v xml:space="preserve"> </v>
      </c>
      <c r="E108" s="60" t="str">
        <f t="shared" si="15"/>
        <v xml:space="preserve"> </v>
      </c>
      <c r="F108" s="46" t="str">
        <f t="shared" si="20"/>
        <v/>
      </c>
      <c r="G108" s="53" t="str">
        <f t="shared" si="17"/>
        <v/>
      </c>
      <c r="H108" s="19" t="str">
        <f t="shared" si="21"/>
        <v xml:space="preserve"> </v>
      </c>
    </row>
    <row r="109" spans="2:11" x14ac:dyDescent="0.4">
      <c r="B109" s="58" t="str">
        <f t="shared" si="16"/>
        <v/>
      </c>
      <c r="C109" s="57" t="str">
        <f t="shared" si="18"/>
        <v xml:space="preserve"> </v>
      </c>
      <c r="D109" s="13" t="str">
        <f t="shared" si="19"/>
        <v xml:space="preserve"> </v>
      </c>
      <c r="E109" s="60" t="str">
        <f t="shared" si="15"/>
        <v xml:space="preserve"> </v>
      </c>
      <c r="F109" s="46" t="str">
        <f t="shared" si="20"/>
        <v/>
      </c>
      <c r="G109" s="53" t="str">
        <f t="shared" si="17"/>
        <v/>
      </c>
      <c r="H109" s="19" t="str">
        <f t="shared" si="21"/>
        <v xml:space="preserve"> </v>
      </c>
    </row>
    <row r="110" spans="2:11" x14ac:dyDescent="0.4">
      <c r="B110" s="58" t="str">
        <f t="shared" si="16"/>
        <v/>
      </c>
      <c r="C110" s="57" t="str">
        <f t="shared" si="18"/>
        <v xml:space="preserve"> </v>
      </c>
      <c r="D110" s="13" t="str">
        <f t="shared" si="19"/>
        <v xml:space="preserve"> </v>
      </c>
      <c r="E110" s="60" t="str">
        <f t="shared" si="15"/>
        <v xml:space="preserve"> </v>
      </c>
      <c r="F110" s="46" t="str">
        <f t="shared" si="20"/>
        <v/>
      </c>
      <c r="G110" s="53" t="str">
        <f t="shared" si="17"/>
        <v/>
      </c>
      <c r="H110" s="19" t="str">
        <f t="shared" si="21"/>
        <v xml:space="preserve"> </v>
      </c>
    </row>
    <row r="111" spans="2:11" x14ac:dyDescent="0.4">
      <c r="B111" s="58" t="str">
        <f t="shared" si="16"/>
        <v/>
      </c>
      <c r="C111" s="57" t="str">
        <f t="shared" si="18"/>
        <v xml:space="preserve"> </v>
      </c>
      <c r="D111" s="13" t="str">
        <f t="shared" si="19"/>
        <v xml:space="preserve"> </v>
      </c>
      <c r="E111" s="60" t="str">
        <f t="shared" si="15"/>
        <v xml:space="preserve"> </v>
      </c>
      <c r="F111" s="46" t="str">
        <f t="shared" si="20"/>
        <v/>
      </c>
      <c r="G111" s="53" t="str">
        <f t="shared" si="17"/>
        <v/>
      </c>
      <c r="H111" s="19" t="str">
        <f t="shared" si="21"/>
        <v xml:space="preserve"> </v>
      </c>
    </row>
    <row r="112" spans="2:11" x14ac:dyDescent="0.4">
      <c r="B112" s="58" t="str">
        <f t="shared" si="16"/>
        <v/>
      </c>
      <c r="C112" s="57" t="str">
        <f t="shared" si="18"/>
        <v xml:space="preserve"> </v>
      </c>
      <c r="D112" s="13" t="str">
        <f t="shared" si="19"/>
        <v xml:space="preserve"> </v>
      </c>
      <c r="E112" s="60" t="str">
        <f t="shared" si="15"/>
        <v xml:space="preserve"> </v>
      </c>
      <c r="F112" s="46" t="str">
        <f t="shared" si="20"/>
        <v/>
      </c>
      <c r="G112" s="53" t="str">
        <f t="shared" si="17"/>
        <v/>
      </c>
      <c r="H112" s="19" t="str">
        <f t="shared" si="21"/>
        <v xml:space="preserve"> </v>
      </c>
    </row>
    <row r="113" spans="2:11" x14ac:dyDescent="0.4">
      <c r="B113" s="58" t="str">
        <f t="shared" si="16"/>
        <v/>
      </c>
      <c r="C113" s="57" t="str">
        <f t="shared" si="18"/>
        <v xml:space="preserve"> </v>
      </c>
      <c r="D113" s="13" t="str">
        <f t="shared" si="19"/>
        <v xml:space="preserve"> </v>
      </c>
      <c r="E113" s="60" t="str">
        <f t="shared" si="15"/>
        <v xml:space="preserve"> </v>
      </c>
      <c r="F113" s="46" t="str">
        <f t="shared" si="20"/>
        <v/>
      </c>
      <c r="G113" s="53" t="str">
        <f t="shared" si="17"/>
        <v/>
      </c>
      <c r="H113" s="19" t="str">
        <f t="shared" si="21"/>
        <v xml:space="preserve"> </v>
      </c>
    </row>
    <row r="114" spans="2:11" x14ac:dyDescent="0.4">
      <c r="B114" s="58" t="str">
        <f t="shared" si="16"/>
        <v/>
      </c>
      <c r="C114" s="57" t="str">
        <f t="shared" si="18"/>
        <v xml:space="preserve"> </v>
      </c>
      <c r="D114" s="13" t="str">
        <f t="shared" si="19"/>
        <v xml:space="preserve"> </v>
      </c>
      <c r="E114" s="60" t="str">
        <f t="shared" si="15"/>
        <v xml:space="preserve"> </v>
      </c>
      <c r="F114" s="46" t="str">
        <f t="shared" si="20"/>
        <v/>
      </c>
      <c r="G114" s="53" t="str">
        <f t="shared" si="17"/>
        <v/>
      </c>
      <c r="H114" s="19" t="str">
        <f t="shared" si="21"/>
        <v xml:space="preserve"> </v>
      </c>
    </row>
    <row r="115" spans="2:11" x14ac:dyDescent="0.4">
      <c r="B115" s="58" t="str">
        <f t="shared" si="16"/>
        <v/>
      </c>
      <c r="C115" s="57" t="str">
        <f t="shared" si="18"/>
        <v xml:space="preserve"> </v>
      </c>
      <c r="D115" s="13" t="str">
        <f t="shared" si="19"/>
        <v xml:space="preserve"> </v>
      </c>
      <c r="E115" s="60" t="str">
        <f t="shared" si="15"/>
        <v xml:space="preserve"> </v>
      </c>
      <c r="F115" s="46" t="str">
        <f t="shared" si="20"/>
        <v/>
      </c>
      <c r="G115" s="53" t="str">
        <f t="shared" si="17"/>
        <v/>
      </c>
      <c r="H115" s="19" t="str">
        <f t="shared" si="21"/>
        <v xml:space="preserve"> </v>
      </c>
    </row>
    <row r="116" spans="2:11" x14ac:dyDescent="0.4">
      <c r="B116" s="58" t="str">
        <f t="shared" si="16"/>
        <v/>
      </c>
      <c r="C116" s="57" t="str">
        <f t="shared" si="18"/>
        <v xml:space="preserve"> </v>
      </c>
      <c r="D116" s="13" t="str">
        <f t="shared" si="19"/>
        <v xml:space="preserve"> </v>
      </c>
      <c r="E116" s="60" t="str">
        <f t="shared" si="15"/>
        <v xml:space="preserve"> </v>
      </c>
      <c r="F116" s="46" t="str">
        <f t="shared" si="20"/>
        <v/>
      </c>
      <c r="G116" s="53" t="str">
        <f t="shared" si="17"/>
        <v/>
      </c>
      <c r="H116" s="19" t="str">
        <f t="shared" si="21"/>
        <v xml:space="preserve"> </v>
      </c>
    </row>
    <row r="117" spans="2:11" x14ac:dyDescent="0.4">
      <c r="B117" s="58" t="str">
        <f t="shared" si="16"/>
        <v/>
      </c>
      <c r="C117" s="57" t="str">
        <f t="shared" si="18"/>
        <v xml:space="preserve"> </v>
      </c>
      <c r="D117" s="13" t="str">
        <f t="shared" si="19"/>
        <v xml:space="preserve"> </v>
      </c>
      <c r="E117" s="60" t="str">
        <f t="shared" si="15"/>
        <v xml:space="preserve"> </v>
      </c>
      <c r="F117" s="46" t="str">
        <f t="shared" si="20"/>
        <v/>
      </c>
      <c r="G117" s="53" t="str">
        <f t="shared" si="17"/>
        <v/>
      </c>
      <c r="H117" s="19" t="str">
        <f t="shared" si="21"/>
        <v xml:space="preserve"> </v>
      </c>
    </row>
    <row r="118" spans="2:11" x14ac:dyDescent="0.4">
      <c r="B118" s="58" t="str">
        <f t="shared" si="16"/>
        <v/>
      </c>
      <c r="C118" s="57" t="str">
        <f t="shared" si="18"/>
        <v xml:space="preserve"> </v>
      </c>
      <c r="D118" s="13" t="str">
        <f t="shared" si="19"/>
        <v xml:space="preserve"> </v>
      </c>
      <c r="E118" s="60" t="str">
        <f t="shared" si="15"/>
        <v xml:space="preserve"> </v>
      </c>
      <c r="F118" s="46" t="str">
        <f t="shared" si="20"/>
        <v/>
      </c>
      <c r="G118" s="53" t="str">
        <f t="shared" si="17"/>
        <v/>
      </c>
      <c r="H118" s="19" t="str">
        <f t="shared" si="21"/>
        <v xml:space="preserve"> </v>
      </c>
    </row>
    <row r="119" spans="2:11" x14ac:dyDescent="0.4">
      <c r="B119" s="58" t="str">
        <f t="shared" si="16"/>
        <v/>
      </c>
      <c r="C119" s="57" t="str">
        <f t="shared" si="18"/>
        <v xml:space="preserve"> </v>
      </c>
      <c r="D119" s="13" t="str">
        <f t="shared" si="19"/>
        <v xml:space="preserve"> </v>
      </c>
      <c r="E119" s="60" t="str">
        <f t="shared" si="15"/>
        <v xml:space="preserve"> </v>
      </c>
      <c r="F119" s="46" t="str">
        <f t="shared" si="20"/>
        <v/>
      </c>
      <c r="G119" s="53" t="str">
        <f t="shared" si="17"/>
        <v/>
      </c>
      <c r="H119" s="19" t="str">
        <f t="shared" si="21"/>
        <v xml:space="preserve"> </v>
      </c>
    </row>
    <row r="120" spans="2:11" x14ac:dyDescent="0.4">
      <c r="B120" s="58" t="str">
        <f t="shared" si="16"/>
        <v/>
      </c>
      <c r="C120" s="57" t="str">
        <f t="shared" si="18"/>
        <v xml:space="preserve"> </v>
      </c>
      <c r="D120" s="13" t="str">
        <f t="shared" si="19"/>
        <v xml:space="preserve"> </v>
      </c>
      <c r="E120" s="60" t="str">
        <f t="shared" si="15"/>
        <v xml:space="preserve"> </v>
      </c>
      <c r="F120" s="46" t="str">
        <f t="shared" si="20"/>
        <v/>
      </c>
      <c r="G120" s="53" t="str">
        <f t="shared" si="17"/>
        <v/>
      </c>
      <c r="H120" s="19" t="str">
        <f t="shared" si="21"/>
        <v xml:space="preserve"> </v>
      </c>
    </row>
    <row r="121" spans="2:11" x14ac:dyDescent="0.4">
      <c r="B121" s="58" t="str">
        <f t="shared" si="16"/>
        <v/>
      </c>
      <c r="C121" s="57" t="str">
        <f t="shared" si="18"/>
        <v xml:space="preserve"> </v>
      </c>
      <c r="D121" s="13" t="str">
        <f t="shared" si="19"/>
        <v xml:space="preserve"> </v>
      </c>
      <c r="E121" s="60" t="str">
        <f t="shared" si="15"/>
        <v xml:space="preserve"> </v>
      </c>
      <c r="F121" s="46" t="str">
        <f t="shared" si="20"/>
        <v/>
      </c>
      <c r="G121" s="53" t="str">
        <f t="shared" si="17"/>
        <v/>
      </c>
      <c r="H121" s="19" t="str">
        <f t="shared" si="21"/>
        <v xml:space="preserve"> </v>
      </c>
    </row>
    <row r="122" spans="2:11" x14ac:dyDescent="0.4">
      <c r="B122" s="58" t="str">
        <f t="shared" si="16"/>
        <v/>
      </c>
      <c r="C122" s="57" t="str">
        <f t="shared" si="18"/>
        <v xml:space="preserve"> </v>
      </c>
      <c r="D122" s="13" t="str">
        <f t="shared" si="19"/>
        <v xml:space="preserve"> </v>
      </c>
      <c r="E122" s="60" t="str">
        <f t="shared" si="15"/>
        <v xml:space="preserve"> </v>
      </c>
      <c r="F122" s="46" t="str">
        <f t="shared" si="20"/>
        <v/>
      </c>
      <c r="G122" s="53" t="str">
        <f t="shared" si="17"/>
        <v/>
      </c>
      <c r="H122" s="19" t="str">
        <f t="shared" si="21"/>
        <v xml:space="preserve"> </v>
      </c>
    </row>
    <row r="123" spans="2:11" x14ac:dyDescent="0.4">
      <c r="B123" s="58" t="str">
        <f t="shared" si="16"/>
        <v/>
      </c>
      <c r="C123" s="57" t="str">
        <f t="shared" si="18"/>
        <v xml:space="preserve"> </v>
      </c>
      <c r="D123" s="13" t="str">
        <f t="shared" si="19"/>
        <v xml:space="preserve"> </v>
      </c>
      <c r="E123" s="60" t="str">
        <f t="shared" si="15"/>
        <v xml:space="preserve"> </v>
      </c>
      <c r="F123" s="46" t="str">
        <f t="shared" si="20"/>
        <v/>
      </c>
      <c r="G123" s="53" t="str">
        <f t="shared" si="17"/>
        <v/>
      </c>
      <c r="H123" s="19" t="str">
        <f t="shared" si="21"/>
        <v xml:space="preserve"> </v>
      </c>
    </row>
    <row r="124" spans="2:11" ht="29.25" customHeight="1" x14ac:dyDescent="0.4">
      <c r="B124" s="58" t="str">
        <f t="shared" si="16"/>
        <v/>
      </c>
      <c r="C124" s="57" t="str">
        <f t="shared" si="18"/>
        <v xml:space="preserve"> </v>
      </c>
      <c r="D124" s="13" t="str">
        <f t="shared" si="19"/>
        <v xml:space="preserve"> </v>
      </c>
      <c r="E124" s="60" t="str">
        <f t="shared" si="15"/>
        <v xml:space="preserve"> </v>
      </c>
      <c r="F124" s="46" t="str">
        <f t="shared" si="20"/>
        <v/>
      </c>
      <c r="G124" s="53" t="str">
        <f t="shared" si="17"/>
        <v/>
      </c>
      <c r="H124" s="19" t="str">
        <f t="shared" si="21"/>
        <v xml:space="preserve"> </v>
      </c>
    </row>
    <row r="125" spans="2:11" hidden="1" x14ac:dyDescent="0.4">
      <c r="B125" s="58" t="str">
        <f t="shared" si="16"/>
        <v/>
      </c>
      <c r="C125" s="57" t="str">
        <f t="shared" si="18"/>
        <v xml:space="preserve"> </v>
      </c>
      <c r="D125" s="13" t="str">
        <f t="shared" si="19"/>
        <v xml:space="preserve"> </v>
      </c>
      <c r="E125" s="60" t="str">
        <f t="shared" si="15"/>
        <v xml:space="preserve"> </v>
      </c>
      <c r="F125" s="46" t="str">
        <f t="shared" si="20"/>
        <v/>
      </c>
      <c r="G125" s="53" t="str">
        <f t="shared" si="17"/>
        <v/>
      </c>
      <c r="H125" s="19" t="str">
        <f t="shared" si="21"/>
        <v xml:space="preserve"> </v>
      </c>
      <c r="J125">
        <v>201405</v>
      </c>
      <c r="K125">
        <v>2.93</v>
      </c>
    </row>
    <row r="126" spans="2:11" hidden="1" x14ac:dyDescent="0.4">
      <c r="B126" s="58" t="str">
        <f t="shared" si="16"/>
        <v/>
      </c>
      <c r="C126" s="57" t="str">
        <f t="shared" si="18"/>
        <v xml:space="preserve"> </v>
      </c>
      <c r="D126" s="13" t="str">
        <f t="shared" si="19"/>
        <v xml:space="preserve"> </v>
      </c>
      <c r="E126" s="60" t="str">
        <f t="shared" si="15"/>
        <v xml:space="preserve"> </v>
      </c>
      <c r="F126" s="46" t="str">
        <f t="shared" si="20"/>
        <v/>
      </c>
      <c r="G126" s="53" t="str">
        <f t="shared" si="17"/>
        <v/>
      </c>
      <c r="H126" s="19" t="str">
        <f t="shared" si="21"/>
        <v xml:space="preserve"> </v>
      </c>
      <c r="J126">
        <v>201404</v>
      </c>
      <c r="K126">
        <v>2.72</v>
      </c>
    </row>
    <row r="127" spans="2:11" hidden="1" x14ac:dyDescent="0.4">
      <c r="B127" s="58" t="str">
        <f t="shared" si="16"/>
        <v/>
      </c>
      <c r="C127" s="57" t="str">
        <f t="shared" ref="C127:C158" si="22">IFERROR(IF($E$3="Corriente",VLOOKUP(INT(TEXT(B127,"AAAAMM")),$J$6:$K$381,2,0),VLOOKUP(INT(TEXT(B127,"AAAAMM")),$J$6:$K$381,2,0)*1.5)," ")</f>
        <v xml:space="preserve"> </v>
      </c>
      <c r="D127" s="13" t="str">
        <f t="shared" si="19"/>
        <v xml:space="preserve"> </v>
      </c>
      <c r="E127" s="60" t="str">
        <f t="shared" si="15"/>
        <v xml:space="preserve"> </v>
      </c>
      <c r="F127" s="46" t="str">
        <f t="shared" si="20"/>
        <v/>
      </c>
      <c r="G127" s="53" t="str">
        <f t="shared" si="17"/>
        <v/>
      </c>
      <c r="H127" s="19" t="str">
        <f t="shared" si="21"/>
        <v xml:space="preserve"> </v>
      </c>
      <c r="J127">
        <v>201403</v>
      </c>
      <c r="K127">
        <v>2.5099999999999998</v>
      </c>
    </row>
    <row r="128" spans="2:11" hidden="1" x14ac:dyDescent="0.4">
      <c r="B128" s="58" t="str">
        <f t="shared" si="16"/>
        <v/>
      </c>
      <c r="C128" s="57" t="str">
        <f t="shared" si="22"/>
        <v xml:space="preserve"> </v>
      </c>
      <c r="D128" s="13" t="str">
        <f t="shared" si="19"/>
        <v xml:space="preserve"> </v>
      </c>
      <c r="E128" s="60" t="str">
        <f t="shared" si="15"/>
        <v xml:space="preserve"> </v>
      </c>
      <c r="F128" s="46" t="str">
        <f t="shared" si="20"/>
        <v/>
      </c>
      <c r="G128" s="53" t="str">
        <f t="shared" si="17"/>
        <v/>
      </c>
      <c r="H128" s="19" t="str">
        <f t="shared" si="21"/>
        <v xml:space="preserve"> </v>
      </c>
      <c r="J128">
        <v>201402</v>
      </c>
      <c r="K128">
        <v>2.3199999999999998</v>
      </c>
    </row>
    <row r="129" spans="2:11" hidden="1" x14ac:dyDescent="0.4">
      <c r="B129" s="58" t="str">
        <f t="shared" si="16"/>
        <v/>
      </c>
      <c r="C129" s="57" t="str">
        <f t="shared" si="22"/>
        <v xml:space="preserve"> </v>
      </c>
      <c r="D129" s="13" t="str">
        <f t="shared" si="19"/>
        <v xml:space="preserve"> </v>
      </c>
      <c r="E129" s="60" t="str">
        <f t="shared" si="15"/>
        <v xml:space="preserve"> </v>
      </c>
      <c r="F129" s="46" t="str">
        <f t="shared" si="20"/>
        <v/>
      </c>
      <c r="G129" s="53" t="str">
        <f t="shared" si="17"/>
        <v/>
      </c>
      <c r="H129" s="19" t="str">
        <f t="shared" si="21"/>
        <v xml:space="preserve"> </v>
      </c>
      <c r="J129">
        <v>201401</v>
      </c>
      <c r="K129">
        <v>2.13</v>
      </c>
    </row>
    <row r="130" spans="2:11" hidden="1" x14ac:dyDescent="0.4">
      <c r="B130" s="58" t="str">
        <f t="shared" si="16"/>
        <v/>
      </c>
      <c r="C130" s="57" t="str">
        <f t="shared" si="22"/>
        <v xml:space="preserve"> </v>
      </c>
      <c r="D130" s="13" t="str">
        <f t="shared" si="19"/>
        <v xml:space="preserve"> </v>
      </c>
      <c r="E130" s="60" t="str">
        <f t="shared" si="15"/>
        <v xml:space="preserve"> </v>
      </c>
      <c r="F130" s="46" t="str">
        <f t="shared" si="20"/>
        <v/>
      </c>
      <c r="G130" s="53" t="str">
        <f t="shared" si="17"/>
        <v/>
      </c>
      <c r="H130" s="19" t="str">
        <f t="shared" si="21"/>
        <v xml:space="preserve"> </v>
      </c>
      <c r="J130">
        <v>201312</v>
      </c>
      <c r="K130">
        <v>1.94</v>
      </c>
    </row>
    <row r="131" spans="2:11" hidden="1" x14ac:dyDescent="0.4">
      <c r="B131" s="58" t="str">
        <f t="shared" si="16"/>
        <v/>
      </c>
      <c r="C131" s="57" t="str">
        <f t="shared" si="22"/>
        <v xml:space="preserve"> </v>
      </c>
      <c r="D131" s="13" t="str">
        <f t="shared" si="19"/>
        <v xml:space="preserve"> </v>
      </c>
      <c r="E131" s="60" t="str">
        <f t="shared" si="15"/>
        <v xml:space="preserve"> </v>
      </c>
      <c r="F131" s="46" t="str">
        <f t="shared" si="20"/>
        <v/>
      </c>
      <c r="G131" s="53" t="str">
        <f t="shared" si="17"/>
        <v/>
      </c>
      <c r="H131" s="19" t="str">
        <f t="shared" si="21"/>
        <v xml:space="preserve"> </v>
      </c>
      <c r="J131">
        <v>201311</v>
      </c>
      <c r="K131">
        <v>1.76</v>
      </c>
    </row>
    <row r="132" spans="2:11" hidden="1" x14ac:dyDescent="0.4">
      <c r="B132" s="58" t="str">
        <f t="shared" si="16"/>
        <v/>
      </c>
      <c r="C132" s="57" t="str">
        <f t="shared" si="22"/>
        <v xml:space="preserve"> </v>
      </c>
      <c r="D132" s="13" t="str">
        <f t="shared" si="19"/>
        <v xml:space="preserve"> </v>
      </c>
      <c r="E132" s="60" t="str">
        <f t="shared" si="15"/>
        <v xml:space="preserve"> </v>
      </c>
      <c r="F132" s="46" t="str">
        <f t="shared" si="20"/>
        <v/>
      </c>
      <c r="G132" s="53" t="str">
        <f t="shared" si="17"/>
        <v/>
      </c>
      <c r="H132" s="19" t="str">
        <f t="shared" si="21"/>
        <v xml:space="preserve"> </v>
      </c>
      <c r="J132">
        <v>201310</v>
      </c>
      <c r="K132">
        <v>1.84</v>
      </c>
    </row>
    <row r="133" spans="2:11" hidden="1" x14ac:dyDescent="0.4">
      <c r="B133" s="58" t="str">
        <f t="shared" si="16"/>
        <v/>
      </c>
      <c r="C133" s="57" t="str">
        <f t="shared" si="22"/>
        <v xml:space="preserve"> </v>
      </c>
      <c r="D133" s="13" t="str">
        <f t="shared" si="19"/>
        <v xml:space="preserve"> </v>
      </c>
      <c r="E133" s="60" t="str">
        <f t="shared" si="15"/>
        <v xml:space="preserve"> </v>
      </c>
      <c r="F133" s="46" t="str">
        <f t="shared" si="20"/>
        <v/>
      </c>
      <c r="G133" s="53" t="str">
        <f t="shared" si="17"/>
        <v/>
      </c>
      <c r="H133" s="19" t="str">
        <f t="shared" si="21"/>
        <v xml:space="preserve"> </v>
      </c>
      <c r="J133">
        <v>201309</v>
      </c>
      <c r="K133">
        <v>2.27</v>
      </c>
    </row>
    <row r="134" spans="2:11" hidden="1" x14ac:dyDescent="0.4">
      <c r="B134" s="58" t="str">
        <f t="shared" si="16"/>
        <v/>
      </c>
      <c r="C134" s="57" t="str">
        <f t="shared" si="22"/>
        <v xml:space="preserve"> </v>
      </c>
      <c r="D134" s="13" t="str">
        <f t="shared" si="19"/>
        <v xml:space="preserve"> </v>
      </c>
      <c r="E134" s="60" t="str">
        <f t="shared" si="15"/>
        <v xml:space="preserve"> </v>
      </c>
      <c r="F134" s="46" t="str">
        <f t="shared" si="20"/>
        <v/>
      </c>
      <c r="G134" s="53" t="str">
        <f t="shared" si="17"/>
        <v/>
      </c>
      <c r="H134" s="19" t="str">
        <f t="shared" si="21"/>
        <v xml:space="preserve"> </v>
      </c>
      <c r="J134">
        <v>201308</v>
      </c>
      <c r="K134">
        <v>2.27</v>
      </c>
    </row>
    <row r="135" spans="2:11" hidden="1" x14ac:dyDescent="0.4">
      <c r="B135" s="58" t="str">
        <f t="shared" si="16"/>
        <v/>
      </c>
      <c r="C135" s="57" t="str">
        <f t="shared" si="22"/>
        <v xml:space="preserve"> </v>
      </c>
      <c r="D135" s="13" t="str">
        <f t="shared" ref="D135:D166" si="23">IFERROR(IF(AND(TEXT(B135,"D")="1",TEXT(H135,"DD")=TEXT(EOMONTH(B135,0),"D")),30,IF(TEXT(H135,"DDMMYYYY")=TEXT($B$3,"DDMMYYYY"),INT(TEXT($B$3,"DD")),H135-B135))," ")</f>
        <v xml:space="preserve"> </v>
      </c>
      <c r="E135" s="60" t="str">
        <f t="shared" si="15"/>
        <v xml:space="preserve"> </v>
      </c>
      <c r="F135" s="46" t="str">
        <f t="shared" ref="F135:F166" si="24">IFERROR(E135*$C$3*D135,"")</f>
        <v/>
      </c>
      <c r="G135" s="53" t="str">
        <f t="shared" si="17"/>
        <v/>
      </c>
      <c r="H135" s="19" t="str">
        <f t="shared" ref="H135:H166" si="25">IFERROR(IF(TEXT(B135,"MMAAA")=TEXT($B$3,"MMAAAA"),$B$3,EOMONTH(B135,0))," ")</f>
        <v xml:space="preserve"> </v>
      </c>
      <c r="J135">
        <v>201307</v>
      </c>
      <c r="K135">
        <v>2.2200000000000002</v>
      </c>
    </row>
    <row r="136" spans="2:11" hidden="1" x14ac:dyDescent="0.4">
      <c r="B136" s="58" t="str">
        <f t="shared" si="16"/>
        <v/>
      </c>
      <c r="C136" s="57" t="str">
        <f t="shared" si="22"/>
        <v xml:space="preserve"> </v>
      </c>
      <c r="D136" s="13" t="str">
        <f t="shared" si="23"/>
        <v xml:space="preserve"> </v>
      </c>
      <c r="E136" s="60" t="str">
        <f t="shared" ref="E136:E199" si="26">IFERROR(C136/12/30," ")</f>
        <v xml:space="preserve"> </v>
      </c>
      <c r="F136" s="46" t="str">
        <f t="shared" si="24"/>
        <v/>
      </c>
      <c r="G136" s="53" t="str">
        <f t="shared" si="17"/>
        <v/>
      </c>
      <c r="H136" s="19" t="str">
        <f t="shared" si="25"/>
        <v xml:space="preserve"> </v>
      </c>
      <c r="J136">
        <v>201306</v>
      </c>
      <c r="K136">
        <v>2.16</v>
      </c>
    </row>
    <row r="137" spans="2:11" hidden="1" x14ac:dyDescent="0.4">
      <c r="B137" s="58" t="str">
        <f t="shared" ref="B137:B200" si="27">IF(EDATE($H$7,ROW()-8)&lt;=$B$3,EDATE($H$7+1,ROW()-8),"")</f>
        <v/>
      </c>
      <c r="C137" s="57" t="str">
        <f t="shared" si="22"/>
        <v xml:space="preserve"> </v>
      </c>
      <c r="D137" s="13" t="str">
        <f t="shared" si="23"/>
        <v xml:space="preserve"> </v>
      </c>
      <c r="E137" s="60" t="str">
        <f t="shared" si="26"/>
        <v xml:space="preserve"> </v>
      </c>
      <c r="F137" s="46" t="str">
        <f t="shared" si="24"/>
        <v/>
      </c>
      <c r="G137" s="53" t="str">
        <f t="shared" ref="G137:G200" si="28">IFERROR(F137+G136,"")</f>
        <v/>
      </c>
      <c r="H137" s="19" t="str">
        <f t="shared" si="25"/>
        <v xml:space="preserve"> </v>
      </c>
      <c r="J137">
        <v>201305</v>
      </c>
      <c r="K137">
        <v>2</v>
      </c>
    </row>
    <row r="138" spans="2:11" hidden="1" x14ac:dyDescent="0.4">
      <c r="B138" s="58" t="str">
        <f t="shared" si="27"/>
        <v/>
      </c>
      <c r="C138" s="57" t="str">
        <f t="shared" si="22"/>
        <v xml:space="preserve"> </v>
      </c>
      <c r="D138" s="13" t="str">
        <f t="shared" si="23"/>
        <v xml:space="preserve"> </v>
      </c>
      <c r="E138" s="60" t="str">
        <f t="shared" si="26"/>
        <v xml:space="preserve"> </v>
      </c>
      <c r="F138" s="46" t="str">
        <f t="shared" si="24"/>
        <v/>
      </c>
      <c r="G138" s="53" t="str">
        <f t="shared" si="28"/>
        <v/>
      </c>
      <c r="H138" s="19" t="str">
        <f t="shared" si="25"/>
        <v xml:space="preserve"> </v>
      </c>
      <c r="J138">
        <v>201304</v>
      </c>
      <c r="K138">
        <v>2.02</v>
      </c>
    </row>
    <row r="139" spans="2:11" hidden="1" x14ac:dyDescent="0.4">
      <c r="B139" s="58" t="str">
        <f t="shared" si="27"/>
        <v/>
      </c>
      <c r="C139" s="57" t="str">
        <f t="shared" si="22"/>
        <v xml:space="preserve"> </v>
      </c>
      <c r="D139" s="13" t="str">
        <f t="shared" si="23"/>
        <v xml:space="preserve"> </v>
      </c>
      <c r="E139" s="60" t="str">
        <f t="shared" si="26"/>
        <v xml:space="preserve"> </v>
      </c>
      <c r="F139" s="46" t="str">
        <f t="shared" si="24"/>
        <v/>
      </c>
      <c r="G139" s="53" t="str">
        <f t="shared" si="28"/>
        <v/>
      </c>
      <c r="H139" s="19" t="str">
        <f t="shared" si="25"/>
        <v xml:space="preserve"> </v>
      </c>
      <c r="J139">
        <v>201303</v>
      </c>
      <c r="K139">
        <v>1.91</v>
      </c>
    </row>
    <row r="140" spans="2:11" hidden="1" x14ac:dyDescent="0.4">
      <c r="B140" s="58" t="str">
        <f t="shared" si="27"/>
        <v/>
      </c>
      <c r="C140" s="57" t="str">
        <f t="shared" si="22"/>
        <v xml:space="preserve"> </v>
      </c>
      <c r="D140" s="13" t="str">
        <f t="shared" si="23"/>
        <v xml:space="preserve"> </v>
      </c>
      <c r="E140" s="60" t="str">
        <f t="shared" si="26"/>
        <v xml:space="preserve"> </v>
      </c>
      <c r="F140" s="46" t="str">
        <f t="shared" si="24"/>
        <v/>
      </c>
      <c r="G140" s="53" t="str">
        <f t="shared" si="28"/>
        <v/>
      </c>
      <c r="H140" s="19" t="str">
        <f t="shared" si="25"/>
        <v xml:space="preserve"> </v>
      </c>
      <c r="J140">
        <v>201302</v>
      </c>
      <c r="K140">
        <v>1.83</v>
      </c>
    </row>
    <row r="141" spans="2:11" hidden="1" x14ac:dyDescent="0.4">
      <c r="B141" s="58" t="str">
        <f t="shared" si="27"/>
        <v/>
      </c>
      <c r="C141" s="57" t="str">
        <f t="shared" si="22"/>
        <v xml:space="preserve"> </v>
      </c>
      <c r="D141" s="13" t="str">
        <f t="shared" si="23"/>
        <v xml:space="preserve"> </v>
      </c>
      <c r="E141" s="60" t="str">
        <f t="shared" si="26"/>
        <v xml:space="preserve"> </v>
      </c>
      <c r="F141" s="46" t="str">
        <f t="shared" si="24"/>
        <v/>
      </c>
      <c r="G141" s="53" t="str">
        <f t="shared" si="28"/>
        <v/>
      </c>
      <c r="H141" s="19" t="str">
        <f t="shared" si="25"/>
        <v xml:space="preserve"> </v>
      </c>
      <c r="J141">
        <v>201301</v>
      </c>
      <c r="K141">
        <v>2</v>
      </c>
    </row>
    <row r="142" spans="2:11" hidden="1" x14ac:dyDescent="0.4">
      <c r="B142" s="58" t="str">
        <f t="shared" si="27"/>
        <v/>
      </c>
      <c r="C142" s="57" t="str">
        <f t="shared" si="22"/>
        <v xml:space="preserve"> </v>
      </c>
      <c r="D142" s="13" t="str">
        <f t="shared" si="23"/>
        <v xml:space="preserve"> </v>
      </c>
      <c r="E142" s="60" t="str">
        <f t="shared" si="26"/>
        <v xml:space="preserve"> </v>
      </c>
      <c r="F142" s="46" t="str">
        <f t="shared" si="24"/>
        <v/>
      </c>
      <c r="G142" s="53" t="str">
        <f t="shared" si="28"/>
        <v/>
      </c>
      <c r="H142" s="19" t="str">
        <f t="shared" si="25"/>
        <v xml:space="preserve"> </v>
      </c>
      <c r="J142">
        <v>201212</v>
      </c>
      <c r="K142">
        <v>2.44</v>
      </c>
    </row>
    <row r="143" spans="2:11" hidden="1" x14ac:dyDescent="0.4">
      <c r="B143" s="58" t="str">
        <f t="shared" si="27"/>
        <v/>
      </c>
      <c r="C143" s="57" t="str">
        <f t="shared" si="22"/>
        <v xml:space="preserve"> </v>
      </c>
      <c r="D143" s="13" t="str">
        <f t="shared" si="23"/>
        <v xml:space="preserve"> </v>
      </c>
      <c r="E143" s="60" t="str">
        <f t="shared" si="26"/>
        <v xml:space="preserve"> </v>
      </c>
      <c r="F143" s="46" t="str">
        <f t="shared" si="24"/>
        <v/>
      </c>
      <c r="G143" s="53" t="str">
        <f t="shared" si="28"/>
        <v/>
      </c>
      <c r="H143" s="19" t="str">
        <f t="shared" si="25"/>
        <v xml:space="preserve"> </v>
      </c>
      <c r="J143">
        <v>201211</v>
      </c>
      <c r="K143">
        <v>2.77</v>
      </c>
    </row>
    <row r="144" spans="2:11" hidden="1" x14ac:dyDescent="0.4">
      <c r="B144" s="58" t="str">
        <f t="shared" si="27"/>
        <v/>
      </c>
      <c r="C144" s="57" t="str">
        <f t="shared" si="22"/>
        <v xml:space="preserve"> </v>
      </c>
      <c r="D144" s="13" t="str">
        <f t="shared" si="23"/>
        <v xml:space="preserve"> </v>
      </c>
      <c r="E144" s="60" t="str">
        <f t="shared" si="26"/>
        <v xml:space="preserve"> </v>
      </c>
      <c r="F144" s="46" t="str">
        <f t="shared" si="24"/>
        <v/>
      </c>
      <c r="G144" s="53" t="str">
        <f t="shared" si="28"/>
        <v/>
      </c>
      <c r="H144" s="19" t="str">
        <f t="shared" si="25"/>
        <v xml:space="preserve"> </v>
      </c>
      <c r="J144">
        <v>201210</v>
      </c>
      <c r="K144">
        <v>3.06</v>
      </c>
    </row>
    <row r="145" spans="2:11" hidden="1" x14ac:dyDescent="0.4">
      <c r="B145" s="58" t="str">
        <f t="shared" si="27"/>
        <v/>
      </c>
      <c r="C145" s="57" t="str">
        <f t="shared" si="22"/>
        <v xml:space="preserve"> </v>
      </c>
      <c r="D145" s="13" t="str">
        <f t="shared" si="23"/>
        <v xml:space="preserve"> </v>
      </c>
      <c r="E145" s="60" t="str">
        <f t="shared" si="26"/>
        <v xml:space="preserve"> </v>
      </c>
      <c r="F145" s="46" t="str">
        <f t="shared" si="24"/>
        <v/>
      </c>
      <c r="G145" s="53" t="str">
        <f t="shared" si="28"/>
        <v/>
      </c>
      <c r="H145" s="19" t="str">
        <f t="shared" si="25"/>
        <v xml:space="preserve"> </v>
      </c>
      <c r="J145">
        <v>201209</v>
      </c>
      <c r="K145">
        <v>3.08</v>
      </c>
    </row>
    <row r="146" spans="2:11" hidden="1" x14ac:dyDescent="0.4">
      <c r="B146" s="58" t="str">
        <f t="shared" si="27"/>
        <v/>
      </c>
      <c r="C146" s="57" t="str">
        <f t="shared" si="22"/>
        <v xml:space="preserve"> </v>
      </c>
      <c r="D146" s="13" t="str">
        <f t="shared" si="23"/>
        <v xml:space="preserve"> </v>
      </c>
      <c r="E146" s="60" t="str">
        <f t="shared" si="26"/>
        <v xml:space="preserve"> </v>
      </c>
      <c r="F146" s="46" t="str">
        <f t="shared" si="24"/>
        <v/>
      </c>
      <c r="G146" s="53" t="str">
        <f t="shared" si="28"/>
        <v/>
      </c>
      <c r="H146" s="19" t="str">
        <f t="shared" si="25"/>
        <v xml:space="preserve"> </v>
      </c>
      <c r="J146">
        <v>201208</v>
      </c>
      <c r="K146">
        <v>3.11</v>
      </c>
    </row>
    <row r="147" spans="2:11" hidden="1" x14ac:dyDescent="0.4">
      <c r="B147" s="58" t="str">
        <f t="shared" si="27"/>
        <v/>
      </c>
      <c r="C147" s="57" t="str">
        <f t="shared" si="22"/>
        <v xml:space="preserve"> </v>
      </c>
      <c r="D147" s="13" t="str">
        <f t="shared" si="23"/>
        <v xml:space="preserve"> </v>
      </c>
      <c r="E147" s="60" t="str">
        <f t="shared" si="26"/>
        <v xml:space="preserve"> </v>
      </c>
      <c r="F147" s="46" t="str">
        <f t="shared" si="24"/>
        <v/>
      </c>
      <c r="G147" s="53" t="str">
        <f t="shared" si="28"/>
        <v/>
      </c>
      <c r="H147" s="19" t="str">
        <f t="shared" si="25"/>
        <v xml:space="preserve"> </v>
      </c>
      <c r="J147">
        <v>201207</v>
      </c>
      <c r="K147">
        <v>3.03</v>
      </c>
    </row>
    <row r="148" spans="2:11" hidden="1" x14ac:dyDescent="0.4">
      <c r="B148" s="58" t="str">
        <f t="shared" si="27"/>
        <v/>
      </c>
      <c r="C148" s="57" t="str">
        <f t="shared" si="22"/>
        <v xml:space="preserve"> </v>
      </c>
      <c r="D148" s="13" t="str">
        <f t="shared" si="23"/>
        <v xml:space="preserve"> </v>
      </c>
      <c r="E148" s="60" t="str">
        <f t="shared" si="26"/>
        <v xml:space="preserve"> </v>
      </c>
      <c r="F148" s="46" t="str">
        <f t="shared" si="24"/>
        <v/>
      </c>
      <c r="G148" s="53" t="str">
        <f t="shared" si="28"/>
        <v/>
      </c>
      <c r="H148" s="19" t="str">
        <f t="shared" si="25"/>
        <v xml:space="preserve"> </v>
      </c>
      <c r="J148">
        <v>201206</v>
      </c>
      <c r="K148">
        <v>3.2</v>
      </c>
    </row>
    <row r="149" spans="2:11" hidden="1" x14ac:dyDescent="0.4">
      <c r="B149" s="58" t="str">
        <f t="shared" si="27"/>
        <v/>
      </c>
      <c r="C149" s="57" t="str">
        <f t="shared" si="22"/>
        <v xml:space="preserve"> </v>
      </c>
      <c r="D149" s="13" t="str">
        <f t="shared" si="23"/>
        <v xml:space="preserve"> </v>
      </c>
      <c r="E149" s="60" t="str">
        <f t="shared" si="26"/>
        <v xml:space="preserve"> </v>
      </c>
      <c r="F149" s="46" t="str">
        <f t="shared" si="24"/>
        <v/>
      </c>
      <c r="G149" s="53" t="str">
        <f t="shared" si="28"/>
        <v/>
      </c>
      <c r="H149" s="19" t="str">
        <f t="shared" si="25"/>
        <v xml:space="preserve"> </v>
      </c>
      <c r="J149">
        <v>201205</v>
      </c>
      <c r="K149">
        <v>3.44</v>
      </c>
    </row>
    <row r="150" spans="2:11" hidden="1" x14ac:dyDescent="0.4">
      <c r="B150" s="58" t="str">
        <f t="shared" si="27"/>
        <v/>
      </c>
      <c r="C150" s="57" t="str">
        <f t="shared" si="22"/>
        <v xml:space="preserve"> </v>
      </c>
      <c r="D150" s="13" t="str">
        <f t="shared" si="23"/>
        <v xml:space="preserve"> </v>
      </c>
      <c r="E150" s="60" t="str">
        <f t="shared" si="26"/>
        <v xml:space="preserve"> </v>
      </c>
      <c r="F150" s="46" t="str">
        <f t="shared" si="24"/>
        <v/>
      </c>
      <c r="G150" s="53" t="str">
        <f t="shared" si="28"/>
        <v/>
      </c>
      <c r="H150" s="19" t="str">
        <f t="shared" si="25"/>
        <v xml:space="preserve"> </v>
      </c>
      <c r="J150">
        <v>201204</v>
      </c>
      <c r="K150">
        <v>3.43</v>
      </c>
    </row>
    <row r="151" spans="2:11" hidden="1" x14ac:dyDescent="0.4">
      <c r="B151" s="58" t="str">
        <f t="shared" si="27"/>
        <v/>
      </c>
      <c r="C151" s="57" t="str">
        <f t="shared" si="22"/>
        <v xml:space="preserve"> </v>
      </c>
      <c r="D151" s="13" t="str">
        <f t="shared" si="23"/>
        <v xml:space="preserve"> </v>
      </c>
      <c r="E151" s="60" t="str">
        <f t="shared" si="26"/>
        <v xml:space="preserve"> </v>
      </c>
      <c r="F151" s="46" t="str">
        <f t="shared" si="24"/>
        <v/>
      </c>
      <c r="G151" s="53" t="str">
        <f t="shared" si="28"/>
        <v/>
      </c>
      <c r="H151" s="19" t="str">
        <f t="shared" si="25"/>
        <v xml:space="preserve"> </v>
      </c>
      <c r="J151">
        <v>201203</v>
      </c>
      <c r="K151">
        <v>3.4</v>
      </c>
    </row>
    <row r="152" spans="2:11" hidden="1" x14ac:dyDescent="0.4">
      <c r="B152" s="58" t="str">
        <f t="shared" si="27"/>
        <v/>
      </c>
      <c r="C152" s="57" t="str">
        <f t="shared" si="22"/>
        <v xml:space="preserve"> </v>
      </c>
      <c r="D152" s="13" t="str">
        <f t="shared" si="23"/>
        <v xml:space="preserve"> </v>
      </c>
      <c r="E152" s="60" t="str">
        <f t="shared" si="26"/>
        <v xml:space="preserve"> </v>
      </c>
      <c r="F152" s="46" t="str">
        <f t="shared" si="24"/>
        <v/>
      </c>
      <c r="G152" s="53" t="str">
        <f t="shared" si="28"/>
        <v/>
      </c>
      <c r="H152" s="19" t="str">
        <f t="shared" si="25"/>
        <v xml:space="preserve"> </v>
      </c>
      <c r="J152">
        <v>201202</v>
      </c>
      <c r="K152">
        <v>3.55</v>
      </c>
    </row>
    <row r="153" spans="2:11" hidden="1" x14ac:dyDescent="0.4">
      <c r="B153" s="58" t="str">
        <f t="shared" si="27"/>
        <v/>
      </c>
      <c r="C153" s="57" t="str">
        <f t="shared" si="22"/>
        <v xml:space="preserve"> </v>
      </c>
      <c r="D153" s="13" t="str">
        <f t="shared" si="23"/>
        <v xml:space="preserve"> </v>
      </c>
      <c r="E153" s="60" t="str">
        <f t="shared" si="26"/>
        <v xml:space="preserve"> </v>
      </c>
      <c r="F153" s="46" t="str">
        <f t="shared" si="24"/>
        <v/>
      </c>
      <c r="G153" s="53" t="str">
        <f t="shared" si="28"/>
        <v/>
      </c>
      <c r="H153" s="19" t="str">
        <f t="shared" si="25"/>
        <v xml:space="preserve"> </v>
      </c>
      <c r="J153">
        <v>201201</v>
      </c>
      <c r="K153">
        <v>3.54</v>
      </c>
    </row>
    <row r="154" spans="2:11" hidden="1" x14ac:dyDescent="0.4">
      <c r="B154" s="58" t="str">
        <f t="shared" si="27"/>
        <v/>
      </c>
      <c r="C154" s="57" t="str">
        <f t="shared" si="22"/>
        <v xml:space="preserve"> </v>
      </c>
      <c r="D154" s="13" t="str">
        <f t="shared" si="23"/>
        <v xml:space="preserve"> </v>
      </c>
      <c r="E154" s="60" t="str">
        <f t="shared" si="26"/>
        <v xml:space="preserve"> </v>
      </c>
      <c r="F154" s="46" t="str">
        <f t="shared" si="24"/>
        <v/>
      </c>
      <c r="G154" s="53" t="str">
        <f t="shared" si="28"/>
        <v/>
      </c>
      <c r="H154" s="19" t="str">
        <f t="shared" si="25"/>
        <v xml:space="preserve"> </v>
      </c>
      <c r="J154">
        <v>201112</v>
      </c>
      <c r="K154">
        <v>3.73</v>
      </c>
    </row>
    <row r="155" spans="2:11" hidden="1" x14ac:dyDescent="0.4">
      <c r="B155" s="58" t="str">
        <f t="shared" si="27"/>
        <v/>
      </c>
      <c r="C155" s="57" t="str">
        <f t="shared" si="22"/>
        <v xml:space="preserve"> </v>
      </c>
      <c r="D155" s="13" t="str">
        <f t="shared" si="23"/>
        <v xml:space="preserve"> </v>
      </c>
      <c r="E155" s="60" t="str">
        <f t="shared" si="26"/>
        <v xml:space="preserve"> </v>
      </c>
      <c r="F155" s="46" t="str">
        <f t="shared" si="24"/>
        <v/>
      </c>
      <c r="G155" s="53" t="str">
        <f t="shared" si="28"/>
        <v/>
      </c>
      <c r="H155" s="19" t="str">
        <f t="shared" si="25"/>
        <v xml:space="preserve"> </v>
      </c>
      <c r="J155">
        <v>201111</v>
      </c>
      <c r="K155">
        <v>3.96</v>
      </c>
    </row>
    <row r="156" spans="2:11" hidden="1" x14ac:dyDescent="0.4">
      <c r="B156" s="58" t="str">
        <f t="shared" si="27"/>
        <v/>
      </c>
      <c r="C156" s="57" t="str">
        <f t="shared" si="22"/>
        <v xml:space="preserve"> </v>
      </c>
      <c r="D156" s="13" t="str">
        <f t="shared" si="23"/>
        <v xml:space="preserve"> </v>
      </c>
      <c r="E156" s="60" t="str">
        <f t="shared" si="26"/>
        <v xml:space="preserve"> </v>
      </c>
      <c r="F156" s="46" t="str">
        <f t="shared" si="24"/>
        <v/>
      </c>
      <c r="G156" s="53" t="str">
        <f t="shared" si="28"/>
        <v/>
      </c>
      <c r="H156" s="19" t="str">
        <f t="shared" si="25"/>
        <v xml:space="preserve"> </v>
      </c>
      <c r="J156">
        <v>201110</v>
      </c>
      <c r="K156">
        <v>4.0199999999999996</v>
      </c>
    </row>
    <row r="157" spans="2:11" hidden="1" x14ac:dyDescent="0.4">
      <c r="B157" s="58" t="str">
        <f t="shared" si="27"/>
        <v/>
      </c>
      <c r="C157" s="57" t="str">
        <f t="shared" si="22"/>
        <v xml:space="preserve"> </v>
      </c>
      <c r="D157" s="13" t="str">
        <f t="shared" si="23"/>
        <v xml:space="preserve"> </v>
      </c>
      <c r="E157" s="60" t="str">
        <f t="shared" si="26"/>
        <v xml:space="preserve"> </v>
      </c>
      <c r="F157" s="46" t="str">
        <f t="shared" si="24"/>
        <v/>
      </c>
      <c r="G157" s="53" t="str">
        <f t="shared" si="28"/>
        <v/>
      </c>
      <c r="H157" s="19" t="str">
        <f t="shared" si="25"/>
        <v xml:space="preserve"> </v>
      </c>
      <c r="J157">
        <v>201109</v>
      </c>
      <c r="K157">
        <v>3.73</v>
      </c>
    </row>
    <row r="158" spans="2:11" hidden="1" x14ac:dyDescent="0.4">
      <c r="B158" s="58" t="str">
        <f t="shared" si="27"/>
        <v/>
      </c>
      <c r="C158" s="57" t="str">
        <f t="shared" si="22"/>
        <v xml:space="preserve"> </v>
      </c>
      <c r="D158" s="13" t="str">
        <f t="shared" si="23"/>
        <v xml:space="preserve"> </v>
      </c>
      <c r="E158" s="60" t="str">
        <f t="shared" si="26"/>
        <v xml:space="preserve"> </v>
      </c>
      <c r="F158" s="46" t="str">
        <f t="shared" si="24"/>
        <v/>
      </c>
      <c r="G158" s="53" t="str">
        <f t="shared" si="28"/>
        <v/>
      </c>
      <c r="H158" s="19" t="str">
        <f t="shared" si="25"/>
        <v xml:space="preserve"> </v>
      </c>
      <c r="J158">
        <v>201108</v>
      </c>
      <c r="K158">
        <v>3.27</v>
      </c>
    </row>
    <row r="159" spans="2:11" hidden="1" x14ac:dyDescent="0.4">
      <c r="B159" s="58" t="str">
        <f t="shared" si="27"/>
        <v/>
      </c>
      <c r="C159" s="57" t="str">
        <f t="shared" ref="C159:C190" si="29">IFERROR(IF($E$3="Corriente",VLOOKUP(INT(TEXT(B159,"AAAAMM")),$J$6:$K$381,2,0),VLOOKUP(INT(TEXT(B159,"AAAAMM")),$J$6:$K$381,2,0)*1.5)," ")</f>
        <v xml:space="preserve"> </v>
      </c>
      <c r="D159" s="13" t="str">
        <f t="shared" si="23"/>
        <v xml:space="preserve"> </v>
      </c>
      <c r="E159" s="60" t="str">
        <f t="shared" si="26"/>
        <v xml:space="preserve"> </v>
      </c>
      <c r="F159" s="46" t="str">
        <f t="shared" si="24"/>
        <v/>
      </c>
      <c r="G159" s="53" t="str">
        <f t="shared" si="28"/>
        <v/>
      </c>
      <c r="H159" s="19" t="str">
        <f t="shared" si="25"/>
        <v xml:space="preserve"> </v>
      </c>
      <c r="J159">
        <v>201107</v>
      </c>
      <c r="K159">
        <v>3.42</v>
      </c>
    </row>
    <row r="160" spans="2:11" hidden="1" x14ac:dyDescent="0.4">
      <c r="B160" s="58" t="str">
        <f t="shared" si="27"/>
        <v/>
      </c>
      <c r="C160" s="57" t="str">
        <f t="shared" si="29"/>
        <v xml:space="preserve"> </v>
      </c>
      <c r="D160" s="13" t="str">
        <f t="shared" si="23"/>
        <v xml:space="preserve"> </v>
      </c>
      <c r="E160" s="60" t="str">
        <f t="shared" si="26"/>
        <v xml:space="preserve"> </v>
      </c>
      <c r="F160" s="46" t="str">
        <f t="shared" si="24"/>
        <v/>
      </c>
      <c r="G160" s="53" t="str">
        <f t="shared" si="28"/>
        <v/>
      </c>
      <c r="H160" s="19" t="str">
        <f t="shared" si="25"/>
        <v xml:space="preserve"> </v>
      </c>
      <c r="J160">
        <v>201106</v>
      </c>
      <c r="K160">
        <v>3.23</v>
      </c>
    </row>
    <row r="161" spans="2:11" hidden="1" x14ac:dyDescent="0.4">
      <c r="B161" s="58" t="str">
        <f t="shared" si="27"/>
        <v/>
      </c>
      <c r="C161" s="57" t="str">
        <f t="shared" si="29"/>
        <v xml:space="preserve"> </v>
      </c>
      <c r="D161" s="13" t="str">
        <f t="shared" si="23"/>
        <v xml:space="preserve"> </v>
      </c>
      <c r="E161" s="60" t="str">
        <f t="shared" si="26"/>
        <v xml:space="preserve"> </v>
      </c>
      <c r="F161" s="46" t="str">
        <f t="shared" si="24"/>
        <v/>
      </c>
      <c r="G161" s="53" t="str">
        <f t="shared" si="28"/>
        <v/>
      </c>
      <c r="H161" s="19" t="str">
        <f t="shared" si="25"/>
        <v xml:space="preserve"> </v>
      </c>
      <c r="J161">
        <v>201105</v>
      </c>
      <c r="K161">
        <v>3.02</v>
      </c>
    </row>
    <row r="162" spans="2:11" hidden="1" x14ac:dyDescent="0.4">
      <c r="B162" s="58" t="str">
        <f t="shared" si="27"/>
        <v/>
      </c>
      <c r="C162" s="57" t="str">
        <f t="shared" si="29"/>
        <v xml:space="preserve"> </v>
      </c>
      <c r="D162" s="13" t="str">
        <f t="shared" si="23"/>
        <v xml:space="preserve"> </v>
      </c>
      <c r="E162" s="60" t="str">
        <f t="shared" si="26"/>
        <v xml:space="preserve"> </v>
      </c>
      <c r="F162" s="46" t="str">
        <f t="shared" si="24"/>
        <v/>
      </c>
      <c r="G162" s="53" t="str">
        <f t="shared" si="28"/>
        <v/>
      </c>
      <c r="H162" s="19" t="str">
        <f t="shared" si="25"/>
        <v xml:space="preserve"> </v>
      </c>
      <c r="J162">
        <v>201104</v>
      </c>
      <c r="K162">
        <v>2.84</v>
      </c>
    </row>
    <row r="163" spans="2:11" hidden="1" x14ac:dyDescent="0.4">
      <c r="B163" s="58" t="str">
        <f t="shared" si="27"/>
        <v/>
      </c>
      <c r="C163" s="57" t="str">
        <f t="shared" si="29"/>
        <v xml:space="preserve"> </v>
      </c>
      <c r="D163" s="13" t="str">
        <f t="shared" si="23"/>
        <v xml:space="preserve"> </v>
      </c>
      <c r="E163" s="60" t="str">
        <f t="shared" si="26"/>
        <v xml:space="preserve"> </v>
      </c>
      <c r="F163" s="46" t="str">
        <f t="shared" si="24"/>
        <v/>
      </c>
      <c r="G163" s="53" t="str">
        <f t="shared" si="28"/>
        <v/>
      </c>
      <c r="H163" s="19" t="str">
        <f t="shared" si="25"/>
        <v xml:space="preserve"> </v>
      </c>
      <c r="J163">
        <v>201103</v>
      </c>
      <c r="K163">
        <v>3.19</v>
      </c>
    </row>
    <row r="164" spans="2:11" hidden="1" x14ac:dyDescent="0.4">
      <c r="B164" s="58" t="str">
        <f t="shared" si="27"/>
        <v/>
      </c>
      <c r="C164" s="57" t="str">
        <f t="shared" si="29"/>
        <v xml:space="preserve"> </v>
      </c>
      <c r="D164" s="13" t="str">
        <f t="shared" si="23"/>
        <v xml:space="preserve"> </v>
      </c>
      <c r="E164" s="60" t="str">
        <f t="shared" si="26"/>
        <v xml:space="preserve"> </v>
      </c>
      <c r="F164" s="46" t="str">
        <f t="shared" si="24"/>
        <v/>
      </c>
      <c r="G164" s="53" t="str">
        <f t="shared" si="28"/>
        <v/>
      </c>
      <c r="H164" s="19" t="str">
        <f t="shared" si="25"/>
        <v xml:space="preserve"> </v>
      </c>
      <c r="J164">
        <v>201102</v>
      </c>
      <c r="K164">
        <v>3.17</v>
      </c>
    </row>
    <row r="165" spans="2:11" hidden="1" x14ac:dyDescent="0.4">
      <c r="B165" s="58" t="str">
        <f t="shared" si="27"/>
        <v/>
      </c>
      <c r="C165" s="57" t="str">
        <f t="shared" si="29"/>
        <v xml:space="preserve"> </v>
      </c>
      <c r="D165" s="13" t="str">
        <f t="shared" si="23"/>
        <v xml:space="preserve"> </v>
      </c>
      <c r="E165" s="60" t="str">
        <f t="shared" si="26"/>
        <v xml:space="preserve"> </v>
      </c>
      <c r="F165" s="46" t="str">
        <f t="shared" si="24"/>
        <v/>
      </c>
      <c r="G165" s="53" t="str">
        <f t="shared" si="28"/>
        <v/>
      </c>
      <c r="H165" s="19" t="str">
        <f t="shared" si="25"/>
        <v xml:space="preserve"> </v>
      </c>
      <c r="J165">
        <v>201101</v>
      </c>
      <c r="K165">
        <v>3.4</v>
      </c>
    </row>
    <row r="166" spans="2:11" hidden="1" x14ac:dyDescent="0.4">
      <c r="B166" s="58" t="str">
        <f t="shared" si="27"/>
        <v/>
      </c>
      <c r="C166" s="57" t="str">
        <f t="shared" si="29"/>
        <v xml:space="preserve"> </v>
      </c>
      <c r="D166" s="13" t="str">
        <f t="shared" si="23"/>
        <v xml:space="preserve"> </v>
      </c>
      <c r="E166" s="60" t="str">
        <f t="shared" si="26"/>
        <v xml:space="preserve"> </v>
      </c>
      <c r="F166" s="46" t="str">
        <f t="shared" si="24"/>
        <v/>
      </c>
      <c r="G166" s="53" t="str">
        <f t="shared" si="28"/>
        <v/>
      </c>
      <c r="H166" s="19" t="str">
        <f t="shared" si="25"/>
        <v xml:space="preserve"> </v>
      </c>
      <c r="J166">
        <v>201012</v>
      </c>
      <c r="K166">
        <v>3.17</v>
      </c>
    </row>
    <row r="167" spans="2:11" hidden="1" x14ac:dyDescent="0.4">
      <c r="B167" s="58" t="str">
        <f t="shared" si="27"/>
        <v/>
      </c>
      <c r="C167" s="57" t="str">
        <f t="shared" si="29"/>
        <v xml:space="preserve"> </v>
      </c>
      <c r="D167" s="13" t="str">
        <f t="shared" ref="D167:D198" si="30">IFERROR(IF(AND(TEXT(B167,"D")="1",TEXT(H167,"DD")=TEXT(EOMONTH(B167,0),"D")),30,IF(TEXT(H167,"DDMMYYYY")=TEXT($B$3,"DDMMYYYY"),INT(TEXT($B$3,"DD")),H167-B167))," ")</f>
        <v xml:space="preserve"> </v>
      </c>
      <c r="E167" s="60" t="str">
        <f t="shared" si="26"/>
        <v xml:space="preserve"> </v>
      </c>
      <c r="F167" s="46" t="str">
        <f t="shared" ref="F167:F198" si="31">IFERROR(E167*$C$3*D167,"")</f>
        <v/>
      </c>
      <c r="G167" s="53" t="str">
        <f t="shared" si="28"/>
        <v/>
      </c>
      <c r="H167" s="19" t="str">
        <f t="shared" ref="H167:H198" si="32">IFERROR(IF(TEXT(B167,"MMAAA")=TEXT($B$3,"MMAAAA"),$B$3,EOMONTH(B167,0))," ")</f>
        <v xml:space="preserve"> </v>
      </c>
      <c r="J167">
        <v>201011</v>
      </c>
      <c r="K167">
        <v>2.59</v>
      </c>
    </row>
    <row r="168" spans="2:11" hidden="1" x14ac:dyDescent="0.4">
      <c r="B168" s="58" t="str">
        <f t="shared" si="27"/>
        <v/>
      </c>
      <c r="C168" s="57" t="str">
        <f t="shared" si="29"/>
        <v xml:space="preserve"> </v>
      </c>
      <c r="D168" s="13" t="str">
        <f t="shared" si="30"/>
        <v xml:space="preserve"> </v>
      </c>
      <c r="E168" s="60" t="str">
        <f t="shared" si="26"/>
        <v xml:space="preserve"> </v>
      </c>
      <c r="F168" s="46" t="str">
        <f t="shared" si="31"/>
        <v/>
      </c>
      <c r="G168" s="53" t="str">
        <f t="shared" si="28"/>
        <v/>
      </c>
      <c r="H168" s="19" t="str">
        <f t="shared" si="32"/>
        <v xml:space="preserve"> </v>
      </c>
      <c r="J168">
        <v>201010</v>
      </c>
      <c r="K168">
        <v>2.33</v>
      </c>
    </row>
    <row r="169" spans="2:11" hidden="1" x14ac:dyDescent="0.4">
      <c r="B169" s="58" t="str">
        <f t="shared" si="27"/>
        <v/>
      </c>
      <c r="C169" s="57" t="str">
        <f t="shared" si="29"/>
        <v xml:space="preserve"> </v>
      </c>
      <c r="D169" s="13" t="str">
        <f t="shared" si="30"/>
        <v xml:space="preserve"> </v>
      </c>
      <c r="E169" s="60" t="str">
        <f t="shared" si="26"/>
        <v xml:space="preserve"> </v>
      </c>
      <c r="F169" s="46" t="str">
        <f t="shared" si="31"/>
        <v/>
      </c>
      <c r="G169" s="53" t="str">
        <f t="shared" si="28"/>
        <v/>
      </c>
      <c r="H169" s="19" t="str">
        <f t="shared" si="32"/>
        <v xml:space="preserve"> </v>
      </c>
      <c r="J169">
        <v>201009</v>
      </c>
      <c r="K169">
        <v>2.2799999999999998</v>
      </c>
    </row>
    <row r="170" spans="2:11" hidden="1" x14ac:dyDescent="0.4">
      <c r="B170" s="58" t="str">
        <f t="shared" si="27"/>
        <v/>
      </c>
      <c r="C170" s="57" t="str">
        <f t="shared" si="29"/>
        <v xml:space="preserve"> </v>
      </c>
      <c r="D170" s="13" t="str">
        <f t="shared" si="30"/>
        <v xml:space="preserve"> </v>
      </c>
      <c r="E170" s="60" t="str">
        <f t="shared" si="26"/>
        <v xml:space="preserve"> </v>
      </c>
      <c r="F170" s="46" t="str">
        <f t="shared" si="31"/>
        <v/>
      </c>
      <c r="G170" s="53" t="str">
        <f t="shared" si="28"/>
        <v/>
      </c>
      <c r="H170" s="19" t="str">
        <f t="shared" si="32"/>
        <v xml:space="preserve"> </v>
      </c>
      <c r="J170">
        <v>201008</v>
      </c>
      <c r="K170">
        <v>2.31</v>
      </c>
    </row>
    <row r="171" spans="2:11" hidden="1" x14ac:dyDescent="0.4">
      <c r="B171" s="58" t="str">
        <f t="shared" si="27"/>
        <v/>
      </c>
      <c r="C171" s="57" t="str">
        <f t="shared" si="29"/>
        <v xml:space="preserve"> </v>
      </c>
      <c r="D171" s="13" t="str">
        <f t="shared" si="30"/>
        <v xml:space="preserve"> </v>
      </c>
      <c r="E171" s="60" t="str">
        <f t="shared" si="26"/>
        <v xml:space="preserve"> </v>
      </c>
      <c r="F171" s="46" t="str">
        <f t="shared" si="31"/>
        <v/>
      </c>
      <c r="G171" s="53" t="str">
        <f t="shared" si="28"/>
        <v/>
      </c>
      <c r="H171" s="19" t="str">
        <f t="shared" si="32"/>
        <v xml:space="preserve"> </v>
      </c>
      <c r="J171">
        <v>201007</v>
      </c>
      <c r="K171">
        <v>2.2400000000000002</v>
      </c>
    </row>
    <row r="172" spans="2:11" hidden="1" x14ac:dyDescent="0.4">
      <c r="B172" s="58" t="str">
        <f t="shared" si="27"/>
        <v/>
      </c>
      <c r="C172" s="57" t="str">
        <f t="shared" si="29"/>
        <v xml:space="preserve"> </v>
      </c>
      <c r="D172" s="13" t="str">
        <f t="shared" si="30"/>
        <v xml:space="preserve"> </v>
      </c>
      <c r="E172" s="60" t="str">
        <f t="shared" si="26"/>
        <v xml:space="preserve"> </v>
      </c>
      <c r="F172" s="46" t="str">
        <f t="shared" si="31"/>
        <v/>
      </c>
      <c r="G172" s="53" t="str">
        <f t="shared" si="28"/>
        <v/>
      </c>
      <c r="H172" s="19" t="str">
        <f t="shared" si="32"/>
        <v xml:space="preserve"> </v>
      </c>
      <c r="J172">
        <v>201006</v>
      </c>
      <c r="K172">
        <v>2.25</v>
      </c>
    </row>
    <row r="173" spans="2:11" hidden="1" x14ac:dyDescent="0.4">
      <c r="B173" s="58" t="str">
        <f t="shared" si="27"/>
        <v/>
      </c>
      <c r="C173" s="57" t="str">
        <f t="shared" si="29"/>
        <v xml:space="preserve"> </v>
      </c>
      <c r="D173" s="13" t="str">
        <f t="shared" si="30"/>
        <v xml:space="preserve"> </v>
      </c>
      <c r="E173" s="60" t="str">
        <f t="shared" si="26"/>
        <v xml:space="preserve"> </v>
      </c>
      <c r="F173" s="46" t="str">
        <f t="shared" si="31"/>
        <v/>
      </c>
      <c r="G173" s="53" t="str">
        <f t="shared" si="28"/>
        <v/>
      </c>
      <c r="H173" s="19" t="str">
        <f t="shared" si="32"/>
        <v xml:space="preserve"> </v>
      </c>
      <c r="J173">
        <v>201005</v>
      </c>
      <c r="K173">
        <v>2.0699999999999998</v>
      </c>
    </row>
    <row r="174" spans="2:11" hidden="1" x14ac:dyDescent="0.4">
      <c r="B174" s="58" t="str">
        <f t="shared" si="27"/>
        <v/>
      </c>
      <c r="C174" s="57" t="str">
        <f t="shared" si="29"/>
        <v xml:space="preserve"> </v>
      </c>
      <c r="D174" s="13" t="str">
        <f t="shared" si="30"/>
        <v xml:space="preserve"> </v>
      </c>
      <c r="E174" s="60" t="str">
        <f t="shared" si="26"/>
        <v xml:space="preserve"> </v>
      </c>
      <c r="F174" s="46" t="str">
        <f t="shared" si="31"/>
        <v/>
      </c>
      <c r="G174" s="53" t="str">
        <f t="shared" si="28"/>
        <v/>
      </c>
      <c r="H174" s="19" t="str">
        <f t="shared" si="32"/>
        <v xml:space="preserve"> </v>
      </c>
      <c r="J174">
        <v>201004</v>
      </c>
      <c r="K174">
        <v>1.98</v>
      </c>
    </row>
    <row r="175" spans="2:11" hidden="1" x14ac:dyDescent="0.4">
      <c r="B175" s="58" t="str">
        <f t="shared" si="27"/>
        <v/>
      </c>
      <c r="C175" s="57" t="str">
        <f t="shared" si="29"/>
        <v xml:space="preserve"> </v>
      </c>
      <c r="D175" s="13" t="str">
        <f t="shared" si="30"/>
        <v xml:space="preserve"> </v>
      </c>
      <c r="E175" s="60" t="str">
        <f t="shared" si="26"/>
        <v xml:space="preserve"> </v>
      </c>
      <c r="F175" s="46" t="str">
        <f t="shared" si="31"/>
        <v/>
      </c>
      <c r="G175" s="53" t="str">
        <f t="shared" si="28"/>
        <v/>
      </c>
      <c r="H175" s="19" t="str">
        <f t="shared" si="32"/>
        <v xml:space="preserve"> </v>
      </c>
      <c r="J175">
        <v>201003</v>
      </c>
      <c r="K175">
        <v>1.84</v>
      </c>
    </row>
    <row r="176" spans="2:11" hidden="1" x14ac:dyDescent="0.4">
      <c r="B176" s="58" t="str">
        <f t="shared" si="27"/>
        <v/>
      </c>
      <c r="C176" s="57" t="str">
        <f t="shared" si="29"/>
        <v xml:space="preserve"> </v>
      </c>
      <c r="D176" s="13" t="str">
        <f t="shared" si="30"/>
        <v xml:space="preserve"> </v>
      </c>
      <c r="E176" s="60" t="str">
        <f t="shared" si="26"/>
        <v xml:space="preserve"> </v>
      </c>
      <c r="F176" s="46" t="str">
        <f t="shared" si="31"/>
        <v/>
      </c>
      <c r="G176" s="53" t="str">
        <f t="shared" si="28"/>
        <v/>
      </c>
      <c r="H176" s="19" t="str">
        <f t="shared" si="32"/>
        <v xml:space="preserve"> </v>
      </c>
      <c r="J176">
        <v>201002</v>
      </c>
      <c r="K176">
        <v>2.09</v>
      </c>
    </row>
    <row r="177" spans="2:11" hidden="1" x14ac:dyDescent="0.4">
      <c r="B177" s="58" t="str">
        <f t="shared" si="27"/>
        <v/>
      </c>
      <c r="C177" s="57" t="str">
        <f t="shared" si="29"/>
        <v xml:space="preserve"> </v>
      </c>
      <c r="D177" s="13" t="str">
        <f t="shared" si="30"/>
        <v xml:space="preserve"> </v>
      </c>
      <c r="E177" s="60" t="str">
        <f t="shared" si="26"/>
        <v xml:space="preserve"> </v>
      </c>
      <c r="F177" s="46" t="str">
        <f t="shared" si="31"/>
        <v/>
      </c>
      <c r="G177" s="53" t="str">
        <f t="shared" si="28"/>
        <v/>
      </c>
      <c r="H177" s="19" t="str">
        <f t="shared" si="32"/>
        <v xml:space="preserve"> </v>
      </c>
      <c r="J177">
        <v>201001</v>
      </c>
      <c r="K177">
        <v>2.1</v>
      </c>
    </row>
    <row r="178" spans="2:11" hidden="1" x14ac:dyDescent="0.4">
      <c r="B178" s="58" t="str">
        <f t="shared" si="27"/>
        <v/>
      </c>
      <c r="C178" s="57" t="str">
        <f t="shared" si="29"/>
        <v xml:space="preserve"> </v>
      </c>
      <c r="D178" s="13" t="str">
        <f t="shared" si="30"/>
        <v xml:space="preserve"> </v>
      </c>
      <c r="E178" s="60" t="str">
        <f t="shared" si="26"/>
        <v xml:space="preserve"> </v>
      </c>
      <c r="F178" s="46" t="str">
        <f t="shared" si="31"/>
        <v/>
      </c>
      <c r="G178" s="53" t="str">
        <f t="shared" si="28"/>
        <v/>
      </c>
      <c r="H178" s="19" t="str">
        <f t="shared" si="32"/>
        <v xml:space="preserve"> </v>
      </c>
      <c r="J178">
        <v>200912</v>
      </c>
      <c r="K178">
        <v>2</v>
      </c>
    </row>
    <row r="179" spans="2:11" hidden="1" x14ac:dyDescent="0.4">
      <c r="B179" s="58" t="str">
        <f t="shared" si="27"/>
        <v/>
      </c>
      <c r="C179" s="57" t="str">
        <f t="shared" si="29"/>
        <v xml:space="preserve"> </v>
      </c>
      <c r="D179" s="13" t="str">
        <f t="shared" si="30"/>
        <v xml:space="preserve"> </v>
      </c>
      <c r="E179" s="60" t="str">
        <f t="shared" si="26"/>
        <v xml:space="preserve"> </v>
      </c>
      <c r="F179" s="46" t="str">
        <f t="shared" si="31"/>
        <v/>
      </c>
      <c r="G179" s="53" t="str">
        <f t="shared" si="28"/>
        <v/>
      </c>
      <c r="H179" s="19" t="str">
        <f t="shared" si="32"/>
        <v xml:space="preserve"> </v>
      </c>
      <c r="J179">
        <v>200911</v>
      </c>
      <c r="K179">
        <v>2.37</v>
      </c>
    </row>
    <row r="180" spans="2:11" hidden="1" x14ac:dyDescent="0.4">
      <c r="B180" s="58" t="str">
        <f t="shared" si="27"/>
        <v/>
      </c>
      <c r="C180" s="57" t="str">
        <f t="shared" si="29"/>
        <v xml:space="preserve"> </v>
      </c>
      <c r="D180" s="13" t="str">
        <f t="shared" si="30"/>
        <v xml:space="preserve"> </v>
      </c>
      <c r="E180" s="60" t="str">
        <f t="shared" si="26"/>
        <v xml:space="preserve"> </v>
      </c>
      <c r="F180" s="46" t="str">
        <f t="shared" si="31"/>
        <v/>
      </c>
      <c r="G180" s="53" t="str">
        <f t="shared" si="28"/>
        <v/>
      </c>
      <c r="H180" s="19" t="str">
        <f t="shared" si="32"/>
        <v xml:space="preserve"> </v>
      </c>
      <c r="J180">
        <v>200910</v>
      </c>
      <c r="K180">
        <v>2.72</v>
      </c>
    </row>
    <row r="181" spans="2:11" hidden="1" x14ac:dyDescent="0.4">
      <c r="B181" s="58" t="str">
        <f t="shared" si="27"/>
        <v/>
      </c>
      <c r="C181" s="57" t="str">
        <f t="shared" si="29"/>
        <v xml:space="preserve"> </v>
      </c>
      <c r="D181" s="13" t="str">
        <f t="shared" si="30"/>
        <v xml:space="preserve"> </v>
      </c>
      <c r="E181" s="60" t="str">
        <f t="shared" si="26"/>
        <v xml:space="preserve"> </v>
      </c>
      <c r="F181" s="46" t="str">
        <f t="shared" si="31"/>
        <v/>
      </c>
      <c r="G181" s="53" t="str">
        <f t="shared" si="28"/>
        <v/>
      </c>
      <c r="H181" s="19" t="str">
        <f t="shared" si="32"/>
        <v xml:space="preserve"> </v>
      </c>
      <c r="J181">
        <v>200909</v>
      </c>
      <c r="K181">
        <v>3.21</v>
      </c>
    </row>
    <row r="182" spans="2:11" hidden="1" x14ac:dyDescent="0.4">
      <c r="B182" s="58" t="str">
        <f t="shared" si="27"/>
        <v/>
      </c>
      <c r="C182" s="57" t="str">
        <f t="shared" si="29"/>
        <v xml:space="preserve"> </v>
      </c>
      <c r="D182" s="13" t="str">
        <f t="shared" si="30"/>
        <v xml:space="preserve"> </v>
      </c>
      <c r="E182" s="60" t="str">
        <f t="shared" si="26"/>
        <v xml:space="preserve"> </v>
      </c>
      <c r="F182" s="46" t="str">
        <f t="shared" si="31"/>
        <v/>
      </c>
      <c r="G182" s="53" t="str">
        <f t="shared" si="28"/>
        <v/>
      </c>
      <c r="H182" s="19" t="str">
        <f t="shared" si="32"/>
        <v xml:space="preserve"> </v>
      </c>
      <c r="J182">
        <v>200908</v>
      </c>
      <c r="K182">
        <v>3.13</v>
      </c>
    </row>
    <row r="183" spans="2:11" hidden="1" x14ac:dyDescent="0.4">
      <c r="B183" s="58" t="str">
        <f t="shared" si="27"/>
        <v/>
      </c>
      <c r="C183" s="57" t="str">
        <f t="shared" si="29"/>
        <v xml:space="preserve"> </v>
      </c>
      <c r="D183" s="13" t="str">
        <f t="shared" si="30"/>
        <v xml:space="preserve"> </v>
      </c>
      <c r="E183" s="60" t="str">
        <f t="shared" si="26"/>
        <v xml:space="preserve"> </v>
      </c>
      <c r="F183" s="46" t="str">
        <f t="shared" si="31"/>
        <v/>
      </c>
      <c r="G183" s="53" t="str">
        <f t="shared" si="28"/>
        <v/>
      </c>
      <c r="H183" s="19" t="str">
        <f t="shared" si="32"/>
        <v xml:space="preserve"> </v>
      </c>
      <c r="J183">
        <v>200907</v>
      </c>
      <c r="K183">
        <v>3.28</v>
      </c>
    </row>
    <row r="184" spans="2:11" hidden="1" x14ac:dyDescent="0.4">
      <c r="B184" s="58" t="str">
        <f t="shared" si="27"/>
        <v/>
      </c>
      <c r="C184" s="57" t="str">
        <f t="shared" si="29"/>
        <v xml:space="preserve"> </v>
      </c>
      <c r="D184" s="13" t="str">
        <f t="shared" si="30"/>
        <v xml:space="preserve"> </v>
      </c>
      <c r="E184" s="60" t="str">
        <f t="shared" si="26"/>
        <v xml:space="preserve"> </v>
      </c>
      <c r="F184" s="46" t="str">
        <f t="shared" si="31"/>
        <v/>
      </c>
      <c r="G184" s="53" t="str">
        <f t="shared" si="28"/>
        <v/>
      </c>
      <c r="H184" s="19" t="str">
        <f t="shared" si="32"/>
        <v xml:space="preserve"> </v>
      </c>
      <c r="J184">
        <v>200906</v>
      </c>
      <c r="K184">
        <v>3.81</v>
      </c>
    </row>
    <row r="185" spans="2:11" hidden="1" x14ac:dyDescent="0.4">
      <c r="B185" s="58" t="str">
        <f t="shared" si="27"/>
        <v/>
      </c>
      <c r="C185" s="57" t="str">
        <f t="shared" si="29"/>
        <v xml:space="preserve"> </v>
      </c>
      <c r="D185" s="13" t="str">
        <f t="shared" si="30"/>
        <v xml:space="preserve"> </v>
      </c>
      <c r="E185" s="60" t="str">
        <f t="shared" si="26"/>
        <v xml:space="preserve"> </v>
      </c>
      <c r="F185" s="46" t="str">
        <f t="shared" si="31"/>
        <v/>
      </c>
      <c r="G185" s="53" t="str">
        <f t="shared" si="28"/>
        <v/>
      </c>
      <c r="H185" s="19" t="str">
        <f t="shared" si="32"/>
        <v xml:space="preserve"> </v>
      </c>
      <c r="J185">
        <v>200905</v>
      </c>
      <c r="K185">
        <v>4.7699999999999996</v>
      </c>
    </row>
    <row r="186" spans="2:11" hidden="1" x14ac:dyDescent="0.4">
      <c r="B186" s="58" t="str">
        <f t="shared" si="27"/>
        <v/>
      </c>
      <c r="C186" s="57" t="str">
        <f t="shared" si="29"/>
        <v xml:space="preserve"> </v>
      </c>
      <c r="D186" s="13" t="str">
        <f t="shared" si="30"/>
        <v xml:space="preserve"> </v>
      </c>
      <c r="E186" s="60" t="str">
        <f t="shared" si="26"/>
        <v xml:space="preserve"> </v>
      </c>
      <c r="F186" s="46" t="str">
        <f t="shared" si="31"/>
        <v/>
      </c>
      <c r="G186" s="53" t="str">
        <f t="shared" si="28"/>
        <v/>
      </c>
      <c r="H186" s="19" t="str">
        <f t="shared" si="32"/>
        <v xml:space="preserve"> </v>
      </c>
      <c r="J186">
        <v>200904</v>
      </c>
      <c r="K186">
        <v>5.73</v>
      </c>
    </row>
    <row r="187" spans="2:11" hidden="1" x14ac:dyDescent="0.4">
      <c r="B187" s="58" t="str">
        <f t="shared" si="27"/>
        <v/>
      </c>
      <c r="C187" s="57" t="str">
        <f t="shared" si="29"/>
        <v xml:space="preserve"> </v>
      </c>
      <c r="D187" s="13" t="str">
        <f t="shared" si="30"/>
        <v xml:space="preserve"> </v>
      </c>
      <c r="E187" s="60" t="str">
        <f t="shared" si="26"/>
        <v xml:space="preserve"> </v>
      </c>
      <c r="F187" s="46" t="str">
        <f t="shared" si="31"/>
        <v/>
      </c>
      <c r="G187" s="53" t="str">
        <f t="shared" si="28"/>
        <v/>
      </c>
      <c r="H187" s="19" t="str">
        <f t="shared" si="32"/>
        <v xml:space="preserve"> </v>
      </c>
      <c r="J187">
        <v>200903</v>
      </c>
      <c r="K187">
        <v>6.14</v>
      </c>
    </row>
    <row r="188" spans="2:11" hidden="1" x14ac:dyDescent="0.4">
      <c r="B188" s="58" t="str">
        <f t="shared" si="27"/>
        <v/>
      </c>
      <c r="C188" s="57" t="str">
        <f t="shared" si="29"/>
        <v xml:space="preserve"> </v>
      </c>
      <c r="D188" s="13" t="str">
        <f t="shared" si="30"/>
        <v xml:space="preserve"> </v>
      </c>
      <c r="E188" s="60" t="str">
        <f t="shared" si="26"/>
        <v xml:space="preserve"> </v>
      </c>
      <c r="F188" s="46" t="str">
        <f t="shared" si="31"/>
        <v/>
      </c>
      <c r="G188" s="53" t="str">
        <f t="shared" si="28"/>
        <v/>
      </c>
      <c r="H188" s="19" t="str">
        <f t="shared" si="32"/>
        <v xml:space="preserve"> </v>
      </c>
      <c r="J188">
        <v>200902</v>
      </c>
      <c r="K188">
        <v>6.47</v>
      </c>
    </row>
    <row r="189" spans="2:11" hidden="1" x14ac:dyDescent="0.4">
      <c r="B189" s="58" t="str">
        <f t="shared" si="27"/>
        <v/>
      </c>
      <c r="C189" s="57" t="str">
        <f t="shared" si="29"/>
        <v xml:space="preserve"> </v>
      </c>
      <c r="D189" s="13" t="str">
        <f t="shared" si="30"/>
        <v xml:space="preserve"> </v>
      </c>
      <c r="E189" s="60" t="str">
        <f t="shared" si="26"/>
        <v xml:space="preserve"> </v>
      </c>
      <c r="F189" s="46" t="str">
        <f t="shared" si="31"/>
        <v/>
      </c>
      <c r="G189" s="53" t="str">
        <f t="shared" si="28"/>
        <v/>
      </c>
      <c r="H189" s="19" t="str">
        <f t="shared" si="32"/>
        <v xml:space="preserve"> </v>
      </c>
      <c r="J189">
        <v>200901</v>
      </c>
      <c r="K189">
        <v>7.18</v>
      </c>
    </row>
    <row r="190" spans="2:11" hidden="1" x14ac:dyDescent="0.4">
      <c r="B190" s="58" t="str">
        <f t="shared" si="27"/>
        <v/>
      </c>
      <c r="C190" s="57" t="str">
        <f t="shared" si="29"/>
        <v xml:space="preserve"> </v>
      </c>
      <c r="D190" s="13" t="str">
        <f t="shared" si="30"/>
        <v xml:space="preserve"> </v>
      </c>
      <c r="E190" s="60" t="str">
        <f t="shared" si="26"/>
        <v xml:space="preserve"> </v>
      </c>
      <c r="F190" s="46" t="str">
        <f t="shared" si="31"/>
        <v/>
      </c>
      <c r="G190" s="53" t="str">
        <f t="shared" si="28"/>
        <v/>
      </c>
      <c r="H190" s="19" t="str">
        <f t="shared" si="32"/>
        <v xml:space="preserve"> </v>
      </c>
      <c r="J190">
        <v>200812</v>
      </c>
      <c r="K190">
        <v>7.67</v>
      </c>
    </row>
    <row r="191" spans="2:11" hidden="1" x14ac:dyDescent="0.4">
      <c r="B191" s="58" t="str">
        <f t="shared" si="27"/>
        <v/>
      </c>
      <c r="C191" s="57" t="str">
        <f t="shared" ref="C191:C204" si="33">IFERROR(IF($E$3="Corriente",VLOOKUP(INT(TEXT(B191,"AAAAMM")),$J$6:$K$381,2,0),VLOOKUP(INT(TEXT(B191,"AAAAMM")),$J$6:$K$381,2,0)*1.5)," ")</f>
        <v xml:space="preserve"> </v>
      </c>
      <c r="D191" s="13" t="str">
        <f t="shared" si="30"/>
        <v xml:space="preserve"> </v>
      </c>
      <c r="E191" s="60" t="str">
        <f t="shared" si="26"/>
        <v xml:space="preserve"> </v>
      </c>
      <c r="F191" s="46" t="str">
        <f t="shared" si="31"/>
        <v/>
      </c>
      <c r="G191" s="53" t="str">
        <f t="shared" si="28"/>
        <v/>
      </c>
      <c r="H191" s="19" t="str">
        <f t="shared" si="32"/>
        <v xml:space="preserve"> </v>
      </c>
      <c r="J191">
        <v>200811</v>
      </c>
      <c r="K191">
        <v>7.73</v>
      </c>
    </row>
    <row r="192" spans="2:11" hidden="1" x14ac:dyDescent="0.4">
      <c r="B192" s="58" t="str">
        <f t="shared" si="27"/>
        <v/>
      </c>
      <c r="C192" s="57" t="str">
        <f t="shared" si="33"/>
        <v xml:space="preserve"> </v>
      </c>
      <c r="D192" s="13" t="str">
        <f t="shared" si="30"/>
        <v xml:space="preserve"> </v>
      </c>
      <c r="E192" s="60" t="str">
        <f t="shared" si="26"/>
        <v xml:space="preserve"> </v>
      </c>
      <c r="F192" s="46" t="str">
        <f t="shared" si="31"/>
        <v/>
      </c>
      <c r="G192" s="53" t="str">
        <f t="shared" si="28"/>
        <v/>
      </c>
      <c r="H192" s="19" t="str">
        <f t="shared" si="32"/>
        <v xml:space="preserve"> </v>
      </c>
      <c r="J192">
        <v>200810</v>
      </c>
      <c r="K192">
        <v>7.94</v>
      </c>
    </row>
    <row r="193" spans="2:11" hidden="1" x14ac:dyDescent="0.4">
      <c r="B193" s="58" t="str">
        <f t="shared" si="27"/>
        <v/>
      </c>
      <c r="C193" s="57" t="str">
        <f t="shared" si="33"/>
        <v xml:space="preserve"> </v>
      </c>
      <c r="D193" s="13" t="str">
        <f t="shared" si="30"/>
        <v xml:space="preserve"> </v>
      </c>
      <c r="E193" s="60" t="str">
        <f t="shared" si="26"/>
        <v xml:space="preserve"> </v>
      </c>
      <c r="F193" s="46" t="str">
        <f t="shared" si="31"/>
        <v/>
      </c>
      <c r="G193" s="53" t="str">
        <f t="shared" si="28"/>
        <v/>
      </c>
      <c r="H193" s="19" t="str">
        <f t="shared" si="32"/>
        <v xml:space="preserve"> </v>
      </c>
      <c r="J193">
        <v>200809</v>
      </c>
      <c r="K193">
        <v>7.57</v>
      </c>
    </row>
    <row r="194" spans="2:11" hidden="1" x14ac:dyDescent="0.4">
      <c r="B194" s="58" t="str">
        <f t="shared" si="27"/>
        <v/>
      </c>
      <c r="C194" s="57" t="str">
        <f t="shared" si="33"/>
        <v xml:space="preserve"> </v>
      </c>
      <c r="D194" s="13" t="str">
        <f t="shared" si="30"/>
        <v xml:space="preserve"> </v>
      </c>
      <c r="E194" s="60" t="str">
        <f t="shared" si="26"/>
        <v xml:space="preserve"> </v>
      </c>
      <c r="F194" s="46" t="str">
        <f t="shared" si="31"/>
        <v/>
      </c>
      <c r="G194" s="53" t="str">
        <f t="shared" si="28"/>
        <v/>
      </c>
      <c r="H194" s="19" t="str">
        <f t="shared" si="32"/>
        <v xml:space="preserve"> </v>
      </c>
      <c r="J194">
        <v>200808</v>
      </c>
      <c r="K194">
        <v>7.87</v>
      </c>
    </row>
    <row r="195" spans="2:11" hidden="1" x14ac:dyDescent="0.4">
      <c r="B195" s="58" t="str">
        <f t="shared" si="27"/>
        <v/>
      </c>
      <c r="C195" s="57" t="str">
        <f t="shared" si="33"/>
        <v xml:space="preserve"> </v>
      </c>
      <c r="D195" s="13" t="str">
        <f t="shared" si="30"/>
        <v xml:space="preserve"> </v>
      </c>
      <c r="E195" s="60" t="str">
        <f t="shared" si="26"/>
        <v xml:space="preserve"> </v>
      </c>
      <c r="F195" s="46" t="str">
        <f t="shared" si="31"/>
        <v/>
      </c>
      <c r="G195" s="53" t="str">
        <f t="shared" si="28"/>
        <v/>
      </c>
      <c r="H195" s="19" t="str">
        <f t="shared" si="32"/>
        <v xml:space="preserve"> </v>
      </c>
      <c r="J195">
        <v>200807</v>
      </c>
      <c r="K195">
        <v>7.52</v>
      </c>
    </row>
    <row r="196" spans="2:11" hidden="1" x14ac:dyDescent="0.4">
      <c r="B196" s="58" t="str">
        <f t="shared" si="27"/>
        <v/>
      </c>
      <c r="C196" s="57" t="str">
        <f t="shared" si="33"/>
        <v xml:space="preserve"> </v>
      </c>
      <c r="D196" s="13" t="str">
        <f t="shared" si="30"/>
        <v xml:space="preserve"> </v>
      </c>
      <c r="E196" s="60" t="str">
        <f t="shared" si="26"/>
        <v xml:space="preserve"> </v>
      </c>
      <c r="F196" s="46" t="str">
        <f t="shared" si="31"/>
        <v/>
      </c>
      <c r="G196" s="53" t="str">
        <f t="shared" si="28"/>
        <v/>
      </c>
      <c r="H196" s="19" t="str">
        <f t="shared" si="32"/>
        <v xml:space="preserve"> </v>
      </c>
      <c r="J196">
        <v>200806</v>
      </c>
      <c r="K196">
        <v>7.18</v>
      </c>
    </row>
    <row r="197" spans="2:11" hidden="1" x14ac:dyDescent="0.4">
      <c r="B197" s="58" t="str">
        <f t="shared" si="27"/>
        <v/>
      </c>
      <c r="C197" s="57" t="str">
        <f t="shared" si="33"/>
        <v xml:space="preserve"> </v>
      </c>
      <c r="D197" s="13" t="str">
        <f t="shared" si="30"/>
        <v xml:space="preserve"> </v>
      </c>
      <c r="E197" s="60" t="str">
        <f t="shared" si="26"/>
        <v xml:space="preserve"> </v>
      </c>
      <c r="F197" s="46" t="str">
        <f t="shared" si="31"/>
        <v/>
      </c>
      <c r="G197" s="53" t="str">
        <f t="shared" si="28"/>
        <v/>
      </c>
      <c r="H197" s="19" t="str">
        <f t="shared" si="32"/>
        <v xml:space="preserve"> </v>
      </c>
      <c r="J197">
        <v>200805</v>
      </c>
      <c r="K197">
        <v>6.39</v>
      </c>
    </row>
    <row r="198" spans="2:11" hidden="1" x14ac:dyDescent="0.4">
      <c r="B198" s="58" t="str">
        <f t="shared" si="27"/>
        <v/>
      </c>
      <c r="C198" s="57" t="str">
        <f t="shared" si="33"/>
        <v xml:space="preserve"> </v>
      </c>
      <c r="D198" s="13" t="str">
        <f t="shared" si="30"/>
        <v xml:space="preserve"> </v>
      </c>
      <c r="E198" s="60" t="str">
        <f t="shared" si="26"/>
        <v xml:space="preserve"> </v>
      </c>
      <c r="F198" s="46" t="str">
        <f t="shared" si="31"/>
        <v/>
      </c>
      <c r="G198" s="53" t="str">
        <f t="shared" si="28"/>
        <v/>
      </c>
      <c r="H198" s="19" t="str">
        <f t="shared" si="32"/>
        <v xml:space="preserve"> </v>
      </c>
      <c r="J198">
        <v>200804</v>
      </c>
      <c r="K198">
        <v>5.73</v>
      </c>
    </row>
    <row r="199" spans="2:11" hidden="1" x14ac:dyDescent="0.4">
      <c r="B199" s="58" t="str">
        <f t="shared" si="27"/>
        <v/>
      </c>
      <c r="C199" s="57" t="str">
        <f t="shared" si="33"/>
        <v xml:space="preserve"> </v>
      </c>
      <c r="D199" s="13" t="str">
        <f t="shared" ref="D199:D204" si="34">IFERROR(IF(AND(TEXT(B199,"D")="1",TEXT(H199,"DD")=TEXT(EOMONTH(B199,0),"D")),30,IF(TEXT(H199,"DDMMYYYY")=TEXT($B$3,"DDMMYYYY"),INT(TEXT($B$3,"DD")),H199-B199))," ")</f>
        <v xml:space="preserve"> </v>
      </c>
      <c r="E199" s="60" t="str">
        <f t="shared" si="26"/>
        <v xml:space="preserve"> </v>
      </c>
      <c r="F199" s="46" t="str">
        <f t="shared" ref="F199:F204" si="35">IFERROR(E199*$C$3*D199,"")</f>
        <v/>
      </c>
      <c r="G199" s="53" t="str">
        <f t="shared" si="28"/>
        <v/>
      </c>
      <c r="H199" s="19" t="str">
        <f t="shared" ref="H199:H204" si="36">IFERROR(IF(TEXT(B199,"MMAAA")=TEXT($B$3,"MMAAAA"),$B$3,EOMONTH(B199,0))," ")</f>
        <v xml:space="preserve"> </v>
      </c>
      <c r="J199">
        <v>200803</v>
      </c>
      <c r="K199">
        <v>5.93</v>
      </c>
    </row>
    <row r="200" spans="2:11" hidden="1" x14ac:dyDescent="0.4">
      <c r="B200" s="58" t="str">
        <f t="shared" si="27"/>
        <v/>
      </c>
      <c r="C200" s="57" t="str">
        <f t="shared" si="33"/>
        <v xml:space="preserve"> </v>
      </c>
      <c r="D200" s="13" t="str">
        <f t="shared" si="34"/>
        <v xml:space="preserve"> </v>
      </c>
      <c r="E200" s="60" t="str">
        <f t="shared" ref="E200:E204" si="37">IFERROR(C200/12/30," ")</f>
        <v xml:space="preserve"> </v>
      </c>
      <c r="F200" s="46" t="str">
        <f t="shared" si="35"/>
        <v/>
      </c>
      <c r="G200" s="53" t="str">
        <f t="shared" si="28"/>
        <v/>
      </c>
      <c r="H200" s="19" t="str">
        <f t="shared" si="36"/>
        <v xml:space="preserve"> </v>
      </c>
      <c r="J200">
        <v>200802</v>
      </c>
      <c r="K200">
        <v>6.35</v>
      </c>
    </row>
    <row r="201" spans="2:11" hidden="1" x14ac:dyDescent="0.4">
      <c r="B201" s="58" t="str">
        <f t="shared" ref="B201:B204" si="38">IF(EDATE($H$7,ROW()-8)&lt;=$B$3,EDATE($H$7+1,ROW()-8),"")</f>
        <v/>
      </c>
      <c r="C201" s="57" t="str">
        <f t="shared" si="33"/>
        <v xml:space="preserve"> </v>
      </c>
      <c r="D201" s="13" t="str">
        <f t="shared" si="34"/>
        <v xml:space="preserve"> </v>
      </c>
      <c r="E201" s="60" t="str">
        <f t="shared" si="37"/>
        <v xml:space="preserve"> </v>
      </c>
      <c r="F201" s="46" t="str">
        <f t="shared" si="35"/>
        <v/>
      </c>
      <c r="G201" s="53" t="str">
        <f t="shared" ref="G201:G204" si="39">IFERROR(F201+G200,"")</f>
        <v/>
      </c>
      <c r="H201" s="19" t="str">
        <f t="shared" si="36"/>
        <v xml:space="preserve"> </v>
      </c>
      <c r="J201">
        <v>200801</v>
      </c>
      <c r="K201">
        <v>6</v>
      </c>
    </row>
    <row r="202" spans="2:11" hidden="1" x14ac:dyDescent="0.4">
      <c r="B202" s="58" t="str">
        <f t="shared" si="38"/>
        <v/>
      </c>
      <c r="C202" s="57" t="str">
        <f t="shared" si="33"/>
        <v xml:space="preserve"> </v>
      </c>
      <c r="D202" s="13" t="str">
        <f t="shared" si="34"/>
        <v xml:space="preserve"> </v>
      </c>
      <c r="E202" s="60" t="str">
        <f t="shared" si="37"/>
        <v xml:space="preserve"> </v>
      </c>
      <c r="F202" s="46" t="str">
        <f t="shared" si="35"/>
        <v/>
      </c>
      <c r="G202" s="53" t="str">
        <f t="shared" si="39"/>
        <v/>
      </c>
      <c r="H202" s="19" t="str">
        <f t="shared" si="36"/>
        <v xml:space="preserve"> </v>
      </c>
      <c r="J202">
        <v>200712</v>
      </c>
      <c r="K202">
        <v>5.69</v>
      </c>
    </row>
    <row r="203" spans="2:11" hidden="1" x14ac:dyDescent="0.4">
      <c r="B203" s="58" t="str">
        <f t="shared" si="38"/>
        <v/>
      </c>
      <c r="C203" s="57" t="str">
        <f t="shared" si="33"/>
        <v xml:space="preserve"> </v>
      </c>
      <c r="D203" s="13" t="str">
        <f t="shared" si="34"/>
        <v xml:space="preserve"> </v>
      </c>
      <c r="E203" s="60" t="str">
        <f t="shared" si="37"/>
        <v xml:space="preserve"> </v>
      </c>
      <c r="F203" s="46" t="str">
        <f t="shared" si="35"/>
        <v/>
      </c>
      <c r="G203" s="53" t="str">
        <f t="shared" si="39"/>
        <v/>
      </c>
      <c r="H203" s="19" t="str">
        <f t="shared" si="36"/>
        <v xml:space="preserve"> </v>
      </c>
      <c r="J203">
        <v>200711</v>
      </c>
      <c r="K203">
        <v>5.41</v>
      </c>
    </row>
    <row r="204" spans="2:11" hidden="1" x14ac:dyDescent="0.4">
      <c r="B204" s="58" t="str">
        <f t="shared" si="38"/>
        <v/>
      </c>
      <c r="C204" s="57" t="str">
        <f t="shared" si="33"/>
        <v xml:space="preserve"> </v>
      </c>
      <c r="D204" s="13" t="str">
        <f t="shared" si="34"/>
        <v xml:space="preserve"> </v>
      </c>
      <c r="E204" s="60" t="str">
        <f t="shared" si="37"/>
        <v xml:space="preserve"> </v>
      </c>
      <c r="F204" s="46" t="str">
        <f t="shared" si="35"/>
        <v/>
      </c>
      <c r="G204" s="53" t="str">
        <f t="shared" si="39"/>
        <v/>
      </c>
      <c r="H204" s="19" t="str">
        <f t="shared" si="36"/>
        <v xml:space="preserve"> </v>
      </c>
      <c r="J204">
        <v>200710</v>
      </c>
      <c r="K204">
        <v>5.16</v>
      </c>
    </row>
    <row r="205" spans="2:11" hidden="1" x14ac:dyDescent="0.4">
      <c r="J205">
        <v>200709</v>
      </c>
      <c r="K205">
        <v>5.01</v>
      </c>
    </row>
    <row r="206" spans="2:11" hidden="1" x14ac:dyDescent="0.4">
      <c r="J206">
        <v>200708</v>
      </c>
      <c r="K206">
        <v>5.22</v>
      </c>
    </row>
    <row r="207" spans="2:11" hidden="1" x14ac:dyDescent="0.4">
      <c r="J207">
        <v>200707</v>
      </c>
      <c r="K207">
        <v>5.77</v>
      </c>
    </row>
    <row r="208" spans="2:11" hidden="1" x14ac:dyDescent="0.4">
      <c r="J208">
        <v>200706</v>
      </c>
      <c r="K208">
        <v>6.03</v>
      </c>
    </row>
    <row r="209" spans="10:11" hidden="1" x14ac:dyDescent="0.4">
      <c r="J209">
        <v>200705</v>
      </c>
      <c r="K209">
        <v>6.23</v>
      </c>
    </row>
    <row r="210" spans="10:11" hidden="1" x14ac:dyDescent="0.4">
      <c r="J210">
        <v>200704</v>
      </c>
      <c r="K210">
        <v>6.26</v>
      </c>
    </row>
    <row r="211" spans="10:11" hidden="1" x14ac:dyDescent="0.4">
      <c r="J211">
        <v>200703</v>
      </c>
      <c r="K211">
        <v>5.78</v>
      </c>
    </row>
    <row r="212" spans="10:11" hidden="1" x14ac:dyDescent="0.4">
      <c r="J212">
        <v>200702</v>
      </c>
      <c r="K212">
        <v>5.25</v>
      </c>
    </row>
    <row r="213" spans="10:11" hidden="1" x14ac:dyDescent="0.4">
      <c r="J213">
        <v>200701</v>
      </c>
      <c r="K213">
        <v>4.71</v>
      </c>
    </row>
    <row r="214" spans="10:11" hidden="1" x14ac:dyDescent="0.4">
      <c r="J214">
        <v>200612</v>
      </c>
      <c r="K214">
        <v>4.4800000000000004</v>
      </c>
    </row>
    <row r="215" spans="10:11" hidden="1" x14ac:dyDescent="0.4">
      <c r="J215">
        <v>200611</v>
      </c>
      <c r="K215">
        <v>4.3099999999999996</v>
      </c>
    </row>
    <row r="216" spans="10:11" hidden="1" x14ac:dyDescent="0.4">
      <c r="J216">
        <v>200610</v>
      </c>
      <c r="K216">
        <v>4.1900000000000004</v>
      </c>
    </row>
    <row r="217" spans="10:11" hidden="1" x14ac:dyDescent="0.4">
      <c r="J217">
        <v>200609</v>
      </c>
      <c r="K217">
        <v>4.58</v>
      </c>
    </row>
    <row r="218" spans="10:11" hidden="1" x14ac:dyDescent="0.4">
      <c r="J218">
        <v>200608</v>
      </c>
      <c r="K218">
        <v>4.72</v>
      </c>
    </row>
    <row r="219" spans="10:11" hidden="1" x14ac:dyDescent="0.4">
      <c r="J219">
        <v>200607</v>
      </c>
      <c r="K219">
        <v>4.32</v>
      </c>
    </row>
    <row r="220" spans="10:11" hidden="1" x14ac:dyDescent="0.4">
      <c r="J220">
        <v>200606</v>
      </c>
      <c r="K220">
        <v>3.94</v>
      </c>
    </row>
    <row r="221" spans="10:11" hidden="1" x14ac:dyDescent="0.4">
      <c r="J221">
        <v>200605</v>
      </c>
      <c r="K221">
        <v>4.04</v>
      </c>
    </row>
    <row r="222" spans="10:11" hidden="1" x14ac:dyDescent="0.4">
      <c r="J222">
        <v>200604</v>
      </c>
      <c r="K222">
        <v>4.12</v>
      </c>
    </row>
    <row r="223" spans="10:11" hidden="1" x14ac:dyDescent="0.4">
      <c r="J223">
        <v>200603</v>
      </c>
      <c r="K223">
        <v>4.1100000000000003</v>
      </c>
    </row>
    <row r="224" spans="10:11" hidden="1" x14ac:dyDescent="0.4">
      <c r="J224">
        <v>200602</v>
      </c>
      <c r="K224">
        <v>4.1900000000000004</v>
      </c>
    </row>
    <row r="225" spans="10:11" hidden="1" x14ac:dyDescent="0.4">
      <c r="J225">
        <v>200601</v>
      </c>
      <c r="K225">
        <v>4.5599999999999996</v>
      </c>
    </row>
    <row r="226" spans="10:11" hidden="1" x14ac:dyDescent="0.4">
      <c r="J226">
        <v>200512</v>
      </c>
      <c r="K226">
        <v>4.8499999999999996</v>
      </c>
    </row>
    <row r="227" spans="10:11" hidden="1" x14ac:dyDescent="0.4">
      <c r="J227">
        <v>200511</v>
      </c>
      <c r="K227">
        <v>5.0999999999999996</v>
      </c>
    </row>
    <row r="228" spans="10:11" hidden="1" x14ac:dyDescent="0.4">
      <c r="J228">
        <v>200510</v>
      </c>
      <c r="K228">
        <v>5.27</v>
      </c>
    </row>
    <row r="229" spans="10:11" hidden="1" x14ac:dyDescent="0.4">
      <c r="J229">
        <v>200509</v>
      </c>
      <c r="K229">
        <v>5.0199999999999996</v>
      </c>
    </row>
    <row r="230" spans="10:11" hidden="1" x14ac:dyDescent="0.4">
      <c r="J230">
        <v>200508</v>
      </c>
      <c r="K230">
        <v>4.88</v>
      </c>
    </row>
    <row r="231" spans="10:11" hidden="1" x14ac:dyDescent="0.4">
      <c r="J231">
        <v>200507</v>
      </c>
      <c r="K231">
        <v>4.91</v>
      </c>
    </row>
    <row r="232" spans="10:11" hidden="1" x14ac:dyDescent="0.4">
      <c r="J232">
        <v>200506</v>
      </c>
      <c r="K232">
        <v>4.83</v>
      </c>
    </row>
    <row r="233" spans="10:11" hidden="1" x14ac:dyDescent="0.4">
      <c r="J233">
        <v>200505</v>
      </c>
      <c r="K233">
        <v>5.04</v>
      </c>
    </row>
    <row r="234" spans="10:11" hidden="1" x14ac:dyDescent="0.4">
      <c r="J234">
        <v>200504</v>
      </c>
      <c r="K234">
        <v>5.01</v>
      </c>
    </row>
    <row r="235" spans="10:11" hidden="1" x14ac:dyDescent="0.4">
      <c r="J235">
        <v>200503</v>
      </c>
      <c r="K235">
        <v>5.03</v>
      </c>
    </row>
    <row r="236" spans="10:11" hidden="1" x14ac:dyDescent="0.4">
      <c r="J236">
        <v>200502</v>
      </c>
      <c r="K236">
        <v>5.25</v>
      </c>
    </row>
    <row r="237" spans="10:11" hidden="1" x14ac:dyDescent="0.4">
      <c r="J237">
        <v>200501</v>
      </c>
      <c r="K237">
        <v>5.43</v>
      </c>
    </row>
    <row r="238" spans="10:11" hidden="1" x14ac:dyDescent="0.4">
      <c r="J238">
        <v>200412</v>
      </c>
      <c r="K238">
        <v>5.5</v>
      </c>
    </row>
    <row r="239" spans="10:11" hidden="1" x14ac:dyDescent="0.4">
      <c r="J239">
        <v>200411</v>
      </c>
      <c r="K239">
        <v>5.82</v>
      </c>
    </row>
    <row r="240" spans="10:11" hidden="1" x14ac:dyDescent="0.4">
      <c r="J240">
        <v>200410</v>
      </c>
      <c r="K240">
        <v>5.9</v>
      </c>
    </row>
    <row r="241" spans="10:11" hidden="1" x14ac:dyDescent="0.4">
      <c r="J241">
        <v>200409</v>
      </c>
      <c r="K241">
        <v>5.97</v>
      </c>
    </row>
    <row r="242" spans="10:11" hidden="1" x14ac:dyDescent="0.4">
      <c r="J242">
        <v>200408</v>
      </c>
      <c r="K242">
        <v>5.89</v>
      </c>
    </row>
    <row r="243" spans="10:11" hidden="1" x14ac:dyDescent="0.4">
      <c r="J243">
        <v>200407</v>
      </c>
      <c r="K243">
        <v>6.19</v>
      </c>
    </row>
    <row r="244" spans="10:11" hidden="1" x14ac:dyDescent="0.4">
      <c r="J244">
        <v>200406</v>
      </c>
      <c r="K244">
        <v>6.07</v>
      </c>
    </row>
    <row r="245" spans="10:11" hidden="1" x14ac:dyDescent="0.4">
      <c r="J245">
        <v>200405</v>
      </c>
      <c r="K245">
        <v>5.37</v>
      </c>
    </row>
    <row r="246" spans="10:11" hidden="1" x14ac:dyDescent="0.4">
      <c r="J246">
        <v>200404</v>
      </c>
      <c r="K246">
        <v>5.49</v>
      </c>
    </row>
    <row r="247" spans="10:11" hidden="1" x14ac:dyDescent="0.4">
      <c r="J247">
        <v>200403</v>
      </c>
      <c r="K247">
        <v>6.21</v>
      </c>
    </row>
    <row r="248" spans="10:11" hidden="1" x14ac:dyDescent="0.4">
      <c r="J248">
        <v>200402</v>
      </c>
      <c r="K248">
        <v>6.28</v>
      </c>
    </row>
    <row r="249" spans="10:11" hidden="1" x14ac:dyDescent="0.4">
      <c r="J249">
        <v>200401</v>
      </c>
      <c r="K249">
        <v>6.19</v>
      </c>
    </row>
    <row r="250" spans="10:11" hidden="1" x14ac:dyDescent="0.4">
      <c r="J250">
        <v>200312</v>
      </c>
      <c r="K250">
        <v>6.49</v>
      </c>
    </row>
    <row r="251" spans="10:11" hidden="1" x14ac:dyDescent="0.4">
      <c r="J251">
        <v>200311</v>
      </c>
      <c r="K251">
        <v>6.13</v>
      </c>
    </row>
    <row r="252" spans="10:11" hidden="1" x14ac:dyDescent="0.4">
      <c r="J252">
        <v>200310</v>
      </c>
      <c r="K252">
        <v>6.58</v>
      </c>
    </row>
    <row r="253" spans="10:11" hidden="1" x14ac:dyDescent="0.4">
      <c r="J253">
        <v>200309</v>
      </c>
      <c r="K253">
        <v>7.11</v>
      </c>
    </row>
    <row r="254" spans="10:11" hidden="1" x14ac:dyDescent="0.4">
      <c r="J254">
        <v>200308</v>
      </c>
      <c r="K254">
        <v>7.26</v>
      </c>
    </row>
    <row r="255" spans="10:11" hidden="1" x14ac:dyDescent="0.4">
      <c r="J255">
        <v>200307</v>
      </c>
      <c r="K255">
        <v>7.04</v>
      </c>
    </row>
    <row r="256" spans="10:11" hidden="1" x14ac:dyDescent="0.4">
      <c r="J256">
        <v>200306</v>
      </c>
      <c r="K256">
        <v>7.21</v>
      </c>
    </row>
    <row r="257" spans="10:11" hidden="1" x14ac:dyDescent="0.4">
      <c r="J257">
        <v>200305</v>
      </c>
      <c r="K257">
        <v>7.73</v>
      </c>
    </row>
    <row r="258" spans="10:11" hidden="1" x14ac:dyDescent="0.4">
      <c r="J258">
        <v>200304</v>
      </c>
      <c r="K258">
        <v>7.85</v>
      </c>
    </row>
    <row r="259" spans="10:11" hidden="1" x14ac:dyDescent="0.4">
      <c r="J259">
        <v>200303</v>
      </c>
      <c r="K259">
        <v>7.6</v>
      </c>
    </row>
    <row r="260" spans="10:11" hidden="1" x14ac:dyDescent="0.4">
      <c r="J260">
        <v>200302</v>
      </c>
      <c r="K260">
        <v>7.24</v>
      </c>
    </row>
    <row r="261" spans="10:11" hidden="1" x14ac:dyDescent="0.4">
      <c r="J261">
        <v>200301</v>
      </c>
      <c r="K261">
        <v>7.39</v>
      </c>
    </row>
    <row r="262" spans="10:11" hidden="1" x14ac:dyDescent="0.4">
      <c r="J262">
        <v>200212</v>
      </c>
      <c r="K262">
        <v>6.99</v>
      </c>
    </row>
    <row r="263" spans="10:11" hidden="1" x14ac:dyDescent="0.4">
      <c r="J263">
        <v>200211</v>
      </c>
      <c r="K263">
        <v>7.07</v>
      </c>
    </row>
    <row r="264" spans="10:11" hidden="1" x14ac:dyDescent="0.4">
      <c r="J264">
        <v>200210</v>
      </c>
      <c r="K264">
        <v>6.37</v>
      </c>
    </row>
    <row r="265" spans="10:11" hidden="1" x14ac:dyDescent="0.4">
      <c r="J265">
        <v>200209</v>
      </c>
      <c r="K265">
        <v>5.97</v>
      </c>
    </row>
    <row r="266" spans="10:11" hidden="1" x14ac:dyDescent="0.4">
      <c r="J266">
        <v>200208</v>
      </c>
      <c r="K266">
        <v>5.98</v>
      </c>
    </row>
    <row r="267" spans="10:11" hidden="1" x14ac:dyDescent="0.4">
      <c r="J267">
        <v>200207</v>
      </c>
      <c r="K267">
        <v>6.16</v>
      </c>
    </row>
    <row r="268" spans="10:11" hidden="1" x14ac:dyDescent="0.4">
      <c r="J268">
        <v>200206</v>
      </c>
      <c r="K268">
        <v>6.25</v>
      </c>
    </row>
    <row r="269" spans="10:11" hidden="1" x14ac:dyDescent="0.4">
      <c r="J269">
        <v>200205</v>
      </c>
      <c r="K269">
        <v>5.84</v>
      </c>
    </row>
    <row r="270" spans="10:11" hidden="1" x14ac:dyDescent="0.4">
      <c r="J270">
        <v>200204</v>
      </c>
      <c r="K270">
        <v>5.65</v>
      </c>
    </row>
    <row r="271" spans="10:11" hidden="1" x14ac:dyDescent="0.4">
      <c r="J271">
        <v>200203</v>
      </c>
      <c r="K271">
        <v>5.89</v>
      </c>
    </row>
    <row r="272" spans="10:11" hidden="1" x14ac:dyDescent="0.4">
      <c r="J272">
        <v>200202</v>
      </c>
      <c r="K272">
        <v>6.7</v>
      </c>
    </row>
    <row r="273" spans="10:11" hidden="1" x14ac:dyDescent="0.4">
      <c r="J273">
        <v>200201</v>
      </c>
      <c r="K273">
        <v>7.37</v>
      </c>
    </row>
    <row r="274" spans="10:11" hidden="1" x14ac:dyDescent="0.4">
      <c r="J274">
        <v>200112</v>
      </c>
      <c r="K274">
        <v>7.65</v>
      </c>
    </row>
    <row r="275" spans="10:11" hidden="1" x14ac:dyDescent="0.4">
      <c r="J275">
        <v>200111</v>
      </c>
      <c r="K275">
        <v>7.78</v>
      </c>
    </row>
    <row r="276" spans="10:11" hidden="1" x14ac:dyDescent="0.4">
      <c r="J276">
        <v>200110</v>
      </c>
      <c r="K276">
        <v>8.01</v>
      </c>
    </row>
    <row r="277" spans="10:11" hidden="1" x14ac:dyDescent="0.4">
      <c r="J277">
        <v>200109</v>
      </c>
      <c r="K277">
        <v>7.97</v>
      </c>
    </row>
    <row r="278" spans="10:11" hidden="1" x14ac:dyDescent="0.4">
      <c r="J278">
        <v>200108</v>
      </c>
      <c r="K278">
        <v>8.0299999999999994</v>
      </c>
    </row>
    <row r="279" spans="10:11" hidden="1" x14ac:dyDescent="0.4">
      <c r="J279">
        <v>200107</v>
      </c>
      <c r="K279">
        <v>8.09</v>
      </c>
    </row>
    <row r="280" spans="10:11" hidden="1" x14ac:dyDescent="0.4">
      <c r="J280">
        <v>200106</v>
      </c>
      <c r="K280">
        <v>7.93</v>
      </c>
    </row>
    <row r="281" spans="10:11" hidden="1" x14ac:dyDescent="0.4">
      <c r="J281">
        <v>200105</v>
      </c>
      <c r="K281">
        <v>7.87</v>
      </c>
    </row>
    <row r="282" spans="10:11" hidden="1" x14ac:dyDescent="0.4">
      <c r="J282">
        <v>200104</v>
      </c>
      <c r="K282">
        <v>7.98</v>
      </c>
    </row>
    <row r="283" spans="10:11" hidden="1" x14ac:dyDescent="0.4">
      <c r="J283">
        <v>200103</v>
      </c>
      <c r="K283">
        <v>7.81</v>
      </c>
    </row>
    <row r="284" spans="10:11" hidden="1" x14ac:dyDescent="0.4">
      <c r="J284">
        <v>200102</v>
      </c>
      <c r="K284">
        <v>8.06</v>
      </c>
    </row>
    <row r="285" spans="10:11" hidden="1" x14ac:dyDescent="0.4">
      <c r="J285">
        <v>200101</v>
      </c>
      <c r="K285">
        <v>8.49</v>
      </c>
    </row>
    <row r="286" spans="10:11" hidden="1" x14ac:dyDescent="0.4">
      <c r="J286">
        <v>200012</v>
      </c>
      <c r="K286">
        <v>8.75</v>
      </c>
    </row>
    <row r="287" spans="10:11" hidden="1" x14ac:dyDescent="0.4">
      <c r="J287">
        <v>200011</v>
      </c>
      <c r="K287">
        <v>8.82</v>
      </c>
    </row>
    <row r="288" spans="10:11" hidden="1" x14ac:dyDescent="0.4">
      <c r="J288">
        <v>200010</v>
      </c>
      <c r="K288">
        <v>8.99</v>
      </c>
    </row>
    <row r="289" spans="2:11" hidden="1" x14ac:dyDescent="0.4">
      <c r="J289">
        <v>200009</v>
      </c>
      <c r="K289">
        <v>9.1999999999999993</v>
      </c>
    </row>
    <row r="290" spans="2:11" hidden="1" x14ac:dyDescent="0.4">
      <c r="J290">
        <v>200008</v>
      </c>
      <c r="K290">
        <v>9.1</v>
      </c>
    </row>
    <row r="291" spans="2:11" hidden="1" x14ac:dyDescent="0.4">
      <c r="J291">
        <v>200007</v>
      </c>
      <c r="K291">
        <v>9.2899999999999991</v>
      </c>
    </row>
    <row r="292" spans="2:11" hidden="1" x14ac:dyDescent="0.4">
      <c r="J292">
        <v>200006</v>
      </c>
      <c r="K292">
        <v>9.68</v>
      </c>
    </row>
    <row r="293" spans="2:11" hidden="1" x14ac:dyDescent="0.4">
      <c r="J293">
        <v>200005</v>
      </c>
      <c r="K293">
        <v>10</v>
      </c>
    </row>
    <row r="294" spans="2:11" hidden="1" x14ac:dyDescent="0.4">
      <c r="J294">
        <v>200004</v>
      </c>
      <c r="K294">
        <v>9.9600000000000009</v>
      </c>
    </row>
    <row r="295" spans="2:11" hidden="1" x14ac:dyDescent="0.4">
      <c r="J295">
        <v>200003</v>
      </c>
      <c r="K295">
        <v>9.73</v>
      </c>
    </row>
    <row r="296" spans="2:11" hidden="1" x14ac:dyDescent="0.4">
      <c r="J296">
        <v>200002</v>
      </c>
      <c r="K296">
        <v>8.89</v>
      </c>
    </row>
    <row r="297" spans="2:11" hidden="1" x14ac:dyDescent="0.4">
      <c r="J297">
        <v>200001</v>
      </c>
      <c r="K297">
        <v>8.25</v>
      </c>
    </row>
    <row r="298" spans="2:11" hidden="1" x14ac:dyDescent="0.4">
      <c r="J298">
        <v>199912</v>
      </c>
      <c r="K298">
        <v>9.23</v>
      </c>
    </row>
    <row r="299" spans="2:11" hidden="1" x14ac:dyDescent="0.4">
      <c r="J299">
        <v>199911</v>
      </c>
      <c r="K299">
        <v>9.65</v>
      </c>
    </row>
    <row r="300" spans="2:11" hidden="1" x14ac:dyDescent="0.4">
      <c r="J300">
        <v>199910</v>
      </c>
      <c r="K300">
        <v>9.32</v>
      </c>
    </row>
    <row r="301" spans="2:11" hidden="1" x14ac:dyDescent="0.4">
      <c r="J301">
        <v>199909</v>
      </c>
      <c r="K301">
        <v>9.33</v>
      </c>
    </row>
    <row r="302" spans="2:11" hidden="1" x14ac:dyDescent="0.4">
      <c r="J302">
        <v>199908</v>
      </c>
      <c r="K302">
        <v>9.2799999999999994</v>
      </c>
    </row>
    <row r="303" spans="2:11" hidden="1" x14ac:dyDescent="0.4">
      <c r="J303">
        <v>199907</v>
      </c>
      <c r="K303">
        <v>8.7799999999999994</v>
      </c>
    </row>
    <row r="304" spans="2:11" hidden="1" x14ac:dyDescent="0.4">
      <c r="B304" s="59"/>
      <c r="J304">
        <v>199906</v>
      </c>
      <c r="K304">
        <v>8.9600000000000009</v>
      </c>
    </row>
    <row r="305" spans="10:11" hidden="1" x14ac:dyDescent="0.4">
      <c r="J305">
        <v>199905</v>
      </c>
      <c r="K305">
        <v>9.98</v>
      </c>
    </row>
    <row r="306" spans="10:11" hidden="1" x14ac:dyDescent="0.4">
      <c r="J306">
        <v>199904</v>
      </c>
      <c r="K306">
        <v>11.17</v>
      </c>
    </row>
    <row r="307" spans="10:11" hidden="1" x14ac:dyDescent="0.4">
      <c r="J307">
        <v>199903</v>
      </c>
      <c r="K307">
        <v>13.51</v>
      </c>
    </row>
    <row r="308" spans="10:11" hidden="1" x14ac:dyDescent="0.4">
      <c r="J308">
        <v>199902</v>
      </c>
      <c r="K308">
        <v>15.38</v>
      </c>
    </row>
    <row r="309" spans="10:11" hidden="1" x14ac:dyDescent="0.4">
      <c r="J309">
        <v>199901</v>
      </c>
      <c r="K309">
        <v>17.18</v>
      </c>
    </row>
    <row r="310" spans="10:11" hidden="1" x14ac:dyDescent="0.4">
      <c r="J310">
        <v>199812</v>
      </c>
      <c r="K310">
        <v>16.7</v>
      </c>
    </row>
    <row r="311" spans="10:11" hidden="1" x14ac:dyDescent="0.4">
      <c r="J311">
        <v>199811</v>
      </c>
      <c r="K311">
        <v>16.350000000000001</v>
      </c>
    </row>
    <row r="312" spans="10:11" hidden="1" x14ac:dyDescent="0.4">
      <c r="J312">
        <v>199810</v>
      </c>
      <c r="K312">
        <v>17.09</v>
      </c>
    </row>
    <row r="313" spans="10:11" hidden="1" x14ac:dyDescent="0.4">
      <c r="J313">
        <v>199809</v>
      </c>
      <c r="K313">
        <v>17.8</v>
      </c>
    </row>
    <row r="314" spans="10:11" hidden="1" x14ac:dyDescent="0.4">
      <c r="J314">
        <v>199808</v>
      </c>
      <c r="K314">
        <v>18.940000000000001</v>
      </c>
    </row>
    <row r="315" spans="10:11" hidden="1" x14ac:dyDescent="0.4">
      <c r="J315">
        <v>199807</v>
      </c>
      <c r="K315">
        <v>20.27</v>
      </c>
    </row>
    <row r="316" spans="10:11" hidden="1" x14ac:dyDescent="0.4">
      <c r="J316">
        <v>199806</v>
      </c>
      <c r="K316">
        <v>20.69</v>
      </c>
    </row>
    <row r="317" spans="10:11" hidden="1" x14ac:dyDescent="0.4">
      <c r="J317">
        <v>199805</v>
      </c>
      <c r="K317">
        <v>20.67</v>
      </c>
    </row>
    <row r="318" spans="10:11" hidden="1" x14ac:dyDescent="0.4">
      <c r="J318">
        <v>199804</v>
      </c>
      <c r="K318">
        <v>20.74</v>
      </c>
    </row>
    <row r="319" spans="10:11" hidden="1" x14ac:dyDescent="0.4">
      <c r="J319">
        <v>199803</v>
      </c>
      <c r="K319">
        <v>19.239999999999998</v>
      </c>
    </row>
    <row r="320" spans="10:11" hidden="1" x14ac:dyDescent="0.4">
      <c r="J320">
        <v>199802</v>
      </c>
      <c r="K320">
        <v>18.03</v>
      </c>
    </row>
    <row r="321" spans="10:11" hidden="1" x14ac:dyDescent="0.4">
      <c r="J321">
        <v>199801</v>
      </c>
      <c r="K321">
        <v>17.84</v>
      </c>
    </row>
    <row r="322" spans="10:11" hidden="1" x14ac:dyDescent="0.4">
      <c r="J322">
        <v>199712</v>
      </c>
      <c r="K322">
        <v>17.68</v>
      </c>
    </row>
    <row r="323" spans="10:11" hidden="1" x14ac:dyDescent="0.4">
      <c r="J323">
        <v>199711</v>
      </c>
      <c r="K323">
        <v>17.809999999999999</v>
      </c>
    </row>
    <row r="324" spans="10:11" hidden="1" x14ac:dyDescent="0.4">
      <c r="J324">
        <v>199710</v>
      </c>
      <c r="K324">
        <v>17.8</v>
      </c>
    </row>
    <row r="325" spans="10:11" hidden="1" x14ac:dyDescent="0.4">
      <c r="J325">
        <v>199709</v>
      </c>
      <c r="K325">
        <v>18.010000000000002</v>
      </c>
    </row>
    <row r="326" spans="10:11" hidden="1" x14ac:dyDescent="0.4">
      <c r="J326">
        <v>199708</v>
      </c>
      <c r="K326">
        <v>17.93</v>
      </c>
    </row>
    <row r="327" spans="10:11" hidden="1" x14ac:dyDescent="0.4">
      <c r="J327">
        <v>199707</v>
      </c>
      <c r="K327">
        <v>17.88</v>
      </c>
    </row>
    <row r="328" spans="10:11" hidden="1" x14ac:dyDescent="0.4">
      <c r="J328">
        <v>199706</v>
      </c>
      <c r="K328">
        <v>18.670000000000002</v>
      </c>
    </row>
    <row r="329" spans="10:11" hidden="1" x14ac:dyDescent="0.4">
      <c r="J329">
        <v>199705</v>
      </c>
      <c r="K329">
        <v>18.600000000000001</v>
      </c>
    </row>
    <row r="330" spans="10:11" hidden="1" x14ac:dyDescent="0.4">
      <c r="J330">
        <v>199704</v>
      </c>
      <c r="K330">
        <v>18.52</v>
      </c>
    </row>
    <row r="331" spans="10:11" hidden="1" x14ac:dyDescent="0.4">
      <c r="J331">
        <v>199703</v>
      </c>
      <c r="K331">
        <v>18.93</v>
      </c>
    </row>
    <row r="332" spans="10:11" hidden="1" x14ac:dyDescent="0.4">
      <c r="J332">
        <v>199702</v>
      </c>
      <c r="K332">
        <v>19.579999999999998</v>
      </c>
    </row>
    <row r="333" spans="10:11" hidden="1" x14ac:dyDescent="0.4">
      <c r="J333">
        <v>199701</v>
      </c>
      <c r="K333">
        <v>20.62</v>
      </c>
    </row>
    <row r="334" spans="10:11" hidden="1" x14ac:dyDescent="0.4">
      <c r="J334">
        <v>199612</v>
      </c>
      <c r="K334">
        <v>21.63</v>
      </c>
    </row>
    <row r="335" spans="10:11" hidden="1" x14ac:dyDescent="0.4">
      <c r="J335">
        <v>199611</v>
      </c>
      <c r="K335">
        <v>21.88</v>
      </c>
    </row>
    <row r="336" spans="10:11" hidden="1" x14ac:dyDescent="0.4">
      <c r="J336">
        <v>199610</v>
      </c>
      <c r="K336">
        <v>21.87</v>
      </c>
    </row>
    <row r="337" spans="10:11" hidden="1" x14ac:dyDescent="0.4">
      <c r="J337">
        <v>199609</v>
      </c>
      <c r="K337">
        <v>21.55</v>
      </c>
    </row>
    <row r="338" spans="10:11" hidden="1" x14ac:dyDescent="0.4">
      <c r="J338">
        <v>199608</v>
      </c>
      <c r="K338">
        <v>21.13</v>
      </c>
    </row>
    <row r="339" spans="10:11" hidden="1" x14ac:dyDescent="0.4">
      <c r="J339">
        <v>199607</v>
      </c>
      <c r="K339">
        <v>20.57</v>
      </c>
    </row>
    <row r="340" spans="10:11" hidden="1" x14ac:dyDescent="0.4">
      <c r="J340">
        <v>199606</v>
      </c>
      <c r="K340">
        <v>19.7</v>
      </c>
    </row>
    <row r="341" spans="10:11" hidden="1" x14ac:dyDescent="0.4">
      <c r="J341">
        <v>199605</v>
      </c>
      <c r="K341">
        <v>19.78</v>
      </c>
    </row>
    <row r="342" spans="10:11" hidden="1" x14ac:dyDescent="0.4">
      <c r="J342">
        <v>199604</v>
      </c>
      <c r="K342">
        <v>19.899999999999999</v>
      </c>
    </row>
    <row r="343" spans="10:11" hidden="1" x14ac:dyDescent="0.4">
      <c r="J343">
        <v>199603</v>
      </c>
      <c r="K343">
        <v>20.2</v>
      </c>
    </row>
    <row r="344" spans="10:11" hidden="1" x14ac:dyDescent="0.4">
      <c r="J344">
        <v>199602</v>
      </c>
      <c r="K344">
        <v>20.81</v>
      </c>
    </row>
    <row r="345" spans="10:11" hidden="1" x14ac:dyDescent="0.4">
      <c r="J345">
        <v>199601</v>
      </c>
      <c r="K345">
        <v>20.239999999999998</v>
      </c>
    </row>
    <row r="346" spans="10:11" hidden="1" x14ac:dyDescent="0.4">
      <c r="J346">
        <v>199512</v>
      </c>
      <c r="K346">
        <v>19.46</v>
      </c>
    </row>
    <row r="347" spans="10:11" hidden="1" x14ac:dyDescent="0.4">
      <c r="J347">
        <v>199511</v>
      </c>
      <c r="K347">
        <v>20.13</v>
      </c>
    </row>
    <row r="348" spans="10:11" hidden="1" x14ac:dyDescent="0.4">
      <c r="J348">
        <v>199510</v>
      </c>
      <c r="K348">
        <v>20.52</v>
      </c>
    </row>
    <row r="349" spans="10:11" hidden="1" x14ac:dyDescent="0.4">
      <c r="J349">
        <v>199509</v>
      </c>
      <c r="K349">
        <v>20.79</v>
      </c>
    </row>
    <row r="350" spans="10:11" hidden="1" x14ac:dyDescent="0.4">
      <c r="J350">
        <v>199508</v>
      </c>
      <c r="K350">
        <v>21.09</v>
      </c>
    </row>
    <row r="351" spans="10:11" hidden="1" x14ac:dyDescent="0.4">
      <c r="J351">
        <v>199507</v>
      </c>
      <c r="K351">
        <v>21.5</v>
      </c>
    </row>
    <row r="352" spans="10:11" hidden="1" x14ac:dyDescent="0.4">
      <c r="J352">
        <v>199506</v>
      </c>
      <c r="K352">
        <v>21.66</v>
      </c>
    </row>
    <row r="353" spans="10:11" hidden="1" x14ac:dyDescent="0.4">
      <c r="J353">
        <v>199505</v>
      </c>
      <c r="K353">
        <v>21.3</v>
      </c>
    </row>
    <row r="354" spans="10:11" hidden="1" x14ac:dyDescent="0.4">
      <c r="J354">
        <v>199504</v>
      </c>
      <c r="K354">
        <v>21.17</v>
      </c>
    </row>
    <row r="355" spans="10:11" hidden="1" x14ac:dyDescent="0.4">
      <c r="J355">
        <v>199503</v>
      </c>
      <c r="K355">
        <v>21.33</v>
      </c>
    </row>
    <row r="356" spans="10:11" hidden="1" x14ac:dyDescent="0.4">
      <c r="J356">
        <v>199502</v>
      </c>
      <c r="K356">
        <v>20.86</v>
      </c>
    </row>
    <row r="357" spans="10:11" hidden="1" x14ac:dyDescent="0.4">
      <c r="J357">
        <v>199501</v>
      </c>
      <c r="K357">
        <v>21.04</v>
      </c>
    </row>
    <row r="358" spans="10:11" hidden="1" x14ac:dyDescent="0.4">
      <c r="J358">
        <v>199412</v>
      </c>
      <c r="K358">
        <v>22.59</v>
      </c>
    </row>
    <row r="359" spans="10:11" hidden="1" x14ac:dyDescent="0.4">
      <c r="J359">
        <v>199411</v>
      </c>
      <c r="K359">
        <v>22.16</v>
      </c>
    </row>
    <row r="360" spans="10:11" hidden="1" x14ac:dyDescent="0.4">
      <c r="J360">
        <v>199410</v>
      </c>
      <c r="K360">
        <v>22.37</v>
      </c>
    </row>
    <row r="361" spans="10:11" hidden="1" x14ac:dyDescent="0.4">
      <c r="J361">
        <v>199409</v>
      </c>
      <c r="K361">
        <v>22.31</v>
      </c>
    </row>
    <row r="362" spans="10:11" hidden="1" x14ac:dyDescent="0.4">
      <c r="J362">
        <v>199408</v>
      </c>
      <c r="K362">
        <v>22.35</v>
      </c>
    </row>
    <row r="363" spans="10:11" hidden="1" x14ac:dyDescent="0.4">
      <c r="J363">
        <v>199407</v>
      </c>
      <c r="K363">
        <v>22.69</v>
      </c>
    </row>
    <row r="364" spans="10:11" hidden="1" x14ac:dyDescent="0.4">
      <c r="J364">
        <v>199406</v>
      </c>
      <c r="K364">
        <v>23.08</v>
      </c>
    </row>
    <row r="365" spans="10:11" hidden="1" x14ac:dyDescent="0.4">
      <c r="J365">
        <v>199405</v>
      </c>
      <c r="K365">
        <v>23.86</v>
      </c>
    </row>
    <row r="366" spans="10:11" hidden="1" x14ac:dyDescent="0.4">
      <c r="J366">
        <v>199404</v>
      </c>
      <c r="K366">
        <v>23.94</v>
      </c>
    </row>
    <row r="367" spans="10:11" hidden="1" x14ac:dyDescent="0.4">
      <c r="J367">
        <v>199403</v>
      </c>
      <c r="K367">
        <v>23.41</v>
      </c>
    </row>
    <row r="368" spans="10:11" hidden="1" x14ac:dyDescent="0.4">
      <c r="J368">
        <v>199402</v>
      </c>
      <c r="K368">
        <v>23.01</v>
      </c>
    </row>
    <row r="369" spans="10:11" hidden="1" x14ac:dyDescent="0.4">
      <c r="J369">
        <v>199401</v>
      </c>
      <c r="K369">
        <v>22.5</v>
      </c>
    </row>
    <row r="370" spans="10:11" hidden="1" x14ac:dyDescent="0.4">
      <c r="J370">
        <v>199312</v>
      </c>
      <c r="K370">
        <v>22.6</v>
      </c>
    </row>
    <row r="371" spans="10:11" hidden="1" x14ac:dyDescent="0.4">
      <c r="J371">
        <v>199311</v>
      </c>
      <c r="K371">
        <v>22.37</v>
      </c>
    </row>
    <row r="372" spans="10:11" hidden="1" x14ac:dyDescent="0.4">
      <c r="J372">
        <v>199310</v>
      </c>
      <c r="K372">
        <v>21.69</v>
      </c>
    </row>
    <row r="373" spans="10:11" hidden="1" x14ac:dyDescent="0.4">
      <c r="J373">
        <v>199309</v>
      </c>
      <c r="K373">
        <v>21.43</v>
      </c>
    </row>
    <row r="374" spans="10:11" hidden="1" x14ac:dyDescent="0.4">
      <c r="J374">
        <v>199308</v>
      </c>
      <c r="K374">
        <v>21.07</v>
      </c>
    </row>
    <row r="375" spans="10:11" hidden="1" x14ac:dyDescent="0.4">
      <c r="J375">
        <v>199307</v>
      </c>
      <c r="K375">
        <v>20.46</v>
      </c>
    </row>
    <row r="376" spans="10:11" hidden="1" x14ac:dyDescent="0.4">
      <c r="J376">
        <v>199306</v>
      </c>
      <c r="K376">
        <v>21.38</v>
      </c>
    </row>
    <row r="377" spans="10:11" hidden="1" x14ac:dyDescent="0.4">
      <c r="J377">
        <v>199305</v>
      </c>
      <c r="K377">
        <v>22.21</v>
      </c>
    </row>
    <row r="378" spans="10:11" hidden="1" x14ac:dyDescent="0.4">
      <c r="J378">
        <v>199304</v>
      </c>
      <c r="K378">
        <v>23.08</v>
      </c>
    </row>
    <row r="379" spans="10:11" hidden="1" x14ac:dyDescent="0.4">
      <c r="J379">
        <v>199303</v>
      </c>
      <c r="K379">
        <v>24.18</v>
      </c>
    </row>
    <row r="380" spans="10:11" hidden="1" x14ac:dyDescent="0.4">
      <c r="J380">
        <v>199302</v>
      </c>
      <c r="K380">
        <v>24.71</v>
      </c>
    </row>
    <row r="381" spans="10:11" hidden="1" x14ac:dyDescent="0.4">
      <c r="J381">
        <v>199301</v>
      </c>
      <c r="K381">
        <v>24.82</v>
      </c>
    </row>
  </sheetData>
  <mergeCells count="3">
    <mergeCell ref="A6:B6"/>
    <mergeCell ref="A1:G1"/>
    <mergeCell ref="A5:G5"/>
  </mergeCells>
  <dataValidations count="1">
    <dataValidation type="list" allowBlank="1" showInputMessage="1" showErrorMessage="1" sqref="E3" xr:uid="{039A3DA1-8212-4645-8C41-22AC79F7E939}">
      <formula1>$L$3:$L$4</formula1>
    </dataValidation>
  </dataValidations>
  <pageMargins left="1" right="1" top="1" bottom="1" header="0.5" footer="0.5"/>
  <pageSetup paperSize="9" scale="37" fitToHeight="0" orientation="portrait" horizontalDpi="1200" verticalDpi="0" r:id="rId1"/>
  <rowBreaks count="1" manualBreakCount="1">
    <brk id="75" max="11" man="1"/>
  </rowBreaks>
  <colBreaks count="1" manualBreakCount="1">
    <brk id="12" max="56" man="1"/>
  </colBreak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6D844-8285-4974-820D-72B4904A9925}">
  <sheetPr codeName="Hoja1">
    <tabColor rgb="FF92D050"/>
  </sheetPr>
  <dimension ref="A1:AJ376"/>
  <sheetViews>
    <sheetView topLeftCell="H1" zoomScale="55" zoomScaleNormal="55" zoomScaleSheetLayoutView="10" zoomScalePageLayoutView="40" workbookViewId="0">
      <selection activeCell="H3" sqref="H3"/>
    </sheetView>
  </sheetViews>
  <sheetFormatPr baseColWidth="10" defaultColWidth="11.42578125" defaultRowHeight="26.25" zeroHeight="1" x14ac:dyDescent="0.4"/>
  <cols>
    <col min="1" max="2" width="11.42578125" hidden="1" customWidth="1"/>
    <col min="3" max="3" width="6.7109375" customWidth="1"/>
    <col min="4" max="4" width="23.140625" customWidth="1"/>
    <col min="5" max="5" width="8.28515625" customWidth="1"/>
    <col min="6" max="6" width="22.85546875" style="3" customWidth="1"/>
    <col min="7" max="7" width="68" customWidth="1"/>
    <col min="8" max="8" width="78.5703125" customWidth="1"/>
    <col min="9" max="9" width="57.42578125" customWidth="1"/>
    <col min="10" max="10" width="68.28515625" style="19" customWidth="1"/>
    <col min="11" max="11" width="74.5703125" style="19" customWidth="1"/>
    <col min="12" max="12" width="9.5703125" style="2" customWidth="1"/>
    <col min="13" max="13" width="12.85546875" customWidth="1"/>
    <col min="14" max="15" width="30.5703125" customWidth="1"/>
    <col min="16" max="16" width="27.42578125" style="5" customWidth="1"/>
    <col min="17" max="17" width="34.28515625" style="4" customWidth="1"/>
    <col min="18" max="18" width="27.5703125" style="3" customWidth="1"/>
    <col min="19" max="19" width="25.28515625" style="3" customWidth="1"/>
    <col min="20" max="20" width="20" style="1" customWidth="1"/>
    <col min="21" max="21" width="24" style="1" customWidth="1"/>
    <col min="22" max="22" width="29.28515625" style="3" customWidth="1"/>
    <col min="23" max="23" width="30.140625" style="3" customWidth="1"/>
    <col min="24" max="24" width="36.42578125" style="3" customWidth="1"/>
    <col min="25" max="25" width="32.42578125" style="3" customWidth="1"/>
    <col min="26" max="26" width="31" style="52" customWidth="1"/>
    <col min="27" max="27" width="33.85546875" style="3" customWidth="1"/>
    <col min="28" max="28" width="28.140625" style="3" customWidth="1"/>
    <col min="29" max="29" width="39.28515625" style="24" customWidth="1"/>
    <col min="30" max="30" width="11.42578125" customWidth="1"/>
    <col min="31" max="31" width="25.85546875" customWidth="1"/>
    <col min="32" max="32" width="20.42578125" customWidth="1"/>
    <col min="33" max="33" width="11.42578125" customWidth="1"/>
    <col min="34" max="34" width="23.42578125" customWidth="1"/>
    <col min="35" max="35" width="22.28515625" customWidth="1"/>
    <col min="36" max="36" width="23.5703125" customWidth="1"/>
    <col min="37" max="37" width="23.42578125" customWidth="1"/>
    <col min="38" max="38" width="22.28515625" customWidth="1"/>
    <col min="39" max="44" width="23.5703125" customWidth="1"/>
  </cols>
  <sheetData>
    <row r="1" spans="4:36" s="21" customFormat="1" ht="94.5" customHeight="1" thickTop="1" thickBot="1" x14ac:dyDescent="0.3">
      <c r="F1" s="23"/>
      <c r="G1" s="95" t="s">
        <v>9</v>
      </c>
      <c r="H1" s="96"/>
      <c r="I1"/>
      <c r="J1" s="25" t="s">
        <v>28</v>
      </c>
      <c r="K1" s="25" t="s">
        <v>29</v>
      </c>
      <c r="L1" s="26" t="s">
        <v>27</v>
      </c>
      <c r="M1" s="27" t="s">
        <v>30</v>
      </c>
      <c r="N1" s="27" t="s">
        <v>38</v>
      </c>
      <c r="O1" s="27" t="s">
        <v>22</v>
      </c>
      <c r="P1" s="28" t="s">
        <v>21</v>
      </c>
      <c r="Q1" s="28" t="s">
        <v>39</v>
      </c>
      <c r="R1" s="29" t="s">
        <v>20</v>
      </c>
      <c r="S1" s="29" t="s">
        <v>18</v>
      </c>
      <c r="T1" s="30" t="s">
        <v>19</v>
      </c>
      <c r="U1" s="27" t="s">
        <v>42</v>
      </c>
      <c r="V1" s="31" t="s">
        <v>17</v>
      </c>
      <c r="W1" s="31" t="s">
        <v>15</v>
      </c>
      <c r="X1" s="31" t="s">
        <v>14</v>
      </c>
      <c r="Y1" s="31" t="s">
        <v>16</v>
      </c>
      <c r="Z1" s="31" t="s">
        <v>13</v>
      </c>
      <c r="AA1" s="31" t="s">
        <v>12</v>
      </c>
      <c r="AB1" s="31" t="s">
        <v>11</v>
      </c>
      <c r="AC1" s="32" t="s">
        <v>10</v>
      </c>
      <c r="AD1" s="23"/>
      <c r="AE1" s="21" t="s">
        <v>26</v>
      </c>
      <c r="AF1" s="21" t="s">
        <v>1</v>
      </c>
      <c r="AG1" s="22" t="s">
        <v>0</v>
      </c>
      <c r="AH1" s="22" t="s">
        <v>23</v>
      </c>
      <c r="AI1" s="22" t="s">
        <v>24</v>
      </c>
      <c r="AJ1" s="22" t="s">
        <v>25</v>
      </c>
    </row>
    <row r="2" spans="4:36" ht="27.75" customHeight="1" thickTop="1" thickBot="1" x14ac:dyDescent="0.45">
      <c r="F2" s="6"/>
      <c r="G2" s="10" t="s">
        <v>8</v>
      </c>
      <c r="H2" s="54">
        <v>0</v>
      </c>
      <c r="J2" s="19">
        <f>H3</f>
        <v>43847</v>
      </c>
      <c r="K2" s="19">
        <f t="shared" ref="K2:K33" si="0">IFERROR(IF(TEXT(J2,"MMAAA")=TEXT($H$4,"MMAAAA"),$H$4,EOMONTH(J2,0))," ")</f>
        <v>43861</v>
      </c>
      <c r="L2" s="13">
        <f>IFERROR(IF(AND(TEXT(J2,"D")="1",TEXT(K2,"DD")=TEXT(EOMONTH(J2,0),"D")),30,K2-J2)," ")</f>
        <v>14</v>
      </c>
      <c r="M2" s="9">
        <f t="shared" ref="M2:M33" si="1">IFERROR(VLOOKUP(INT(TEXT(K2,"AAAAMM")),$AE$1:$AF$376,2,0)," ")</f>
        <v>3.62</v>
      </c>
      <c r="N2" s="46">
        <f t="shared" ref="N2:N33" si="2">IFERROR(Q2+$H$14-Q2," ")</f>
        <v>299999.99999999988</v>
      </c>
      <c r="O2" s="46">
        <f t="shared" ref="O2:O33" si="3">IFERROR(Q2-N2-P2," ")</f>
        <v>409641.4</v>
      </c>
      <c r="P2" s="53">
        <f>IFERROR(IF(VLOOKUP(INT(TEXT(K2,"AAAA")),Tabla3[[AÑO]:[SALARIO 
MENSUAL]],2,0)*2&lt;$H$2,0,IFERROR(VLOOKUP(INT(TEXT(K2,"AAAA")),Tabla3[[AÑO]:[SALARIO 
MENSUAL]],2,0)," "))/30*L2," ")</f>
        <v>47998.533333333333</v>
      </c>
      <c r="Q2" s="53">
        <f>IFERROR(IF(VLOOKUP(INT(TEXT(K2,"AAAA")),Tabla3[[AÑO]:[SALARIO 
MENSUAL]],4,0)*2&lt;$H$2,$H$2,VLOOKUP(INT(TEXT(K2,"AAAA")),Tabla3[[AÑO]:[SALARIO 
MENSUAL]],4,0))/30*L2+$H$14+P2," ")</f>
        <v>757639.93333333323</v>
      </c>
      <c r="R2" s="51">
        <f t="shared" ref="R2:R33" si="4">IFERROR(Q2/360*L2," ")</f>
        <v>29463.775185185179</v>
      </c>
      <c r="S2" s="51">
        <f t="shared" ref="S2:S33" si="5">IFERROR(Q2/360*L2," ")</f>
        <v>29463.775185185179</v>
      </c>
      <c r="T2" s="11">
        <f t="shared" ref="T2:T33" si="6">IFERROR(L2/24," ")</f>
        <v>0.58333333333333337</v>
      </c>
      <c r="U2" s="53">
        <f>IFERROR(Q2/L2*T2," ")</f>
        <v>31568.330555555553</v>
      </c>
      <c r="V2" s="51">
        <f t="shared" ref="V2:V33" si="7">IFERROR(360*Q2*0.12/360/12," ")</f>
        <v>7576.399333333331</v>
      </c>
      <c r="W2" s="53">
        <f>IFERROR(IF(TEXT($H$4,"DDMMAAAA")=TEXT($K1,"DDMMAAAA")," ",$H$8/M2*P2)," ")</f>
        <v>97588.178268876611</v>
      </c>
      <c r="X2" s="51">
        <f t="shared" ref="X2:X33" si="8">IFERROR(IF(TEXT($H$4,"DDMMAAAA")=TEXT($K1,"DDMMAAAA"),"Sub Total",$H$8/M2*Q2)," ")</f>
        <v>1540395.0025782688</v>
      </c>
      <c r="Y2" s="51">
        <f ca="1">IFERROR(IF(TEXT($H$4,"DDMMAAAA")=TEXT($K1,"DDMMAAAA"),SUM($Y$2:INDIRECT(ADDRESS(ROW(Y1),COLUMN(Y1)))),$H$8/M2*U2)," ")</f>
        <v>64183.12510742787</v>
      </c>
      <c r="Z2" s="51">
        <f ca="1">IFERROR(IF(TEXT($H$4,"DDMMAAAA")=TEXT($K1,"DDMMAAAA"),SUM($Z$2:INDIRECT(ADDRESS(ROW(Z1),COLUMN(Z1)))),$H$8/M2*R2)," ")</f>
        <v>59904.250100266006</v>
      </c>
      <c r="AA2" s="51">
        <f ca="1">IFERROR(IF(TEXT($H$4,"DDMMAAAA")=TEXT($K1,"DDMMAAAA"),SUM($AA$2:INDIRECT(ADDRESS(ROW(AA1),COLUMN(AA1)))),$H$8/M2*S2)," ")</f>
        <v>59904.250100266006</v>
      </c>
      <c r="AB2" s="51">
        <f ca="1">IFERROR(IF(TEXT($H$4,"DDMMAAAA")=TEXT($K1,"DDMMAAAA"),SUM($AB$2:INDIRECT(ADDRESS(ROW(AB1),COLUMN(AB1)))),$H$8/M2*V2)," ")</f>
        <v>15403.950025782686</v>
      </c>
      <c r="AC2" s="51">
        <f ca="1">IFERROR(IF(TEXT($H$4,"DDMMAAAA")=TEXT($K1,"DDMMAAAA"),SUM($AC$2:INDIRECT(ADDRESS(ROW(AC1),COLUMN(AC1)))),IF(SUM(Y2:AB2)=0," ",SUM(Y2:AB2)))," ")</f>
        <v>199395.57533374257</v>
      </c>
      <c r="AD2" s="6"/>
      <c r="AE2">
        <v>202403</v>
      </c>
      <c r="AF2">
        <v>7.36</v>
      </c>
      <c r="AG2" s="15">
        <v>2024</v>
      </c>
      <c r="AH2" s="16">
        <v>162000</v>
      </c>
      <c r="AI2" s="16">
        <v>43333</v>
      </c>
      <c r="AJ2" s="16">
        <v>1300000</v>
      </c>
    </row>
    <row r="3" spans="4:36" ht="30.75" thickBot="1" x14ac:dyDescent="0.45">
      <c r="E3" s="6"/>
      <c r="F3" s="6"/>
      <c r="G3" s="7" t="s">
        <v>7</v>
      </c>
      <c r="H3" s="33">
        <v>43847</v>
      </c>
      <c r="I3" t="s">
        <v>43</v>
      </c>
      <c r="J3" s="19">
        <f t="shared" ref="J3:J34" si="9">IF(EDATE($K$2,ROW()-3)&lt;=$H$4,EDATE($K$2+1,ROW()-3),"")</f>
        <v>43862</v>
      </c>
      <c r="K3" s="19">
        <f t="shared" si="0"/>
        <v>43890</v>
      </c>
      <c r="L3" s="13">
        <f t="shared" ref="L3" si="10">IFERROR(IF(AND(TEXT(J3,"D")="1",TEXT(K3,"DD")=TEXT(EOMONTH(J3,0),"D")),30,K3-J3)," ")</f>
        <v>30</v>
      </c>
      <c r="M3" s="9">
        <f t="shared" si="1"/>
        <v>3.72</v>
      </c>
      <c r="N3" s="46">
        <f t="shared" si="2"/>
        <v>300000</v>
      </c>
      <c r="O3" s="46">
        <f t="shared" si="3"/>
        <v>877803</v>
      </c>
      <c r="P3" s="53">
        <f>IFERROR(IF(VLOOKUP(INT(TEXT(K3,"AAAA")),Tabla3[[AÑO]:[SALARIO 
MENSUAL]],2,0)*2&lt;$H$2,0,IFERROR(VLOOKUP(INT(TEXT(K3,"AAAA")),Tabla3[[AÑO]:[SALARIO 
MENSUAL]],2,0)," "))/30*L3," ")</f>
        <v>102854</v>
      </c>
      <c r="Q3" s="53">
        <f>IFERROR(IF(VLOOKUP(INT(TEXT(K3,"AAAA")),Tabla3[[AÑO]:[SALARIO 
MENSUAL]],4,0)*2&lt;$H$2,$H$2,VLOOKUP(INT(TEXT(K3,"AAAA")),Tabla3[[AÑO]:[SALARIO 
MENSUAL]],4,0))/30*L3+$H$14+P3," ")</f>
        <v>1280657</v>
      </c>
      <c r="R3" s="51">
        <f t="shared" si="4"/>
        <v>106721.41666666666</v>
      </c>
      <c r="S3" s="51">
        <f t="shared" si="5"/>
        <v>106721.41666666666</v>
      </c>
      <c r="T3" s="11">
        <f t="shared" si="6"/>
        <v>1.25</v>
      </c>
      <c r="U3" s="53">
        <f t="shared" ref="U3:U34" si="11">IFERROR(Q3/30*T3," ")</f>
        <v>53360.708333333328</v>
      </c>
      <c r="V3" s="51">
        <f t="shared" si="7"/>
        <v>12806.57</v>
      </c>
      <c r="W3" s="53">
        <f t="shared" ref="W3:W66" si="12">IFERROR(IF(TEXT($H$4,"DDMMAAAA")=TEXT($K2,"DDMMAAAA")," ",$H$8/M3*P3)," ")</f>
        <v>203496.08602150538</v>
      </c>
      <c r="X3" s="51">
        <f t="shared" si="8"/>
        <v>2533772.9892473118</v>
      </c>
      <c r="Y3" s="51">
        <f ca="1">IFERROR(IF(TEXT($H$4,"DDMMAAAA")=TEXT($K2,"DDMMAAAA"),SUM($Y$2:INDIRECT(ADDRESS(ROW(Y2),COLUMN(Y2)))),$H$8/M3*U3)," ")</f>
        <v>105573.87455197131</v>
      </c>
      <c r="Z3" s="51">
        <f ca="1">IFERROR(IF(TEXT($H$4,"DDMMAAAA")=TEXT($K2,"DDMMAAAA"),SUM($Z$2:INDIRECT(ADDRESS(ROW(Z2),COLUMN(Z2)))),$H$8/M3*R3)," ")</f>
        <v>211147.74910394262</v>
      </c>
      <c r="AA3" s="51">
        <f ca="1">IFERROR(IF(TEXT($H$4,"DDMMAAAA")=TEXT($K2,"DDMMAAAA"),SUM($AA$2:INDIRECT(ADDRESS(ROW(AA2),COLUMN(AA2)))),$H$8/M3*S3)," ")</f>
        <v>211147.74910394262</v>
      </c>
      <c r="AB3" s="51">
        <f ca="1">IFERROR(IF(TEXT($H$4,"DDMMAAAA")=TEXT($K2,"DDMMAAAA"),SUM($AB$2:INDIRECT(ADDRESS(ROW(AB2),COLUMN(AB2)))),$H$8/M3*V3)," ")</f>
        <v>25337.729892473119</v>
      </c>
      <c r="AC3" s="51">
        <f ca="1">IFERROR(IF(TEXT($H$4,"DDMMAAAA")=TEXT($K2,"DDMMAAAA"),SUM($AC$2:INDIRECT(ADDRESS(ROW(AC2),COLUMN(AC2)))),IF(SUM(Y3:AB3)=0,"",SUM(Y3:AB3)))," ")</f>
        <v>553207.1026523296</v>
      </c>
      <c r="AD3" s="6"/>
      <c r="AE3">
        <v>202402</v>
      </c>
      <c r="AF3">
        <v>7.74</v>
      </c>
      <c r="AG3" s="17">
        <v>2023</v>
      </c>
      <c r="AH3" s="18">
        <v>140606</v>
      </c>
      <c r="AI3" s="18">
        <v>38666</v>
      </c>
      <c r="AJ3" s="18">
        <v>1160000</v>
      </c>
    </row>
    <row r="4" spans="4:36" ht="30.75" thickBot="1" x14ac:dyDescent="0.45">
      <c r="D4" s="41"/>
      <c r="E4" s="6"/>
      <c r="F4" s="6"/>
      <c r="G4" s="7" t="s">
        <v>6</v>
      </c>
      <c r="H4" s="33">
        <v>45346</v>
      </c>
      <c r="J4" s="19">
        <f t="shared" si="9"/>
        <v>43891</v>
      </c>
      <c r="K4" s="19">
        <f t="shared" si="0"/>
        <v>43921</v>
      </c>
      <c r="L4" s="13">
        <f>IFERROR(IF(AND(TEXT(J4,"D")="1",TEXT(K4,"DD")=TEXT(EOMONTH(J4,0),"D")),30,K4-J4)," ")</f>
        <v>30</v>
      </c>
      <c r="M4" s="9">
        <f t="shared" si="1"/>
        <v>3.86</v>
      </c>
      <c r="N4" s="46">
        <f t="shared" si="2"/>
        <v>300000</v>
      </c>
      <c r="O4" s="46">
        <f t="shared" si="3"/>
        <v>877803</v>
      </c>
      <c r="P4" s="53">
        <f>IFERROR(IF(VLOOKUP(INT(TEXT(K4,"AAAA")),Tabla3[[AÑO]:[SALARIO 
MENSUAL]],2,0)*2&lt;$H$2,0,IFERROR(VLOOKUP(INT(TEXT(K4,"AAAA")),Tabla3[[AÑO]:[SALARIO 
MENSUAL]],2,0)," "))/30*L4," ")</f>
        <v>102854</v>
      </c>
      <c r="Q4" s="53">
        <f>IFERROR(IF(VLOOKUP(INT(TEXT(K4,"AAAA")),Tabla3[[AÑO]:[SALARIO 
MENSUAL]],4,0)*2&lt;$H$2,$H$2,VLOOKUP(INT(TEXT(K4,"AAAA")),Tabla3[[AÑO]:[SALARIO 
MENSUAL]],4,0))/30*L4+$H$14+P4," ")</f>
        <v>1280657</v>
      </c>
      <c r="R4" s="51">
        <f t="shared" si="4"/>
        <v>106721.41666666666</v>
      </c>
      <c r="S4" s="51">
        <f t="shared" si="5"/>
        <v>106721.41666666666</v>
      </c>
      <c r="T4" s="11">
        <f t="shared" si="6"/>
        <v>1.25</v>
      </c>
      <c r="U4" s="53">
        <f t="shared" si="11"/>
        <v>53360.708333333328</v>
      </c>
      <c r="V4" s="51">
        <f t="shared" si="7"/>
        <v>12806.57</v>
      </c>
      <c r="W4" s="53">
        <f t="shared" si="12"/>
        <v>196115.39896373058</v>
      </c>
      <c r="X4" s="51">
        <f t="shared" si="8"/>
        <v>2441874.4870466325</v>
      </c>
      <c r="Y4" s="51">
        <f ca="1">IFERROR(IF(TEXT($H$4,"DDMMAAAA")=TEXT($K3,"DDMMAAAA"),SUM($Y$2:INDIRECT(ADDRESS(ROW(Y3),COLUMN(Y3)))),$H$8/M4*U4)," ")</f>
        <v>101744.77029360968</v>
      </c>
      <c r="Z4" s="51">
        <f ca="1">IFERROR(IF(TEXT($H$4,"DDMMAAAA")=TEXT($K3,"DDMMAAAA"),SUM($Z$2:INDIRECT(ADDRESS(ROW(Z3),COLUMN(Z3)))),$H$8/M4*R4)," ")</f>
        <v>203489.54058721935</v>
      </c>
      <c r="AA4" s="51">
        <f ca="1">IFERROR(IF(TEXT($H$4,"DDMMAAAA")=TEXT($K3,"DDMMAAAA"),SUM($AA$2:INDIRECT(ADDRESS(ROW(AA3),COLUMN(AA3)))),$H$8/M4*S4)," ")</f>
        <v>203489.54058721935</v>
      </c>
      <c r="AB4" s="51">
        <f ca="1">IFERROR(IF(TEXT($H$4,"DDMMAAAA")=TEXT($K3,"DDMMAAAA"),SUM($AB$2:INDIRECT(ADDRESS(ROW(AB3),COLUMN(AB3)))),$H$8/M4*V4)," ")</f>
        <v>24418.744870466322</v>
      </c>
      <c r="AC4" s="51">
        <f ca="1">IFERROR(IF(TEXT($H$4,"DDMMAAAA")=TEXT($K3,"DDMMAAAA"),SUM($AC$2:INDIRECT(ADDRESS(ROW(AC3),COLUMN(AC3)))),IF(SUM(Y4:AB4)=0,"",SUM(Y4:AB4)))," ")</f>
        <v>533142.5963385147</v>
      </c>
      <c r="AD4" s="6"/>
      <c r="AE4">
        <v>202401</v>
      </c>
      <c r="AF4">
        <v>8.35</v>
      </c>
      <c r="AG4" s="15">
        <v>2022</v>
      </c>
      <c r="AH4" s="16">
        <v>117172</v>
      </c>
      <c r="AI4" s="16">
        <v>33333</v>
      </c>
      <c r="AJ4" s="16">
        <v>1000000</v>
      </c>
    </row>
    <row r="5" spans="4:36" ht="30.75" thickBot="1" x14ac:dyDescent="0.45">
      <c r="E5" s="6"/>
      <c r="F5" s="6"/>
      <c r="G5" s="7" t="s">
        <v>5</v>
      </c>
      <c r="H5" s="35">
        <f>DAYS360(H3,H4)</f>
        <v>1477</v>
      </c>
      <c r="J5" s="19">
        <f t="shared" si="9"/>
        <v>43922</v>
      </c>
      <c r="K5" s="19">
        <f t="shared" si="0"/>
        <v>43951</v>
      </c>
      <c r="L5" s="13">
        <f t="shared" ref="L5:L8" si="13">IFERROR(IF(AND(TEXT(J5,"D")="1",TEXT(K5,"DD")=TEXT(EOMONTH(J5,0),"D")),30,K5-J5)," ")</f>
        <v>30</v>
      </c>
      <c r="M5" s="9">
        <f t="shared" si="1"/>
        <v>3.51</v>
      </c>
      <c r="N5" s="46">
        <f t="shared" si="2"/>
        <v>300000</v>
      </c>
      <c r="O5" s="46">
        <f t="shared" si="3"/>
        <v>877803</v>
      </c>
      <c r="P5" s="53">
        <f>IFERROR(IF(VLOOKUP(INT(TEXT(K5,"AAAA")),Tabla3[[AÑO]:[SALARIO 
MENSUAL]],2,0)*2&lt;$H$2,0,IFERROR(VLOOKUP(INT(TEXT(K5,"AAAA")),Tabla3[[AÑO]:[SALARIO 
MENSUAL]],2,0)," "))/30*L5," ")</f>
        <v>102854</v>
      </c>
      <c r="Q5" s="53">
        <f>IFERROR(IF(VLOOKUP(INT(TEXT(K5,"AAAA")),Tabla3[[AÑO]:[SALARIO 
MENSUAL]],4,0)*2&lt;$H$2,$H$2,VLOOKUP(INT(TEXT(K5,"AAAA")),Tabla3[[AÑO]:[SALARIO 
MENSUAL]],4,0))/30*L5+$H$14+P5," ")</f>
        <v>1280657</v>
      </c>
      <c r="R5" s="51">
        <f t="shared" si="4"/>
        <v>106721.41666666666</v>
      </c>
      <c r="S5" s="51">
        <f t="shared" si="5"/>
        <v>106721.41666666666</v>
      </c>
      <c r="T5" s="11">
        <f t="shared" si="6"/>
        <v>1.25</v>
      </c>
      <c r="U5" s="53">
        <f t="shared" si="11"/>
        <v>53360.708333333328</v>
      </c>
      <c r="V5" s="51">
        <f t="shared" si="7"/>
        <v>12806.57</v>
      </c>
      <c r="W5" s="53">
        <f t="shared" si="12"/>
        <v>215671.06552706557</v>
      </c>
      <c r="X5" s="51">
        <f t="shared" si="8"/>
        <v>2685366.2450142456</v>
      </c>
      <c r="Y5" s="51">
        <f ca="1">IFERROR(IF(TEXT($H$4,"DDMMAAAA")=TEXT($K4,"DDMMAAAA"),SUM($Y$2:INDIRECT(ADDRESS(ROW(Y4),COLUMN(Y4)))),$H$8/M5*U5)," ")</f>
        <v>111890.26020892689</v>
      </c>
      <c r="Z5" s="51">
        <f ca="1">IFERROR(IF(TEXT($H$4,"DDMMAAAA")=TEXT($K4,"DDMMAAAA"),SUM($Z$2:INDIRECT(ADDRESS(ROW(Z4),COLUMN(Z4)))),$H$8/M5*R5)," ")</f>
        <v>223780.52041785378</v>
      </c>
      <c r="AA5" s="51">
        <f ca="1">IFERROR(IF(TEXT($H$4,"DDMMAAAA")=TEXT($K4,"DDMMAAAA"),SUM($AA$2:INDIRECT(ADDRESS(ROW(AA4),COLUMN(AA4)))),$H$8/M5*S5)," ")</f>
        <v>223780.52041785378</v>
      </c>
      <c r="AB5" s="51">
        <f ca="1">IFERROR(IF(TEXT($H$4,"DDMMAAAA")=TEXT($K4,"DDMMAAAA"),SUM($AB$2:INDIRECT(ADDRESS(ROW(AB4),COLUMN(AB4)))),$H$8/M5*V5)," ")</f>
        <v>26853.662450142456</v>
      </c>
      <c r="AC5" s="51">
        <f ca="1">IFERROR(IF(TEXT($H$4,"DDMMAAAA")=TEXT($K4,"DDMMAAAA"),SUM($AC$2:INDIRECT(ADDRESS(ROW(AC4),COLUMN(AC4)))),IF(SUM(Y5:AB5)=0,"",SUM(Y5:AB5)))," ")</f>
        <v>586304.96349477698</v>
      </c>
      <c r="AD5" s="6"/>
      <c r="AE5">
        <v>202312</v>
      </c>
      <c r="AF5">
        <v>9.2799999999999994</v>
      </c>
      <c r="AG5" s="17">
        <v>2021</v>
      </c>
      <c r="AH5" s="18">
        <v>106454</v>
      </c>
      <c r="AI5" s="18">
        <v>30732</v>
      </c>
      <c r="AJ5" s="18">
        <v>908526</v>
      </c>
    </row>
    <row r="6" spans="4:36" ht="30.75" thickBot="1" x14ac:dyDescent="0.45">
      <c r="E6" s="6"/>
      <c r="F6" s="6"/>
      <c r="G6" s="7" t="s">
        <v>4</v>
      </c>
      <c r="H6" s="36">
        <f>H5/30</f>
        <v>49.233333333333334</v>
      </c>
      <c r="J6" s="19">
        <f t="shared" si="9"/>
        <v>43952</v>
      </c>
      <c r="K6" s="19">
        <f t="shared" si="0"/>
        <v>43982</v>
      </c>
      <c r="L6" s="13">
        <f t="shared" si="13"/>
        <v>30</v>
      </c>
      <c r="M6" s="9">
        <f t="shared" si="1"/>
        <v>2.85</v>
      </c>
      <c r="N6" s="46">
        <f t="shared" si="2"/>
        <v>300000</v>
      </c>
      <c r="O6" s="46">
        <f t="shared" si="3"/>
        <v>877803</v>
      </c>
      <c r="P6" s="14">
        <f>IFERROR(IF(VLOOKUP(INT(TEXT(K6,"AAAA")),Tabla3[[AÑO]:[SALARIO 
MENSUAL]],2,0)*2&lt;$H$2,0,IFERROR(VLOOKUP(INT(TEXT(K6,"AAAA")),Tabla3[[AÑO]:[SALARIO 
MENSUAL]],2,0)," "))/30*L6," ")</f>
        <v>102854</v>
      </c>
      <c r="Q6" s="14">
        <f>IFERROR(IF(VLOOKUP(INT(TEXT(K6,"AAAA")),Tabla3[[AÑO]:[SALARIO 
MENSUAL]],4,0)*2&lt;$H$2,$H$2,VLOOKUP(INT(TEXT(K6,"AAAA")),Tabla3[[AÑO]:[SALARIO 
MENSUAL]],4,0))/30*L6+$H$14+P6," ")</f>
        <v>1280657</v>
      </c>
      <c r="R6" s="12">
        <f t="shared" si="4"/>
        <v>106721.41666666666</v>
      </c>
      <c r="S6" s="12">
        <f t="shared" si="5"/>
        <v>106721.41666666666</v>
      </c>
      <c r="T6" s="11">
        <f t="shared" si="6"/>
        <v>1.25</v>
      </c>
      <c r="U6" s="14">
        <f t="shared" si="11"/>
        <v>53360.708333333328</v>
      </c>
      <c r="V6" s="12">
        <f t="shared" si="7"/>
        <v>12806.57</v>
      </c>
      <c r="W6" s="53">
        <f t="shared" si="12"/>
        <v>265615.94385964912</v>
      </c>
      <c r="X6" s="12">
        <f t="shared" si="8"/>
        <v>3307240.5333333332</v>
      </c>
      <c r="Y6" s="12">
        <f ca="1">IFERROR(IF(TEXT($H$4,"DDMMAAAA")=TEXT($K5,"DDMMAAAA"),SUM($Y$2:INDIRECT(ADDRESS(ROW(Y5),COLUMN(Y5)))),$H$8/M6*U6)," ")</f>
        <v>137801.68888888886</v>
      </c>
      <c r="Z6" s="51">
        <f ca="1">IFERROR(IF(TEXT($H$4,"DDMMAAAA")=TEXT($K5,"DDMMAAAA"),SUM($Z$2:INDIRECT(ADDRESS(ROW(Z5),COLUMN(Z5)))),$H$8/M6*R6)," ")</f>
        <v>275603.37777777773</v>
      </c>
      <c r="AA6" s="12">
        <f ca="1">IFERROR(IF(TEXT($H$4,"DDMMAAAA")=TEXT($K5,"DDMMAAAA"),SUM($AA$2:INDIRECT(ADDRESS(ROW(AA5),COLUMN(AA5)))),$H$8/M6*S6)," ")</f>
        <v>275603.37777777773</v>
      </c>
      <c r="AB6" s="12">
        <f ca="1">IFERROR(IF(TEXT($H$4,"DDMMAAAA")=TEXT($K5,"DDMMAAAA"),SUM($AB$2:INDIRECT(ADDRESS(ROW(AB5),COLUMN(AB5)))),$H$8/M6*V6)," ")</f>
        <v>33072.405333333336</v>
      </c>
      <c r="AC6" s="12">
        <f ca="1">IFERROR(IF(TEXT($H$4,"DDMMAAAA")=TEXT($K5,"DDMMAAAA"),SUM($AC$2:INDIRECT(ADDRESS(ROW(AC5),COLUMN(AC5)))),IF(SUM(Y6:AB6)=0,"",SUM(Y6:AB6)))," ")</f>
        <v>722080.84977777756</v>
      </c>
      <c r="AD6" s="6"/>
      <c r="AE6">
        <v>202311</v>
      </c>
      <c r="AF6">
        <v>10.15</v>
      </c>
      <c r="AG6" s="15">
        <v>2020</v>
      </c>
      <c r="AH6" s="16">
        <v>102854</v>
      </c>
      <c r="AI6" s="16">
        <v>29260</v>
      </c>
      <c r="AJ6" s="16">
        <v>877803</v>
      </c>
    </row>
    <row r="7" spans="4:36" ht="34.5" thickBot="1" x14ac:dyDescent="0.55000000000000004">
      <c r="D7" s="41"/>
      <c r="E7" s="6"/>
      <c r="F7" s="6"/>
      <c r="G7" s="7" t="s">
        <v>3</v>
      </c>
      <c r="H7" s="34">
        <v>45366</v>
      </c>
      <c r="J7" s="19">
        <f t="shared" si="9"/>
        <v>43983</v>
      </c>
      <c r="K7" s="19">
        <f t="shared" si="0"/>
        <v>44012</v>
      </c>
      <c r="L7" s="13">
        <f>IFERROR(IF(AND(TEXT(J7,"D")="1",TEXT(K7,"DD")=TEXT(EOMONTH(J7,0),"D")),30,K7-J7)," ")</f>
        <v>30</v>
      </c>
      <c r="M7" s="9">
        <f t="shared" si="1"/>
        <v>2.19</v>
      </c>
      <c r="N7" s="46">
        <f t="shared" si="2"/>
        <v>300000</v>
      </c>
      <c r="O7" s="46">
        <f t="shared" si="3"/>
        <v>877803</v>
      </c>
      <c r="P7" s="14">
        <f>IFERROR(IF(VLOOKUP(INT(TEXT(K7,"AAAA")),Tabla3[[AÑO]:[SALARIO 
MENSUAL]],2,0)*2&lt;$H$2,0,IFERROR(VLOOKUP(INT(TEXT(K7,"AAAA")),Tabla3[[AÑO]:[SALARIO 
MENSUAL]],2,0)," "))/30*L7," ")</f>
        <v>102854</v>
      </c>
      <c r="Q7" s="14">
        <f>IFERROR(IF(VLOOKUP(INT(TEXT(K7,"AAAA")),Tabla3[[AÑO]:[SALARIO 
MENSUAL]],4,0)*2&lt;$H$2,$H$2,VLOOKUP(INT(TEXT(K7,"AAAA")),Tabla3[[AÑO]:[SALARIO 
MENSUAL]],4,0))/30*L7+$H$14+P7," ")</f>
        <v>1280657</v>
      </c>
      <c r="R7" s="12">
        <f t="shared" si="4"/>
        <v>106721.41666666666</v>
      </c>
      <c r="S7" s="12">
        <f t="shared" si="5"/>
        <v>106721.41666666666</v>
      </c>
      <c r="T7" s="11">
        <f t="shared" si="6"/>
        <v>1.25</v>
      </c>
      <c r="U7" s="14">
        <f t="shared" si="11"/>
        <v>53360.708333333328</v>
      </c>
      <c r="V7" s="12">
        <f t="shared" si="7"/>
        <v>12806.57</v>
      </c>
      <c r="W7" s="53">
        <f t="shared" si="12"/>
        <v>345664.58447488589</v>
      </c>
      <c r="X7" s="12">
        <f t="shared" si="8"/>
        <v>4303943.159817352</v>
      </c>
      <c r="Y7" s="12">
        <f ca="1">IFERROR(IF(TEXT($H$4,"DDMMAAAA")=TEXT($K6,"DDMMAAAA"),SUM($Y$2:INDIRECT(ADDRESS(ROW(Y6),COLUMN(Y6)))),$H$8/M7*U7)," ")</f>
        <v>179330.96499238964</v>
      </c>
      <c r="Z7" s="51">
        <f ca="1">IFERROR(IF(TEXT($H$4,"DDMMAAAA")=TEXT($K6,"DDMMAAAA"),SUM($Z$2:INDIRECT(ADDRESS(ROW(Z6),COLUMN(Z6)))),$H$8/M7*R7)," ")</f>
        <v>358661.92998477927</v>
      </c>
      <c r="AA7" s="12">
        <f ca="1">IFERROR(IF(TEXT($H$4,"DDMMAAAA")=TEXT($K6,"DDMMAAAA"),SUM($AA$2:INDIRECT(ADDRESS(ROW(AA6),COLUMN(AA6)))),$H$8/M7*S7)," ")</f>
        <v>358661.92998477927</v>
      </c>
      <c r="AB7" s="12">
        <f ca="1">IFERROR(IF(TEXT($H$4,"DDMMAAAA")=TEXT($K6,"DDMMAAAA"),SUM($AB$2:INDIRECT(ADDRESS(ROW(AB6),COLUMN(AB6)))),$H$8/M7*V7)," ")</f>
        <v>43039.43159817352</v>
      </c>
      <c r="AC7" s="12">
        <f ca="1">IFERROR(IF(TEXT($H$4,"DDMMAAAA")=TEXT($K6,"DDMMAAAA"),SUM($AC$2:INDIRECT(ADDRESS(ROW(AC6),COLUMN(AC6)))),IF(SUM(Y7:AB7)=0,"",SUM(Y7:AB7)))," ")</f>
        <v>939694.25656012178</v>
      </c>
      <c r="AD7" s="6"/>
      <c r="AE7">
        <v>202310</v>
      </c>
      <c r="AF7">
        <v>10.48</v>
      </c>
      <c r="AG7" s="17">
        <v>2019</v>
      </c>
      <c r="AH7" s="18">
        <v>97032</v>
      </c>
      <c r="AI7" s="18">
        <v>27604</v>
      </c>
      <c r="AJ7" s="18">
        <v>828116</v>
      </c>
    </row>
    <row r="8" spans="4:36" ht="30.75" thickBot="1" x14ac:dyDescent="0.45">
      <c r="E8" s="6"/>
      <c r="F8" s="6"/>
      <c r="G8" s="8" t="s">
        <v>2</v>
      </c>
      <c r="H8" s="37">
        <f>VLOOKUP(INT(TEXT(H7,"AAAAMM")),$AE$1:$AF$376,2,0)</f>
        <v>7.36</v>
      </c>
      <c r="J8" s="19">
        <f t="shared" si="9"/>
        <v>44013</v>
      </c>
      <c r="K8" s="19">
        <f t="shared" si="0"/>
        <v>44043</v>
      </c>
      <c r="L8" s="13">
        <f t="shared" si="13"/>
        <v>30</v>
      </c>
      <c r="M8" s="9">
        <f t="shared" si="1"/>
        <v>1.97</v>
      </c>
      <c r="N8" s="46">
        <f t="shared" si="2"/>
        <v>300000</v>
      </c>
      <c r="O8" s="46">
        <f t="shared" si="3"/>
        <v>877803</v>
      </c>
      <c r="P8" s="14">
        <f>IFERROR(IF(VLOOKUP(INT(TEXT(K8,"AAAA")),Tabla3[[AÑO]:[SALARIO 
MENSUAL]],2,0)*2&lt;$H$2,0,IFERROR(VLOOKUP(INT(TEXT(K8,"AAAA")),Tabla3[[AÑO]:[SALARIO 
MENSUAL]],2,0)," "))/30*L8," ")</f>
        <v>102854</v>
      </c>
      <c r="Q8" s="14">
        <f>IFERROR(IF(VLOOKUP(INT(TEXT(K8,"AAAA")),Tabla3[[AÑO]:[SALARIO 
MENSUAL]],4,0)*2&lt;$H$2,$H$2,VLOOKUP(INT(TEXT(K8,"AAAA")),Tabla3[[AÑO]:[SALARIO 
MENSUAL]],4,0))/30*L8+$H$14+P8," ")</f>
        <v>1280657</v>
      </c>
      <c r="R8" s="12">
        <f t="shared" si="4"/>
        <v>106721.41666666666</v>
      </c>
      <c r="S8" s="12">
        <f t="shared" si="5"/>
        <v>106721.41666666666</v>
      </c>
      <c r="T8" s="11">
        <f t="shared" si="6"/>
        <v>1.25</v>
      </c>
      <c r="U8" s="14">
        <f t="shared" si="11"/>
        <v>53360.708333333328</v>
      </c>
      <c r="V8" s="12">
        <f t="shared" si="7"/>
        <v>12806.57</v>
      </c>
      <c r="W8" s="53">
        <f t="shared" si="12"/>
        <v>384266.72081218276</v>
      </c>
      <c r="X8" s="12">
        <f t="shared" si="8"/>
        <v>4784586.5583756343</v>
      </c>
      <c r="Y8" s="12">
        <f ca="1">IFERROR(IF(TEXT($H$4,"DDMMAAAA")=TEXT($K7,"DDMMAAAA"),SUM($Y$2:INDIRECT(ADDRESS(ROW(Y7),COLUMN(Y7)))),$H$8/M8*U8)," ")</f>
        <v>199357.77326565143</v>
      </c>
      <c r="Z8" s="51">
        <f ca="1">IFERROR(IF(TEXT($H$4,"DDMMAAAA")=TEXT($K7,"DDMMAAAA"),SUM($Z$2:INDIRECT(ADDRESS(ROW(Z7),COLUMN(Z7)))),$H$8/M8*R8)," ")</f>
        <v>398715.54653130285</v>
      </c>
      <c r="AA8" s="12">
        <f ca="1">IFERROR(IF(TEXT($H$4,"DDMMAAAA")=TEXT($K7,"DDMMAAAA"),SUM($AA$2:INDIRECT(ADDRESS(ROW(AA7),COLUMN(AA7)))),$H$8/M8*S8)," ")</f>
        <v>398715.54653130285</v>
      </c>
      <c r="AB8" s="12">
        <f ca="1">IFERROR(IF(TEXT($H$4,"DDMMAAAA")=TEXT($K7,"DDMMAAAA"),SUM($AB$2:INDIRECT(ADDRESS(ROW(AB7),COLUMN(AB7)))),$H$8/M8*V8)," ")</f>
        <v>47845.865583756342</v>
      </c>
      <c r="AC8" s="12">
        <f ca="1">IFERROR(IF(TEXT($H$4,"DDMMAAAA")=TEXT($K7,"DDMMAAAA"),SUM($AC$2:INDIRECT(ADDRESS(ROW(AC7),COLUMN(AC7)))),IF(SUM(Y8:AB8)=0,"",SUM(Y8:AB8)))," ")</f>
        <v>1044634.7319120135</v>
      </c>
      <c r="AD8" s="6"/>
      <c r="AE8">
        <v>202309</v>
      </c>
      <c r="AF8">
        <v>10.99</v>
      </c>
      <c r="AG8" s="15">
        <v>2018</v>
      </c>
      <c r="AH8" s="16">
        <v>88211</v>
      </c>
      <c r="AI8" s="16">
        <v>26041</v>
      </c>
      <c r="AJ8" s="16">
        <v>781242</v>
      </c>
    </row>
    <row r="9" spans="4:36" x14ac:dyDescent="0.4">
      <c r="E9" s="6"/>
      <c r="F9" s="6"/>
      <c r="I9" s="43"/>
      <c r="J9" s="19">
        <f t="shared" si="9"/>
        <v>44044</v>
      </c>
      <c r="K9" s="19">
        <f t="shared" si="0"/>
        <v>44074</v>
      </c>
      <c r="L9" s="13">
        <f t="shared" ref="L9:L72" si="14">IFERROR(IF(AND(TEXT(J9,"D")="1",TEXT(K9,"DD")=TEXT(EOMONTH(J9,0),"D")),30,K9-J9)," ")</f>
        <v>30</v>
      </c>
      <c r="M9" s="9">
        <f t="shared" si="1"/>
        <v>1.88</v>
      </c>
      <c r="N9" s="46">
        <f t="shared" si="2"/>
        <v>300000</v>
      </c>
      <c r="O9" s="46">
        <f t="shared" si="3"/>
        <v>877803</v>
      </c>
      <c r="P9" s="14">
        <f>IFERROR(IF(VLOOKUP(INT(TEXT(K9,"AAAA")),Tabla3[[AÑO]:[SALARIO 
MENSUAL]],2,0)*2&lt;$H$2,0,IFERROR(VLOOKUP(INT(TEXT(K9,"AAAA")),Tabla3[[AÑO]:[SALARIO 
MENSUAL]],2,0)," "))/30*L9," ")</f>
        <v>102854</v>
      </c>
      <c r="Q9" s="14">
        <f>IFERROR(IF(VLOOKUP(INT(TEXT(K9,"AAAA")),Tabla3[[AÑO]:[SALARIO 
MENSUAL]],4,0)*2&lt;$H$2,$H$2,VLOOKUP(INT(TEXT(K9,"AAAA")),Tabla3[[AÑO]:[SALARIO 
MENSUAL]],4,0))/30*L9+$H$14+P9," ")</f>
        <v>1280657</v>
      </c>
      <c r="R9" s="12">
        <f t="shared" si="4"/>
        <v>106721.41666666666</v>
      </c>
      <c r="S9" s="12">
        <f t="shared" si="5"/>
        <v>106721.41666666666</v>
      </c>
      <c r="T9" s="11">
        <f t="shared" si="6"/>
        <v>1.25</v>
      </c>
      <c r="U9" s="14">
        <f t="shared" si="11"/>
        <v>53360.708333333328</v>
      </c>
      <c r="V9" s="12">
        <f t="shared" si="7"/>
        <v>12806.57</v>
      </c>
      <c r="W9" s="53">
        <f t="shared" si="12"/>
        <v>402662.4680851064</v>
      </c>
      <c r="X9" s="12">
        <f t="shared" si="8"/>
        <v>5013635.9148936179</v>
      </c>
      <c r="Y9" s="12">
        <f ca="1">IFERROR(IF(TEXT($H$4,"DDMMAAAA")=TEXT($K8,"DDMMAAAA"),SUM($Y$2:INDIRECT(ADDRESS(ROW(Y8),COLUMN(Y8)))),$H$8/M9*U9)," ")</f>
        <v>208901.49645390071</v>
      </c>
      <c r="Z9" s="51">
        <f ca="1">IFERROR(IF(TEXT($H$4,"DDMMAAAA")=TEXT($K8,"DDMMAAAA"),SUM($Z$2:INDIRECT(ADDRESS(ROW(Z8),COLUMN(Z8)))),$H$8/M9*R9)," ")</f>
        <v>417802.99290780141</v>
      </c>
      <c r="AA9" s="12">
        <f ca="1">IFERROR(IF(TEXT($H$4,"DDMMAAAA")=TEXT($K8,"DDMMAAAA"),SUM($AA$2:INDIRECT(ADDRESS(ROW(AA8),COLUMN(AA8)))),$H$8/M9*S9)," ")</f>
        <v>417802.99290780141</v>
      </c>
      <c r="AB9" s="12">
        <f ca="1">IFERROR(IF(TEXT($H$4,"DDMMAAAA")=TEXT($K8,"DDMMAAAA"),SUM($AB$2:INDIRECT(ADDRESS(ROW(AB8),COLUMN(AB8)))),$H$8/M9*V9)," ")</f>
        <v>50136.359148936172</v>
      </c>
      <c r="AC9" s="12">
        <f ca="1">IFERROR(IF(TEXT($H$4,"DDMMAAAA")=TEXT($K8,"DDMMAAAA"),SUM($AC$2:INDIRECT(ADDRESS(ROW(AC8),COLUMN(AC8)))),IF(SUM(Y9:AB9)=0,"",SUM(Y9:AB9)))," ")</f>
        <v>1094643.8414184398</v>
      </c>
      <c r="AD9" s="6"/>
      <c r="AE9">
        <v>202308</v>
      </c>
      <c r="AF9">
        <v>11.43</v>
      </c>
      <c r="AG9" s="17">
        <v>2017</v>
      </c>
      <c r="AH9" s="18">
        <v>83140</v>
      </c>
      <c r="AI9" s="18">
        <v>24590</v>
      </c>
      <c r="AJ9" s="18">
        <v>737717</v>
      </c>
    </row>
    <row r="10" spans="4:36" x14ac:dyDescent="0.4">
      <c r="E10" s="6"/>
      <c r="F10" s="6"/>
      <c r="J10" s="19">
        <f t="shared" si="9"/>
        <v>44075</v>
      </c>
      <c r="K10" s="19">
        <f t="shared" si="0"/>
        <v>44104</v>
      </c>
      <c r="L10" s="13">
        <f t="shared" si="14"/>
        <v>30</v>
      </c>
      <c r="M10" s="9">
        <f t="shared" si="1"/>
        <v>1.97</v>
      </c>
      <c r="N10" s="46">
        <f t="shared" si="2"/>
        <v>300000</v>
      </c>
      <c r="O10" s="46">
        <f t="shared" si="3"/>
        <v>877803</v>
      </c>
      <c r="P10" s="14">
        <f>IFERROR(IF(VLOOKUP(INT(TEXT(K10,"AAAA")),Tabla3[[AÑO]:[SALARIO 
MENSUAL]],2,0)*2&lt;$H$2,0,IFERROR(VLOOKUP(INT(TEXT(K10,"AAAA")),Tabla3[[AÑO]:[SALARIO 
MENSUAL]],2,0)," "))/30*L10," ")</f>
        <v>102854</v>
      </c>
      <c r="Q10" s="14">
        <f>IFERROR(IF(VLOOKUP(INT(TEXT(K10,"AAAA")),Tabla3[[AÑO]:[SALARIO 
MENSUAL]],4,0)*2&lt;$H$2,$H$2,VLOOKUP(INT(TEXT(K10,"AAAA")),Tabla3[[AÑO]:[SALARIO 
MENSUAL]],4,0))/30*L10+$H$14+P10," ")</f>
        <v>1280657</v>
      </c>
      <c r="R10" s="12">
        <f t="shared" si="4"/>
        <v>106721.41666666666</v>
      </c>
      <c r="S10" s="12">
        <f t="shared" si="5"/>
        <v>106721.41666666666</v>
      </c>
      <c r="T10" s="11">
        <f t="shared" si="6"/>
        <v>1.25</v>
      </c>
      <c r="U10" s="14">
        <f t="shared" si="11"/>
        <v>53360.708333333328</v>
      </c>
      <c r="V10" s="12">
        <f t="shared" si="7"/>
        <v>12806.57</v>
      </c>
      <c r="W10" s="53">
        <f t="shared" si="12"/>
        <v>384266.72081218276</v>
      </c>
      <c r="X10" s="12">
        <f t="shared" si="8"/>
        <v>4784586.5583756343</v>
      </c>
      <c r="Y10" s="12">
        <f ca="1">IFERROR(IF(TEXT($H$4,"DDMMAAAA")=TEXT($K9,"DDMMAAAA"),SUM($Y$2:INDIRECT(ADDRESS(ROW(Y9),COLUMN(Y9)))),$H$8/M10*U10)," ")</f>
        <v>199357.77326565143</v>
      </c>
      <c r="Z10" s="51">
        <f ca="1">IFERROR(IF(TEXT($H$4,"DDMMAAAA")=TEXT($K9,"DDMMAAAA"),SUM($Z$2:INDIRECT(ADDRESS(ROW(Z9),COLUMN(Z9)))),$H$8/M10*R10)," ")</f>
        <v>398715.54653130285</v>
      </c>
      <c r="AA10" s="12">
        <f ca="1">IFERROR(IF(TEXT($H$4,"DDMMAAAA")=TEXT($K9,"DDMMAAAA"),SUM($AA$2:INDIRECT(ADDRESS(ROW(AA9),COLUMN(AA9)))),$H$8/M10*S10)," ")</f>
        <v>398715.54653130285</v>
      </c>
      <c r="AB10" s="12">
        <f ca="1">IFERROR(IF(TEXT($H$4,"DDMMAAAA")=TEXT($K9,"DDMMAAAA"),SUM($AB$2:INDIRECT(ADDRESS(ROW(AB9),COLUMN(AB9)))),$H$8/M10*V10)," ")</f>
        <v>47845.865583756342</v>
      </c>
      <c r="AC10" s="12">
        <f ca="1">IFERROR(IF(TEXT($H$4,"DDMMAAAA")=TEXT($K9,"DDMMAAAA"),SUM($AC$2:INDIRECT(ADDRESS(ROW(AC9),COLUMN(AC9)))),IF(SUM(Y10:AB10)=0,"",SUM(Y10:AB10)))," ")</f>
        <v>1044634.7319120135</v>
      </c>
      <c r="AD10" s="6"/>
      <c r="AE10">
        <v>202307</v>
      </c>
      <c r="AF10">
        <v>11.78</v>
      </c>
      <c r="AG10" s="15">
        <v>2016</v>
      </c>
      <c r="AH10" s="16">
        <v>77700</v>
      </c>
      <c r="AI10" s="16">
        <v>22981</v>
      </c>
      <c r="AJ10" s="16">
        <v>689455</v>
      </c>
    </row>
    <row r="11" spans="4:36" ht="27" thickBot="1" x14ac:dyDescent="0.45">
      <c r="E11" s="6"/>
      <c r="F11" s="6"/>
      <c r="J11" s="19">
        <f t="shared" si="9"/>
        <v>44105</v>
      </c>
      <c r="K11" s="19">
        <f t="shared" si="0"/>
        <v>44135</v>
      </c>
      <c r="L11" s="13">
        <f t="shared" si="14"/>
        <v>30</v>
      </c>
      <c r="M11" s="9">
        <f t="shared" si="1"/>
        <v>1.75</v>
      </c>
      <c r="N11" s="46">
        <f t="shared" si="2"/>
        <v>300000</v>
      </c>
      <c r="O11" s="46">
        <f t="shared" si="3"/>
        <v>877803</v>
      </c>
      <c r="P11" s="14">
        <f>IFERROR(IF(VLOOKUP(INT(TEXT(K11,"AAAA")),Tabla3[[AÑO]:[SALARIO 
MENSUAL]],2,0)*2&lt;$H$2,0,IFERROR(VLOOKUP(INT(TEXT(K11,"AAAA")),Tabla3[[AÑO]:[SALARIO 
MENSUAL]],2,0)," "))/30*L11," ")</f>
        <v>102854</v>
      </c>
      <c r="Q11" s="14">
        <f>IFERROR(IF(VLOOKUP(INT(TEXT(K11,"AAAA")),Tabla3[[AÑO]:[SALARIO 
MENSUAL]],4,0)*2&lt;$H$2,$H$2,VLOOKUP(INT(TEXT(K11,"AAAA")),Tabla3[[AÑO]:[SALARIO 
MENSUAL]],4,0))/30*L11+$H$14+P11," ")</f>
        <v>1280657</v>
      </c>
      <c r="R11" s="12">
        <f t="shared" si="4"/>
        <v>106721.41666666666</v>
      </c>
      <c r="S11" s="12">
        <f t="shared" si="5"/>
        <v>106721.41666666666</v>
      </c>
      <c r="T11" s="11">
        <f t="shared" si="6"/>
        <v>1.25</v>
      </c>
      <c r="U11" s="14">
        <f t="shared" si="11"/>
        <v>53360.708333333328</v>
      </c>
      <c r="V11" s="12">
        <f t="shared" si="7"/>
        <v>12806.57</v>
      </c>
      <c r="W11" s="53">
        <f t="shared" si="12"/>
        <v>432574.53714285709</v>
      </c>
      <c r="X11" s="12">
        <f t="shared" si="8"/>
        <v>5386077.4399999995</v>
      </c>
      <c r="Y11" s="12">
        <f ca="1">IFERROR(IF(TEXT($H$4,"DDMMAAAA")=TEXT($K10,"DDMMAAAA"),SUM($Y$2:INDIRECT(ADDRESS(ROW(Y10),COLUMN(Y10)))),$H$8/M11*U11)," ")</f>
        <v>224419.89333333331</v>
      </c>
      <c r="Z11" s="51">
        <f ca="1">IFERROR(IF(TEXT($H$4,"DDMMAAAA")=TEXT($K10,"DDMMAAAA"),SUM($Z$2:INDIRECT(ADDRESS(ROW(Z10),COLUMN(Z10)))),$H$8/M11*R11)," ")</f>
        <v>448839.78666666662</v>
      </c>
      <c r="AA11" s="12">
        <f ca="1">IFERROR(IF(TEXT($H$4,"DDMMAAAA")=TEXT($K10,"DDMMAAAA"),SUM($AA$2:INDIRECT(ADDRESS(ROW(AA10),COLUMN(AA10)))),$H$8/M11*S11)," ")</f>
        <v>448839.78666666662</v>
      </c>
      <c r="AB11" s="12">
        <f ca="1">IFERROR(IF(TEXT($H$4,"DDMMAAAA")=TEXT($K10,"DDMMAAAA"),SUM($AB$2:INDIRECT(ADDRESS(ROW(AB10),COLUMN(AB10)))),$H$8/M11*V11)," ")</f>
        <v>53860.774399999995</v>
      </c>
      <c r="AC11" s="12">
        <f ca="1">IFERROR(IF(TEXT($H$4,"DDMMAAAA")=TEXT($K10,"DDMMAAAA"),SUM($AC$2:INDIRECT(ADDRESS(ROW(AC10),COLUMN(AC10)))),IF(SUM(Y11:AB11)=0,"",SUM(Y11:AB11)))," ")</f>
        <v>1175960.2410666666</v>
      </c>
      <c r="AD11" s="6"/>
      <c r="AE11">
        <v>202306</v>
      </c>
      <c r="AF11">
        <v>12.13</v>
      </c>
      <c r="AG11" s="17">
        <v>2015</v>
      </c>
      <c r="AH11" s="18">
        <v>74000</v>
      </c>
      <c r="AI11" s="18">
        <v>21478</v>
      </c>
      <c r="AJ11" s="18">
        <v>644350</v>
      </c>
    </row>
    <row r="12" spans="4:36" ht="29.25" thickBot="1" x14ac:dyDescent="0.45">
      <c r="E12" s="6"/>
      <c r="F12" s="99" t="s">
        <v>31</v>
      </c>
      <c r="G12" s="100"/>
      <c r="H12" s="100"/>
      <c r="I12" s="101"/>
      <c r="J12" s="19">
        <f t="shared" si="9"/>
        <v>44136</v>
      </c>
      <c r="K12" s="19">
        <f t="shared" si="0"/>
        <v>44165</v>
      </c>
      <c r="L12" s="13">
        <f t="shared" si="14"/>
        <v>30</v>
      </c>
      <c r="M12" s="9">
        <f t="shared" si="1"/>
        <v>1.49</v>
      </c>
      <c r="N12" s="46">
        <f t="shared" si="2"/>
        <v>300000</v>
      </c>
      <c r="O12" s="46">
        <f t="shared" si="3"/>
        <v>877803</v>
      </c>
      <c r="P12" s="14">
        <f>IFERROR(IF(VLOOKUP(INT(TEXT(K12,"AAAA")),Tabla3[[AÑO]:[SALARIO 
MENSUAL]],2,0)*2&lt;$H$2,0,IFERROR(VLOOKUP(INT(TEXT(K12,"AAAA")),Tabla3[[AÑO]:[SALARIO 
MENSUAL]],2,0)," "))/30*L12," ")</f>
        <v>102854</v>
      </c>
      <c r="Q12" s="14">
        <f>IFERROR(IF(VLOOKUP(INT(TEXT(K12,"AAAA")),Tabla3[[AÑO]:[SALARIO 
MENSUAL]],4,0)*2&lt;$H$2,$H$2,VLOOKUP(INT(TEXT(K12,"AAAA")),Tabla3[[AÑO]:[SALARIO 
MENSUAL]],4,0))/30*L12+$H$14+P12," ")</f>
        <v>1280657</v>
      </c>
      <c r="R12" s="12">
        <f t="shared" si="4"/>
        <v>106721.41666666666</v>
      </c>
      <c r="S12" s="12">
        <f t="shared" si="5"/>
        <v>106721.41666666666</v>
      </c>
      <c r="T12" s="11">
        <f t="shared" si="6"/>
        <v>1.25</v>
      </c>
      <c r="U12" s="14">
        <f t="shared" si="11"/>
        <v>53360.708333333328</v>
      </c>
      <c r="V12" s="12">
        <f t="shared" si="7"/>
        <v>12806.57</v>
      </c>
      <c r="W12" s="53">
        <f t="shared" si="12"/>
        <v>508057.34228187922</v>
      </c>
      <c r="X12" s="12">
        <f t="shared" si="8"/>
        <v>6325929.8791946312</v>
      </c>
      <c r="Y12" s="12">
        <f ca="1">IFERROR(IF(TEXT($H$4,"DDMMAAAA")=TEXT($K11,"DDMMAAAA"),SUM($Y$2:INDIRECT(ADDRESS(ROW(Y11),COLUMN(Y11)))),$H$8/M12*U12)," ")</f>
        <v>263580.41163310962</v>
      </c>
      <c r="Z12" s="51">
        <f ca="1">IFERROR(IF(TEXT($H$4,"DDMMAAAA")=TEXT($K11,"DDMMAAAA"),SUM($Z$2:INDIRECT(ADDRESS(ROW(Z11),COLUMN(Z11)))),$H$8/M12*R12)," ")</f>
        <v>527160.82326621923</v>
      </c>
      <c r="AA12" s="12">
        <f ca="1">IFERROR(IF(TEXT($H$4,"DDMMAAAA")=TEXT($K11,"DDMMAAAA"),SUM($AA$2:INDIRECT(ADDRESS(ROW(AA11),COLUMN(AA11)))),$H$8/M12*S12)," ")</f>
        <v>527160.82326621923</v>
      </c>
      <c r="AB12" s="12">
        <f ca="1">IFERROR(IF(TEXT($H$4,"DDMMAAAA")=TEXT($K11,"DDMMAAAA"),SUM($AB$2:INDIRECT(ADDRESS(ROW(AB11),COLUMN(AB11)))),$H$8/M12*V12)," ")</f>
        <v>63259.298791946305</v>
      </c>
      <c r="AC12" s="12">
        <f ca="1">IFERROR(IF(TEXT($H$4,"DDMMAAAA")=TEXT($K11,"DDMMAAAA"),SUM($AC$2:INDIRECT(ADDRESS(ROW(AC11),COLUMN(AC11)))),IF(SUM(Y12:AB12)=0,"",SUM(Y12:AB12)))," ")</f>
        <v>1381161.3569574943</v>
      </c>
      <c r="AD12" s="6"/>
      <c r="AE12">
        <v>202305</v>
      </c>
      <c r="AF12">
        <v>12.36</v>
      </c>
      <c r="AG12" s="15">
        <v>2014</v>
      </c>
      <c r="AH12" s="16">
        <v>72000</v>
      </c>
      <c r="AI12" s="16">
        <v>20533</v>
      </c>
      <c r="AJ12" s="16">
        <v>616000</v>
      </c>
    </row>
    <row r="13" spans="4:36" ht="34.5" customHeight="1" thickBot="1" x14ac:dyDescent="0.55000000000000004">
      <c r="E13" s="6"/>
      <c r="F13" s="97" t="s">
        <v>41</v>
      </c>
      <c r="G13" s="98"/>
      <c r="H13" s="44">
        <v>0</v>
      </c>
      <c r="I13" s="48"/>
      <c r="J13" s="19">
        <f t="shared" si="9"/>
        <v>44166</v>
      </c>
      <c r="K13" s="19">
        <f t="shared" si="0"/>
        <v>44196</v>
      </c>
      <c r="L13" s="13">
        <f>IFERROR(IF(AND(TEXT(J13,"D")="1",TEXT(K13,"DD")=TEXT(EOMONTH(J13,0),"D")),30,K13-J13)," ")</f>
        <v>30</v>
      </c>
      <c r="M13" s="9">
        <f t="shared" si="1"/>
        <v>1.61</v>
      </c>
      <c r="N13" s="46">
        <f t="shared" si="2"/>
        <v>300000</v>
      </c>
      <c r="O13" s="46">
        <f t="shared" si="3"/>
        <v>877803</v>
      </c>
      <c r="P13" s="14">
        <f>IFERROR(IF(VLOOKUP(INT(TEXT(K13,"AAAA")),Tabla3[[AÑO]:[SALARIO 
MENSUAL]],2,0)*2&lt;$H$2,0,IFERROR(VLOOKUP(INT(TEXT(K13,"AAAA")),Tabla3[[AÑO]:[SALARIO 
MENSUAL]],2,0)," "))/30*L13," ")</f>
        <v>102854</v>
      </c>
      <c r="Q13" s="14">
        <f>IFERROR(IF(VLOOKUP(INT(TEXT(K13,"AAAA")),Tabla3[[AÑO]:[SALARIO 
MENSUAL]],4,0)*2&lt;$H$2,$H$2,VLOOKUP(INT(TEXT(K13,"AAAA")),Tabla3[[AÑO]:[SALARIO 
MENSUAL]],4,0))/30*L13+$H$14+P13," ")</f>
        <v>1280657</v>
      </c>
      <c r="R13" s="12">
        <f t="shared" si="4"/>
        <v>106721.41666666666</v>
      </c>
      <c r="S13" s="12">
        <f t="shared" si="5"/>
        <v>106721.41666666666</v>
      </c>
      <c r="T13" s="11">
        <f t="shared" si="6"/>
        <v>1.25</v>
      </c>
      <c r="U13" s="14">
        <f t="shared" si="11"/>
        <v>53360.708333333328</v>
      </c>
      <c r="V13" s="12">
        <f t="shared" si="7"/>
        <v>12806.57</v>
      </c>
      <c r="W13" s="53">
        <f t="shared" si="12"/>
        <v>470189.71428571426</v>
      </c>
      <c r="X13" s="12">
        <f t="shared" si="8"/>
        <v>5854432</v>
      </c>
      <c r="Y13" s="12">
        <f ca="1">IFERROR(IF(TEXT($H$4,"DDMMAAAA")=TEXT($K12,"DDMMAAAA"),SUM($Y$2:INDIRECT(ADDRESS(ROW(Y12),COLUMN(Y12)))),$H$8/M13*U13)," ")</f>
        <v>243934.66666666663</v>
      </c>
      <c r="Z13" s="51">
        <f ca="1">IFERROR(IF(TEXT($H$4,"DDMMAAAA")=TEXT($K12,"DDMMAAAA"),SUM($Z$2:INDIRECT(ADDRESS(ROW(Z12),COLUMN(Z12)))),$H$8/M13*R13)," ")</f>
        <v>487869.33333333326</v>
      </c>
      <c r="AA13" s="12">
        <f ca="1">IFERROR(IF(TEXT($H$4,"DDMMAAAA")=TEXT($K12,"DDMMAAAA"),SUM($AA$2:INDIRECT(ADDRESS(ROW(AA12),COLUMN(AA12)))),$H$8/M13*S13)," ")</f>
        <v>487869.33333333326</v>
      </c>
      <c r="AB13" s="12">
        <f ca="1">IFERROR(IF(TEXT($H$4,"DDMMAAAA")=TEXT($K12,"DDMMAAAA"),SUM($AB$2:INDIRECT(ADDRESS(ROW(AB12),COLUMN(AB12)))),$H$8/M13*V13)," ")</f>
        <v>58544.319999999992</v>
      </c>
      <c r="AC13" s="12">
        <f ca="1">IFERROR(IF(TEXT($H$4,"DDMMAAAA")=TEXT($K12,"DDMMAAAA"),SUM($AC$2:INDIRECT(ADDRESS(ROW(AC12),COLUMN(AC12)))),IF(SUM(Y13:AB13)=0,"",SUM(Y13:AB13)))," ")</f>
        <v>1278217.6533333331</v>
      </c>
      <c r="AD13" s="6"/>
      <c r="AE13">
        <v>202304</v>
      </c>
      <c r="AF13">
        <v>12.82</v>
      </c>
      <c r="AG13" s="17">
        <v>2013</v>
      </c>
      <c r="AH13" s="18">
        <v>70500</v>
      </c>
      <c r="AI13" s="18">
        <v>19650</v>
      </c>
      <c r="AJ13" s="18">
        <v>589500</v>
      </c>
    </row>
    <row r="14" spans="4:36" ht="34.5" customHeight="1" thickBot="1" x14ac:dyDescent="0.55000000000000004">
      <c r="E14" s="6"/>
      <c r="F14" s="97" t="s">
        <v>37</v>
      </c>
      <c r="G14" s="98"/>
      <c r="H14" s="44">
        <v>300000</v>
      </c>
      <c r="I14" s="49"/>
      <c r="J14" s="19">
        <f t="shared" si="9"/>
        <v>44197</v>
      </c>
      <c r="K14" s="19">
        <f t="shared" si="0"/>
        <v>44227</v>
      </c>
      <c r="L14" s="13">
        <f t="shared" si="14"/>
        <v>30</v>
      </c>
      <c r="M14" s="9">
        <f t="shared" si="1"/>
        <v>1.6</v>
      </c>
      <c r="N14" s="46">
        <f t="shared" si="2"/>
        <v>300000</v>
      </c>
      <c r="O14" s="46">
        <f t="shared" si="3"/>
        <v>908526</v>
      </c>
      <c r="P14" s="14">
        <f>IFERROR(IF(VLOOKUP(INT(TEXT(K14,"AAAA")),Tabla3[[AÑO]:[SALARIO 
MENSUAL]],2,0)*2&lt;$H$2,0,IFERROR(VLOOKUP(INT(TEXT(K14,"AAAA")),Tabla3[[AÑO]:[SALARIO 
MENSUAL]],2,0)," "))/30*L14," ")</f>
        <v>106454</v>
      </c>
      <c r="Q14" s="14">
        <f>IFERROR(IF(VLOOKUP(INT(TEXT(K14,"AAAA")),Tabla3[[AÑO]:[SALARIO 
MENSUAL]],4,0)*2&lt;$H$2,$H$2,VLOOKUP(INT(TEXT(K14,"AAAA")),Tabla3[[AÑO]:[SALARIO 
MENSUAL]],4,0))/30*L14+$H$14+P14," ")</f>
        <v>1314980</v>
      </c>
      <c r="R14" s="12">
        <f t="shared" si="4"/>
        <v>109581.66666666667</v>
      </c>
      <c r="S14" s="12">
        <f t="shared" si="5"/>
        <v>109581.66666666667</v>
      </c>
      <c r="T14" s="11">
        <f t="shared" si="6"/>
        <v>1.25</v>
      </c>
      <c r="U14" s="14">
        <f t="shared" si="11"/>
        <v>54790.833333333328</v>
      </c>
      <c r="V14" s="12">
        <f t="shared" si="7"/>
        <v>13149.800000000001</v>
      </c>
      <c r="W14" s="53">
        <f t="shared" si="12"/>
        <v>489688.39999999997</v>
      </c>
      <c r="X14" s="12">
        <f t="shared" si="8"/>
        <v>6048907.9999999991</v>
      </c>
      <c r="Y14" s="12">
        <f ca="1">IFERROR(IF(TEXT($H$4,"DDMMAAAA")=TEXT($K13,"DDMMAAAA"),SUM($Y$2:INDIRECT(ADDRESS(ROW(Y13),COLUMN(Y13)))),$H$8/M14*U14)," ")</f>
        <v>252037.83333333328</v>
      </c>
      <c r="Z14" s="51">
        <f ca="1">IFERROR(IF(TEXT($H$4,"DDMMAAAA")=TEXT($K13,"DDMMAAAA"),SUM($Z$2:INDIRECT(ADDRESS(ROW(Z13),COLUMN(Z13)))),$H$8/M14*R14)," ")</f>
        <v>504075.66666666663</v>
      </c>
      <c r="AA14" s="12">
        <f ca="1">IFERROR(IF(TEXT($H$4,"DDMMAAAA")=TEXT($K13,"DDMMAAAA"),SUM($AA$2:INDIRECT(ADDRESS(ROW(AA13),COLUMN(AA13)))),$H$8/M14*S14)," ")</f>
        <v>504075.66666666663</v>
      </c>
      <c r="AB14" s="12">
        <f ca="1">IFERROR(IF(TEXT($H$4,"DDMMAAAA")=TEXT($K13,"DDMMAAAA"),SUM($AB$2:INDIRECT(ADDRESS(ROW(AB13),COLUMN(AB13)))),$H$8/M14*V14)," ")</f>
        <v>60489.08</v>
      </c>
      <c r="AC14" s="12">
        <f ca="1">IFERROR(IF(TEXT($H$4,"DDMMAAAA")=TEXT($K13,"DDMMAAAA"),SUM($AC$2:INDIRECT(ADDRESS(ROW(AC13),COLUMN(AC13)))),IF(SUM(Y14:AB14)=0,"",SUM(Y14:AB14,)))," ")</f>
        <v>1320678.2466666666</v>
      </c>
      <c r="AD14" s="6"/>
      <c r="AE14">
        <v>202303</v>
      </c>
      <c r="AF14">
        <v>13.34</v>
      </c>
      <c r="AG14" s="15">
        <v>2012</v>
      </c>
      <c r="AH14" s="16">
        <v>67800</v>
      </c>
      <c r="AI14" s="16">
        <v>18890</v>
      </c>
      <c r="AJ14" s="16">
        <v>566700</v>
      </c>
    </row>
    <row r="15" spans="4:36" ht="30.75" thickBot="1" x14ac:dyDescent="0.45">
      <c r="E15" s="6"/>
      <c r="F15" s="39">
        <v>0.25</v>
      </c>
      <c r="G15" s="38" t="s">
        <v>32</v>
      </c>
      <c r="H15" s="55"/>
      <c r="I15" s="49">
        <f>IF($H$13/30/8*H15*F15+$H$13/30/8*H15,$H$13/30/8*H15*F15+$H$13/30/8*H15,0)</f>
        <v>0</v>
      </c>
      <c r="J15" s="19">
        <f t="shared" si="9"/>
        <v>44228</v>
      </c>
      <c r="K15" s="19">
        <f t="shared" si="0"/>
        <v>44255</v>
      </c>
      <c r="L15" s="13">
        <f t="shared" si="14"/>
        <v>30</v>
      </c>
      <c r="M15" s="9">
        <f t="shared" si="1"/>
        <v>1.56</v>
      </c>
      <c r="N15" s="46">
        <f t="shared" si="2"/>
        <v>300000</v>
      </c>
      <c r="O15" s="46">
        <f t="shared" si="3"/>
        <v>908526</v>
      </c>
      <c r="P15" s="14">
        <f>IFERROR(IF(VLOOKUP(INT(TEXT(K15,"AAAA")),Tabla3[[AÑO]:[SALARIO 
MENSUAL]],2,0)*2&lt;$H$2,0,IFERROR(VLOOKUP(INT(TEXT(K15,"AAAA")),Tabla3[[AÑO]:[SALARIO 
MENSUAL]],2,0)," "))/30*L15," ")</f>
        <v>106454</v>
      </c>
      <c r="Q15" s="14">
        <f>IFERROR(IF(VLOOKUP(INT(TEXT(K15,"AAAA")),Tabla3[[AÑO]:[SALARIO 
MENSUAL]],4,0)*2&lt;$H$2,$H$2,VLOOKUP(INT(TEXT(K15,"AAAA")),Tabla3[[AÑO]:[SALARIO 
MENSUAL]],4,0))/30*L15+$H$14+P15," ")</f>
        <v>1314980</v>
      </c>
      <c r="R15" s="12">
        <f t="shared" si="4"/>
        <v>109581.66666666667</v>
      </c>
      <c r="S15" s="12">
        <f t="shared" si="5"/>
        <v>109581.66666666667</v>
      </c>
      <c r="T15" s="11">
        <f t="shared" si="6"/>
        <v>1.25</v>
      </c>
      <c r="U15" s="14">
        <f t="shared" si="11"/>
        <v>54790.833333333328</v>
      </c>
      <c r="V15" s="12">
        <f t="shared" si="7"/>
        <v>13149.800000000001</v>
      </c>
      <c r="W15" s="53">
        <f t="shared" si="12"/>
        <v>502244.51282051281</v>
      </c>
      <c r="X15" s="12">
        <f t="shared" si="8"/>
        <v>6204008.205128205</v>
      </c>
      <c r="Y15" s="12">
        <f ca="1">IFERROR(IF(TEXT($H$4,"DDMMAAAA")=TEXT($K14,"DDMMAAAA"),SUM($Y$2:INDIRECT(ADDRESS(ROW(Y14),COLUMN(Y14)))),$H$8/M15*U15)," ")</f>
        <v>258500.34188034188</v>
      </c>
      <c r="Z15" s="51">
        <f ca="1">IFERROR(IF(TEXT($H$4,"DDMMAAAA")=TEXT($K14,"DDMMAAAA"),SUM($Z$2:INDIRECT(ADDRESS(ROW(Z14),COLUMN(Z14)))),$H$8/M15*R15)," ")</f>
        <v>517000.68376068381</v>
      </c>
      <c r="AA15" s="12">
        <f ca="1">IFERROR(IF(TEXT($H$4,"DDMMAAAA")=TEXT($K14,"DDMMAAAA"),SUM($AA$2:INDIRECT(ADDRESS(ROW(AA14),COLUMN(AA14)))),$H$8/M15*S15)," ")</f>
        <v>517000.68376068381</v>
      </c>
      <c r="AB15" s="12">
        <f ca="1">IFERROR(IF(TEXT($H$4,"DDMMAAAA")=TEXT($K14,"DDMMAAAA"),SUM($AB$2:INDIRECT(ADDRESS(ROW(AB14),COLUMN(AB14)))),$H$8/M15*V15)," ")</f>
        <v>62040.082051282057</v>
      </c>
      <c r="AC15" s="12">
        <f ca="1">IFERROR(IF(TEXT($H$4,"DDMMAAAA")=TEXT($K14,"DDMMAAAA"),SUM($AC$2:INDIRECT(ADDRESS(ROW(AC14),COLUMN(AC14)))),IF(SUM(Y15:AB15)=0,"",SUM(Y15:AB15)))," ")</f>
        <v>1354541.7914529915</v>
      </c>
      <c r="AD15" s="6"/>
      <c r="AE15">
        <v>202302</v>
      </c>
      <c r="AF15">
        <v>13.28</v>
      </c>
      <c r="AG15" s="17">
        <v>2011</v>
      </c>
      <c r="AH15" s="18">
        <v>63600</v>
      </c>
      <c r="AI15" s="18">
        <v>17853</v>
      </c>
      <c r="AJ15" s="18">
        <v>535600</v>
      </c>
    </row>
    <row r="16" spans="4:36" ht="30.75" thickBot="1" x14ac:dyDescent="0.45">
      <c r="E16" s="6"/>
      <c r="F16" s="39">
        <v>0.75</v>
      </c>
      <c r="G16" s="38" t="s">
        <v>33</v>
      </c>
      <c r="H16" s="42">
        <v>0</v>
      </c>
      <c r="I16" s="49">
        <f>IF($H$13/30/8*H16*F16+$H$13/30/8*H16,$H$13/30/8*H16*F16+$H$13/30/8*H16,0)</f>
        <v>0</v>
      </c>
      <c r="J16" s="19">
        <f t="shared" si="9"/>
        <v>44256</v>
      </c>
      <c r="K16" s="19">
        <f t="shared" si="0"/>
        <v>44286</v>
      </c>
      <c r="L16" s="13">
        <f t="shared" si="14"/>
        <v>30</v>
      </c>
      <c r="M16" s="9">
        <f t="shared" si="1"/>
        <v>1.51</v>
      </c>
      <c r="N16" s="46">
        <f t="shared" si="2"/>
        <v>300000</v>
      </c>
      <c r="O16" s="46">
        <f t="shared" si="3"/>
        <v>908526</v>
      </c>
      <c r="P16" s="14">
        <f>IFERROR(IF(VLOOKUP(INT(TEXT(K16,"AAAA")),Tabla3[[AÑO]:[SALARIO 
MENSUAL]],2,0)*2&lt;$H$2,0,IFERROR(VLOOKUP(INT(TEXT(K16,"AAAA")),Tabla3[[AÑO]:[SALARIO 
MENSUAL]],2,0)," "))/30*L16," ")</f>
        <v>106454</v>
      </c>
      <c r="Q16" s="14">
        <f>IFERROR(IF(VLOOKUP(INT(TEXT(K16,"AAAA")),Tabla3[[AÑO]:[SALARIO 
MENSUAL]],4,0)*2&lt;$H$2,$H$2,VLOOKUP(INT(TEXT(K16,"AAAA")),Tabla3[[AÑO]:[SALARIO 
MENSUAL]],4,0))/30*L16+$H$14+P16," ")</f>
        <v>1314980</v>
      </c>
      <c r="R16" s="12">
        <f t="shared" si="4"/>
        <v>109581.66666666667</v>
      </c>
      <c r="S16" s="12">
        <f t="shared" si="5"/>
        <v>109581.66666666667</v>
      </c>
      <c r="T16" s="11">
        <f t="shared" si="6"/>
        <v>1.25</v>
      </c>
      <c r="U16" s="14">
        <f t="shared" si="11"/>
        <v>54790.833333333328</v>
      </c>
      <c r="V16" s="12">
        <f t="shared" si="7"/>
        <v>13149.800000000001</v>
      </c>
      <c r="W16" s="53">
        <f t="shared" si="12"/>
        <v>518875.12582781457</v>
      </c>
      <c r="X16" s="12">
        <f t="shared" si="8"/>
        <v>6409438.940397351</v>
      </c>
      <c r="Y16" s="12">
        <f ca="1">IFERROR(IF(TEXT($H$4,"DDMMAAAA")=TEXT($K15,"DDMMAAAA"),SUM($Y$2:INDIRECT(ADDRESS(ROW(Y15),COLUMN(Y15)))),$H$8/M16*U16)," ")</f>
        <v>267059.95584988961</v>
      </c>
      <c r="Z16" s="51">
        <f ca="1">IFERROR(IF(TEXT($H$4,"DDMMAAAA")=TEXT($K15,"DDMMAAAA"),SUM($Z$2:INDIRECT(ADDRESS(ROW(Z15),COLUMN(Z15)))),$H$8/M16*R16)," ")</f>
        <v>534119.91169977933</v>
      </c>
      <c r="AA16" s="12">
        <f ca="1">IFERROR(IF(TEXT($H$4,"DDMMAAAA")=TEXT($K15,"DDMMAAAA"),SUM($AA$2:INDIRECT(ADDRESS(ROW(AA15),COLUMN(AA15)))),$H$8/M16*S16)," ")</f>
        <v>534119.91169977933</v>
      </c>
      <c r="AB16" s="12">
        <f ca="1">IFERROR(IF(TEXT($H$4,"DDMMAAAA")=TEXT($K15,"DDMMAAAA"),SUM($AB$2:INDIRECT(ADDRESS(ROW(AB15),COLUMN(AB15)))),$H$8/M16*V16)," ")</f>
        <v>64094.389403973517</v>
      </c>
      <c r="AC16" s="12">
        <f ca="1">IFERROR(IF(TEXT($H$4,"DDMMAAAA")=TEXT($K15,"DDMMAAAA"),SUM($AC$2:INDIRECT(ADDRESS(ROW(AC15),COLUMN(AC15)))),IF(SUM(Y16:AB16)=0,"",SUM(Y16:AB16)))," ")</f>
        <v>1399394.1686534218</v>
      </c>
      <c r="AD16" s="6"/>
      <c r="AE16">
        <v>202301</v>
      </c>
      <c r="AF16">
        <v>13.25</v>
      </c>
      <c r="AG16" s="15">
        <v>2010</v>
      </c>
      <c r="AH16" s="16">
        <v>61500</v>
      </c>
      <c r="AI16" s="16">
        <v>17166</v>
      </c>
      <c r="AJ16" s="16">
        <v>515000</v>
      </c>
    </row>
    <row r="17" spans="5:36" ht="57.75" thickBot="1" x14ac:dyDescent="0.45">
      <c r="E17" s="6"/>
      <c r="F17" s="39">
        <v>1</v>
      </c>
      <c r="G17" s="40" t="s">
        <v>34</v>
      </c>
      <c r="H17" s="42">
        <v>0</v>
      </c>
      <c r="I17" s="49">
        <f>IF($H$13/30/8*H17*F17+$H$13/30/8*H17,$H$13/30/8*H17*F17+$H$13/30/8*H17,0)</f>
        <v>0</v>
      </c>
      <c r="J17" s="19">
        <f t="shared" si="9"/>
        <v>44287</v>
      </c>
      <c r="K17" s="19">
        <f t="shared" si="0"/>
        <v>44316</v>
      </c>
      <c r="L17" s="13">
        <f t="shared" si="14"/>
        <v>30</v>
      </c>
      <c r="M17" s="9">
        <f t="shared" si="1"/>
        <v>1.95</v>
      </c>
      <c r="N17" s="46">
        <f t="shared" si="2"/>
        <v>300000</v>
      </c>
      <c r="O17" s="46">
        <f t="shared" si="3"/>
        <v>908526</v>
      </c>
      <c r="P17" s="14">
        <f>IFERROR(IF(VLOOKUP(INT(TEXT(K17,"AAAA")),Tabla3[[AÑO]:[SALARIO 
MENSUAL]],2,0)*2&lt;$H$2,0,IFERROR(VLOOKUP(INT(TEXT(K17,"AAAA")),Tabla3[[AÑO]:[SALARIO 
MENSUAL]],2,0)," "))/30*L17," ")</f>
        <v>106454</v>
      </c>
      <c r="Q17" s="14">
        <f>IFERROR(IF(VLOOKUP(INT(TEXT(K17,"AAAA")),Tabla3[[AÑO]:[SALARIO 
MENSUAL]],4,0)*2&lt;$H$2,$H$2,VLOOKUP(INT(TEXT(K17,"AAAA")),Tabla3[[AÑO]:[SALARIO 
MENSUAL]],4,0))/30*L17+$H$14+P17," ")</f>
        <v>1314980</v>
      </c>
      <c r="R17" s="12">
        <f t="shared" si="4"/>
        <v>109581.66666666667</v>
      </c>
      <c r="S17" s="12">
        <f t="shared" si="5"/>
        <v>109581.66666666667</v>
      </c>
      <c r="T17" s="11">
        <f t="shared" si="6"/>
        <v>1.25</v>
      </c>
      <c r="U17" s="14">
        <f t="shared" si="11"/>
        <v>54790.833333333328</v>
      </c>
      <c r="V17" s="12">
        <f t="shared" si="7"/>
        <v>13149.800000000001</v>
      </c>
      <c r="W17" s="53">
        <f t="shared" si="12"/>
        <v>401795.61025641032</v>
      </c>
      <c r="X17" s="12">
        <f t="shared" si="8"/>
        <v>4963206.5641025649</v>
      </c>
      <c r="Y17" s="12">
        <f ca="1">IFERROR(IF(TEXT($H$4,"DDMMAAAA")=TEXT($K16,"DDMMAAAA"),SUM($Y$2:INDIRECT(ADDRESS(ROW(Y16),COLUMN(Y16)))),$H$8/M17*U17)," ")</f>
        <v>206800.2735042735</v>
      </c>
      <c r="Z17" s="51">
        <f ca="1">IFERROR(IF(TEXT($H$4,"DDMMAAAA")=TEXT($K16,"DDMMAAAA"),SUM($Z$2:INDIRECT(ADDRESS(ROW(Z16),COLUMN(Z16)))),$H$8/M17*R17)," ")</f>
        <v>413600.54700854706</v>
      </c>
      <c r="AA17" s="12">
        <f ca="1">IFERROR(IF(TEXT($H$4,"DDMMAAAA")=TEXT($K16,"DDMMAAAA"),SUM($AA$2:INDIRECT(ADDRESS(ROW(AA16),COLUMN(AA16)))),$H$8/M17*S17)," ")</f>
        <v>413600.54700854706</v>
      </c>
      <c r="AB17" s="12">
        <f ca="1">IFERROR(IF(TEXT($H$4,"DDMMAAAA")=TEXT($K16,"DDMMAAAA"),SUM($AB$2:INDIRECT(ADDRESS(ROW(AB16),COLUMN(AB16)))),$H$8/M17*V17)," ")</f>
        <v>49632.065641025649</v>
      </c>
      <c r="AC17" s="12">
        <f ca="1">IFERROR(IF(TEXT($H$4,"DDMMAAAA")=TEXT($K16,"DDMMAAAA"),SUM($AC$2:INDIRECT(ADDRESS(ROW(AC16),COLUMN(AC16)))),IF(SUM(Y17:AB17)=0,"",SUM(Y17:AB17)))," ")</f>
        <v>1083633.433162393</v>
      </c>
      <c r="AD17" s="6"/>
      <c r="AE17">
        <v>202212</v>
      </c>
      <c r="AF17">
        <v>13.12</v>
      </c>
      <c r="AG17" s="17">
        <v>2009</v>
      </c>
      <c r="AH17" s="18">
        <v>59300</v>
      </c>
      <c r="AI17" s="18">
        <v>16563</v>
      </c>
      <c r="AJ17" s="18">
        <v>496900</v>
      </c>
    </row>
    <row r="18" spans="5:36" ht="57.75" thickBot="1" x14ac:dyDescent="0.45">
      <c r="E18" s="6"/>
      <c r="F18" s="39">
        <v>1.75</v>
      </c>
      <c r="G18" s="40" t="s">
        <v>35</v>
      </c>
      <c r="H18" s="47">
        <v>0</v>
      </c>
      <c r="I18" s="50">
        <f>IF($H$13/30/8*H18*F18+$H$13/30/8*H18,$H$13/30/8*H18*F18+$H$13/30/8*H18,0)</f>
        <v>0</v>
      </c>
      <c r="J18" s="19">
        <f t="shared" si="9"/>
        <v>44317</v>
      </c>
      <c r="K18" s="19">
        <f t="shared" si="0"/>
        <v>44347</v>
      </c>
      <c r="L18" s="13">
        <f t="shared" si="14"/>
        <v>30</v>
      </c>
      <c r="M18" s="9">
        <f t="shared" si="1"/>
        <v>3.3</v>
      </c>
      <c r="N18" s="46">
        <f t="shared" si="2"/>
        <v>300000</v>
      </c>
      <c r="O18" s="46">
        <f t="shared" si="3"/>
        <v>908526</v>
      </c>
      <c r="P18" s="14">
        <f>IFERROR(IF(VLOOKUP(INT(TEXT(K18,"AAAA")),Tabla3[[AÑO]:[SALARIO 
MENSUAL]],2,0)*2&lt;$H$2,0,IFERROR(VLOOKUP(INT(TEXT(K18,"AAAA")),Tabla3[[AÑO]:[SALARIO 
MENSUAL]],2,0)," "))/30*L18," ")</f>
        <v>106454</v>
      </c>
      <c r="Q18" s="14">
        <f>IFERROR(IF(VLOOKUP(INT(TEXT(K18,"AAAA")),Tabla3[[AÑO]:[SALARIO 
MENSUAL]],4,0)*2&lt;$H$2,$H$2,VLOOKUP(INT(TEXT(K18,"AAAA")),Tabla3[[AÑO]:[SALARIO 
MENSUAL]],4,0))/30*L18+$H$14+P18," ")</f>
        <v>1314980</v>
      </c>
      <c r="R18" s="12">
        <f t="shared" si="4"/>
        <v>109581.66666666667</v>
      </c>
      <c r="S18" s="12">
        <f t="shared" si="5"/>
        <v>109581.66666666667</v>
      </c>
      <c r="T18" s="11">
        <f t="shared" si="6"/>
        <v>1.25</v>
      </c>
      <c r="U18" s="14">
        <f t="shared" si="11"/>
        <v>54790.833333333328</v>
      </c>
      <c r="V18" s="12">
        <f t="shared" si="7"/>
        <v>13149.800000000001</v>
      </c>
      <c r="W18" s="53">
        <f t="shared" si="12"/>
        <v>237424.6787878788</v>
      </c>
      <c r="X18" s="12">
        <f t="shared" si="8"/>
        <v>2932803.8787878789</v>
      </c>
      <c r="Y18" s="12">
        <f ca="1">IFERROR(IF(TEXT($H$4,"DDMMAAAA")=TEXT($K17,"DDMMAAAA"),SUM($Y$2:INDIRECT(ADDRESS(ROW(Y17),COLUMN(Y17)))),$H$8/M18*U18)," ")</f>
        <v>122200.16161616161</v>
      </c>
      <c r="Z18" s="51">
        <f ca="1">IFERROR(IF(TEXT($H$4,"DDMMAAAA")=TEXT($K17,"DDMMAAAA"),SUM($Z$2:INDIRECT(ADDRESS(ROW(Z17),COLUMN(Z17)))),$H$8/M18*R18)," ")</f>
        <v>244400.32323232325</v>
      </c>
      <c r="AA18" s="12">
        <f ca="1">IFERROR(IF(TEXT($H$4,"DDMMAAAA")=TEXT($K17,"DDMMAAAA"),SUM($AA$2:INDIRECT(ADDRESS(ROW(AA17),COLUMN(AA17)))),$H$8/M18*S18)," ")</f>
        <v>244400.32323232325</v>
      </c>
      <c r="AB18" s="12">
        <f ca="1">IFERROR(IF(TEXT($H$4,"DDMMAAAA")=TEXT($K17,"DDMMAAAA"),SUM($AB$2:INDIRECT(ADDRESS(ROW(AB17),COLUMN(AB17)))),$H$8/M18*V18)," ")</f>
        <v>29328.038787878791</v>
      </c>
      <c r="AC18" s="12">
        <f ca="1">IFERROR(IF(TEXT($H$4,"DDMMAAAA")=TEXT($K17,"DDMMAAAA"),SUM($AC$2:INDIRECT(ADDRESS(ROW(AC17),COLUMN(AC17)))),IF(SUM(Y18:AB18)=0,"",SUM(Y18:AB18)))," ")</f>
        <v>640328.84686868696</v>
      </c>
      <c r="AD18" s="6"/>
      <c r="AE18">
        <v>202211</v>
      </c>
      <c r="AF18">
        <v>12.53</v>
      </c>
      <c r="AG18" s="15">
        <v>2008</v>
      </c>
      <c r="AH18" s="16">
        <v>55000</v>
      </c>
      <c r="AI18" s="16">
        <v>15383</v>
      </c>
      <c r="AJ18" s="16">
        <v>461500</v>
      </c>
    </row>
    <row r="19" spans="5:36" ht="27" customHeight="1" thickBot="1" x14ac:dyDescent="0.45">
      <c r="E19" s="6"/>
      <c r="H19" s="92" t="s">
        <v>40</v>
      </c>
      <c r="I19" s="102">
        <f ca="1">SUM(AC:AC)/2</f>
        <v>25659370.771916267</v>
      </c>
      <c r="J19" s="19">
        <f t="shared" si="9"/>
        <v>44348</v>
      </c>
      <c r="K19" s="19">
        <f t="shared" si="0"/>
        <v>44377</v>
      </c>
      <c r="L19" s="13">
        <f t="shared" si="14"/>
        <v>30</v>
      </c>
      <c r="M19" s="9">
        <f t="shared" si="1"/>
        <v>3.63</v>
      </c>
      <c r="N19" s="46">
        <f t="shared" si="2"/>
        <v>300000</v>
      </c>
      <c r="O19" s="46">
        <f t="shared" si="3"/>
        <v>908526</v>
      </c>
      <c r="P19" s="14">
        <f>IFERROR(IF(VLOOKUP(INT(TEXT(K19,"AAAA")),Tabla3[[AÑO]:[SALARIO 
MENSUAL]],2,0)*2&lt;$H$2,0,IFERROR(VLOOKUP(INT(TEXT(K19,"AAAA")),Tabla3[[AÑO]:[SALARIO 
MENSUAL]],2,0)," "))/30*L19," ")</f>
        <v>106454</v>
      </c>
      <c r="Q19" s="14">
        <f>IFERROR(IF(VLOOKUP(INT(TEXT(K19,"AAAA")),Tabla3[[AÑO]:[SALARIO 
MENSUAL]],4,0)*2&lt;$H$2,$H$2,VLOOKUP(INT(TEXT(K19,"AAAA")),Tabla3[[AÑO]:[SALARIO 
MENSUAL]],4,0))/30*L19+$H$14+P19," ")</f>
        <v>1314980</v>
      </c>
      <c r="R19" s="12">
        <f t="shared" si="4"/>
        <v>109581.66666666667</v>
      </c>
      <c r="S19" s="12">
        <f t="shared" si="5"/>
        <v>109581.66666666667</v>
      </c>
      <c r="T19" s="11">
        <f t="shared" si="6"/>
        <v>1.25</v>
      </c>
      <c r="U19" s="14">
        <f t="shared" si="11"/>
        <v>54790.833333333328</v>
      </c>
      <c r="V19" s="12">
        <f t="shared" si="7"/>
        <v>13149.800000000001</v>
      </c>
      <c r="W19" s="53">
        <f t="shared" si="12"/>
        <v>215840.61707988981</v>
      </c>
      <c r="X19" s="12">
        <f t="shared" si="8"/>
        <v>2666185.3443526169</v>
      </c>
      <c r="Y19" s="12">
        <f ca="1">IFERROR(IF(TEXT($H$4,"DDMMAAAA")=TEXT($K18,"DDMMAAAA"),SUM($Y$2:INDIRECT(ADDRESS(ROW(Y18),COLUMN(Y18)))),$H$8/M19*U19)," ")</f>
        <v>111091.05601469237</v>
      </c>
      <c r="Z19" s="51">
        <f ca="1">IFERROR(IF(TEXT($H$4,"DDMMAAAA")=TEXT($K18,"DDMMAAAA"),SUM($Z$2:INDIRECT(ADDRESS(ROW(Z18),COLUMN(Z18)))),$H$8/M19*R19)," ")</f>
        <v>222182.11202938476</v>
      </c>
      <c r="AA19" s="12">
        <f ca="1">IFERROR(IF(TEXT($H$4,"DDMMAAAA")=TEXT($K18,"DDMMAAAA"),SUM($AA$2:INDIRECT(ADDRESS(ROW(AA18),COLUMN(AA18)))),$H$8/M19*S19)," ")</f>
        <v>222182.11202938476</v>
      </c>
      <c r="AB19" s="12">
        <f ca="1">IFERROR(IF(TEXT($H$4,"DDMMAAAA")=TEXT($K18,"DDMMAAAA"),SUM($AB$2:INDIRECT(ADDRESS(ROW(AB18),COLUMN(AB18)))),$H$8/M19*V19)," ")</f>
        <v>26661.853443526175</v>
      </c>
      <c r="AC19" s="12">
        <f ca="1">IFERROR(IF(TEXT($H$4,"DDMMAAAA")=TEXT($K18,"DDMMAAAA"),SUM($AC$2:INDIRECT(ADDRESS(ROW(AC18),COLUMN(AC18)))),IF(SUM(Y19:AB19)=0,"",SUM(Y19:AB19)))," ")</f>
        <v>582117.13351698802</v>
      </c>
      <c r="AD19" s="6"/>
      <c r="AE19">
        <v>202210</v>
      </c>
      <c r="AF19">
        <v>12.22</v>
      </c>
      <c r="AG19" s="17">
        <v>2007</v>
      </c>
      <c r="AH19" s="18">
        <v>50800</v>
      </c>
      <c r="AI19" s="18">
        <v>14456</v>
      </c>
      <c r="AJ19" s="18">
        <v>433700</v>
      </c>
    </row>
    <row r="20" spans="5:36" ht="27" customHeight="1" thickBot="1" x14ac:dyDescent="0.45">
      <c r="E20" s="6"/>
      <c r="F20"/>
      <c r="H20" s="93"/>
      <c r="I20" s="102"/>
      <c r="J20" s="19">
        <f t="shared" si="9"/>
        <v>44378</v>
      </c>
      <c r="K20" s="19">
        <f t="shared" si="0"/>
        <v>44408</v>
      </c>
      <c r="L20" s="13">
        <f t="shared" si="14"/>
        <v>30</v>
      </c>
      <c r="M20" s="9">
        <f t="shared" si="1"/>
        <v>3.97</v>
      </c>
      <c r="N20" s="46">
        <f t="shared" si="2"/>
        <v>300000</v>
      </c>
      <c r="O20" s="46">
        <f t="shared" si="3"/>
        <v>908526</v>
      </c>
      <c r="P20" s="14">
        <f>IFERROR(IF(VLOOKUP(INT(TEXT(K20,"AAAA")),Tabla3[[AÑO]:[SALARIO 
MENSUAL]],2,0)*2&lt;$H$2,0,IFERROR(VLOOKUP(INT(TEXT(K20,"AAAA")),Tabla3[[AÑO]:[SALARIO 
MENSUAL]],2,0)," "))/30*L20," ")</f>
        <v>106454</v>
      </c>
      <c r="Q20" s="14">
        <f>IFERROR(IF(VLOOKUP(INT(TEXT(K20,"AAAA")),Tabla3[[AÑO]:[SALARIO 
MENSUAL]],4,0)*2&lt;$H$2,$H$2,VLOOKUP(INT(TEXT(K20,"AAAA")),Tabla3[[AÑO]:[SALARIO 
MENSUAL]],4,0))/30*L20+$H$14+P20," ")</f>
        <v>1314980</v>
      </c>
      <c r="R20" s="12">
        <f t="shared" si="4"/>
        <v>109581.66666666667</v>
      </c>
      <c r="S20" s="12">
        <f t="shared" si="5"/>
        <v>109581.66666666667</v>
      </c>
      <c r="T20" s="11">
        <f t="shared" si="6"/>
        <v>1.25</v>
      </c>
      <c r="U20" s="14">
        <f t="shared" si="11"/>
        <v>54790.833333333328</v>
      </c>
      <c r="V20" s="12">
        <f t="shared" si="7"/>
        <v>13149.800000000001</v>
      </c>
      <c r="W20" s="53">
        <f t="shared" si="12"/>
        <v>197355.52644836274</v>
      </c>
      <c r="X20" s="12">
        <f t="shared" si="8"/>
        <v>2437847.0528967255</v>
      </c>
      <c r="Y20" s="12">
        <f ca="1">IFERROR(IF(TEXT($H$4,"DDMMAAAA")=TEXT($K19,"DDMMAAAA"),SUM($Y$2:INDIRECT(ADDRESS(ROW(Y19),COLUMN(Y19)))),$H$8/M20*U20)," ")</f>
        <v>101576.96053736356</v>
      </c>
      <c r="Z20" s="51">
        <f ca="1">IFERROR(IF(TEXT($H$4,"DDMMAAAA")=TEXT($K19,"DDMMAAAA"),SUM($Z$2:INDIRECT(ADDRESS(ROW(Z19),COLUMN(Z19)))),$H$8/M20*R20)," ")</f>
        <v>203153.92107472714</v>
      </c>
      <c r="AA20" s="12">
        <f ca="1">IFERROR(IF(TEXT($H$4,"DDMMAAAA")=TEXT($K19,"DDMMAAAA"),SUM($AA$2:INDIRECT(ADDRESS(ROW(AA19),COLUMN(AA19)))),$H$8/M20*S20)," ")</f>
        <v>203153.92107472714</v>
      </c>
      <c r="AB20" s="12">
        <f ca="1">IFERROR(IF(TEXT($H$4,"DDMMAAAA")=TEXT($K19,"DDMMAAAA"),SUM($AB$2:INDIRECT(ADDRESS(ROW(AB19),COLUMN(AB19)))),$H$8/M20*V20)," ")</f>
        <v>24378.470528967257</v>
      </c>
      <c r="AC20" s="12">
        <f ca="1">IFERROR(IF(TEXT($H$4,"DDMMAAAA")=TEXT($K19,"DDMMAAAA"),SUM($AC$2:INDIRECT(ADDRESS(ROW(AC19),COLUMN(AC19)))),IF(SUM(Y20:AB20)=0,"",SUM(Y20:AB20)))," ")</f>
        <v>532263.27321578504</v>
      </c>
      <c r="AD20" s="6"/>
      <c r="AE20">
        <v>202209</v>
      </c>
      <c r="AF20">
        <v>11.44</v>
      </c>
      <c r="AG20" s="15">
        <v>2006</v>
      </c>
      <c r="AH20" s="16">
        <v>47700</v>
      </c>
      <c r="AI20" s="16">
        <v>13600</v>
      </c>
      <c r="AJ20" s="16">
        <v>408000</v>
      </c>
    </row>
    <row r="21" spans="5:36" ht="27" thickBot="1" x14ac:dyDescent="0.45">
      <c r="E21" s="6"/>
      <c r="F21"/>
      <c r="H21" s="92" t="s">
        <v>36</v>
      </c>
      <c r="I21" s="94">
        <f ca="1">SUM(I15:I20)</f>
        <v>25659370.771916267</v>
      </c>
      <c r="J21" s="19">
        <f t="shared" si="9"/>
        <v>44409</v>
      </c>
      <c r="K21" s="19">
        <f t="shared" si="0"/>
        <v>44439</v>
      </c>
      <c r="L21" s="13">
        <f t="shared" si="14"/>
        <v>30</v>
      </c>
      <c r="M21" s="9">
        <f t="shared" si="1"/>
        <v>4.4400000000000004</v>
      </c>
      <c r="N21" s="46">
        <f t="shared" si="2"/>
        <v>300000</v>
      </c>
      <c r="O21" s="46">
        <f t="shared" si="3"/>
        <v>908526</v>
      </c>
      <c r="P21" s="14">
        <f>IFERROR(IF(VLOOKUP(INT(TEXT(K21,"AAAA")),Tabla3[[AÑO]:[SALARIO 
MENSUAL]],2,0)*2&lt;$H$2,0,IFERROR(VLOOKUP(INT(TEXT(K21,"AAAA")),Tabla3[[AÑO]:[SALARIO 
MENSUAL]],2,0)," "))/30*L21," ")</f>
        <v>106454</v>
      </c>
      <c r="Q21" s="14">
        <f>IFERROR(IF(VLOOKUP(INT(TEXT(K21,"AAAA")),Tabla3[[AÑO]:[SALARIO 
MENSUAL]],4,0)*2&lt;$H$2,$H$2,VLOOKUP(INT(TEXT(K21,"AAAA")),Tabla3[[AÑO]:[SALARIO 
MENSUAL]],4,0))/30*L21+$H$14+P21," ")</f>
        <v>1314980</v>
      </c>
      <c r="R21" s="12">
        <f t="shared" si="4"/>
        <v>109581.66666666667</v>
      </c>
      <c r="S21" s="12">
        <f t="shared" si="5"/>
        <v>109581.66666666667</v>
      </c>
      <c r="T21" s="11">
        <f t="shared" si="6"/>
        <v>1.25</v>
      </c>
      <c r="U21" s="14">
        <f t="shared" si="11"/>
        <v>54790.833333333328</v>
      </c>
      <c r="V21" s="12">
        <f t="shared" si="7"/>
        <v>13149.800000000001</v>
      </c>
      <c r="W21" s="53">
        <f t="shared" si="12"/>
        <v>176464.28828828828</v>
      </c>
      <c r="X21" s="12">
        <f t="shared" si="8"/>
        <v>2179786.6666666665</v>
      </c>
      <c r="Y21" s="12">
        <f ca="1">IFERROR(IF(TEXT($H$4,"DDMMAAAA")=TEXT($K20,"DDMMAAAA"),SUM($Y$2:INDIRECT(ADDRESS(ROW(Y20),COLUMN(Y20)))),$H$8/M21*U21)," ")</f>
        <v>90824.444444444438</v>
      </c>
      <c r="Z21" s="51">
        <f ca="1">IFERROR(IF(TEXT($H$4,"DDMMAAAA")=TEXT($K20,"DDMMAAAA"),SUM($Z$2:INDIRECT(ADDRESS(ROW(Z20),COLUMN(Z20)))),$H$8/M21*R21)," ")</f>
        <v>181648.88888888891</v>
      </c>
      <c r="AA21" s="12">
        <f ca="1">IFERROR(IF(TEXT($H$4,"DDMMAAAA")=TEXT($K20,"DDMMAAAA"),SUM($AA$2:INDIRECT(ADDRESS(ROW(AA20),COLUMN(AA20)))),$H$8/M21*S21)," ")</f>
        <v>181648.88888888891</v>
      </c>
      <c r="AB21" s="12">
        <f ca="1">IFERROR(IF(TEXT($H$4,"DDMMAAAA")=TEXT($K20,"DDMMAAAA"),SUM($AB$2:INDIRECT(ADDRESS(ROW(AB20),COLUMN(AB20)))),$H$8/M21*V21)," ")</f>
        <v>21797.866666666669</v>
      </c>
      <c r="AC21" s="12">
        <f ca="1">IFERROR(IF(TEXT($H$4,"DDMMAAAA")=TEXT($K20,"DDMMAAAA"),SUM($AC$2:INDIRECT(ADDRESS(ROW(AC20),COLUMN(AC20)))),IF(SUM(Y21:AB21)=0,"",SUM(Y21:AB21)))," ")</f>
        <v>475920.08888888895</v>
      </c>
      <c r="AD21" s="6"/>
      <c r="AE21">
        <v>202208</v>
      </c>
      <c r="AF21">
        <v>10.84</v>
      </c>
      <c r="AG21" s="17">
        <v>2005</v>
      </c>
      <c r="AH21" s="18">
        <v>44500</v>
      </c>
      <c r="AI21" s="18">
        <v>12716</v>
      </c>
      <c r="AJ21" s="18">
        <v>381500</v>
      </c>
    </row>
    <row r="22" spans="5:36" ht="27" thickBot="1" x14ac:dyDescent="0.45">
      <c r="E22" s="6"/>
      <c r="F22" s="6"/>
      <c r="H22" s="93"/>
      <c r="I22" s="94"/>
      <c r="J22" s="19">
        <f t="shared" si="9"/>
        <v>44440</v>
      </c>
      <c r="K22" s="19">
        <f t="shared" si="0"/>
        <v>44469</v>
      </c>
      <c r="L22" s="13">
        <f t="shared" si="14"/>
        <v>30</v>
      </c>
      <c r="M22" s="9">
        <f t="shared" si="1"/>
        <v>4.51</v>
      </c>
      <c r="N22" s="46">
        <f t="shared" si="2"/>
        <v>300000</v>
      </c>
      <c r="O22" s="46">
        <f t="shared" si="3"/>
        <v>908526</v>
      </c>
      <c r="P22" s="14">
        <f>IFERROR(IF(VLOOKUP(INT(TEXT(K22,"AAAA")),Tabla3[[AÑO]:[SALARIO 
MENSUAL]],2,0)*2&lt;$H$2,0,IFERROR(VLOOKUP(INT(TEXT(K22,"AAAA")),Tabla3[[AÑO]:[SALARIO 
MENSUAL]],2,0)," "))/30*L22," ")</f>
        <v>106454</v>
      </c>
      <c r="Q22" s="14">
        <f>IFERROR(IF(VLOOKUP(INT(TEXT(K22,"AAAA")),Tabla3[[AÑO]:[SALARIO 
MENSUAL]],4,0)*2&lt;$H$2,$H$2,VLOOKUP(INT(TEXT(K22,"AAAA")),Tabla3[[AÑO]:[SALARIO 
MENSUAL]],4,0))/30*L22+$H$14+P22," ")</f>
        <v>1314980</v>
      </c>
      <c r="R22" s="12">
        <f t="shared" si="4"/>
        <v>109581.66666666667</v>
      </c>
      <c r="S22" s="12">
        <f t="shared" si="5"/>
        <v>109581.66666666667</v>
      </c>
      <c r="T22" s="11">
        <f t="shared" si="6"/>
        <v>1.25</v>
      </c>
      <c r="U22" s="14">
        <f t="shared" si="11"/>
        <v>54790.833333333328</v>
      </c>
      <c r="V22" s="12">
        <f t="shared" si="7"/>
        <v>13149.800000000001</v>
      </c>
      <c r="W22" s="53">
        <f t="shared" si="12"/>
        <v>173725.37472283814</v>
      </c>
      <c r="X22" s="12">
        <f t="shared" si="8"/>
        <v>2145954.0576496674</v>
      </c>
      <c r="Y22" s="12">
        <f ca="1">IFERROR(IF(TEXT($H$4,"DDMMAAAA")=TEXT($K21,"DDMMAAAA"),SUM($Y$2:INDIRECT(ADDRESS(ROW(Y21),COLUMN(Y21)))),$H$8/M22*U22)," ")</f>
        <v>89414.752402069469</v>
      </c>
      <c r="Z22" s="51">
        <f ca="1">IFERROR(IF(TEXT($H$4,"DDMMAAAA")=TEXT($K21,"DDMMAAAA"),SUM($Z$2:INDIRECT(ADDRESS(ROW(Z21),COLUMN(Z21)))),$H$8/M22*R22)," ")</f>
        <v>178829.50480413897</v>
      </c>
      <c r="AA22" s="12">
        <f ca="1">IFERROR(IF(TEXT($H$4,"DDMMAAAA")=TEXT($K21,"DDMMAAAA"),SUM($AA$2:INDIRECT(ADDRESS(ROW(AA21),COLUMN(AA21)))),$H$8/M22*S22)," ")</f>
        <v>178829.50480413897</v>
      </c>
      <c r="AB22" s="12">
        <f ca="1">IFERROR(IF(TEXT($H$4,"DDMMAAAA")=TEXT($K21,"DDMMAAAA"),SUM($AB$2:INDIRECT(ADDRESS(ROW(AB21),COLUMN(AB21)))),$H$8/M22*V22)," ")</f>
        <v>21459.540576496678</v>
      </c>
      <c r="AC22" s="12">
        <f ca="1">IFERROR(IF(TEXT($H$4,"DDMMAAAA")=TEXT($K21,"DDMMAAAA"),SUM($AC$2:INDIRECT(ADDRESS(ROW(AC21),COLUMN(AC21)))),IF(SUM(Y22:AB22)=0,"",SUM(Y22:AB22)))," ")</f>
        <v>468533.30258684407</v>
      </c>
      <c r="AD22" s="6"/>
      <c r="AE22">
        <v>202207</v>
      </c>
      <c r="AF22">
        <v>10.210000000000001</v>
      </c>
      <c r="AG22" s="15">
        <v>2004</v>
      </c>
      <c r="AH22" s="16">
        <v>41600</v>
      </c>
      <c r="AI22" s="16">
        <v>11933</v>
      </c>
      <c r="AJ22" s="16">
        <v>358000</v>
      </c>
    </row>
    <row r="23" spans="5:36" x14ac:dyDescent="0.4">
      <c r="E23" s="6"/>
      <c r="F23" s="6"/>
      <c r="H23" s="43"/>
      <c r="I23" s="6"/>
      <c r="J23" s="19">
        <f t="shared" si="9"/>
        <v>44470</v>
      </c>
      <c r="K23" s="19">
        <f t="shared" si="0"/>
        <v>44500</v>
      </c>
      <c r="L23" s="13">
        <f t="shared" si="14"/>
        <v>30</v>
      </c>
      <c r="M23" s="9">
        <f t="shared" si="1"/>
        <v>4.58</v>
      </c>
      <c r="N23" s="46">
        <f t="shared" si="2"/>
        <v>300000</v>
      </c>
      <c r="O23" s="46">
        <f t="shared" si="3"/>
        <v>908526</v>
      </c>
      <c r="P23" s="14">
        <f>IFERROR(IF(VLOOKUP(INT(TEXT(K23,"AAAA")),Tabla3[[AÑO]:[SALARIO 
MENSUAL]],2,0)*2&lt;$H$2,0,IFERROR(VLOOKUP(INT(TEXT(K23,"AAAA")),Tabla3[[AÑO]:[SALARIO 
MENSUAL]],2,0)," "))/30*L23," ")</f>
        <v>106454</v>
      </c>
      <c r="Q23" s="14">
        <f>IFERROR(IF(VLOOKUP(INT(TEXT(K23,"AAAA")),Tabla3[[AÑO]:[SALARIO 
MENSUAL]],4,0)*2&lt;$H$2,$H$2,VLOOKUP(INT(TEXT(K23,"AAAA")),Tabla3[[AÑO]:[SALARIO 
MENSUAL]],4,0))/30*L23+$H$14+P23," ")</f>
        <v>1314980</v>
      </c>
      <c r="R23" s="12">
        <f t="shared" si="4"/>
        <v>109581.66666666667</v>
      </c>
      <c r="S23" s="12">
        <f t="shared" si="5"/>
        <v>109581.66666666667</v>
      </c>
      <c r="T23" s="11">
        <f t="shared" si="6"/>
        <v>1.25</v>
      </c>
      <c r="U23" s="14">
        <f t="shared" si="11"/>
        <v>54790.833333333328</v>
      </c>
      <c r="V23" s="12">
        <f t="shared" si="7"/>
        <v>13149.800000000001</v>
      </c>
      <c r="W23" s="53">
        <f t="shared" si="12"/>
        <v>171070.18340611353</v>
      </c>
      <c r="X23" s="12">
        <f t="shared" si="8"/>
        <v>2113155.6331877727</v>
      </c>
      <c r="Y23" s="12">
        <f ca="1">IFERROR(IF(TEXT($H$4,"DDMMAAAA")=TEXT($K22,"DDMMAAAA"),SUM($Y$2:INDIRECT(ADDRESS(ROW(Y22),COLUMN(Y22)))),$H$8/M23*U23)," ")</f>
        <v>88048.151382823868</v>
      </c>
      <c r="Z23" s="51">
        <f ca="1">IFERROR(IF(TEXT($H$4,"DDMMAAAA")=TEXT($K22,"DDMMAAAA"),SUM($Z$2:INDIRECT(ADDRESS(ROW(Z22),COLUMN(Z22)))),$H$8/M23*R23)," ")</f>
        <v>176096.30276564774</v>
      </c>
      <c r="AA23" s="12">
        <f ca="1">IFERROR(IF(TEXT($H$4,"DDMMAAAA")=TEXT($K22,"DDMMAAAA"),SUM($AA$2:INDIRECT(ADDRESS(ROW(AA22),COLUMN(AA22)))),$H$8/M23*S23)," ")</f>
        <v>176096.30276564774</v>
      </c>
      <c r="AB23" s="12">
        <f ca="1">IFERROR(IF(TEXT($H$4,"DDMMAAAA")=TEXT($K22,"DDMMAAAA"),SUM($AB$2:INDIRECT(ADDRESS(ROW(AB22),COLUMN(AB22)))),$H$8/M23*V23)," ")</f>
        <v>21131.556331877731</v>
      </c>
      <c r="AC23" s="12">
        <f ca="1">IFERROR(IF(TEXT($H$4,"DDMMAAAA")=TEXT($K22,"DDMMAAAA"),SUM($AC$2:INDIRECT(ADDRESS(ROW(AC22),COLUMN(AC22)))),IF(SUM(Y23:AB23)=0,"",SUM(Y23:AB23)))," ")</f>
        <v>461372.31324599707</v>
      </c>
      <c r="AD23" s="6"/>
      <c r="AE23">
        <v>202206</v>
      </c>
      <c r="AF23">
        <v>9.67</v>
      </c>
      <c r="AG23" s="17">
        <v>2003</v>
      </c>
      <c r="AH23" s="18">
        <v>37500</v>
      </c>
      <c r="AI23" s="18">
        <v>11067</v>
      </c>
      <c r="AJ23" s="18">
        <v>332000</v>
      </c>
    </row>
    <row r="24" spans="5:36" x14ac:dyDescent="0.4">
      <c r="E24" s="6"/>
      <c r="F24" s="6"/>
      <c r="I24" s="6"/>
      <c r="J24" s="19">
        <f t="shared" si="9"/>
        <v>44501</v>
      </c>
      <c r="K24" s="19">
        <f t="shared" si="0"/>
        <v>44530</v>
      </c>
      <c r="L24" s="13">
        <f t="shared" si="14"/>
        <v>30</v>
      </c>
      <c r="M24" s="9">
        <f t="shared" si="1"/>
        <v>5.26</v>
      </c>
      <c r="N24" s="46">
        <f t="shared" si="2"/>
        <v>300000</v>
      </c>
      <c r="O24" s="46">
        <f t="shared" si="3"/>
        <v>908526</v>
      </c>
      <c r="P24" s="14">
        <f>IFERROR(IF(VLOOKUP(INT(TEXT(K24,"AAAA")),Tabla3[[AÑO]:[SALARIO 
MENSUAL]],2,0)*2&lt;$H$2,0,IFERROR(VLOOKUP(INT(TEXT(K24,"AAAA")),Tabla3[[AÑO]:[SALARIO 
MENSUAL]],2,0)," "))/30*L24," ")</f>
        <v>106454</v>
      </c>
      <c r="Q24" s="14">
        <f>IFERROR(IF(VLOOKUP(INT(TEXT(K24,"AAAA")),Tabla3[[AÑO]:[SALARIO 
MENSUAL]],4,0)*2&lt;$H$2,$H$2,VLOOKUP(INT(TEXT(K24,"AAAA")),Tabla3[[AÑO]:[SALARIO 
MENSUAL]],4,0))/30*L24+$H$14+P24," ")</f>
        <v>1314980</v>
      </c>
      <c r="R24" s="12">
        <f t="shared" si="4"/>
        <v>109581.66666666667</v>
      </c>
      <c r="S24" s="12">
        <f t="shared" si="5"/>
        <v>109581.66666666667</v>
      </c>
      <c r="T24" s="11">
        <f t="shared" si="6"/>
        <v>1.25</v>
      </c>
      <c r="U24" s="14">
        <f t="shared" si="11"/>
        <v>54790.833333333328</v>
      </c>
      <c r="V24" s="12">
        <f t="shared" si="7"/>
        <v>13149.800000000001</v>
      </c>
      <c r="W24" s="53">
        <f t="shared" si="12"/>
        <v>148954.64638783273</v>
      </c>
      <c r="X24" s="12">
        <f t="shared" si="8"/>
        <v>1839972.0152091258</v>
      </c>
      <c r="Y24" s="12">
        <f ca="1">IFERROR(IF(TEXT($H$4,"DDMMAAAA")=TEXT($K23,"DDMMAAAA"),SUM($Y$2:INDIRECT(ADDRESS(ROW(Y23),COLUMN(Y23)))),$H$8/M24*U24)," ")</f>
        <v>76665.500633713571</v>
      </c>
      <c r="Z24" s="51">
        <f ca="1">IFERROR(IF(TEXT($H$4,"DDMMAAAA")=TEXT($K23,"DDMMAAAA"),SUM($Z$2:INDIRECT(ADDRESS(ROW(Z23),COLUMN(Z23)))),$H$8/M24*R24)," ")</f>
        <v>153331.00126742714</v>
      </c>
      <c r="AA24" s="12">
        <f ca="1">IFERROR(IF(TEXT($H$4,"DDMMAAAA")=TEXT($K23,"DDMMAAAA"),SUM($AA$2:INDIRECT(ADDRESS(ROW(AA23),COLUMN(AA23)))),$H$8/M24*S24)," ")</f>
        <v>153331.00126742714</v>
      </c>
      <c r="AB24" s="12">
        <f ca="1">IFERROR(IF(TEXT($H$4,"DDMMAAAA")=TEXT($K23,"DDMMAAAA"),SUM($AB$2:INDIRECT(ADDRESS(ROW(AB23),COLUMN(AB23)))),$H$8/M24*V24)," ")</f>
        <v>18399.72015209126</v>
      </c>
      <c r="AC24" s="12">
        <f ca="1">IFERROR(IF(TEXT($H$4,"DDMMAAAA")=TEXT($K23,"DDMMAAAA"),SUM($AC$2:INDIRECT(ADDRESS(ROW(AC23),COLUMN(AC23)))),IF(SUM(Y24:AB24)=0,"",SUM(Y24:AB24)))," ")</f>
        <v>401727.22332065913</v>
      </c>
      <c r="AD24" s="6"/>
      <c r="AE24">
        <v>202205</v>
      </c>
      <c r="AF24">
        <v>9.07</v>
      </c>
      <c r="AG24" s="15">
        <v>2002</v>
      </c>
      <c r="AH24" s="16">
        <v>34000</v>
      </c>
      <c r="AI24" s="16">
        <v>10300</v>
      </c>
      <c r="AJ24" s="16">
        <v>309000</v>
      </c>
    </row>
    <row r="25" spans="5:36" x14ac:dyDescent="0.4">
      <c r="E25" s="6"/>
      <c r="F25" s="6"/>
      <c r="G25" s="45"/>
      <c r="H25" s="6"/>
      <c r="I25" s="6"/>
      <c r="J25" s="19">
        <f t="shared" si="9"/>
        <v>44531</v>
      </c>
      <c r="K25" s="19">
        <f t="shared" si="0"/>
        <v>44561</v>
      </c>
      <c r="L25" s="13">
        <f t="shared" si="14"/>
        <v>30</v>
      </c>
      <c r="M25" s="9">
        <f t="shared" si="1"/>
        <v>5.62</v>
      </c>
      <c r="N25" s="46">
        <f t="shared" si="2"/>
        <v>300000</v>
      </c>
      <c r="O25" s="46">
        <f t="shared" si="3"/>
        <v>908526</v>
      </c>
      <c r="P25" s="14">
        <f>IFERROR(IF(VLOOKUP(INT(TEXT(K25,"AAAA")),Tabla3[[AÑO]:[SALARIO 
MENSUAL]],2,0)*2&lt;$H$2,0,IFERROR(VLOOKUP(INT(TEXT(K25,"AAAA")),Tabla3[[AÑO]:[SALARIO 
MENSUAL]],2,0)," "))/30*L25," ")</f>
        <v>106454</v>
      </c>
      <c r="Q25" s="14">
        <f>IFERROR(IF(VLOOKUP(INT(TEXT(K25,"AAAA")),Tabla3[[AÑO]:[SALARIO 
MENSUAL]],4,0)*2&lt;$H$2,$H$2,VLOOKUP(INT(TEXT(K25,"AAAA")),Tabla3[[AÑO]:[SALARIO 
MENSUAL]],4,0))/30*L25+$H$14+P25," ")</f>
        <v>1314980</v>
      </c>
      <c r="R25" s="12">
        <f t="shared" si="4"/>
        <v>109581.66666666667</v>
      </c>
      <c r="S25" s="12">
        <f t="shared" si="5"/>
        <v>109581.66666666667</v>
      </c>
      <c r="T25" s="11">
        <f t="shared" si="6"/>
        <v>1.25</v>
      </c>
      <c r="U25" s="14">
        <f t="shared" si="11"/>
        <v>54790.833333333328</v>
      </c>
      <c r="V25" s="12">
        <f t="shared" si="7"/>
        <v>13149.800000000001</v>
      </c>
      <c r="W25" s="53">
        <f t="shared" si="12"/>
        <v>139413.06761565836</v>
      </c>
      <c r="X25" s="12">
        <f t="shared" si="8"/>
        <v>1722109.0391459074</v>
      </c>
      <c r="Y25" s="12">
        <f ca="1">IFERROR(IF(TEXT($H$4,"DDMMAAAA")=TEXT($K24,"DDMMAAAA"),SUM($Y$2:INDIRECT(ADDRESS(ROW(Y24),COLUMN(Y24)))),$H$8/M25*U25)," ")</f>
        <v>71754.543297746131</v>
      </c>
      <c r="Z25" s="51">
        <f ca="1">IFERROR(IF(TEXT($H$4,"DDMMAAAA")=TEXT($K24,"DDMMAAAA"),SUM($Z$2:INDIRECT(ADDRESS(ROW(Z24),COLUMN(Z24)))),$H$8/M25*R25)," ")</f>
        <v>143509.08659549229</v>
      </c>
      <c r="AA25" s="12">
        <f ca="1">IFERROR(IF(TEXT($H$4,"DDMMAAAA")=TEXT($K24,"DDMMAAAA"),SUM($AA$2:INDIRECT(ADDRESS(ROW(AA24),COLUMN(AA24)))),$H$8/M25*S25)," ")</f>
        <v>143509.08659549229</v>
      </c>
      <c r="AB25" s="12">
        <f ca="1">IFERROR(IF(TEXT($H$4,"DDMMAAAA")=TEXT($K24,"DDMMAAAA"),SUM($AB$2:INDIRECT(ADDRESS(ROW(AB24),COLUMN(AB24)))),$H$8/M25*V25)," ")</f>
        <v>17221.090391459074</v>
      </c>
      <c r="AC25" s="12">
        <f ca="1">IFERROR(IF(TEXT($H$4,"DDMMAAAA")=TEXT($K24,"DDMMAAAA"),SUM($AC$2:INDIRECT(ADDRESS(ROW(AC24),COLUMN(AC24)))),IF(SUM(Y25:AB25)=0,"",SUM(Y25:AB25)))," ")</f>
        <v>375993.8068801898</v>
      </c>
      <c r="AD25" s="6"/>
      <c r="AE25">
        <v>202204</v>
      </c>
      <c r="AF25">
        <v>9.23</v>
      </c>
      <c r="AG25" s="17">
        <v>2001</v>
      </c>
      <c r="AH25" s="18">
        <v>30000</v>
      </c>
      <c r="AI25" s="18">
        <v>9533</v>
      </c>
      <c r="AJ25" s="18">
        <v>286000</v>
      </c>
    </row>
    <row r="26" spans="5:36" x14ac:dyDescent="0.4">
      <c r="E26" s="6"/>
      <c r="F26" s="6"/>
      <c r="G26" s="6"/>
      <c r="H26" s="6"/>
      <c r="I26" s="6"/>
      <c r="J26" s="19">
        <f t="shared" si="9"/>
        <v>44562</v>
      </c>
      <c r="K26" s="19">
        <f t="shared" si="0"/>
        <v>44592</v>
      </c>
      <c r="L26" s="13">
        <f t="shared" si="14"/>
        <v>30</v>
      </c>
      <c r="M26" s="9">
        <f t="shared" si="1"/>
        <v>6.94</v>
      </c>
      <c r="N26" s="46">
        <f t="shared" si="2"/>
        <v>300000</v>
      </c>
      <c r="O26" s="46">
        <f t="shared" si="3"/>
        <v>1000000</v>
      </c>
      <c r="P26" s="14">
        <f>IFERROR(IF(VLOOKUP(INT(TEXT(K26,"AAAA")),Tabla3[[AÑO]:[SALARIO 
MENSUAL]],2,0)*2&lt;$H$2,0,IFERROR(VLOOKUP(INT(TEXT(K26,"AAAA")),Tabla3[[AÑO]:[SALARIO 
MENSUAL]],2,0)," "))/30*L26," ")</f>
        <v>117172</v>
      </c>
      <c r="Q26" s="14">
        <f>IFERROR(IF(VLOOKUP(INT(TEXT(K26,"AAAA")),Tabla3[[AÑO]:[SALARIO 
MENSUAL]],4,0)*2&lt;$H$2,$H$2,VLOOKUP(INT(TEXT(K26,"AAAA")),Tabla3[[AÑO]:[SALARIO 
MENSUAL]],4,0))/30*L26+$H$14+P26," ")</f>
        <v>1417172</v>
      </c>
      <c r="R26" s="12">
        <f t="shared" si="4"/>
        <v>118097.66666666667</v>
      </c>
      <c r="S26" s="12">
        <f t="shared" si="5"/>
        <v>118097.66666666667</v>
      </c>
      <c r="T26" s="11">
        <f t="shared" si="6"/>
        <v>1.25</v>
      </c>
      <c r="U26" s="14">
        <f t="shared" si="11"/>
        <v>59048.833333333328</v>
      </c>
      <c r="V26" s="12">
        <f t="shared" si="7"/>
        <v>14171.72</v>
      </c>
      <c r="W26" s="53">
        <f t="shared" si="12"/>
        <v>124263.10086455331</v>
      </c>
      <c r="X26" s="12">
        <f t="shared" si="8"/>
        <v>1502937.4524495676</v>
      </c>
      <c r="Y26" s="12">
        <f ca="1">IFERROR(IF(TEXT($H$4,"DDMMAAAA")=TEXT($K25,"DDMMAAAA"),SUM($Y$2:INDIRECT(ADDRESS(ROW(Y25),COLUMN(Y25)))),$H$8/M26*U26)," ")</f>
        <v>62622.393852065317</v>
      </c>
      <c r="Z26" s="51">
        <f ca="1">IFERROR(IF(TEXT($H$4,"DDMMAAAA")=TEXT($K25,"DDMMAAAA"),SUM($Z$2:INDIRECT(ADDRESS(ROW(Z25),COLUMN(Z25)))),$H$8/M26*R26)," ")</f>
        <v>125244.78770413065</v>
      </c>
      <c r="AA26" s="12">
        <f ca="1">IFERROR(IF(TEXT($H$4,"DDMMAAAA")=TEXT($K25,"DDMMAAAA"),SUM($AA$2:INDIRECT(ADDRESS(ROW(AA25),COLUMN(AA25)))),$H$8/M26*S26)," ")</f>
        <v>125244.78770413065</v>
      </c>
      <c r="AB26" s="12">
        <f ca="1">IFERROR(IF(TEXT($H$4,"DDMMAAAA")=TEXT($K25,"DDMMAAAA"),SUM($AB$2:INDIRECT(ADDRESS(ROW(AB25),COLUMN(AB25)))),$H$8/M26*V26)," ")</f>
        <v>15029.374524495675</v>
      </c>
      <c r="AC26" s="12">
        <f ca="1">IFERROR(IF(TEXT($H$4,"DDMMAAAA")=TEXT($K25,"DDMMAAAA"),SUM($AC$2:INDIRECT(ADDRESS(ROW(AC25),COLUMN(AC25)))),IF(SUM(Y26:AB26)=0,"",SUM(Y26:AB26)))," ")</f>
        <v>328141.34378482227</v>
      </c>
      <c r="AD26" s="6"/>
      <c r="AE26">
        <v>202203</v>
      </c>
      <c r="AF26">
        <v>8.5299999999999994</v>
      </c>
      <c r="AG26" s="15">
        <v>2000</v>
      </c>
      <c r="AH26" s="16">
        <v>26413</v>
      </c>
      <c r="AI26" s="16">
        <v>8670</v>
      </c>
      <c r="AJ26" s="16">
        <v>260100</v>
      </c>
    </row>
    <row r="27" spans="5:36" x14ac:dyDescent="0.4">
      <c r="E27" s="6"/>
      <c r="F27" s="6"/>
      <c r="G27" s="6"/>
      <c r="H27" s="6"/>
      <c r="I27" s="6"/>
      <c r="J27" s="19">
        <f t="shared" si="9"/>
        <v>44593</v>
      </c>
      <c r="K27" s="19">
        <f t="shared" si="0"/>
        <v>44620</v>
      </c>
      <c r="L27" s="13">
        <f t="shared" si="14"/>
        <v>30</v>
      </c>
      <c r="M27" s="9">
        <f t="shared" si="1"/>
        <v>8.01</v>
      </c>
      <c r="N27" s="46">
        <f t="shared" si="2"/>
        <v>300000</v>
      </c>
      <c r="O27" s="46">
        <f t="shared" si="3"/>
        <v>1000000</v>
      </c>
      <c r="P27" s="14">
        <f>IFERROR(IF(VLOOKUP(INT(TEXT(K27,"AAAA")),Tabla3[[AÑO]:[SALARIO 
MENSUAL]],2,0)*2&lt;$H$2,0,IFERROR(VLOOKUP(INT(TEXT(K27,"AAAA")),Tabla3[[AÑO]:[SALARIO 
MENSUAL]],2,0)," "))/30*L27," ")</f>
        <v>117172</v>
      </c>
      <c r="Q27" s="14">
        <f>IFERROR(IF(VLOOKUP(INT(TEXT(K27,"AAAA")),Tabla3[[AÑO]:[SALARIO 
MENSUAL]],4,0)*2&lt;$H$2,$H$2,VLOOKUP(INT(TEXT(K27,"AAAA")),Tabla3[[AÑO]:[SALARIO 
MENSUAL]],4,0))/30*L27+$H$14+P27," ")</f>
        <v>1417172</v>
      </c>
      <c r="R27" s="12">
        <f t="shared" si="4"/>
        <v>118097.66666666667</v>
      </c>
      <c r="S27" s="12">
        <f t="shared" si="5"/>
        <v>118097.66666666667</v>
      </c>
      <c r="T27" s="11">
        <f t="shared" si="6"/>
        <v>1.25</v>
      </c>
      <c r="U27" s="14">
        <f t="shared" si="11"/>
        <v>59048.833333333328</v>
      </c>
      <c r="V27" s="12">
        <f t="shared" si="7"/>
        <v>14171.72</v>
      </c>
      <c r="W27" s="53">
        <f t="shared" si="12"/>
        <v>107663.66042446942</v>
      </c>
      <c r="X27" s="12">
        <f t="shared" si="8"/>
        <v>1302170.5268414482</v>
      </c>
      <c r="Y27" s="12">
        <f ca="1">IFERROR(IF(TEXT($H$4,"DDMMAAAA")=TEXT($K26,"DDMMAAAA"),SUM($Y$2:INDIRECT(ADDRESS(ROW(Y26),COLUMN(Y26)))),$H$8/M27*U27)," ")</f>
        <v>54257.105285060337</v>
      </c>
      <c r="Z27" s="51">
        <f ca="1">IFERROR(IF(TEXT($H$4,"DDMMAAAA")=TEXT($K26,"DDMMAAAA"),SUM($Y$2:INDIRECT(ADDRESS(ROW(Z26),COLUMN(Z26)))),$H$8/M27*R27)," ")</f>
        <v>108514.21057012069</v>
      </c>
      <c r="AA27" s="12">
        <f ca="1">IFERROR(IF(TEXT($H$4,"DDMMAAAA")=TEXT($K26,"DDMMAAAA"),SUM($AA$2:INDIRECT(ADDRESS(ROW(AA26),COLUMN(AA26)))),$H$8/M27*S27)," ")</f>
        <v>108514.21057012069</v>
      </c>
      <c r="AB27" s="12">
        <f ca="1">IFERROR(IF(TEXT($H$4,"DDMMAAAA")=TEXT($K26,"DDMMAAAA"),SUM($AB$2:INDIRECT(ADDRESS(ROW(AB26),COLUMN(AB26)))),$H$8/M27*V27)," ")</f>
        <v>13021.705268414482</v>
      </c>
      <c r="AC27" s="12">
        <f ca="1">IFERROR(IF(TEXT($H$4,"DDMMAAAA")=TEXT($K26,"DDMMAAAA"),SUM($AC$2:INDIRECT(ADDRESS(ROW(AC26),COLUMN(AC26)))),IF(SUM(Y27:AB27)=0,"",SUM(Y27:AB27)))," ")</f>
        <v>284307.23169371614</v>
      </c>
      <c r="AD27" s="6"/>
      <c r="AE27">
        <v>202202</v>
      </c>
      <c r="AF27">
        <v>8.01</v>
      </c>
      <c r="AG27" s="17">
        <v>1999</v>
      </c>
      <c r="AH27" s="18">
        <v>24012</v>
      </c>
      <c r="AI27" s="18">
        <v>7882</v>
      </c>
      <c r="AJ27" s="18">
        <v>236460</v>
      </c>
    </row>
    <row r="28" spans="5:36" x14ac:dyDescent="0.4">
      <c r="E28" s="6"/>
      <c r="F28" s="6"/>
      <c r="G28" s="6"/>
      <c r="H28" s="6"/>
      <c r="I28" s="6"/>
      <c r="J28" s="19">
        <f t="shared" si="9"/>
        <v>44621</v>
      </c>
      <c r="K28" s="19">
        <f t="shared" si="0"/>
        <v>44651</v>
      </c>
      <c r="L28" s="13">
        <f t="shared" si="14"/>
        <v>30</v>
      </c>
      <c r="M28" s="9">
        <f t="shared" si="1"/>
        <v>8.5299999999999994</v>
      </c>
      <c r="N28" s="46">
        <f t="shared" si="2"/>
        <v>300000</v>
      </c>
      <c r="O28" s="46">
        <f t="shared" si="3"/>
        <v>1000000</v>
      </c>
      <c r="P28" s="14">
        <f>IFERROR(IF(VLOOKUP(INT(TEXT(K28,"AAAA")),Tabla3[[AÑO]:[SALARIO 
MENSUAL]],2,0)*2&lt;$H$2,0,IFERROR(VLOOKUP(INT(TEXT(K28,"AAAA")),Tabla3[[AÑO]:[SALARIO 
MENSUAL]],2,0)," "))/30*L28," ")</f>
        <v>117172</v>
      </c>
      <c r="Q28" s="14">
        <f>IFERROR(IF(VLOOKUP(INT(TEXT(K28,"AAAA")),Tabla3[[AÑO]:[SALARIO 
MENSUAL]],4,0)*2&lt;$H$2,$H$2,VLOOKUP(INT(TEXT(K28,"AAAA")),Tabla3[[AÑO]:[SALARIO 
MENSUAL]],4,0))/30*L28+$H$14+P28," ")</f>
        <v>1417172</v>
      </c>
      <c r="R28" s="12">
        <f t="shared" si="4"/>
        <v>118097.66666666667</v>
      </c>
      <c r="S28" s="12">
        <f t="shared" si="5"/>
        <v>118097.66666666667</v>
      </c>
      <c r="T28" s="11">
        <f t="shared" si="6"/>
        <v>1.25</v>
      </c>
      <c r="U28" s="14">
        <f t="shared" si="11"/>
        <v>59048.833333333328</v>
      </c>
      <c r="V28" s="12">
        <f t="shared" si="7"/>
        <v>14171.72</v>
      </c>
      <c r="W28" s="53">
        <f t="shared" si="12"/>
        <v>101100.34232121924</v>
      </c>
      <c r="X28" s="12">
        <f t="shared" si="8"/>
        <v>1222788.5017584995</v>
      </c>
      <c r="Y28" s="12">
        <f ca="1">IFERROR(IF(TEXT($H$4,"DDMMAAAA")=TEXT($K27,"DDMMAAAA"),SUM($Y$2:INDIRECT(ADDRESS(ROW(Y27),COLUMN(Y27)))),$H$8/M28*U28)," ")</f>
        <v>50949.520906604143</v>
      </c>
      <c r="Z28" s="51">
        <f ca="1">IFERROR(IF(TEXT($H$4,"DDMMAAAA")=TEXT($K27,"DDMMAAAA"),SUM($Y$2:INDIRECT(ADDRESS(ROW(Z27),COLUMN(Z27)))),$H$8/M28*R28)," ")</f>
        <v>101899.0418132083</v>
      </c>
      <c r="AA28" s="12">
        <f ca="1">IFERROR(IF(TEXT($H$4,"DDMMAAAA")=TEXT($K27,"DDMMAAAA"),SUM($AA$2:INDIRECT(ADDRESS(ROW(AA27),COLUMN(AA27)))),$H$8/M28*S28)," ")</f>
        <v>101899.0418132083</v>
      </c>
      <c r="AB28" s="12">
        <f ca="1">IFERROR(IF(TEXT($H$4,"DDMMAAAA")=TEXT($K27,"DDMMAAAA"),SUM($AB$2:INDIRECT(ADDRESS(ROW(AB27),COLUMN(AB27)))),$H$8/M28*V28)," ")</f>
        <v>12227.885017584995</v>
      </c>
      <c r="AC28" s="12">
        <f ca="1">IFERROR(IF(TEXT($H$4,"DDMMAAAA")=TEXT($K27,"DDMMAAAA"),SUM($AC$2:INDIRECT(ADDRESS(ROW(AC27),COLUMN(AC27)))),IF(SUM(Y28:AB28)=0,"",SUM(Y28:AB28)))," ")</f>
        <v>266975.48955060577</v>
      </c>
      <c r="AD28" s="6"/>
      <c r="AE28">
        <v>202201</v>
      </c>
      <c r="AF28">
        <v>6.94</v>
      </c>
      <c r="AG28" s="15">
        <v>1998</v>
      </c>
      <c r="AH28" s="16">
        <v>20700</v>
      </c>
      <c r="AI28" s="16">
        <v>6794</v>
      </c>
      <c r="AJ28" s="16">
        <v>203826</v>
      </c>
    </row>
    <row r="29" spans="5:36" x14ac:dyDescent="0.4">
      <c r="E29" s="6"/>
      <c r="F29" s="6"/>
      <c r="G29" s="6"/>
      <c r="H29" s="6"/>
      <c r="I29" s="6"/>
      <c r="J29" s="19">
        <f t="shared" si="9"/>
        <v>44652</v>
      </c>
      <c r="K29" s="19">
        <f t="shared" si="0"/>
        <v>44681</v>
      </c>
      <c r="L29" s="13">
        <f t="shared" si="14"/>
        <v>30</v>
      </c>
      <c r="M29" s="9">
        <f t="shared" si="1"/>
        <v>9.23</v>
      </c>
      <c r="N29" s="46">
        <f t="shared" si="2"/>
        <v>300000</v>
      </c>
      <c r="O29" s="46">
        <f t="shared" si="3"/>
        <v>1000000</v>
      </c>
      <c r="P29" s="14">
        <f>IFERROR(IF(VLOOKUP(INT(TEXT(K29,"AAAA")),Tabla3[[AÑO]:[SALARIO 
MENSUAL]],2,0)*2&lt;$H$2,0,IFERROR(VLOOKUP(INT(TEXT(K29,"AAAA")),Tabla3[[AÑO]:[SALARIO 
MENSUAL]],2,0)," "))/30*L29," ")</f>
        <v>117172</v>
      </c>
      <c r="Q29" s="14">
        <f>IFERROR(IF(VLOOKUP(INT(TEXT(K29,"AAAA")),Tabla3[[AÑO]:[SALARIO 
MENSUAL]],4,0)*2&lt;$H$2,$H$2,VLOOKUP(INT(TEXT(K29,"AAAA")),Tabla3[[AÑO]:[SALARIO 
MENSUAL]],4,0))/30*L29+$H$14+P29," ")</f>
        <v>1417172</v>
      </c>
      <c r="R29" s="12">
        <f t="shared" si="4"/>
        <v>118097.66666666667</v>
      </c>
      <c r="S29" s="12">
        <f t="shared" si="5"/>
        <v>118097.66666666667</v>
      </c>
      <c r="T29" s="11">
        <f t="shared" si="6"/>
        <v>1.25</v>
      </c>
      <c r="U29" s="14">
        <f t="shared" si="11"/>
        <v>59048.833333333328</v>
      </c>
      <c r="V29" s="12">
        <f t="shared" si="7"/>
        <v>14171.72</v>
      </c>
      <c r="W29" s="53">
        <f t="shared" si="12"/>
        <v>93432.927410617558</v>
      </c>
      <c r="X29" s="12">
        <f t="shared" si="8"/>
        <v>1130052.6457204768</v>
      </c>
      <c r="Y29" s="12">
        <f ca="1">IFERROR(IF(TEXT($H$4,"DDMMAAAA")=TEXT($K28,"DDMMAAAA"),SUM($Y$2:INDIRECT(ADDRESS(ROW(Y28),COLUMN(Y28)))),$H$8/M29*U29)," ")</f>
        <v>47085.526905019862</v>
      </c>
      <c r="Z29" s="51">
        <f ca="1">IFERROR(IF(TEXT($H$4,"DDMMAAAA")=TEXT($K28,"DDMMAAAA"),SUM($Y$2:INDIRECT(ADDRESS(ROW(Z28),COLUMN(Z28)))),$H$8/M29*R29)," ")</f>
        <v>94171.053810039724</v>
      </c>
      <c r="AA29" s="12">
        <f ca="1">IFERROR(IF(TEXT($H$4,"DDMMAAAA")=TEXT($K28,"DDMMAAAA"),SUM($AA$2:INDIRECT(ADDRESS(ROW(AA28),COLUMN(AA28)))),$H$8/M29*S29)," ")</f>
        <v>94171.053810039724</v>
      </c>
      <c r="AB29" s="12">
        <f ca="1">IFERROR(IF(TEXT($H$4,"DDMMAAAA")=TEXT($K28,"DDMMAAAA"),SUM($AB$2:INDIRECT(ADDRESS(ROW(AB28),COLUMN(AB28)))),$H$8/M29*V29)," ")</f>
        <v>11300.526457204767</v>
      </c>
      <c r="AC29" s="12">
        <f ca="1">IFERROR(IF(TEXT($H$4,"DDMMAAAA")=TEXT($K28,"DDMMAAAA"),SUM($AC$2:INDIRECT(ADDRESS(ROW(AC28),COLUMN(AC28)))),IF(SUM(Y29:AB29)=0,"",SUM(Y29:AB29)))," ")</f>
        <v>246728.16098230408</v>
      </c>
      <c r="AD29" s="6"/>
      <c r="AE29">
        <v>202112</v>
      </c>
      <c r="AF29">
        <v>5.62</v>
      </c>
      <c r="AG29" s="17">
        <v>1997</v>
      </c>
      <c r="AH29" s="18">
        <v>17250</v>
      </c>
      <c r="AI29" s="18">
        <v>5733</v>
      </c>
      <c r="AJ29" s="18">
        <v>172005</v>
      </c>
    </row>
    <row r="30" spans="5:36" x14ac:dyDescent="0.4">
      <c r="E30" s="6"/>
      <c r="F30" s="6"/>
      <c r="G30" s="6"/>
      <c r="H30" s="6"/>
      <c r="I30" s="6"/>
      <c r="J30" s="19">
        <f t="shared" si="9"/>
        <v>44682</v>
      </c>
      <c r="K30" s="19">
        <f t="shared" si="0"/>
        <v>44712</v>
      </c>
      <c r="L30" s="13">
        <f t="shared" si="14"/>
        <v>30</v>
      </c>
      <c r="M30" s="9">
        <f t="shared" si="1"/>
        <v>9.07</v>
      </c>
      <c r="N30" s="46">
        <f t="shared" si="2"/>
        <v>300000</v>
      </c>
      <c r="O30" s="46">
        <f t="shared" si="3"/>
        <v>1000000</v>
      </c>
      <c r="P30" s="14">
        <f>IFERROR(IF(VLOOKUP(INT(TEXT(K30,"AAAA")),Tabla3[[AÑO]:[SALARIO 
MENSUAL]],2,0)*2&lt;$H$2,0,IFERROR(VLOOKUP(INT(TEXT(K30,"AAAA")),Tabla3[[AÑO]:[SALARIO 
MENSUAL]],2,0)," "))/30*L30," ")</f>
        <v>117172</v>
      </c>
      <c r="Q30" s="14">
        <f>IFERROR(IF(VLOOKUP(INT(TEXT(K30,"AAAA")),Tabla3[[AÑO]:[SALARIO 
MENSUAL]],4,0)*2&lt;$H$2,$H$2,VLOOKUP(INT(TEXT(K30,"AAAA")),Tabla3[[AÑO]:[SALARIO 
MENSUAL]],4,0))/30*L30+$H$14+P30," ")</f>
        <v>1417172</v>
      </c>
      <c r="R30" s="12">
        <f t="shared" si="4"/>
        <v>118097.66666666667</v>
      </c>
      <c r="S30" s="12">
        <f t="shared" si="5"/>
        <v>118097.66666666667</v>
      </c>
      <c r="T30" s="11">
        <f t="shared" si="6"/>
        <v>1.25</v>
      </c>
      <c r="U30" s="14">
        <f t="shared" si="11"/>
        <v>59048.833333333328</v>
      </c>
      <c r="V30" s="12">
        <f t="shared" si="7"/>
        <v>14171.72</v>
      </c>
      <c r="W30" s="53">
        <f t="shared" si="12"/>
        <v>95081.137816979055</v>
      </c>
      <c r="X30" s="12">
        <f t="shared" si="8"/>
        <v>1149987.422271224</v>
      </c>
      <c r="Y30" s="12">
        <f ca="1">IFERROR(IF(TEXT($H$4,"DDMMAAAA")=TEXT($K29,"DDMMAAAA"),SUM($Y$2:INDIRECT(ADDRESS(ROW(Y29),COLUMN(Y29)))),$H$8/M30*U30)," ")</f>
        <v>47916.142594634322</v>
      </c>
      <c r="Z30" s="51">
        <f ca="1">IFERROR(IF(TEXT($H$4,"DDMMAAAA")=TEXT($K29,"DDMMAAAA"),SUM($Y$2:INDIRECT(ADDRESS(ROW(Z29),COLUMN(Z29)))),$H$8/M30*R30)," ")</f>
        <v>95832.285189268659</v>
      </c>
      <c r="AA30" s="12">
        <f ca="1">IFERROR(IF(TEXT($H$4,"DDMMAAAA")=TEXT($K29,"DDMMAAAA"),SUM($AA$2:INDIRECT(ADDRESS(ROW(AA29),COLUMN(AA29)))),$H$8/M30*S30)," ")</f>
        <v>95832.285189268659</v>
      </c>
      <c r="AB30" s="12">
        <f ca="1">IFERROR(IF(TEXT($H$4,"DDMMAAAA")=TEXT($K29,"DDMMAAAA"),SUM($AB$2:INDIRECT(ADDRESS(ROW(AB29),COLUMN(AB29)))),$H$8/M30*V30)," ")</f>
        <v>11499.874222712238</v>
      </c>
      <c r="AC30" s="12">
        <f ca="1">IFERROR(IF(TEXT($H$4,"DDMMAAAA")=TEXT($K29,"DDMMAAAA"),SUM($AC$2:INDIRECT(ADDRESS(ROW(AC29),COLUMN(AC29)))),IF(SUM(Y30:AB30)=0,"",SUM(Y30:AB30)))," ")</f>
        <v>251080.58719588385</v>
      </c>
      <c r="AD30" s="6"/>
      <c r="AE30">
        <v>202111</v>
      </c>
      <c r="AF30">
        <v>5.26</v>
      </c>
      <c r="AG30" s="15">
        <v>1996</v>
      </c>
      <c r="AH30" s="16">
        <v>13567</v>
      </c>
      <c r="AI30" s="16">
        <v>4737</v>
      </c>
      <c r="AJ30" s="16">
        <v>142125</v>
      </c>
    </row>
    <row r="31" spans="5:36" x14ac:dyDescent="0.4">
      <c r="E31" s="6"/>
      <c r="F31" s="6"/>
      <c r="G31" s="6"/>
      <c r="H31" s="6"/>
      <c r="I31" s="6"/>
      <c r="J31" s="19">
        <f t="shared" si="9"/>
        <v>44713</v>
      </c>
      <c r="K31" s="19">
        <f t="shared" si="0"/>
        <v>44742</v>
      </c>
      <c r="L31" s="13">
        <f t="shared" si="14"/>
        <v>30</v>
      </c>
      <c r="M31" s="9">
        <f t="shared" si="1"/>
        <v>9.67</v>
      </c>
      <c r="N31" s="46">
        <f t="shared" si="2"/>
        <v>300000</v>
      </c>
      <c r="O31" s="46">
        <f t="shared" si="3"/>
        <v>1000000</v>
      </c>
      <c r="P31" s="14">
        <f>IFERROR(IF(VLOOKUP(INT(TEXT(K31,"AAAA")),Tabla3[[AÑO]:[SALARIO 
MENSUAL]],2,0)*2&lt;$H$2,0,IFERROR(VLOOKUP(INT(TEXT(K31,"AAAA")),Tabla3[[AÑO]:[SALARIO 
MENSUAL]],2,0)," "))/30*L31," ")</f>
        <v>117172</v>
      </c>
      <c r="Q31" s="14">
        <f>IFERROR(IF(VLOOKUP(INT(TEXT(K31,"AAAA")),Tabla3[[AÑO]:[SALARIO 
MENSUAL]],4,0)*2&lt;$H$2,$H$2,VLOOKUP(INT(TEXT(K31,"AAAA")),Tabla3[[AÑO]:[SALARIO 
MENSUAL]],4,0))/30*L31+$H$14+P31," ")</f>
        <v>1417172</v>
      </c>
      <c r="R31" s="12">
        <f t="shared" si="4"/>
        <v>118097.66666666667</v>
      </c>
      <c r="S31" s="12">
        <f t="shared" si="5"/>
        <v>118097.66666666667</v>
      </c>
      <c r="T31" s="11">
        <f t="shared" si="6"/>
        <v>1.25</v>
      </c>
      <c r="U31" s="14">
        <f t="shared" si="11"/>
        <v>59048.833333333328</v>
      </c>
      <c r="V31" s="12">
        <f t="shared" si="7"/>
        <v>14171.72</v>
      </c>
      <c r="W31" s="53">
        <f t="shared" si="12"/>
        <v>89181.584281282325</v>
      </c>
      <c r="X31" s="12">
        <f t="shared" si="8"/>
        <v>1078633.4974146846</v>
      </c>
      <c r="Y31" s="12">
        <f ca="1">IFERROR(IF(TEXT($H$4,"DDMMAAAA")=TEXT($K30,"DDMMAAAA"),SUM($Y$2:INDIRECT(ADDRESS(ROW(Y30),COLUMN(Y30)))),$H$8/M31*U31)," ")</f>
        <v>44943.062392278523</v>
      </c>
      <c r="Z31" s="51">
        <f ca="1">IFERROR(IF(TEXT($H$4,"DDMMAAAA")=TEXT($K30,"DDMMAAAA"),SUM($Y$2:INDIRECT(ADDRESS(ROW(Z30),COLUMN(Z30)))),$H$8/M31*R31)," ")</f>
        <v>89886.124784557062</v>
      </c>
      <c r="AA31" s="12">
        <f ca="1">IFERROR(IF(TEXT($H$4,"DDMMAAAA")=TEXT($K30,"DDMMAAAA"),SUM($AA$2:INDIRECT(ADDRESS(ROW(AA30),COLUMN(AA30)))),$H$8/M31*S31)," ")</f>
        <v>89886.124784557062</v>
      </c>
      <c r="AB31" s="12">
        <f ca="1">IFERROR(IF(TEXT($H$4,"DDMMAAAA")=TEXT($K30,"DDMMAAAA"),SUM($AB$2:INDIRECT(ADDRESS(ROW(AB30),COLUMN(AB30)))),$H$8/M31*V31)," ")</f>
        <v>10786.334974146846</v>
      </c>
      <c r="AC31" s="12">
        <f ca="1">IFERROR(IF(TEXT($H$4,"DDMMAAAA")=TEXT($K30,"DDMMAAAA"),SUM($AC$2:INDIRECT(ADDRESS(ROW(AC30),COLUMN(AC30)))),IF(SUM(Y31:AB31)=0,"",SUM(Y31:AB31)))," ")</f>
        <v>235501.64693553949</v>
      </c>
      <c r="AD31" s="6"/>
      <c r="AE31">
        <v>202110</v>
      </c>
      <c r="AF31">
        <v>4.58</v>
      </c>
      <c r="AG31" s="17">
        <v>1995</v>
      </c>
      <c r="AH31" s="18">
        <v>10815</v>
      </c>
      <c r="AI31" s="18">
        <v>3964</v>
      </c>
      <c r="AJ31" s="18">
        <v>118933</v>
      </c>
    </row>
    <row r="32" spans="5:36" x14ac:dyDescent="0.4">
      <c r="E32" s="6"/>
      <c r="F32" s="6"/>
      <c r="G32" s="6"/>
      <c r="H32" s="6"/>
      <c r="I32" s="6"/>
      <c r="J32" s="19">
        <f t="shared" si="9"/>
        <v>44743</v>
      </c>
      <c r="K32" s="19">
        <f t="shared" si="0"/>
        <v>44773</v>
      </c>
      <c r="L32" s="13">
        <f t="shared" si="14"/>
        <v>30</v>
      </c>
      <c r="M32" s="9">
        <f t="shared" si="1"/>
        <v>10.210000000000001</v>
      </c>
      <c r="N32" s="46">
        <f t="shared" si="2"/>
        <v>300000</v>
      </c>
      <c r="O32" s="46">
        <f t="shared" si="3"/>
        <v>1000000</v>
      </c>
      <c r="P32" s="14">
        <f>IFERROR(IF(VLOOKUP(INT(TEXT(K32,"AAAA")),Tabla3[[AÑO]:[SALARIO 
MENSUAL]],2,0)*2&lt;$H$2,0,IFERROR(VLOOKUP(INT(TEXT(K32,"AAAA")),Tabla3[[AÑO]:[SALARIO 
MENSUAL]],2,0)," "))/30*L32," ")</f>
        <v>117172</v>
      </c>
      <c r="Q32" s="14">
        <f>IFERROR(IF(VLOOKUP(INT(TEXT(K32,"AAAA")),Tabla3[[AÑO]:[SALARIO 
MENSUAL]],4,0)*2&lt;$H$2,$H$2,VLOOKUP(INT(TEXT(K32,"AAAA")),Tabla3[[AÑO]:[SALARIO 
MENSUAL]],4,0))/30*L32+$H$14+P32," ")</f>
        <v>1417172</v>
      </c>
      <c r="R32" s="12">
        <f t="shared" si="4"/>
        <v>118097.66666666667</v>
      </c>
      <c r="S32" s="12">
        <f t="shared" si="5"/>
        <v>118097.66666666667</v>
      </c>
      <c r="T32" s="11">
        <f t="shared" si="6"/>
        <v>1.25</v>
      </c>
      <c r="U32" s="14">
        <f t="shared" si="11"/>
        <v>59048.833333333328</v>
      </c>
      <c r="V32" s="12">
        <f t="shared" si="7"/>
        <v>14171.72</v>
      </c>
      <c r="W32" s="53">
        <f t="shared" si="12"/>
        <v>84464.830558276197</v>
      </c>
      <c r="X32" s="12">
        <f t="shared" si="8"/>
        <v>1021585.3006856022</v>
      </c>
      <c r="Y32" s="12">
        <f ca="1">IFERROR(IF(TEXT($H$4,"DDMMAAAA")=TEXT($K31,"DDMMAAAA"),SUM($Y$2:INDIRECT(ADDRESS(ROW(Y31),COLUMN(Y31)))),$H$8/M32*U32)," ")</f>
        <v>42566.054195233424</v>
      </c>
      <c r="Z32" s="51">
        <f ca="1">IFERROR(IF(TEXT($H$4,"DDMMAAAA")=TEXT($K31,"DDMMAAAA"),SUM($Y$2:INDIRECT(ADDRESS(ROW(Z31),COLUMN(Z31)))),$H$8/M32*R32)," ")</f>
        <v>85132.108390466863</v>
      </c>
      <c r="AA32" s="12">
        <f ca="1">IFERROR(IF(TEXT($H$4,"DDMMAAAA")=TEXT($K31,"DDMMAAAA"),SUM($AA$2:INDIRECT(ADDRESS(ROW(AA31),COLUMN(AA31)))),$H$8/M32*S32)," ")</f>
        <v>85132.108390466863</v>
      </c>
      <c r="AB32" s="12">
        <f ca="1">IFERROR(IF(TEXT($H$4,"DDMMAAAA")=TEXT($K31,"DDMMAAAA"),SUM($AB$2:INDIRECT(ADDRESS(ROW(AB31),COLUMN(AB31)))),$H$8/M32*V32)," ")</f>
        <v>10215.853006856023</v>
      </c>
      <c r="AC32" s="12">
        <f ca="1">IFERROR(IF(TEXT($H$4,"DDMMAAAA")=TEXT($K31,"DDMMAAAA"),SUM($AC$2:INDIRECT(ADDRESS(ROW(AC31),COLUMN(AC31)))),IF(SUM(Y32:AB32)=0,"",SUM(Y32:AB32)))," ")</f>
        <v>223046.12398302316</v>
      </c>
      <c r="AD32" s="6"/>
      <c r="AE32">
        <v>202109</v>
      </c>
      <c r="AF32">
        <v>4.51</v>
      </c>
      <c r="AG32" s="15">
        <v>1994</v>
      </c>
      <c r="AH32" s="16">
        <v>8915</v>
      </c>
      <c r="AI32" s="16">
        <v>3290</v>
      </c>
      <c r="AJ32" s="16">
        <v>98700</v>
      </c>
    </row>
    <row r="33" spans="5:36" x14ac:dyDescent="0.4">
      <c r="E33" s="6"/>
      <c r="F33" s="6"/>
      <c r="G33" s="6"/>
      <c r="H33" s="6"/>
      <c r="I33" s="6"/>
      <c r="J33" s="19">
        <f t="shared" si="9"/>
        <v>44774</v>
      </c>
      <c r="K33" s="19">
        <f t="shared" si="0"/>
        <v>44804</v>
      </c>
      <c r="L33" s="13">
        <f t="shared" si="14"/>
        <v>30</v>
      </c>
      <c r="M33" s="9">
        <f t="shared" si="1"/>
        <v>10.84</v>
      </c>
      <c r="N33" s="46">
        <f t="shared" si="2"/>
        <v>300000</v>
      </c>
      <c r="O33" s="46">
        <f t="shared" si="3"/>
        <v>1000000</v>
      </c>
      <c r="P33" s="14">
        <f>IFERROR(IF(VLOOKUP(INT(TEXT(K33,"AAAA")),Tabla3[[AÑO]:[SALARIO 
MENSUAL]],2,0)*2&lt;$H$2,0,IFERROR(VLOOKUP(INT(TEXT(K33,"AAAA")),Tabla3[[AÑO]:[SALARIO 
MENSUAL]],2,0)," "))/30*L33," ")</f>
        <v>117172</v>
      </c>
      <c r="Q33" s="14">
        <f>IFERROR(IF(VLOOKUP(INT(TEXT(K33,"AAAA")),Tabla3[[AÑO]:[SALARIO 
MENSUAL]],4,0)*2&lt;$H$2,$H$2,VLOOKUP(INT(TEXT(K33,"AAAA")),Tabla3[[AÑO]:[SALARIO 
MENSUAL]],4,0))/30*L33+$H$14+P33," ")</f>
        <v>1417172</v>
      </c>
      <c r="R33" s="12">
        <f t="shared" si="4"/>
        <v>118097.66666666667</v>
      </c>
      <c r="S33" s="12">
        <f t="shared" si="5"/>
        <v>118097.66666666667</v>
      </c>
      <c r="T33" s="11">
        <f t="shared" si="6"/>
        <v>1.25</v>
      </c>
      <c r="U33" s="14">
        <f t="shared" si="11"/>
        <v>59048.833333333328</v>
      </c>
      <c r="V33" s="12">
        <f t="shared" si="7"/>
        <v>14171.72</v>
      </c>
      <c r="W33" s="53">
        <f t="shared" si="12"/>
        <v>79555.89667896679</v>
      </c>
      <c r="X33" s="12">
        <f t="shared" si="8"/>
        <v>962212.7232472325</v>
      </c>
      <c r="Y33" s="12">
        <f ca="1">IFERROR(IF(TEXT($H$4,"DDMMAAAA")=TEXT($K32,"DDMMAAAA"),SUM($Y$2:INDIRECT(ADDRESS(ROW(Y32),COLUMN(Y32)))),$H$8/M33*U33)," ")</f>
        <v>40092.196801968021</v>
      </c>
      <c r="Z33" s="51">
        <f ca="1">IFERROR(IF(TEXT($H$4,"DDMMAAAA")=TEXT($K32,"DDMMAAAA"),SUM($Y$2:INDIRECT(ADDRESS(ROW(Z32),COLUMN(Z32)))),$H$8/M33*R33)," ")</f>
        <v>80184.393603936041</v>
      </c>
      <c r="AA33" s="12">
        <f ca="1">IFERROR(IF(TEXT($H$4,"DDMMAAAA")=TEXT($K32,"DDMMAAAA"),SUM($AA$2:INDIRECT(ADDRESS(ROW(AA32),COLUMN(AA32)))),$H$8/M33*S33)," ")</f>
        <v>80184.393603936041</v>
      </c>
      <c r="AB33" s="12">
        <f ca="1">IFERROR(IF(TEXT($H$4,"DDMMAAAA")=TEXT($K32,"DDMMAAAA"),SUM($AB$2:INDIRECT(ADDRESS(ROW(AB32),COLUMN(AB32)))),$H$8/M33*V33)," ")</f>
        <v>9622.127232472325</v>
      </c>
      <c r="AC33" s="12">
        <f ca="1">IFERROR(IF(TEXT($H$4,"DDMMAAAA")=TEXT($K32,"DDMMAAAA"),SUM($AC$2:INDIRECT(ADDRESS(ROW(AC32),COLUMN(AC32)))),IF(SUM(Y33:AB33)=0,"",SUM(Y33:AB33)))," ")</f>
        <v>210083.11124231244</v>
      </c>
      <c r="AD33" s="6"/>
      <c r="AE33">
        <v>202108</v>
      </c>
      <c r="AF33">
        <v>4.4400000000000004</v>
      </c>
      <c r="AG33" s="17">
        <v>1993</v>
      </c>
      <c r="AH33" s="18">
        <v>7542</v>
      </c>
      <c r="AI33" s="18">
        <v>2717</v>
      </c>
      <c r="AJ33" s="18">
        <v>81510</v>
      </c>
    </row>
    <row r="34" spans="5:36" x14ac:dyDescent="0.4">
      <c r="E34" s="6"/>
      <c r="F34" s="6"/>
      <c r="G34" s="6"/>
      <c r="H34" s="6"/>
      <c r="I34" s="6"/>
      <c r="J34" s="19">
        <f t="shared" si="9"/>
        <v>44805</v>
      </c>
      <c r="K34" s="19">
        <f t="shared" ref="K34:K65" si="15">IFERROR(IF(TEXT(J34,"MMAAA")=TEXT($H$4,"MMAAAA"),$H$4,EOMONTH(J34,0))," ")</f>
        <v>44834</v>
      </c>
      <c r="L34" s="13">
        <f t="shared" si="14"/>
        <v>30</v>
      </c>
      <c r="M34" s="9">
        <f t="shared" ref="M34:M50" si="16">IFERROR(VLOOKUP(INT(TEXT(K34,"AAAAMM")),$AE$1:$AF$376,2,0)," ")</f>
        <v>11.44</v>
      </c>
      <c r="N34" s="46">
        <f t="shared" ref="N34:N65" si="17">IFERROR(Q34+$H$14-Q34," ")</f>
        <v>300000</v>
      </c>
      <c r="O34" s="46">
        <f t="shared" ref="O34:O65" si="18">IFERROR(Q34-N34-P34," ")</f>
        <v>1000000</v>
      </c>
      <c r="P34" s="14">
        <f>IFERROR(IF(VLOOKUP(INT(TEXT(K34,"AAAA")),Tabla3[[AÑO]:[SALARIO 
MENSUAL]],2,0)*2&lt;$H$2,0,IFERROR(VLOOKUP(INT(TEXT(K34,"AAAA")),Tabla3[[AÑO]:[SALARIO 
MENSUAL]],2,0)," "))/30*L34," ")</f>
        <v>117172</v>
      </c>
      <c r="Q34" s="14">
        <f>IFERROR(IF(VLOOKUP(INT(TEXT(K34,"AAAA")),Tabla3[[AÑO]:[SALARIO 
MENSUAL]],4,0)*2&lt;$H$2,$H$2,VLOOKUP(INT(TEXT(K34,"AAAA")),Tabla3[[AÑO]:[SALARIO 
MENSUAL]],4,0))/30*L34+$H$14+P34," ")</f>
        <v>1417172</v>
      </c>
      <c r="R34" s="12">
        <f t="shared" ref="R34:R65" si="19">IFERROR(Q34/360*L34," ")</f>
        <v>118097.66666666667</v>
      </c>
      <c r="S34" s="12">
        <f t="shared" ref="S34:S65" si="20">IFERROR(Q34/360*L34," ")</f>
        <v>118097.66666666667</v>
      </c>
      <c r="T34" s="11">
        <f t="shared" ref="T34:T65" si="21">IFERROR(L34/24," ")</f>
        <v>1.25</v>
      </c>
      <c r="U34" s="14">
        <f t="shared" si="11"/>
        <v>59048.833333333328</v>
      </c>
      <c r="V34" s="12">
        <f t="shared" ref="V34:V65" si="22">IFERROR(360*Q34*0.12/360/12," ")</f>
        <v>14171.72</v>
      </c>
      <c r="W34" s="53">
        <f t="shared" si="12"/>
        <v>75383.384615384624</v>
      </c>
      <c r="X34" s="12">
        <f t="shared" ref="X34:X65" si="23">IFERROR(IF(TEXT($H$4,"DDMMAAAA")=TEXT($K33,"DDMMAAAA"),"Sub Total",$H$8/M34*Q34)," ")</f>
        <v>911747.02097902109</v>
      </c>
      <c r="Y34" s="12">
        <f ca="1">IFERROR(IF(TEXT($H$4,"DDMMAAAA")=TEXT($K33,"DDMMAAAA"),SUM($Y$2:INDIRECT(ADDRESS(ROW(Y33),COLUMN(Y33)))),$H$8/M34*U34)," ")</f>
        <v>37989.459207459207</v>
      </c>
      <c r="Z34" s="51">
        <f ca="1">IFERROR(IF(TEXT($H$4,"DDMMAAAA")=TEXT($K33,"DDMMAAAA"),SUM($Y$2:INDIRECT(ADDRESS(ROW(Z33),COLUMN(Z33)))),$H$8/M34*R34)," ")</f>
        <v>75978.918414918429</v>
      </c>
      <c r="AA34" s="12">
        <f ca="1">IFERROR(IF(TEXT($H$4,"DDMMAAAA")=TEXT($K33,"DDMMAAAA"),SUM($AA$2:INDIRECT(ADDRESS(ROW(AA33),COLUMN(AA33)))),$H$8/M34*S34)," ")</f>
        <v>75978.918414918429</v>
      </c>
      <c r="AB34" s="12">
        <f ca="1">IFERROR(IF(TEXT($H$4,"DDMMAAAA")=TEXT($K33,"DDMMAAAA"),SUM($AB$2:INDIRECT(ADDRESS(ROW(AB33),COLUMN(AB33)))),$H$8/M34*V34)," ")</f>
        <v>9117.47020979021</v>
      </c>
      <c r="AC34" s="12">
        <f ca="1">IFERROR(IF(TEXT($H$4,"DDMMAAAA")=TEXT($K33,"DDMMAAAA"),SUM($AC$2:INDIRECT(ADDRESS(ROW(AC33),COLUMN(AC33)))),IF(SUM(Y34:AB34)=0,"",SUM(Y34:AB34)))," ")</f>
        <v>199064.76624708629</v>
      </c>
      <c r="AD34" s="6"/>
      <c r="AE34">
        <v>202107</v>
      </c>
      <c r="AF34">
        <v>3.97</v>
      </c>
      <c r="AG34" s="15">
        <v>1992</v>
      </c>
      <c r="AH34" s="16">
        <v>6033</v>
      </c>
      <c r="AI34" s="16">
        <v>2173</v>
      </c>
      <c r="AJ34" s="16">
        <v>65190</v>
      </c>
    </row>
    <row r="35" spans="5:36" x14ac:dyDescent="0.4">
      <c r="E35" s="6"/>
      <c r="F35" s="6"/>
      <c r="G35" s="6"/>
      <c r="H35" s="6"/>
      <c r="I35" s="6"/>
      <c r="J35" s="19">
        <f t="shared" ref="J35:J66" si="24">IF(EDATE($K$2,ROW()-3)&lt;=$H$4,EDATE($K$2+1,ROW()-3),"")</f>
        <v>44835</v>
      </c>
      <c r="K35" s="19">
        <f t="shared" si="15"/>
        <v>44865</v>
      </c>
      <c r="L35" s="13">
        <f t="shared" si="14"/>
        <v>30</v>
      </c>
      <c r="M35" s="9">
        <f t="shared" si="16"/>
        <v>12.22</v>
      </c>
      <c r="N35" s="46">
        <f t="shared" si="17"/>
        <v>300000</v>
      </c>
      <c r="O35" s="46">
        <f t="shared" si="18"/>
        <v>1000000</v>
      </c>
      <c r="P35" s="14">
        <f>IFERROR(IF(VLOOKUP(INT(TEXT(K35,"AAAA")),Tabla3[[AÑO]:[SALARIO 
MENSUAL]],2,0)*2&lt;$H$2,0,IFERROR(VLOOKUP(INT(TEXT(K35,"AAAA")),Tabla3[[AÑO]:[SALARIO 
MENSUAL]],2,0)," "))/30*L35," ")</f>
        <v>117172</v>
      </c>
      <c r="Q35" s="14">
        <f>IFERROR(IF(VLOOKUP(INT(TEXT(K35,"AAAA")),Tabla3[[AÑO]:[SALARIO 
MENSUAL]],4,0)*2&lt;$H$2,$H$2,VLOOKUP(INT(TEXT(K35,"AAAA")),Tabla3[[AÑO]:[SALARIO 
MENSUAL]],4,0))/30*L35+$H$14+P35," ")</f>
        <v>1417172</v>
      </c>
      <c r="R35" s="12">
        <f t="shared" si="19"/>
        <v>118097.66666666667</v>
      </c>
      <c r="S35" s="12">
        <f t="shared" si="20"/>
        <v>118097.66666666667</v>
      </c>
      <c r="T35" s="11">
        <f t="shared" si="21"/>
        <v>1.25</v>
      </c>
      <c r="U35" s="14">
        <f t="shared" ref="U35:U66" si="25">IFERROR(Q35/30*T35," ")</f>
        <v>59048.833333333328</v>
      </c>
      <c r="V35" s="12">
        <f t="shared" si="22"/>
        <v>14171.72</v>
      </c>
      <c r="W35" s="53">
        <f t="shared" si="12"/>
        <v>70571.679214402611</v>
      </c>
      <c r="X35" s="12">
        <f t="shared" si="23"/>
        <v>853550.40261865791</v>
      </c>
      <c r="Y35" s="12">
        <f ca="1">IFERROR(IF(TEXT($H$4,"DDMMAAAA")=TEXT($K34,"DDMMAAAA"),SUM($Y$2:INDIRECT(ADDRESS(ROW(Y34),COLUMN(Y34)))),$H$8/M35*U35)," ")</f>
        <v>35564.600109110739</v>
      </c>
      <c r="Z35" s="51">
        <f ca="1">IFERROR(IF(TEXT($H$4,"DDMMAAAA")=TEXT($K34,"DDMMAAAA"),SUM($Y$2:INDIRECT(ADDRESS(ROW(Z34),COLUMN(Z34)))),$H$8/M35*R35)," ")</f>
        <v>71129.200218221493</v>
      </c>
      <c r="AA35" s="12">
        <f ca="1">IFERROR(IF(TEXT($H$4,"DDMMAAAA")=TEXT($K34,"DDMMAAAA"),SUM($AA$2:INDIRECT(ADDRESS(ROW(AA34),COLUMN(AA34)))),$H$8/M35*S35)," ")</f>
        <v>71129.200218221493</v>
      </c>
      <c r="AB35" s="12">
        <f ca="1">IFERROR(IF(TEXT($H$4,"DDMMAAAA")=TEXT($K34,"DDMMAAAA"),SUM($AB$2:INDIRECT(ADDRESS(ROW(AB34),COLUMN(AB34)))),$H$8/M35*V35)," ")</f>
        <v>8535.5040261865779</v>
      </c>
      <c r="AC35" s="12">
        <f ca="1">IFERROR(IF(TEXT($H$4,"DDMMAAAA")=TEXT($K34,"DDMMAAAA"),SUM($AC$2:INDIRECT(ADDRESS(ROW(AC34),COLUMN(AC34)))),IF(SUM(Y35:AB35)=0,"",SUM(Y35:AB35)))," ")</f>
        <v>186358.50457174028</v>
      </c>
      <c r="AD35" s="6"/>
      <c r="AE35">
        <v>202106</v>
      </c>
      <c r="AF35">
        <v>3.63</v>
      </c>
      <c r="AG35" s="17">
        <v>1991</v>
      </c>
      <c r="AH35" s="18">
        <v>4787</v>
      </c>
      <c r="AI35" s="18">
        <v>1724</v>
      </c>
      <c r="AJ35" s="18">
        <v>51720</v>
      </c>
    </row>
    <row r="36" spans="5:36" x14ac:dyDescent="0.4">
      <c r="E36" s="6"/>
      <c r="F36" s="6"/>
      <c r="G36" s="6"/>
      <c r="H36" s="6"/>
      <c r="I36" s="6"/>
      <c r="J36" s="19">
        <f t="shared" si="24"/>
        <v>44866</v>
      </c>
      <c r="K36" s="19">
        <f t="shared" si="15"/>
        <v>44895</v>
      </c>
      <c r="L36" s="13">
        <f t="shared" si="14"/>
        <v>30</v>
      </c>
      <c r="M36" s="9">
        <f t="shared" si="16"/>
        <v>12.53</v>
      </c>
      <c r="N36" s="46">
        <f t="shared" si="17"/>
        <v>300000</v>
      </c>
      <c r="O36" s="46">
        <f t="shared" si="18"/>
        <v>1000000</v>
      </c>
      <c r="P36" s="14">
        <f>IFERROR(IF(VLOOKUP(INT(TEXT(K36,"AAAA")),Tabla3[[AÑO]:[SALARIO 
MENSUAL]],2,0)*2&lt;$H$2,0,IFERROR(VLOOKUP(INT(TEXT(K36,"AAAA")),Tabla3[[AÑO]:[SALARIO 
MENSUAL]],2,0)," "))/30*L36," ")</f>
        <v>117172</v>
      </c>
      <c r="Q36" s="14">
        <f>IFERROR(IF(VLOOKUP(INT(TEXT(K36,"AAAA")),Tabla3[[AÑO]:[SALARIO 
MENSUAL]],4,0)*2&lt;$H$2,$H$2,VLOOKUP(INT(TEXT(K36,"AAAA")),Tabla3[[AÑO]:[SALARIO 
MENSUAL]],4,0))/30*L36+$H$14+P36," ")</f>
        <v>1417172</v>
      </c>
      <c r="R36" s="12">
        <f t="shared" si="19"/>
        <v>118097.66666666667</v>
      </c>
      <c r="S36" s="12">
        <f t="shared" si="20"/>
        <v>118097.66666666667</v>
      </c>
      <c r="T36" s="11">
        <f t="shared" si="21"/>
        <v>1.25</v>
      </c>
      <c r="U36" s="14">
        <f t="shared" si="25"/>
        <v>59048.833333333328</v>
      </c>
      <c r="V36" s="12">
        <f t="shared" si="22"/>
        <v>14171.72</v>
      </c>
      <c r="W36" s="53">
        <f t="shared" si="12"/>
        <v>68825.69193934559</v>
      </c>
      <c r="X36" s="12">
        <f t="shared" si="23"/>
        <v>832433.03431763779</v>
      </c>
      <c r="Y36" s="12">
        <f ca="1">IFERROR(IF(TEXT($H$4,"DDMMAAAA")=TEXT($K35,"DDMMAAAA"),SUM($Y$2:INDIRECT(ADDRESS(ROW(Y35),COLUMN(Y35)))),$H$8/M36*U36)," ")</f>
        <v>34684.709763234903</v>
      </c>
      <c r="Z36" s="51">
        <f ca="1">IFERROR(IF(TEXT($H$4,"DDMMAAAA")=TEXT($K35,"DDMMAAAA"),SUM($Y$2:INDIRECT(ADDRESS(ROW(Z35),COLUMN(Z35)))),$H$8/M36*R36)," ")</f>
        <v>69369.419526469821</v>
      </c>
      <c r="AA36" s="12">
        <f ca="1">IFERROR(IF(TEXT($H$4,"DDMMAAAA")=TEXT($K35,"DDMMAAAA"),SUM($AA$2:INDIRECT(ADDRESS(ROW(AA35),COLUMN(AA35)))),$H$8/M36*S36)," ")</f>
        <v>69369.419526469821</v>
      </c>
      <c r="AB36" s="12">
        <f ca="1">IFERROR(IF(TEXT($H$4,"DDMMAAAA")=TEXT($K35,"DDMMAAAA"),SUM($AB$2:INDIRECT(ADDRESS(ROW(AB35),COLUMN(AB35)))),$H$8/M36*V36)," ")</f>
        <v>8324.3303431763779</v>
      </c>
      <c r="AC36" s="12">
        <f ca="1">IFERROR(IF(TEXT($H$4,"DDMMAAAA")=TEXT($K35,"DDMMAAAA"),SUM($AC$2:INDIRECT(ADDRESS(ROW(AC35),COLUMN(AC35)))),IF(SUM(Y36:AB36)=0,"",SUM(Y36:AB36)))," ")</f>
        <v>181747.87915935094</v>
      </c>
      <c r="AD36" s="6"/>
      <c r="AE36">
        <v>202105</v>
      </c>
      <c r="AF36">
        <v>3.3</v>
      </c>
      <c r="AG36" s="15">
        <v>1990</v>
      </c>
      <c r="AH36" s="16">
        <v>3797</v>
      </c>
      <c r="AI36" s="16">
        <v>1367</v>
      </c>
      <c r="AJ36" s="16">
        <v>41025</v>
      </c>
    </row>
    <row r="37" spans="5:36" x14ac:dyDescent="0.4">
      <c r="E37" s="6"/>
      <c r="F37" s="6"/>
      <c r="G37" s="6"/>
      <c r="H37" s="6"/>
      <c r="I37" s="6"/>
      <c r="J37" s="19">
        <f t="shared" si="24"/>
        <v>44896</v>
      </c>
      <c r="K37" s="19">
        <f t="shared" si="15"/>
        <v>44926</v>
      </c>
      <c r="L37" s="13">
        <f t="shared" si="14"/>
        <v>30</v>
      </c>
      <c r="M37" s="9">
        <f t="shared" si="16"/>
        <v>13.12</v>
      </c>
      <c r="N37" s="46">
        <f t="shared" si="17"/>
        <v>300000</v>
      </c>
      <c r="O37" s="46">
        <f t="shared" si="18"/>
        <v>1000000</v>
      </c>
      <c r="P37" s="14">
        <f>IFERROR(IF(VLOOKUP(INT(TEXT(K37,"AAAA")),Tabla3[[AÑO]:[SALARIO 
MENSUAL]],2,0)*2&lt;$H$2,0,IFERROR(VLOOKUP(INT(TEXT(K37,"AAAA")),Tabla3[[AÑO]:[SALARIO 
MENSUAL]],2,0)," "))/30*L37," ")</f>
        <v>117172</v>
      </c>
      <c r="Q37" s="14">
        <f>IFERROR(IF(VLOOKUP(INT(TEXT(K37,"AAAA")),Tabla3[[AÑO]:[SALARIO 
MENSUAL]],4,0)*2&lt;$H$2,$H$2,VLOOKUP(INT(TEXT(K37,"AAAA")),Tabla3[[AÑO]:[SALARIO 
MENSUAL]],4,0))/30*L37+$H$14+P37," ")</f>
        <v>1417172</v>
      </c>
      <c r="R37" s="12">
        <f t="shared" si="19"/>
        <v>118097.66666666667</v>
      </c>
      <c r="S37" s="12">
        <f t="shared" si="20"/>
        <v>118097.66666666667</v>
      </c>
      <c r="T37" s="11">
        <f t="shared" si="21"/>
        <v>1.25</v>
      </c>
      <c r="U37" s="14">
        <f t="shared" si="25"/>
        <v>59048.833333333328</v>
      </c>
      <c r="V37" s="12">
        <f t="shared" si="22"/>
        <v>14171.72</v>
      </c>
      <c r="W37" s="53">
        <f t="shared" si="12"/>
        <v>65730.634146341472</v>
      </c>
      <c r="X37" s="12">
        <f t="shared" si="23"/>
        <v>794998.92682926834</v>
      </c>
      <c r="Y37" s="12">
        <f ca="1">IFERROR(IF(TEXT($H$4,"DDMMAAAA")=TEXT($K36,"DDMMAAAA"),SUM($Y$2:INDIRECT(ADDRESS(ROW(Y36),COLUMN(Y36)))),$H$8/M37*U37)," ")</f>
        <v>33124.955284552845</v>
      </c>
      <c r="Z37" s="51">
        <f ca="1">IFERROR(IF(TEXT($H$4,"DDMMAAAA")=TEXT($K36,"DDMMAAAA"),SUM($Y$2:INDIRECT(ADDRESS(ROW(Z36),COLUMN(Z36)))),$H$8/M37*R37)," ")</f>
        <v>66249.910569105705</v>
      </c>
      <c r="AA37" s="12">
        <f ca="1">IFERROR(IF(TEXT($H$4,"DDMMAAAA")=TEXT($K36,"DDMMAAAA"),SUM($AA$2:INDIRECT(ADDRESS(ROW(AA36),COLUMN(AA36)))),$H$8/M37*S37)," ")</f>
        <v>66249.910569105705</v>
      </c>
      <c r="AB37" s="12">
        <f ca="1">IFERROR(IF(TEXT($H$4,"DDMMAAAA")=TEXT($K36,"DDMMAAAA"),SUM($AB$2:INDIRECT(ADDRESS(ROW(AB36),COLUMN(AB36)))),$H$8/M37*V37)," ")</f>
        <v>7949.9892682926829</v>
      </c>
      <c r="AC37" s="12">
        <f ca="1">IFERROR(IF(TEXT($H$4,"DDMMAAAA")=TEXT($K36,"DDMMAAAA"),SUM($AC$2:INDIRECT(ADDRESS(ROW(AC36),COLUMN(AC36)))),IF(SUM(Y37:AB37)=0,"",SUM(Y37:AB37)))," ")</f>
        <v>173574.76569105693</v>
      </c>
      <c r="AD37" s="6"/>
      <c r="AE37">
        <v>202104</v>
      </c>
      <c r="AF37">
        <v>1.95</v>
      </c>
      <c r="AG37" s="17">
        <v>1989</v>
      </c>
      <c r="AH37" s="18">
        <v>3062</v>
      </c>
      <c r="AI37" s="18">
        <v>1085</v>
      </c>
      <c r="AJ37" s="18">
        <v>32559</v>
      </c>
    </row>
    <row r="38" spans="5:36" x14ac:dyDescent="0.4">
      <c r="E38" s="6"/>
      <c r="F38" s="6"/>
      <c r="G38" s="6"/>
      <c r="H38" s="6"/>
      <c r="I38" s="6"/>
      <c r="J38" s="19">
        <f t="shared" si="24"/>
        <v>44927</v>
      </c>
      <c r="K38" s="19">
        <f t="shared" si="15"/>
        <v>44957</v>
      </c>
      <c r="L38" s="13">
        <f t="shared" si="14"/>
        <v>30</v>
      </c>
      <c r="M38" s="9">
        <f t="shared" si="16"/>
        <v>13.25</v>
      </c>
      <c r="N38" s="46">
        <f t="shared" si="17"/>
        <v>300000</v>
      </c>
      <c r="O38" s="46">
        <f t="shared" si="18"/>
        <v>1160000</v>
      </c>
      <c r="P38" s="14">
        <f>IFERROR(IF(VLOOKUP(INT(TEXT(K38,"AAAA")),Tabla3[[AÑO]:[SALARIO 
MENSUAL]],2,0)*2&lt;$H$2,0,IFERROR(VLOOKUP(INT(TEXT(K38,"AAAA")),Tabla3[[AÑO]:[SALARIO 
MENSUAL]],2,0)," "))/30*L38," ")</f>
        <v>140606</v>
      </c>
      <c r="Q38" s="14">
        <f>IFERROR(IF(VLOOKUP(INT(TEXT(K38,"AAAA")),Tabla3[[AÑO]:[SALARIO 
MENSUAL]],4,0)*2&lt;$H$2,$H$2,VLOOKUP(INT(TEXT(K38,"AAAA")),Tabla3[[AÑO]:[SALARIO 
MENSUAL]],4,0))/30*L38+$H$14+P38," ")</f>
        <v>1600606</v>
      </c>
      <c r="R38" s="12">
        <f t="shared" si="19"/>
        <v>133383.83333333334</v>
      </c>
      <c r="S38" s="12">
        <f t="shared" si="20"/>
        <v>133383.83333333334</v>
      </c>
      <c r="T38" s="11">
        <f t="shared" si="21"/>
        <v>1.25</v>
      </c>
      <c r="U38" s="14">
        <f t="shared" si="25"/>
        <v>66691.916666666672</v>
      </c>
      <c r="V38" s="12">
        <f t="shared" si="22"/>
        <v>16006.06</v>
      </c>
      <c r="W38" s="53">
        <f t="shared" si="12"/>
        <v>78102.653584905667</v>
      </c>
      <c r="X38" s="12">
        <f t="shared" si="23"/>
        <v>889091.3328301888</v>
      </c>
      <c r="Y38" s="12">
        <f ca="1">IFERROR(IF(TEXT($H$4,"DDMMAAAA")=TEXT($K37,"DDMMAAAA"),SUM($Y$2:INDIRECT(ADDRESS(ROW(Y37),COLUMN(Y37)))),$H$8/M38*U38)," ")</f>
        <v>37045.472201257871</v>
      </c>
      <c r="Z38" s="51">
        <f ca="1">IFERROR(IF(TEXT($H$4,"DDMMAAAA")=TEXT($K37,"DDMMAAAA"),SUM($Y$2:INDIRECT(ADDRESS(ROW(Z37),COLUMN(Z37)))),$H$8/M38*R38)," ")</f>
        <v>74090.944402515743</v>
      </c>
      <c r="AA38" s="12">
        <f ca="1">IFERROR(IF(TEXT($H$4,"DDMMAAAA")=TEXT($K37,"DDMMAAAA"),SUM($AA$2:INDIRECT(ADDRESS(ROW(AA37),COLUMN(AA37)))),$H$8/M38*S38)," ")</f>
        <v>74090.944402515743</v>
      </c>
      <c r="AB38" s="12">
        <f ca="1">IFERROR(IF(TEXT($H$4,"DDMMAAAA")=TEXT($K37,"DDMMAAAA"),SUM($AB$2:INDIRECT(ADDRESS(ROW(AB37),COLUMN(AB37)))),$H$8/M38*V38)," ")</f>
        <v>8890.9133283018873</v>
      </c>
      <c r="AC38" s="12">
        <f ca="1">IFERROR(IF(TEXT($H$4,"DDMMAAAA")=TEXT($K37,"DDMMAAAA"),SUM($AC$2:INDIRECT(ADDRESS(ROW(AC37),COLUMN(AC37)))),IF(SUM(Y38:AB38)=0,"",SUM(Y38:AB38)))," ")</f>
        <v>194118.27433459126</v>
      </c>
      <c r="AD38" s="6"/>
      <c r="AE38">
        <v>202103</v>
      </c>
      <c r="AF38">
        <v>1.51</v>
      </c>
      <c r="AG38" s="15">
        <v>1988</v>
      </c>
      <c r="AH38" s="16">
        <v>2450</v>
      </c>
      <c r="AI38" s="16">
        <v>854</v>
      </c>
      <c r="AJ38" s="16">
        <v>25637</v>
      </c>
    </row>
    <row r="39" spans="5:36" x14ac:dyDescent="0.4">
      <c r="E39" s="6"/>
      <c r="F39" s="6"/>
      <c r="G39" s="6"/>
      <c r="H39" s="6"/>
      <c r="I39" s="6"/>
      <c r="J39" s="19">
        <f t="shared" si="24"/>
        <v>44958</v>
      </c>
      <c r="K39" s="19">
        <f t="shared" si="15"/>
        <v>44985</v>
      </c>
      <c r="L39" s="13">
        <f t="shared" si="14"/>
        <v>30</v>
      </c>
      <c r="M39" s="9">
        <f t="shared" si="16"/>
        <v>13.28</v>
      </c>
      <c r="N39" s="46">
        <f t="shared" si="17"/>
        <v>300000</v>
      </c>
      <c r="O39" s="46">
        <f t="shared" si="18"/>
        <v>1160000</v>
      </c>
      <c r="P39" s="14">
        <f>IFERROR(IF(VLOOKUP(INT(TEXT(K39,"AAAA")),Tabla3[[AÑO]:[SALARIO 
MENSUAL]],2,0)*2&lt;$H$2,0,IFERROR(VLOOKUP(INT(TEXT(K39,"AAAA")),Tabla3[[AÑO]:[SALARIO 
MENSUAL]],2,0)," "))/30*L39," ")</f>
        <v>140606</v>
      </c>
      <c r="Q39" s="14">
        <f>IFERROR(IF(VLOOKUP(INT(TEXT(K39,"AAAA")),Tabla3[[AÑO]:[SALARIO 
MENSUAL]],4,0)*2&lt;$H$2,$H$2,VLOOKUP(INT(TEXT(K39,"AAAA")),Tabla3[[AÑO]:[SALARIO 
MENSUAL]],4,0))/30*L39+$H$14+P39," ")</f>
        <v>1600606</v>
      </c>
      <c r="R39" s="12">
        <f t="shared" si="19"/>
        <v>133383.83333333334</v>
      </c>
      <c r="S39" s="12">
        <f t="shared" si="20"/>
        <v>133383.83333333334</v>
      </c>
      <c r="T39" s="11">
        <f t="shared" si="21"/>
        <v>1.25</v>
      </c>
      <c r="U39" s="14">
        <f t="shared" si="25"/>
        <v>66691.916666666672</v>
      </c>
      <c r="V39" s="12">
        <f t="shared" si="22"/>
        <v>16006.06</v>
      </c>
      <c r="W39" s="53">
        <f t="shared" si="12"/>
        <v>77926.216867469877</v>
      </c>
      <c r="X39" s="12">
        <f t="shared" si="23"/>
        <v>887082.84337349399</v>
      </c>
      <c r="Y39" s="12">
        <f ca="1">IFERROR(IF(TEXT($H$4,"DDMMAAAA")=TEXT($K38,"DDMMAAAA"),SUM($Y$2:INDIRECT(ADDRESS(ROW(Y38),COLUMN(Y38)))),$H$8/M39*U39)," ")</f>
        <v>36961.78514056225</v>
      </c>
      <c r="Z39" s="51">
        <f ca="1">IFERROR(IF(TEXT($H$4,"DDMMAAAA")=TEXT($K38,"DDMMAAAA"),SUM($Y$2:INDIRECT(ADDRESS(ROW(Z38),COLUMN(Z38)))),$H$8/M39*R39)," ")</f>
        <v>73923.570281124499</v>
      </c>
      <c r="AA39" s="12">
        <f ca="1">IFERROR(IF(TEXT($H$4,"DDMMAAAA")=TEXT($K38,"DDMMAAAA"),SUM($AA$2:INDIRECT(ADDRESS(ROW(AA38),COLUMN(AA38)))),$H$8/M39*S39)," ")</f>
        <v>73923.570281124499</v>
      </c>
      <c r="AB39" s="12">
        <f ca="1">IFERROR(IF(TEXT($H$4,"DDMMAAAA")=TEXT($K38,"DDMMAAAA"),SUM($AB$2:INDIRECT(ADDRESS(ROW(AB38),COLUMN(AB38)))),$H$8/M39*V39)," ")</f>
        <v>8870.8284337349396</v>
      </c>
      <c r="AC39" s="12">
        <f ca="1">IFERROR(IF(TEXT($H$4,"DDMMAAAA")=TEXT($K38,"DDMMAAAA"),SUM($AC$2:INDIRECT(ADDRESS(ROW(AC38),COLUMN(AC38)))),IF(SUM(Y39:AB39)=0,"",SUM(Y39:AB39)))," ")</f>
        <v>193679.75413654619</v>
      </c>
      <c r="AD39" s="6"/>
      <c r="AE39">
        <v>202102</v>
      </c>
      <c r="AF39">
        <v>1.56</v>
      </c>
      <c r="AG39" s="17">
        <v>1987</v>
      </c>
      <c r="AH39" s="18">
        <v>2000</v>
      </c>
      <c r="AI39" s="18">
        <v>683</v>
      </c>
      <c r="AJ39" s="18">
        <v>20509</v>
      </c>
    </row>
    <row r="40" spans="5:36" x14ac:dyDescent="0.4">
      <c r="E40" s="6"/>
      <c r="F40" s="6"/>
      <c r="G40" s="6"/>
      <c r="H40" s="6"/>
      <c r="I40" s="6"/>
      <c r="J40" s="19">
        <f t="shared" si="24"/>
        <v>44986</v>
      </c>
      <c r="K40" s="19">
        <f t="shared" si="15"/>
        <v>45016</v>
      </c>
      <c r="L40" s="13">
        <f t="shared" si="14"/>
        <v>30</v>
      </c>
      <c r="M40" s="9">
        <f t="shared" si="16"/>
        <v>13.34</v>
      </c>
      <c r="N40" s="46">
        <f t="shared" si="17"/>
        <v>300000</v>
      </c>
      <c r="O40" s="46">
        <f t="shared" si="18"/>
        <v>1160000</v>
      </c>
      <c r="P40" s="14">
        <f>IFERROR(IF(VLOOKUP(INT(TEXT(K40,"AAAA")),Tabla3[[AÑO]:[SALARIO 
MENSUAL]],2,0)*2&lt;$H$2,0,IFERROR(VLOOKUP(INT(TEXT(K40,"AAAA")),Tabla3[[AÑO]:[SALARIO 
MENSUAL]],2,0)," "))/30*L40," ")</f>
        <v>140606</v>
      </c>
      <c r="Q40" s="14">
        <f>IFERROR(IF(VLOOKUP(INT(TEXT(K40,"AAAA")),Tabla3[[AÑO]:[SALARIO 
MENSUAL]],4,0)*2&lt;$H$2,$H$2,VLOOKUP(INT(TEXT(K40,"AAAA")),Tabla3[[AÑO]:[SALARIO 
MENSUAL]],4,0))/30*L40+$H$14+P40," ")</f>
        <v>1600606</v>
      </c>
      <c r="R40" s="12">
        <f t="shared" si="19"/>
        <v>133383.83333333334</v>
      </c>
      <c r="S40" s="12">
        <f t="shared" si="20"/>
        <v>133383.83333333334</v>
      </c>
      <c r="T40" s="11">
        <f t="shared" si="21"/>
        <v>1.25</v>
      </c>
      <c r="U40" s="14">
        <f t="shared" si="25"/>
        <v>66691.916666666672</v>
      </c>
      <c r="V40" s="12">
        <f t="shared" si="22"/>
        <v>16006.06</v>
      </c>
      <c r="W40" s="53">
        <f t="shared" si="12"/>
        <v>77575.724137931029</v>
      </c>
      <c r="X40" s="12">
        <f t="shared" si="23"/>
        <v>883092.96551724139</v>
      </c>
      <c r="Y40" s="12">
        <f ca="1">IFERROR(IF(TEXT($H$4,"DDMMAAAA")=TEXT($K39,"DDMMAAAA"),SUM($Y$2:INDIRECT(ADDRESS(ROW(Y39),COLUMN(Y39)))),$H$8/M40*U40)," ")</f>
        <v>36795.54022988506</v>
      </c>
      <c r="Z40" s="51">
        <f ca="1">IFERROR(IF(TEXT($H$4,"DDMMAAAA")=TEXT($K39,"DDMMAAAA"),SUM($Y$2:INDIRECT(ADDRESS(ROW(Z39),COLUMN(Z39)))),$H$8/M40*R40)," ")</f>
        <v>73591.080459770121</v>
      </c>
      <c r="AA40" s="12">
        <f ca="1">IFERROR(IF(TEXT($H$4,"DDMMAAAA")=TEXT($K39,"DDMMAAAA"),SUM($AA$2:INDIRECT(ADDRESS(ROW(AA39),COLUMN(AA39)))),$H$8/M40*S40)," ")</f>
        <v>73591.080459770121</v>
      </c>
      <c r="AB40" s="12">
        <f ca="1">IFERROR(IF(TEXT($H$4,"DDMMAAAA")=TEXT($K39,"DDMMAAAA"),SUM($AB$2:INDIRECT(ADDRESS(ROW(AB39),COLUMN(AB39)))),$H$8/M40*V40)," ")</f>
        <v>8830.9296551724128</v>
      </c>
      <c r="AC40" s="12">
        <f ca="1">IFERROR(IF(TEXT($H$4,"DDMMAAAA")=TEXT($K39,"DDMMAAAA"),SUM($AC$2:INDIRECT(ADDRESS(ROW(AC39),COLUMN(AC39)))),IF(SUM(Y40:AB40)=0,"",SUM(Y40:AB40)))," ")</f>
        <v>192808.63080459772</v>
      </c>
      <c r="AD40" s="6"/>
      <c r="AE40">
        <v>202101</v>
      </c>
      <c r="AF40">
        <v>1.6</v>
      </c>
      <c r="AG40" s="15">
        <v>1986</v>
      </c>
      <c r="AH40" s="16">
        <v>1650</v>
      </c>
      <c r="AI40" s="16">
        <v>560</v>
      </c>
      <c r="AJ40" s="16">
        <v>16811</v>
      </c>
    </row>
    <row r="41" spans="5:36" x14ac:dyDescent="0.4">
      <c r="E41" s="6"/>
      <c r="F41" s="6"/>
      <c r="G41" s="6"/>
      <c r="H41" s="6"/>
      <c r="I41" s="6"/>
      <c r="J41" s="19">
        <f t="shared" si="24"/>
        <v>45017</v>
      </c>
      <c r="K41" s="19">
        <f t="shared" si="15"/>
        <v>45046</v>
      </c>
      <c r="L41" s="13">
        <f t="shared" si="14"/>
        <v>30</v>
      </c>
      <c r="M41" s="9">
        <f t="shared" si="16"/>
        <v>12.82</v>
      </c>
      <c r="N41" s="46">
        <f t="shared" si="17"/>
        <v>300000</v>
      </c>
      <c r="O41" s="46">
        <f t="shared" si="18"/>
        <v>1160000</v>
      </c>
      <c r="P41" s="14">
        <f>IFERROR(IF(VLOOKUP(INT(TEXT(K41,"AAAA")),Tabla3[[AÑO]:[SALARIO 
MENSUAL]],2,0)*2&lt;$H$2,0,IFERROR(VLOOKUP(INT(TEXT(K41,"AAAA")),Tabla3[[AÑO]:[SALARIO 
MENSUAL]],2,0)," "))/30*L41," ")</f>
        <v>140606</v>
      </c>
      <c r="Q41" s="14">
        <f>IFERROR(IF(VLOOKUP(INT(TEXT(K41,"AAAA")),Tabla3[[AÑO]:[SALARIO 
MENSUAL]],4,0)*2&lt;$H$2,$H$2,VLOOKUP(INT(TEXT(K41,"AAAA")),Tabla3[[AÑO]:[SALARIO 
MENSUAL]],4,0))/30*L41+$H$14+P41," ")</f>
        <v>1600606</v>
      </c>
      <c r="R41" s="12">
        <f t="shared" si="19"/>
        <v>133383.83333333334</v>
      </c>
      <c r="S41" s="12">
        <f t="shared" si="20"/>
        <v>133383.83333333334</v>
      </c>
      <c r="T41" s="11">
        <f t="shared" si="21"/>
        <v>1.25</v>
      </c>
      <c r="U41" s="14">
        <f t="shared" si="25"/>
        <v>66691.916666666672</v>
      </c>
      <c r="V41" s="12">
        <f t="shared" si="22"/>
        <v>16006.06</v>
      </c>
      <c r="W41" s="53">
        <f t="shared" si="12"/>
        <v>80722.321372854916</v>
      </c>
      <c r="X41" s="12">
        <f t="shared" si="23"/>
        <v>918912.64898595947</v>
      </c>
      <c r="Y41" s="12">
        <f ca="1">IFERROR(IF(TEXT($H$4,"DDMMAAAA")=TEXT($K40,"DDMMAAAA"),SUM($Y$2:INDIRECT(ADDRESS(ROW(Y40),COLUMN(Y40)))),$H$8/M41*U41)," ")</f>
        <v>38288.027041081645</v>
      </c>
      <c r="Z41" s="51">
        <f ca="1">IFERROR(IF(TEXT($H$4,"DDMMAAAA")=TEXT($K40,"DDMMAAAA"),SUM($Y$2:INDIRECT(ADDRESS(ROW(Z40),COLUMN(Z40)))),$H$8/M41*R41)," ")</f>
        <v>76576.054082163289</v>
      </c>
      <c r="AA41" s="12">
        <f ca="1">IFERROR(IF(TEXT($H$4,"DDMMAAAA")=TEXT($K40,"DDMMAAAA"),SUM($AA$2:INDIRECT(ADDRESS(ROW(AA40),COLUMN(AA40)))),$H$8/M41*S41)," ")</f>
        <v>76576.054082163289</v>
      </c>
      <c r="AB41" s="12">
        <f ca="1">IFERROR(IF(TEXT($H$4,"DDMMAAAA")=TEXT($K40,"DDMMAAAA"),SUM($AB$2:INDIRECT(ADDRESS(ROW(AB40),COLUMN(AB40)))),$H$8/M41*V41)," ")</f>
        <v>9189.1264898595946</v>
      </c>
      <c r="AC41" s="12">
        <f ca="1">IFERROR(IF(TEXT($H$4,"DDMMAAAA")=TEXT($K40,"DDMMAAAA"),SUM($AC$2:INDIRECT(ADDRESS(ROW(AC40),COLUMN(AC40)))),IF(SUM(Y41:AB41)=0,"",SUM(Y41:AB41)))," ")</f>
        <v>200629.26169526781</v>
      </c>
      <c r="AD41" s="6"/>
      <c r="AE41">
        <v>202012</v>
      </c>
      <c r="AF41">
        <v>1.61</v>
      </c>
      <c r="AG41" s="17">
        <v>1985</v>
      </c>
      <c r="AH41" s="18">
        <v>1350</v>
      </c>
      <c r="AI41" s="18">
        <v>451</v>
      </c>
      <c r="AJ41" s="18">
        <v>13557</v>
      </c>
    </row>
    <row r="42" spans="5:36" x14ac:dyDescent="0.4">
      <c r="E42" s="6"/>
      <c r="F42" s="6"/>
      <c r="G42" s="6"/>
      <c r="H42" s="6"/>
      <c r="I42" s="6"/>
      <c r="J42" s="19">
        <f t="shared" si="24"/>
        <v>45047</v>
      </c>
      <c r="K42" s="19">
        <f t="shared" si="15"/>
        <v>45077</v>
      </c>
      <c r="L42" s="13">
        <f t="shared" si="14"/>
        <v>30</v>
      </c>
      <c r="M42" s="9">
        <f t="shared" si="16"/>
        <v>12.36</v>
      </c>
      <c r="N42" s="46">
        <f t="shared" si="17"/>
        <v>300000</v>
      </c>
      <c r="O42" s="46">
        <f t="shared" si="18"/>
        <v>1160000</v>
      </c>
      <c r="P42" s="14">
        <f>IFERROR(IF(VLOOKUP(INT(TEXT(K42,"AAAA")),Tabla3[[AÑO]:[SALARIO 
MENSUAL]],2,0)*2&lt;$H$2,0,IFERROR(VLOOKUP(INT(TEXT(K42,"AAAA")),Tabla3[[AÑO]:[SALARIO 
MENSUAL]],2,0)," "))/30*L42," ")</f>
        <v>140606</v>
      </c>
      <c r="Q42" s="14">
        <f>IFERROR(IF(VLOOKUP(INT(TEXT(K42,"AAAA")),Tabla3[[AÑO]:[SALARIO 
MENSUAL]],4,0)*2&lt;$H$2,$H$2,VLOOKUP(INT(TEXT(K42,"AAAA")),Tabla3[[AÑO]:[SALARIO 
MENSUAL]],4,0))/30*L42+$H$14+P42," ")</f>
        <v>1600606</v>
      </c>
      <c r="R42" s="12">
        <f t="shared" si="19"/>
        <v>133383.83333333334</v>
      </c>
      <c r="S42" s="12">
        <f t="shared" si="20"/>
        <v>133383.83333333334</v>
      </c>
      <c r="T42" s="11">
        <f t="shared" si="21"/>
        <v>1.25</v>
      </c>
      <c r="U42" s="14">
        <f t="shared" si="25"/>
        <v>66691.916666666672</v>
      </c>
      <c r="V42" s="12">
        <f t="shared" si="22"/>
        <v>16006.06</v>
      </c>
      <c r="W42" s="53">
        <f t="shared" si="12"/>
        <v>83726.550161812309</v>
      </c>
      <c r="X42" s="12">
        <f t="shared" si="23"/>
        <v>953111.6634304208</v>
      </c>
      <c r="Y42" s="12">
        <f ca="1">IFERROR(IF(TEXT($H$4,"DDMMAAAA")=TEXT($K41,"DDMMAAAA"),SUM($Y$2:INDIRECT(ADDRESS(ROW(Y41),COLUMN(Y41)))),$H$8/M42*U42)," ")</f>
        <v>39712.985976267533</v>
      </c>
      <c r="Z42" s="51">
        <f ca="1">IFERROR(IF(TEXT($H$4,"DDMMAAAA")=TEXT($K41,"DDMMAAAA"),SUM($Y$2:INDIRECT(ADDRESS(ROW(Z41),COLUMN(Z41)))),$H$8/M42*R42)," ")</f>
        <v>79425.971952535067</v>
      </c>
      <c r="AA42" s="12">
        <f ca="1">IFERROR(IF(TEXT($H$4,"DDMMAAAA")=TEXT($K41,"DDMMAAAA"),SUM($AA$2:INDIRECT(ADDRESS(ROW(AA41),COLUMN(AA41)))),$H$8/M42*S42)," ")</f>
        <v>79425.971952535067</v>
      </c>
      <c r="AB42" s="12">
        <f ca="1">IFERROR(IF(TEXT($H$4,"DDMMAAAA")=TEXT($K41,"DDMMAAAA"),SUM($AB$2:INDIRECT(ADDRESS(ROW(AB41),COLUMN(AB41)))),$H$8/M42*V42)," ")</f>
        <v>9531.1166343042078</v>
      </c>
      <c r="AC42" s="12">
        <f ca="1">IFERROR(IF(TEXT($H$4,"DDMMAAAA")=TEXT($K41,"DDMMAAAA"),SUM($AC$2:INDIRECT(ADDRESS(ROW(AC41),COLUMN(AC41)))),IF(SUM(Y42:AB42)=0,"",SUM(Y42:AB42)))," ")</f>
        <v>208096.04651564188</v>
      </c>
      <c r="AD42" s="6"/>
      <c r="AE42">
        <v>202011</v>
      </c>
      <c r="AF42">
        <v>1.49</v>
      </c>
    </row>
    <row r="43" spans="5:36" x14ac:dyDescent="0.4">
      <c r="E43" s="6"/>
      <c r="F43" s="6"/>
      <c r="G43" s="6"/>
      <c r="H43" s="6"/>
      <c r="I43" s="6"/>
      <c r="J43" s="19">
        <f t="shared" si="24"/>
        <v>45078</v>
      </c>
      <c r="K43" s="19">
        <f t="shared" si="15"/>
        <v>45107</v>
      </c>
      <c r="L43" s="13">
        <f t="shared" si="14"/>
        <v>30</v>
      </c>
      <c r="M43" s="9">
        <f t="shared" si="16"/>
        <v>12.13</v>
      </c>
      <c r="N43" s="46">
        <f t="shared" si="17"/>
        <v>300000</v>
      </c>
      <c r="O43" s="46">
        <f t="shared" si="18"/>
        <v>1160000</v>
      </c>
      <c r="P43" s="14">
        <f>IFERROR(IF(VLOOKUP(INT(TEXT(K43,"AAAA")),Tabla3[[AÑO]:[SALARIO 
MENSUAL]],2,0)*2&lt;$H$2,0,IFERROR(VLOOKUP(INT(TEXT(K43,"AAAA")),Tabla3[[AÑO]:[SALARIO 
MENSUAL]],2,0)," "))/30*L43," ")</f>
        <v>140606</v>
      </c>
      <c r="Q43" s="14">
        <f>IFERROR(IF(VLOOKUP(INT(TEXT(K43,"AAAA")),Tabla3[[AÑO]:[SALARIO 
MENSUAL]],4,0)*2&lt;$H$2,$H$2,VLOOKUP(INT(TEXT(K43,"AAAA")),Tabla3[[AÑO]:[SALARIO 
MENSUAL]],4,0))/30*L43+$H$14+P43," ")</f>
        <v>1600606</v>
      </c>
      <c r="R43" s="12">
        <f t="shared" si="19"/>
        <v>133383.83333333334</v>
      </c>
      <c r="S43" s="12">
        <f t="shared" si="20"/>
        <v>133383.83333333334</v>
      </c>
      <c r="T43" s="11">
        <f t="shared" si="21"/>
        <v>1.25</v>
      </c>
      <c r="U43" s="14">
        <f t="shared" si="25"/>
        <v>66691.916666666672</v>
      </c>
      <c r="V43" s="12">
        <f t="shared" si="22"/>
        <v>16006.06</v>
      </c>
      <c r="W43" s="53">
        <f t="shared" si="12"/>
        <v>85314.110469909312</v>
      </c>
      <c r="X43" s="12">
        <f t="shared" si="23"/>
        <v>971183.85490519367</v>
      </c>
      <c r="Y43" s="12">
        <f ca="1">IFERROR(IF(TEXT($H$4,"DDMMAAAA")=TEXT($K42,"DDMMAAAA"),SUM($Y$2:INDIRECT(ADDRESS(ROW(Y42),COLUMN(Y42)))),$H$8/M43*U43)," ")</f>
        <v>40465.993954383077</v>
      </c>
      <c r="Z43" s="51">
        <f ca="1">IFERROR(IF(TEXT($H$4,"DDMMAAAA")=TEXT($K42,"DDMMAAAA"),SUM($Y$2:INDIRECT(ADDRESS(ROW(Z42),COLUMN(Z42)))),$H$8/M43*R43)," ")</f>
        <v>80931.987908766154</v>
      </c>
      <c r="AA43" s="12">
        <f ca="1">IFERROR(IF(TEXT($H$4,"DDMMAAAA")=TEXT($K42,"DDMMAAAA"),SUM($AA$2:INDIRECT(ADDRESS(ROW(AA42),COLUMN(AA42)))),$H$8/M43*S43)," ")</f>
        <v>80931.987908766154</v>
      </c>
      <c r="AB43" s="12">
        <f ca="1">IFERROR(IF(TEXT($H$4,"DDMMAAAA")=TEXT($K42,"DDMMAAAA"),SUM($AB$2:INDIRECT(ADDRESS(ROW(AB42),COLUMN(AB42)))),$H$8/M43*V43)," ")</f>
        <v>9711.8385490519358</v>
      </c>
      <c r="AC43" s="12">
        <f ca="1">IFERROR(IF(TEXT($H$4,"DDMMAAAA")=TEXT($K42,"DDMMAAAA"),SUM($AC$2:INDIRECT(ADDRESS(ROW(AC42),COLUMN(AC42)))),IF(SUM(Y43:AB43)=0,"",SUM(Y43:AB43)))," ")</f>
        <v>212041.80832096734</v>
      </c>
      <c r="AD43" s="6"/>
      <c r="AE43">
        <v>202010</v>
      </c>
      <c r="AF43">
        <v>1.75</v>
      </c>
    </row>
    <row r="44" spans="5:36" x14ac:dyDescent="0.4">
      <c r="E44" s="6"/>
      <c r="F44" s="6"/>
      <c r="G44" s="6"/>
      <c r="H44" s="6"/>
      <c r="I44" s="6"/>
      <c r="J44" s="19">
        <f t="shared" si="24"/>
        <v>45108</v>
      </c>
      <c r="K44" s="19">
        <f t="shared" si="15"/>
        <v>45138</v>
      </c>
      <c r="L44" s="13">
        <f t="shared" si="14"/>
        <v>30</v>
      </c>
      <c r="M44" s="9">
        <f t="shared" si="16"/>
        <v>11.78</v>
      </c>
      <c r="N44" s="46">
        <f t="shared" si="17"/>
        <v>300000</v>
      </c>
      <c r="O44" s="46">
        <f t="shared" si="18"/>
        <v>1160000</v>
      </c>
      <c r="P44" s="14">
        <f>IFERROR(IF(VLOOKUP(INT(TEXT(K44,"AAAA")),Tabla3[[AÑO]:[SALARIO 
MENSUAL]],2,0)*2&lt;$H$2,0,IFERROR(VLOOKUP(INT(TEXT(K44,"AAAA")),Tabla3[[AÑO]:[SALARIO 
MENSUAL]],2,0)," "))/30*L44," ")</f>
        <v>140606</v>
      </c>
      <c r="Q44" s="14">
        <f>IFERROR(IF(VLOOKUP(INT(TEXT(K44,"AAAA")),Tabla3[[AÑO]:[SALARIO 
MENSUAL]],4,0)*2&lt;$H$2,$H$2,VLOOKUP(INT(TEXT(K44,"AAAA")),Tabla3[[AÑO]:[SALARIO 
MENSUAL]],4,0))/30*L44+$H$14+P44," ")</f>
        <v>1600606</v>
      </c>
      <c r="R44" s="12">
        <f t="shared" si="19"/>
        <v>133383.83333333334</v>
      </c>
      <c r="S44" s="12">
        <f t="shared" si="20"/>
        <v>133383.83333333334</v>
      </c>
      <c r="T44" s="11">
        <f t="shared" si="21"/>
        <v>1.25</v>
      </c>
      <c r="U44" s="14">
        <f t="shared" si="25"/>
        <v>66691.916666666672</v>
      </c>
      <c r="V44" s="12">
        <f t="shared" si="22"/>
        <v>16006.06</v>
      </c>
      <c r="W44" s="53">
        <f t="shared" si="12"/>
        <v>87848.910016977927</v>
      </c>
      <c r="X44" s="12">
        <f t="shared" si="23"/>
        <v>1000039.0628183362</v>
      </c>
      <c r="Y44" s="12">
        <f ca="1">IFERROR(IF(TEXT($H$4,"DDMMAAAA")=TEXT($K43,"DDMMAAAA"),SUM($Y$2:INDIRECT(ADDRESS(ROW(Y43),COLUMN(Y43)))),$H$8/M44*U44)," ")</f>
        <v>41668.294284097341</v>
      </c>
      <c r="Z44" s="51">
        <f ca="1">IFERROR(IF(TEXT($H$4,"DDMMAAAA")=TEXT($K43,"DDMMAAAA"),SUM($Y$2:INDIRECT(ADDRESS(ROW(Z43),COLUMN(Z43)))),$H$8/M44*R44)," ")</f>
        <v>83336.588568194682</v>
      </c>
      <c r="AA44" s="12">
        <f ca="1">IFERROR(IF(TEXT($H$4,"DDMMAAAA")=TEXT($K43,"DDMMAAAA"),SUM($AA$2:INDIRECT(ADDRESS(ROW(AA43),COLUMN(AA43)))),$H$8/M44*S44)," ")</f>
        <v>83336.588568194682</v>
      </c>
      <c r="AB44" s="12">
        <f ca="1">IFERROR(IF(TEXT($H$4,"DDMMAAAA")=TEXT($K43,"DDMMAAAA"),SUM($AB$2:INDIRECT(ADDRESS(ROW(AB43),COLUMN(AB43)))),$H$8/M44*V44)," ")</f>
        <v>10000.390628183361</v>
      </c>
      <c r="AC44" s="12">
        <f ca="1">IFERROR(IF(TEXT($H$4,"DDMMAAAA")=TEXT($K43,"DDMMAAAA"),SUM($AC$2:INDIRECT(ADDRESS(ROW(AC43),COLUMN(AC43)))),IF(SUM(Y44:AB44)=0,"",SUM(Y44:AB44)))," ")</f>
        <v>218341.86204867004</v>
      </c>
      <c r="AD44" s="6"/>
      <c r="AE44">
        <v>202009</v>
      </c>
      <c r="AF44">
        <v>1.97</v>
      </c>
    </row>
    <row r="45" spans="5:36" x14ac:dyDescent="0.4">
      <c r="E45" s="6"/>
      <c r="F45" s="6"/>
      <c r="G45" s="6"/>
      <c r="H45" s="6"/>
      <c r="I45" s="6"/>
      <c r="J45" s="19">
        <f t="shared" si="24"/>
        <v>45139</v>
      </c>
      <c r="K45" s="19">
        <f t="shared" si="15"/>
        <v>45169</v>
      </c>
      <c r="L45" s="13">
        <f t="shared" si="14"/>
        <v>30</v>
      </c>
      <c r="M45" s="9">
        <f t="shared" si="16"/>
        <v>11.43</v>
      </c>
      <c r="N45" s="46">
        <f t="shared" si="17"/>
        <v>300000</v>
      </c>
      <c r="O45" s="46">
        <f t="shared" si="18"/>
        <v>1160000</v>
      </c>
      <c r="P45" s="14">
        <f>IFERROR(IF(VLOOKUP(INT(TEXT(K45,"AAAA")),Tabla3[[AÑO]:[SALARIO 
MENSUAL]],2,0)*2&lt;$H$2,0,IFERROR(VLOOKUP(INT(TEXT(K45,"AAAA")),Tabla3[[AÑO]:[SALARIO 
MENSUAL]],2,0)," "))/30*L45," ")</f>
        <v>140606</v>
      </c>
      <c r="Q45" s="14">
        <f>IFERROR(IF(VLOOKUP(INT(TEXT(K45,"AAAA")),Tabla3[[AÑO]:[SALARIO 
MENSUAL]],4,0)*2&lt;$H$2,$H$2,VLOOKUP(INT(TEXT(K45,"AAAA")),Tabla3[[AÑO]:[SALARIO 
MENSUAL]],4,0))/30*L45+$H$14+P45," ")</f>
        <v>1600606</v>
      </c>
      <c r="R45" s="12">
        <f t="shared" si="19"/>
        <v>133383.83333333334</v>
      </c>
      <c r="S45" s="12">
        <f t="shared" si="20"/>
        <v>133383.83333333334</v>
      </c>
      <c r="T45" s="11">
        <f t="shared" si="21"/>
        <v>1.25</v>
      </c>
      <c r="U45" s="14">
        <f t="shared" si="25"/>
        <v>66691.916666666672</v>
      </c>
      <c r="V45" s="12">
        <f t="shared" si="22"/>
        <v>16006.06</v>
      </c>
      <c r="W45" s="53">
        <f t="shared" si="12"/>
        <v>90538.946631671046</v>
      </c>
      <c r="X45" s="12">
        <f t="shared" si="23"/>
        <v>1030661.431321085</v>
      </c>
      <c r="Y45" s="12">
        <f ca="1">IFERROR(IF(TEXT($H$4,"DDMMAAAA")=TEXT($K44,"DDMMAAAA"),SUM($Y$2:INDIRECT(ADDRESS(ROW(Y44),COLUMN(Y44)))),$H$8/M45*U45)," ")</f>
        <v>42944.226305045209</v>
      </c>
      <c r="Z45" s="51">
        <f ca="1">IFERROR(IF(TEXT($H$4,"DDMMAAAA")=TEXT($K44,"DDMMAAAA"),SUM($Y$2:INDIRECT(ADDRESS(ROW(Z44),COLUMN(Z44)))),$H$8/M45*R45)," ")</f>
        <v>85888.452610090419</v>
      </c>
      <c r="AA45" s="12">
        <f ca="1">IFERROR(IF(TEXT($H$4,"DDMMAAAA")=TEXT($K44,"DDMMAAAA"),SUM($AA$2:INDIRECT(ADDRESS(ROW(AA44),COLUMN(AA44)))),$H$8/M45*S45)," ")</f>
        <v>85888.452610090419</v>
      </c>
      <c r="AB45" s="12">
        <f ca="1">IFERROR(IF(TEXT($H$4,"DDMMAAAA")=TEXT($K44,"DDMMAAAA"),SUM($AB$2:INDIRECT(ADDRESS(ROW(AB44),COLUMN(AB44)))),$H$8/M45*V45)," ")</f>
        <v>10306.614313210848</v>
      </c>
      <c r="AC45" s="12">
        <f ca="1">IFERROR(IF(TEXT($H$4,"DDMMAAAA")=TEXT($K44,"DDMMAAAA"),SUM($AC$2:INDIRECT(ADDRESS(ROW(AC44),COLUMN(AC44)))),IF(SUM(Y45:AB45)=0,"",SUM(Y45:AB45)))," ")</f>
        <v>225027.74583843691</v>
      </c>
      <c r="AD45" s="6"/>
      <c r="AE45">
        <v>202008</v>
      </c>
      <c r="AF45">
        <v>1.88</v>
      </c>
    </row>
    <row r="46" spans="5:36" x14ac:dyDescent="0.4">
      <c r="E46" s="6"/>
      <c r="F46" s="6"/>
      <c r="G46" s="6"/>
      <c r="H46" s="6"/>
      <c r="I46" s="6"/>
      <c r="J46" s="19">
        <f t="shared" si="24"/>
        <v>45170</v>
      </c>
      <c r="K46" s="19">
        <f t="shared" si="15"/>
        <v>45199</v>
      </c>
      <c r="L46" s="13">
        <f t="shared" si="14"/>
        <v>30</v>
      </c>
      <c r="M46" s="9">
        <f t="shared" si="16"/>
        <v>10.99</v>
      </c>
      <c r="N46" s="46">
        <f t="shared" si="17"/>
        <v>300000</v>
      </c>
      <c r="O46" s="46">
        <f t="shared" si="18"/>
        <v>1160000</v>
      </c>
      <c r="P46" s="14">
        <f>IFERROR(IF(VLOOKUP(INT(TEXT(K46,"AAAA")),Tabla3[[AÑO]:[SALARIO 
MENSUAL]],2,0)*2&lt;$H$2,0,IFERROR(VLOOKUP(INT(TEXT(K46,"AAAA")),Tabla3[[AÑO]:[SALARIO 
MENSUAL]],2,0)," "))/30*L46," ")</f>
        <v>140606</v>
      </c>
      <c r="Q46" s="14">
        <f>IFERROR(IF(VLOOKUP(INT(TEXT(K46,"AAAA")),Tabla3[[AÑO]:[SALARIO 
MENSUAL]],4,0)*2&lt;$H$2,$H$2,VLOOKUP(INT(TEXT(K46,"AAAA")),Tabla3[[AÑO]:[SALARIO 
MENSUAL]],4,0))/30*L46+$H$14+P46," ")</f>
        <v>1600606</v>
      </c>
      <c r="R46" s="12">
        <f t="shared" si="19"/>
        <v>133383.83333333334</v>
      </c>
      <c r="S46" s="12">
        <f t="shared" si="20"/>
        <v>133383.83333333334</v>
      </c>
      <c r="T46" s="11">
        <f t="shared" si="21"/>
        <v>1.25</v>
      </c>
      <c r="U46" s="14">
        <f t="shared" si="25"/>
        <v>66691.916666666672</v>
      </c>
      <c r="V46" s="12">
        <f t="shared" si="22"/>
        <v>16006.06</v>
      </c>
      <c r="W46" s="53">
        <f t="shared" si="12"/>
        <v>94163.799818016385</v>
      </c>
      <c r="X46" s="12">
        <f t="shared" si="23"/>
        <v>1071925.4012738853</v>
      </c>
      <c r="Y46" s="12">
        <f ca="1">IFERROR(IF(TEXT($H$4,"DDMMAAAA")=TEXT($K45,"DDMMAAAA"),SUM($Y$2:INDIRECT(ADDRESS(ROW(Y45),COLUMN(Y45)))),$H$8/M46*U46)," ")</f>
        <v>44663.558386411896</v>
      </c>
      <c r="Z46" s="51">
        <f ca="1">IFERROR(IF(TEXT($H$4,"DDMMAAAA")=TEXT($K45,"DDMMAAAA"),SUM($Y$2:INDIRECT(ADDRESS(ROW(Z45),COLUMN(Z45)))),$H$8/M46*R46)," ")</f>
        <v>89327.116772823792</v>
      </c>
      <c r="AA46" s="12">
        <f ca="1">IFERROR(IF(TEXT($H$4,"DDMMAAAA")=TEXT($K45,"DDMMAAAA"),SUM($AA$2:INDIRECT(ADDRESS(ROW(AA45),COLUMN(AA45)))),$H$8/M46*S46)," ")</f>
        <v>89327.116772823792</v>
      </c>
      <c r="AB46" s="12">
        <f ca="1">IFERROR(IF(TEXT($H$4,"DDMMAAAA")=TEXT($K45,"DDMMAAAA"),SUM($AB$2:INDIRECT(ADDRESS(ROW(AB45),COLUMN(AB45)))),$H$8/M46*V46)," ")</f>
        <v>10719.254012738853</v>
      </c>
      <c r="AC46" s="12">
        <f ca="1">IFERROR(IF(TEXT($H$4,"DDMMAAAA")=TEXT($K45,"DDMMAAAA"),SUM($AC$2:INDIRECT(ADDRESS(ROW(AC45),COLUMN(AC45)))),IF(SUM(Y46:AB46)=0,"",SUM(Y46:AB46)))," ")</f>
        <v>234037.04594479833</v>
      </c>
      <c r="AD46" s="6"/>
      <c r="AE46">
        <v>202007</v>
      </c>
      <c r="AF46">
        <v>1.97</v>
      </c>
    </row>
    <row r="47" spans="5:36" x14ac:dyDescent="0.4">
      <c r="E47" s="6"/>
      <c r="F47" s="6"/>
      <c r="G47" s="6"/>
      <c r="H47" s="6"/>
      <c r="I47" s="6"/>
      <c r="J47" s="19">
        <f t="shared" si="24"/>
        <v>45200</v>
      </c>
      <c r="K47" s="19">
        <f t="shared" si="15"/>
        <v>45230</v>
      </c>
      <c r="L47" s="13">
        <f t="shared" si="14"/>
        <v>30</v>
      </c>
      <c r="M47" s="9">
        <f t="shared" si="16"/>
        <v>10.48</v>
      </c>
      <c r="N47" s="46">
        <f t="shared" si="17"/>
        <v>300000</v>
      </c>
      <c r="O47" s="46">
        <f t="shared" si="18"/>
        <v>1160000</v>
      </c>
      <c r="P47" s="14">
        <f>IFERROR(IF(VLOOKUP(INT(TEXT(K47,"AAAA")),Tabla3[[AÑO]:[SALARIO 
MENSUAL]],2,0)*2&lt;$H$2,0,IFERROR(VLOOKUP(INT(TEXT(K47,"AAAA")),Tabla3[[AÑO]:[SALARIO 
MENSUAL]],2,0)," "))/30*L47," ")</f>
        <v>140606</v>
      </c>
      <c r="Q47" s="14">
        <f>IFERROR(IF(VLOOKUP(INT(TEXT(K47,"AAAA")),Tabla3[[AÑO]:[SALARIO 
MENSUAL]],4,0)*2&lt;$H$2,$H$2,VLOOKUP(INT(TEXT(K47,"AAAA")),Tabla3[[AÑO]:[SALARIO 
MENSUAL]],4,0))/30*L47+$H$14+P47," ")</f>
        <v>1600606</v>
      </c>
      <c r="R47" s="12">
        <f t="shared" si="19"/>
        <v>133383.83333333334</v>
      </c>
      <c r="S47" s="12">
        <f t="shared" si="20"/>
        <v>133383.83333333334</v>
      </c>
      <c r="T47" s="11">
        <f t="shared" si="21"/>
        <v>1.25</v>
      </c>
      <c r="U47" s="14">
        <f t="shared" si="25"/>
        <v>66691.916666666672</v>
      </c>
      <c r="V47" s="12">
        <f t="shared" si="22"/>
        <v>16006.06</v>
      </c>
      <c r="W47" s="53">
        <f t="shared" si="12"/>
        <v>98746.198473282435</v>
      </c>
      <c r="X47" s="12">
        <f t="shared" si="23"/>
        <v>1124089.7099236641</v>
      </c>
      <c r="Y47" s="12">
        <f ca="1">IFERROR(IF(TEXT($H$4,"DDMMAAAA")=TEXT($K46,"DDMMAAAA"),SUM($Y$2:INDIRECT(ADDRESS(ROW(Y46),COLUMN(Y46)))),$H$8/M47*U47)," ")</f>
        <v>46837.071246819338</v>
      </c>
      <c r="Z47" s="51">
        <f ca="1">IFERROR(IF(TEXT($H$4,"DDMMAAAA")=TEXT($K46,"DDMMAAAA"),SUM($Y$2:INDIRECT(ADDRESS(ROW(Z46),COLUMN(Z46)))),$H$8/M47*R47)," ")</f>
        <v>93674.142493638676</v>
      </c>
      <c r="AA47" s="12">
        <f ca="1">IFERROR(IF(TEXT($H$4,"DDMMAAAA")=TEXT($K46,"DDMMAAAA"),SUM($AA$2:INDIRECT(ADDRESS(ROW(AA46),COLUMN(AA46)))),$H$8/M47*S47)," ")</f>
        <v>93674.142493638676</v>
      </c>
      <c r="AB47" s="12">
        <f ca="1">IFERROR(IF(TEXT($H$4,"DDMMAAAA")=TEXT($K46,"DDMMAAAA"),SUM($AB$2:INDIRECT(ADDRESS(ROW(AB46),COLUMN(AB46)))),$H$8/M47*V47)," ")</f>
        <v>11240.897099236639</v>
      </c>
      <c r="AC47" s="12">
        <f ca="1">IFERROR(IF(TEXT($H$4,"DDMMAAAA")=TEXT($K46,"DDMMAAAA"),SUM($AC$2:INDIRECT(ADDRESS(ROW(AC46),COLUMN(AC46)))),IF(SUM(Y47:AB47)=0,"",SUM(Y47:AB47)))," ")</f>
        <v>245426.25333333333</v>
      </c>
      <c r="AD47" s="6"/>
      <c r="AE47">
        <v>202006</v>
      </c>
      <c r="AF47">
        <v>2.19</v>
      </c>
    </row>
    <row r="48" spans="5:36" x14ac:dyDescent="0.4">
      <c r="E48" s="6"/>
      <c r="F48" s="6"/>
      <c r="G48" s="6"/>
      <c r="H48" s="6"/>
      <c r="I48" s="6"/>
      <c r="J48" s="19">
        <f t="shared" si="24"/>
        <v>45231</v>
      </c>
      <c r="K48" s="19">
        <f t="shared" si="15"/>
        <v>45260</v>
      </c>
      <c r="L48" s="13">
        <f t="shared" si="14"/>
        <v>30</v>
      </c>
      <c r="M48" s="9">
        <f t="shared" si="16"/>
        <v>10.15</v>
      </c>
      <c r="N48" s="46">
        <f t="shared" si="17"/>
        <v>300000</v>
      </c>
      <c r="O48" s="46">
        <f t="shared" si="18"/>
        <v>1160000</v>
      </c>
      <c r="P48" s="14">
        <f>IFERROR(IF(VLOOKUP(INT(TEXT(K48,"AAAA")),Tabla3[[AÑO]:[SALARIO 
MENSUAL]],2,0)*2&lt;$H$2,0,IFERROR(VLOOKUP(INT(TEXT(K48,"AAAA")),Tabla3[[AÑO]:[SALARIO 
MENSUAL]],2,0)," "))/30*L48," ")</f>
        <v>140606</v>
      </c>
      <c r="Q48" s="14">
        <f>IFERROR(IF(VLOOKUP(INT(TEXT(K48,"AAAA")),Tabla3[[AÑO]:[SALARIO 
MENSUAL]],4,0)*2&lt;$H$2,$H$2,VLOOKUP(INT(TEXT(K48,"AAAA")),Tabla3[[AÑO]:[SALARIO 
MENSUAL]],4,0))/30*L48+$H$14+P48," ")</f>
        <v>1600606</v>
      </c>
      <c r="R48" s="12">
        <f t="shared" si="19"/>
        <v>133383.83333333334</v>
      </c>
      <c r="S48" s="12">
        <f t="shared" si="20"/>
        <v>133383.83333333334</v>
      </c>
      <c r="T48" s="11">
        <f t="shared" si="21"/>
        <v>1.25</v>
      </c>
      <c r="U48" s="14">
        <f t="shared" si="25"/>
        <v>66691.916666666672</v>
      </c>
      <c r="V48" s="12">
        <f t="shared" si="22"/>
        <v>16006.06</v>
      </c>
      <c r="W48" s="53">
        <f t="shared" si="12"/>
        <v>101956.66600985221</v>
      </c>
      <c r="X48" s="12">
        <f t="shared" si="23"/>
        <v>1160636.4689655171</v>
      </c>
      <c r="Y48" s="12">
        <f ca="1">IFERROR(IF(TEXT($H$4,"DDMMAAAA")=TEXT($K47,"DDMMAAAA"),SUM($Y$2:INDIRECT(ADDRESS(ROW(Y47),COLUMN(Y47)))),$H$8/M48*U48)," ")</f>
        <v>48359.852873563221</v>
      </c>
      <c r="Z48" s="51">
        <f ca="1">IFERROR(IF(TEXT($H$4,"DDMMAAAA")=TEXT($K47,"DDMMAAAA"),SUM($Y$2:INDIRECT(ADDRESS(ROW(Z47),COLUMN(Z47)))),$H$8/M48*R48)," ")</f>
        <v>96719.705747126442</v>
      </c>
      <c r="AA48" s="12">
        <f ca="1">IFERROR(IF(TEXT($H$4,"DDMMAAAA")=TEXT($K47,"DDMMAAAA"),SUM($AA$2:INDIRECT(ADDRESS(ROW(AA47),COLUMN(AA47)))),$H$8/M48*S48)," ")</f>
        <v>96719.705747126442</v>
      </c>
      <c r="AB48" s="12">
        <f ca="1">IFERROR(IF(TEXT($H$4,"DDMMAAAA")=TEXT($K47,"DDMMAAAA"),SUM($AB$2:INDIRECT(ADDRESS(ROW(AB47),COLUMN(AB47)))),$H$8/M48*V48)," ")</f>
        <v>11606.364689655171</v>
      </c>
      <c r="AC48" s="12">
        <f ca="1">IFERROR(IF(TEXT($H$4,"DDMMAAAA")=TEXT($K47,"DDMMAAAA"),SUM($AC$2:INDIRECT(ADDRESS(ROW(AC47),COLUMN(AC47)))),IF(SUM(Y48:AB48)=0,"",SUM(Y48:AB48)))," ")</f>
        <v>253405.62905747126</v>
      </c>
      <c r="AD48" s="6"/>
      <c r="AE48">
        <v>202005</v>
      </c>
      <c r="AF48">
        <v>2.85</v>
      </c>
    </row>
    <row r="49" spans="6:32" x14ac:dyDescent="0.4">
      <c r="F49" s="6"/>
      <c r="G49" s="6"/>
      <c r="H49" s="6"/>
      <c r="I49" s="6"/>
      <c r="J49" s="19">
        <f t="shared" si="24"/>
        <v>45261</v>
      </c>
      <c r="K49" s="19">
        <f t="shared" si="15"/>
        <v>45291</v>
      </c>
      <c r="L49" s="13">
        <f t="shared" si="14"/>
        <v>30</v>
      </c>
      <c r="M49" s="9">
        <f t="shared" si="16"/>
        <v>9.2799999999999994</v>
      </c>
      <c r="N49" s="46">
        <f t="shared" si="17"/>
        <v>300000</v>
      </c>
      <c r="O49" s="46">
        <f t="shared" si="18"/>
        <v>1160000</v>
      </c>
      <c r="P49" s="14">
        <f>IFERROR(IF(VLOOKUP(INT(TEXT(K49,"AAAA")),Tabla3[[AÑO]:[SALARIO 
MENSUAL]],2,0)*2&lt;$H$2,0,IFERROR(VLOOKUP(INT(TEXT(K49,"AAAA")),Tabla3[[AÑO]:[SALARIO 
MENSUAL]],2,0)," "))/30*L49," ")</f>
        <v>140606</v>
      </c>
      <c r="Q49" s="14">
        <f>IFERROR(IF(VLOOKUP(INT(TEXT(K49,"AAAA")),Tabla3[[AÑO]:[SALARIO 
MENSUAL]],4,0)*2&lt;$H$2,$H$2,VLOOKUP(INT(TEXT(K49,"AAAA")),Tabla3[[AÑO]:[SALARIO 
MENSUAL]],4,0))/30*L49+$H$14+P49," ")</f>
        <v>1600606</v>
      </c>
      <c r="R49" s="12">
        <f t="shared" si="19"/>
        <v>133383.83333333334</v>
      </c>
      <c r="S49" s="12">
        <f t="shared" si="20"/>
        <v>133383.83333333334</v>
      </c>
      <c r="T49" s="11">
        <f t="shared" si="21"/>
        <v>1.25</v>
      </c>
      <c r="U49" s="14">
        <f t="shared" si="25"/>
        <v>66691.916666666672</v>
      </c>
      <c r="V49" s="12">
        <f t="shared" si="22"/>
        <v>16006.06</v>
      </c>
      <c r="W49" s="53">
        <f t="shared" si="12"/>
        <v>111515.10344827588</v>
      </c>
      <c r="X49" s="12">
        <f t="shared" si="23"/>
        <v>1269446.1379310347</v>
      </c>
      <c r="Y49" s="12">
        <f ca="1">IFERROR(IF(TEXT($H$4,"DDMMAAAA")=TEXT($K48,"DDMMAAAA"),SUM($Y$2:INDIRECT(ADDRESS(ROW(Y48),COLUMN(Y48)))),$H$8/M49*U49)," ")</f>
        <v>52893.58908045978</v>
      </c>
      <c r="Z49" s="51">
        <f ca="1">IFERROR(IF(TEXT($H$4,"DDMMAAAA")=TEXT($K48,"DDMMAAAA"),SUM($Y$2:INDIRECT(ADDRESS(ROW(Z48),COLUMN(Z48)))),$H$8/M49*R49)," ")</f>
        <v>105787.17816091956</v>
      </c>
      <c r="AA49" s="12">
        <f ca="1">IFERROR(IF(TEXT($H$4,"DDMMAAAA")=TEXT($K48,"DDMMAAAA"),SUM($AA$2:INDIRECT(ADDRESS(ROW(AA48),COLUMN(AA48)))),$H$8/M49*S49)," ")</f>
        <v>105787.17816091956</v>
      </c>
      <c r="AB49" s="12">
        <f ca="1">IFERROR(IF(TEXT($H$4,"DDMMAAAA")=TEXT($K48,"DDMMAAAA"),SUM($AB$2:INDIRECT(ADDRESS(ROW(AB48),COLUMN(AB48)))),$H$8/M49*V49)," ")</f>
        <v>12694.461379310347</v>
      </c>
      <c r="AC49" s="12">
        <f ca="1">IFERROR(IF(TEXT($H$4,"DDMMAAAA")=TEXT($K48,"DDMMAAAA"),SUM($AC$2:INDIRECT(ADDRESS(ROW(AC48),COLUMN(AC48)))),IF(SUM(Y49:AB49)=0,"",SUM(Y49:AB49)))," ")</f>
        <v>277162.40678160923</v>
      </c>
      <c r="AD49" s="6"/>
      <c r="AE49">
        <v>202004</v>
      </c>
      <c r="AF49">
        <v>3.51</v>
      </c>
    </row>
    <row r="50" spans="6:32" x14ac:dyDescent="0.4">
      <c r="F50" s="6"/>
      <c r="G50" s="6"/>
      <c r="H50" s="6"/>
      <c r="I50" s="6"/>
      <c r="J50" s="19">
        <f t="shared" si="24"/>
        <v>45292</v>
      </c>
      <c r="K50" s="19">
        <f t="shared" si="15"/>
        <v>45322</v>
      </c>
      <c r="L50" s="13">
        <f t="shared" si="14"/>
        <v>30</v>
      </c>
      <c r="M50" s="9">
        <f t="shared" si="16"/>
        <v>8.35</v>
      </c>
      <c r="N50" s="46">
        <f t="shared" si="17"/>
        <v>300000</v>
      </c>
      <c r="O50" s="46">
        <f t="shared" si="18"/>
        <v>1300000</v>
      </c>
      <c r="P50" s="14">
        <f>IFERROR(IF(VLOOKUP(INT(TEXT(K50,"AAAA")),Tabla3[[AÑO]:[SALARIO 
MENSUAL]],2,0)*2&lt;$H$2,0,IFERROR(VLOOKUP(INT(TEXT(K50,"AAAA")),Tabla3[[AÑO]:[SALARIO 
MENSUAL]],2,0)," "))/30*L50," ")</f>
        <v>162000</v>
      </c>
      <c r="Q50" s="14">
        <f>IFERROR(IF(VLOOKUP(INT(TEXT(K50,"AAAA")),Tabla3[[AÑO]:[SALARIO 
MENSUAL]],4,0)*2&lt;$H$2,$H$2,VLOOKUP(INT(TEXT(K50,"AAAA")),Tabla3[[AÑO]:[SALARIO 
MENSUAL]],4,0))/30*L50+$H$14+P50," ")</f>
        <v>1762000</v>
      </c>
      <c r="R50" s="12">
        <f t="shared" si="19"/>
        <v>146833.33333333334</v>
      </c>
      <c r="S50" s="12">
        <f t="shared" si="20"/>
        <v>146833.33333333334</v>
      </c>
      <c r="T50" s="11">
        <f t="shared" si="21"/>
        <v>1.25</v>
      </c>
      <c r="U50" s="14">
        <f t="shared" si="25"/>
        <v>73416.666666666672</v>
      </c>
      <c r="V50" s="12">
        <f t="shared" si="22"/>
        <v>17620</v>
      </c>
      <c r="W50" s="53">
        <f t="shared" si="12"/>
        <v>142792.8143712575</v>
      </c>
      <c r="X50" s="12">
        <f t="shared" si="23"/>
        <v>1553092.2155688624</v>
      </c>
      <c r="Y50" s="12">
        <f ca="1">IFERROR(IF(TEXT($H$4,"DDMMAAAA")=TEXT($K49,"DDMMAAAA"),SUM($Y$2:INDIRECT(ADDRESS(ROW(Y49),COLUMN(Y49)))),$H$8/M50*U50)," ")</f>
        <v>64712.175648702607</v>
      </c>
      <c r="Z50" s="51">
        <f ca="1">IFERROR(IF(TEXT($H$4,"DDMMAAAA")=TEXT($K49,"DDMMAAAA"),SUM($Y$2:INDIRECT(ADDRESS(ROW(Z49),COLUMN(Z49)))),$H$8/M50*R50)," ")</f>
        <v>129424.35129740521</v>
      </c>
      <c r="AA50" s="12">
        <f ca="1">IFERROR(IF(TEXT($H$4,"DDMMAAAA")=TEXT($K49,"DDMMAAAA"),SUM($AA$2:INDIRECT(ADDRESS(ROW(AA49),COLUMN(AA49)))),$H$8/M50*S50)," ")</f>
        <v>129424.35129740521</v>
      </c>
      <c r="AB50" s="12">
        <f ca="1">IFERROR(IF(TEXT($H$4,"DDMMAAAA")=TEXT($K49,"DDMMAAAA"),SUM($AB$2:INDIRECT(ADDRESS(ROW(AB49),COLUMN(AB49)))),$H$8/M50*V50)," ")</f>
        <v>15530.922155688624</v>
      </c>
      <c r="AC50" s="12">
        <f ca="1">IFERROR(IF(TEXT($H$4,"DDMMAAAA")=TEXT($K49,"DDMMAAAA"),SUM($AC$2:INDIRECT(ADDRESS(ROW(AC49),COLUMN(AC49)))),IF(SUM(Y50:AB50)=0,"",SUM(Y50:AB50)))," ")</f>
        <v>339091.80039920169</v>
      </c>
      <c r="AD50" s="6"/>
      <c r="AE50">
        <v>202003</v>
      </c>
      <c r="AF50">
        <v>3.86</v>
      </c>
    </row>
    <row r="51" spans="6:32" x14ac:dyDescent="0.4">
      <c r="F51" s="6"/>
      <c r="G51" s="6"/>
      <c r="H51" s="6"/>
      <c r="I51" s="6"/>
      <c r="J51" s="19">
        <f t="shared" si="24"/>
        <v>45323</v>
      </c>
      <c r="K51" s="19">
        <f t="shared" si="15"/>
        <v>45346</v>
      </c>
      <c r="L51" s="13">
        <f t="shared" si="14"/>
        <v>23</v>
      </c>
      <c r="M51" s="9">
        <f t="shared" ref="M51:M82" si="26">IFERROR(VLOOKUP(INT(TEXT(K51,"AAAAMM")),$AE$1:$AF$376,2,0)," ")</f>
        <v>7.74</v>
      </c>
      <c r="N51" s="46">
        <f t="shared" si="17"/>
        <v>300000</v>
      </c>
      <c r="O51" s="46">
        <f t="shared" si="18"/>
        <v>996666.66666666674</v>
      </c>
      <c r="P51" s="14">
        <f>IFERROR(IF(VLOOKUP(INT(TEXT(K51,"AAAA")),Tabla3[[AÑO]:[SALARIO 
MENSUAL]],2,0)*2&lt;$H$2,0,IFERROR(VLOOKUP(INT(TEXT(K51,"AAAA")),Tabla3[[AÑO]:[SALARIO 
MENSUAL]],2,0)," "))/30*L51," ")</f>
        <v>124200</v>
      </c>
      <c r="Q51" s="14">
        <f>IFERROR(IF(VLOOKUP(INT(TEXT(K51,"AAAA")),Tabla3[[AÑO]:[SALARIO 
MENSUAL]],4,0)*2&lt;$H$2,$H$2,VLOOKUP(INT(TEXT(K51,"AAAA")),Tabla3[[AÑO]:[SALARIO 
MENSUAL]],4,0))/30*L51+$H$14+P51," ")</f>
        <v>1420866.6666666667</v>
      </c>
      <c r="R51" s="12">
        <f t="shared" si="19"/>
        <v>90777.592592592599</v>
      </c>
      <c r="S51" s="12">
        <f t="shared" si="20"/>
        <v>90777.592592592599</v>
      </c>
      <c r="T51" s="11">
        <f t="shared" si="21"/>
        <v>0.95833333333333337</v>
      </c>
      <c r="U51" s="14">
        <f t="shared" si="25"/>
        <v>45388.796296296299</v>
      </c>
      <c r="V51" s="12">
        <f t="shared" si="22"/>
        <v>14208.666666666666</v>
      </c>
      <c r="W51" s="53">
        <f t="shared" si="12"/>
        <v>118102.32558139536</v>
      </c>
      <c r="X51" s="12">
        <f t="shared" si="23"/>
        <v>1351108.3548664947</v>
      </c>
      <c r="Y51" s="12">
        <f ca="1">IFERROR(IF(TEXT($H$4,"DDMMAAAA")=TEXT($K50,"DDMMAAAA"),SUM($Y$2:INDIRECT(ADDRESS(ROW(Y50),COLUMN(Y50)))),$H$8/M51*U51)," ")</f>
        <v>43160.405780457462</v>
      </c>
      <c r="Z51" s="51">
        <f ca="1">IFERROR(IF(TEXT($H$4,"DDMMAAAA")=TEXT($K50,"DDMMAAAA"),SUM($Y$2:INDIRECT(ADDRESS(ROW(Z50),COLUMN(Z50)))),$H$8/M51*R51)," ")</f>
        <v>86320.811560914924</v>
      </c>
      <c r="AA51" s="12">
        <f ca="1">IFERROR(IF(TEXT($H$4,"DDMMAAAA")=TEXT($K50,"DDMMAAAA"),SUM($AA$2:INDIRECT(ADDRESS(ROW(AA50),COLUMN(AA50)))),$H$8/M51*S51)," ")</f>
        <v>86320.811560914924</v>
      </c>
      <c r="AB51" s="12">
        <f ca="1">IFERROR(IF(TEXT($H$4,"DDMMAAAA")=TEXT($K50,"DDMMAAAA"),SUM($AB$2:INDIRECT(ADDRESS(ROW(AB50),COLUMN(AB50)))),$H$8/M51*V51)," ")</f>
        <v>13511.083548664945</v>
      </c>
      <c r="AC51" s="12">
        <f ca="1">IFERROR(IF(TEXT($H$4,"DDMMAAAA")=TEXT($K50,"DDMMAAAA"),SUM($AC$2:INDIRECT(ADDRESS(ROW(AC50),COLUMN(AC50)))),IF(SUM(Y51:AB51)=0,"",SUM(Y51:AB51)))," ")</f>
        <v>229313.11245095223</v>
      </c>
      <c r="AD51" s="6"/>
      <c r="AE51">
        <v>202002</v>
      </c>
      <c r="AF51">
        <v>3.72</v>
      </c>
    </row>
    <row r="52" spans="6:32" x14ac:dyDescent="0.4">
      <c r="F52" s="6"/>
      <c r="G52" s="6"/>
      <c r="H52" s="6"/>
      <c r="I52" s="6"/>
      <c r="J52" s="19" t="str">
        <f t="shared" si="24"/>
        <v/>
      </c>
      <c r="K52" s="19" t="str">
        <f t="shared" si="15"/>
        <v xml:space="preserve"> </v>
      </c>
      <c r="L52" s="13" t="str">
        <f t="shared" si="14"/>
        <v xml:space="preserve"> </v>
      </c>
      <c r="M52" s="9" t="str">
        <f t="shared" si="26"/>
        <v xml:space="preserve"> </v>
      </c>
      <c r="N52" s="46" t="str">
        <f t="shared" si="17"/>
        <v xml:space="preserve"> </v>
      </c>
      <c r="O52" s="46" t="str">
        <f t="shared" si="18"/>
        <v xml:space="preserve"> </v>
      </c>
      <c r="P52" s="14" t="str">
        <f>IFERROR(IF(VLOOKUP(INT(TEXT(K52,"AAAA")),Tabla3[[AÑO]:[SALARIO 
MENSUAL]],2,0)*2&lt;$H$2,0,IFERROR(VLOOKUP(INT(TEXT(K52,"AAAA")),Tabla3[[AÑO]:[SALARIO 
MENSUAL]],2,0)," "))/30*L52," ")</f>
        <v xml:space="preserve"> </v>
      </c>
      <c r="Q52" s="14" t="str">
        <f>IFERROR(IF(VLOOKUP(INT(TEXT(K52,"AAAA")),Tabla3[[AÑO]:[SALARIO 
MENSUAL]],4,0)*2&lt;$H$2,$H$2,VLOOKUP(INT(TEXT(K52,"AAAA")),Tabla3[[AÑO]:[SALARIO 
MENSUAL]],4,0))/30*L52+$H$14+P52," ")</f>
        <v xml:space="preserve"> </v>
      </c>
      <c r="R52" s="12" t="str">
        <f t="shared" si="19"/>
        <v xml:space="preserve"> </v>
      </c>
      <c r="S52" s="12" t="str">
        <f t="shared" si="20"/>
        <v xml:space="preserve"> </v>
      </c>
      <c r="T52" s="11" t="str">
        <f t="shared" si="21"/>
        <v xml:space="preserve"> </v>
      </c>
      <c r="U52" s="14" t="str">
        <f t="shared" si="25"/>
        <v xml:space="preserve"> </v>
      </c>
      <c r="V52" s="12" t="str">
        <f t="shared" si="22"/>
        <v xml:space="preserve"> </v>
      </c>
      <c r="W52" s="53" t="str">
        <f t="shared" si="12"/>
        <v xml:space="preserve"> </v>
      </c>
      <c r="X52" s="12" t="str">
        <f t="shared" si="23"/>
        <v>Sub Total</v>
      </c>
      <c r="Y52" s="12">
        <f ca="1">IFERROR(IF(TEXT($H$4,"DDMMAAAA")=TEXT($K51,"DDMMAAAA"),SUM($Y$2:INDIRECT(ADDRESS(ROW(Y51),COLUMN(Y51)))),$H$8/M52*U52)," ")</f>
        <v>4922355.3790045949</v>
      </c>
      <c r="Z52" s="51">
        <f ca="1">IFERROR(IF(TEXT($H$4,"DDMMAAAA")=TEXT($K51,"DDMMAAAA"),SUM($Y$2:INDIRECT(ADDRESS(ROW(Z51),COLUMN(Z51)))),$H$8/M52*R52)," ")</f>
        <v>14698604.136899194</v>
      </c>
      <c r="AA52" s="12">
        <f ca="1">IFERROR(IF(TEXT($H$4,"DDMMAAAA")=TEXT($K51,"DDMMAAAA"),SUM($AA$2:INDIRECT(ADDRESS(ROW(AA51),COLUMN(AA51)))),$H$8/M52*S52)," ")</f>
        <v>9776248.7578946017</v>
      </c>
      <c r="AB52" s="12">
        <f ca="1">IFERROR(IF(TEXT($H$4,"DDMMAAAA")=TEXT($K51,"DDMMAAAA"),SUM($AB$2:INDIRECT(ADDRESS(ROW(AB51),COLUMN(AB51)))),$H$8/M52*V52)," ")</f>
        <v>1184517.8771224578</v>
      </c>
      <c r="AC52" s="12">
        <f ca="1">IFERROR(IF(TEXT($H$4,"DDMMAAAA")=TEXT($K51,"DDMMAAAA"),SUM($AC$2:INDIRECT(ADDRESS(ROW(AC51),COLUMN(AC51)))),IF(SUM(Y52:AB52)=0,"",SUM(Y52:AB52)))," ")</f>
        <v>25659370.771916267</v>
      </c>
      <c r="AD52" s="6"/>
      <c r="AE52">
        <v>202001</v>
      </c>
      <c r="AF52">
        <v>3.62</v>
      </c>
    </row>
    <row r="53" spans="6:32" x14ac:dyDescent="0.4">
      <c r="F53" s="6"/>
      <c r="G53" s="6"/>
      <c r="H53" s="6"/>
      <c r="I53" s="6"/>
      <c r="J53" s="19" t="str">
        <f t="shared" si="24"/>
        <v/>
      </c>
      <c r="K53" s="19" t="str">
        <f t="shared" si="15"/>
        <v xml:space="preserve"> </v>
      </c>
      <c r="L53" s="13" t="str">
        <f t="shared" si="14"/>
        <v xml:space="preserve"> </v>
      </c>
      <c r="M53" s="9" t="str">
        <f t="shared" si="26"/>
        <v xml:space="preserve"> </v>
      </c>
      <c r="N53" s="46" t="str">
        <f t="shared" si="17"/>
        <v xml:space="preserve"> </v>
      </c>
      <c r="O53" s="46" t="str">
        <f t="shared" si="18"/>
        <v xml:space="preserve"> </v>
      </c>
      <c r="P53" s="14" t="str">
        <f>IFERROR(IF(VLOOKUP(INT(TEXT(K53,"AAAA")),Tabla3[[AÑO]:[SALARIO 
MENSUAL]],2,0)*2&lt;$H$2,0,IFERROR(VLOOKUP(INT(TEXT(K53,"AAAA")),Tabla3[[AÑO]:[SALARIO 
MENSUAL]],2,0)," "))/30*L53," ")</f>
        <v xml:space="preserve"> </v>
      </c>
      <c r="Q53" s="14" t="str">
        <f>IFERROR(IF(VLOOKUP(INT(TEXT(K53,"AAAA")),Tabla3[[AÑO]:[SALARIO 
MENSUAL]],4,0)*2&lt;$H$2,$H$2,VLOOKUP(INT(TEXT(K53,"AAAA")),Tabla3[[AÑO]:[SALARIO 
MENSUAL]],4,0))/30*L53+$H$14+P53," ")</f>
        <v xml:space="preserve"> </v>
      </c>
      <c r="R53" s="12" t="str">
        <f t="shared" si="19"/>
        <v xml:space="preserve"> </v>
      </c>
      <c r="S53" s="12" t="str">
        <f t="shared" si="20"/>
        <v xml:space="preserve"> </v>
      </c>
      <c r="T53" s="11" t="str">
        <f t="shared" si="21"/>
        <v xml:space="preserve"> </v>
      </c>
      <c r="U53" s="14" t="str">
        <f t="shared" si="25"/>
        <v xml:space="preserve"> </v>
      </c>
      <c r="V53" s="12" t="str">
        <f t="shared" si="22"/>
        <v xml:space="preserve"> </v>
      </c>
      <c r="W53" s="53" t="str">
        <f t="shared" si="12"/>
        <v xml:space="preserve"> </v>
      </c>
      <c r="X53" s="12" t="str">
        <f t="shared" si="23"/>
        <v xml:space="preserve"> </v>
      </c>
      <c r="Y53" s="12" t="str">
        <f ca="1">IFERROR(IF(TEXT($H$4,"DDMMAAAA")=TEXT($K52,"DDMMAAAA"),SUM($Y$2:INDIRECT(ADDRESS(ROW(Y52),COLUMN(Y52)))),$H$8/M53*U53)," ")</f>
        <v xml:space="preserve"> </v>
      </c>
      <c r="Z53" s="51" t="str">
        <f ca="1">IFERROR(IF(TEXT($H$4,"DDMMAAAA")=TEXT($K52,"DDMMAAAA"),SUM($Y$2:INDIRECT(ADDRESS(ROW(Z52),COLUMN(Z52)))),$H$8/M53*R53)," ")</f>
        <v xml:space="preserve"> </v>
      </c>
      <c r="AA53" s="12" t="str">
        <f ca="1">IFERROR(IF(TEXT($H$4,"DDMMAAAA")=TEXT($K52,"DDMMAAAA"),SUM($AA$2:INDIRECT(ADDRESS(ROW(AA52),COLUMN(AA52)))),$H$8/M53*S53)," ")</f>
        <v xml:space="preserve"> </v>
      </c>
      <c r="AB53" s="12" t="str">
        <f ca="1">IFERROR(IF(TEXT($H$4,"DDMMAAAA")=TEXT($K52,"DDMMAAAA"),SUM($AB$2:INDIRECT(ADDRESS(ROW(AB52),COLUMN(AB52)))),$H$8/M53*V53)," ")</f>
        <v xml:space="preserve"> </v>
      </c>
      <c r="AC53" s="12" t="str">
        <f ca="1">IFERROR(IF(TEXT($H$4,"DDMMAAAA")=TEXT($K52,"DDMMAAAA"),SUM($AC$2:INDIRECT(ADDRESS(ROW(AC52),COLUMN(AC52)))),IF(SUM(Y53:AB53)=0,"",SUM(Y53:AB53)))," ")</f>
        <v/>
      </c>
      <c r="AD53" s="6"/>
      <c r="AE53">
        <v>201912</v>
      </c>
      <c r="AF53">
        <v>3.8</v>
      </c>
    </row>
    <row r="54" spans="6:32" x14ac:dyDescent="0.4">
      <c r="F54" s="6"/>
      <c r="G54" s="6"/>
      <c r="H54" s="6"/>
      <c r="I54" s="6"/>
      <c r="J54" s="19" t="str">
        <f t="shared" si="24"/>
        <v/>
      </c>
      <c r="K54" s="19" t="str">
        <f t="shared" si="15"/>
        <v xml:space="preserve"> </v>
      </c>
      <c r="L54" s="13" t="str">
        <f t="shared" si="14"/>
        <v xml:space="preserve"> </v>
      </c>
      <c r="M54" s="9" t="str">
        <f t="shared" si="26"/>
        <v xml:space="preserve"> </v>
      </c>
      <c r="N54" s="46" t="str">
        <f t="shared" si="17"/>
        <v xml:space="preserve"> </v>
      </c>
      <c r="O54" s="46" t="str">
        <f t="shared" si="18"/>
        <v xml:space="preserve"> </v>
      </c>
      <c r="P54" s="14" t="str">
        <f>IFERROR(IF(VLOOKUP(INT(TEXT(K54,"AAAA")),Tabla3[[AÑO]:[SALARIO 
MENSUAL]],2,0)*2&lt;$H$2,0,IFERROR(VLOOKUP(INT(TEXT(K54,"AAAA")),Tabla3[[AÑO]:[SALARIO 
MENSUAL]],2,0)," "))/30*L54," ")</f>
        <v xml:space="preserve"> </v>
      </c>
      <c r="Q54" s="14" t="str">
        <f>IFERROR(IF(VLOOKUP(INT(TEXT(K54,"AAAA")),Tabla3[[AÑO]:[SALARIO 
MENSUAL]],4,0)*2&lt;$H$2,$H$2,VLOOKUP(INT(TEXT(K54,"AAAA")),Tabla3[[AÑO]:[SALARIO 
MENSUAL]],4,0))/30*L54+$H$14+P54," ")</f>
        <v xml:space="preserve"> </v>
      </c>
      <c r="R54" s="12" t="str">
        <f t="shared" si="19"/>
        <v xml:space="preserve"> </v>
      </c>
      <c r="S54" s="12" t="str">
        <f t="shared" si="20"/>
        <v xml:space="preserve"> </v>
      </c>
      <c r="T54" s="11" t="str">
        <f t="shared" si="21"/>
        <v xml:space="preserve"> </v>
      </c>
      <c r="U54" s="14" t="str">
        <f t="shared" si="25"/>
        <v xml:space="preserve"> </v>
      </c>
      <c r="V54" s="12" t="str">
        <f t="shared" si="22"/>
        <v xml:space="preserve"> </v>
      </c>
      <c r="W54" s="53" t="str">
        <f t="shared" si="12"/>
        <v xml:space="preserve"> </v>
      </c>
      <c r="X54" s="12" t="str">
        <f t="shared" si="23"/>
        <v xml:space="preserve"> </v>
      </c>
      <c r="Y54" s="12" t="str">
        <f ca="1">IFERROR(IF(TEXT($H$4,"DDMMAAAA")=TEXT($K53,"DDMMAAAA"),SUM($Y$2:INDIRECT(ADDRESS(ROW(Y53),COLUMN(Y53)))),$H$8/M54*U54)," ")</f>
        <v xml:space="preserve"> </v>
      </c>
      <c r="Z54" s="51" t="str">
        <f ca="1">IFERROR(IF(TEXT($H$4,"DDMMAAAA")=TEXT($K53,"DDMMAAAA"),SUM($Y$2:INDIRECT(ADDRESS(ROW(Z53),COLUMN(Z53)))),$H$8/M54*R54)," ")</f>
        <v xml:space="preserve"> </v>
      </c>
      <c r="AA54" s="12" t="str">
        <f ca="1">IFERROR(IF(TEXT($H$4,"DDMMAAAA")=TEXT($K53,"DDMMAAAA"),SUM($AA$2:INDIRECT(ADDRESS(ROW(AA53),COLUMN(AA53)))),$H$8/M54*S54)," ")</f>
        <v xml:space="preserve"> </v>
      </c>
      <c r="AB54" s="12" t="str">
        <f ca="1">IFERROR(IF(TEXT($H$4,"DDMMAAAA")=TEXT($K53,"DDMMAAAA"),SUM($AB$2:INDIRECT(ADDRESS(ROW(AB53),COLUMN(AB53)))),$H$8/M54*V54)," ")</f>
        <v xml:space="preserve"> </v>
      </c>
      <c r="AC54" s="12" t="str">
        <f ca="1">IFERROR(IF(TEXT($H$4,"DDMMAAAA")=TEXT($K53,"DDMMAAAA"),SUM($AC$2:INDIRECT(ADDRESS(ROW(AC53),COLUMN(AC53)))),IF(SUM(Y54:AB54)=0,"",SUM(Y54:AB54)))," ")</f>
        <v/>
      </c>
      <c r="AD54" s="6"/>
      <c r="AE54">
        <v>201911</v>
      </c>
      <c r="AF54">
        <v>3.84</v>
      </c>
    </row>
    <row r="55" spans="6:32" x14ac:dyDescent="0.4">
      <c r="F55" s="6"/>
      <c r="G55" s="6"/>
      <c r="H55" s="6"/>
      <c r="I55" s="6"/>
      <c r="J55" s="19" t="str">
        <f t="shared" si="24"/>
        <v/>
      </c>
      <c r="K55" s="19" t="str">
        <f t="shared" si="15"/>
        <v xml:space="preserve"> </v>
      </c>
      <c r="L55" s="13" t="str">
        <f t="shared" si="14"/>
        <v xml:space="preserve"> </v>
      </c>
      <c r="M55" s="9" t="str">
        <f t="shared" si="26"/>
        <v xml:space="preserve"> </v>
      </c>
      <c r="N55" s="46" t="str">
        <f t="shared" si="17"/>
        <v xml:space="preserve"> </v>
      </c>
      <c r="O55" s="46" t="str">
        <f t="shared" si="18"/>
        <v xml:space="preserve"> </v>
      </c>
      <c r="P55" s="14" t="str">
        <f>IFERROR(IF(VLOOKUP(INT(TEXT(K55,"AAAA")),Tabla3[[AÑO]:[SALARIO 
MENSUAL]],2,0)*2&lt;$H$2,0,IFERROR(VLOOKUP(INT(TEXT(K55,"AAAA")),Tabla3[[AÑO]:[SALARIO 
MENSUAL]],2,0)," "))/30*L55," ")</f>
        <v xml:space="preserve"> </v>
      </c>
      <c r="Q55" s="14" t="str">
        <f>IFERROR(IF(VLOOKUP(INT(TEXT(K55,"AAAA")),Tabla3[[AÑO]:[SALARIO 
MENSUAL]],4,0)*2&lt;$H$2,$H$2,VLOOKUP(INT(TEXT(K55,"AAAA")),Tabla3[[AÑO]:[SALARIO 
MENSUAL]],4,0))/30*L55+$H$14+P55," ")</f>
        <v xml:space="preserve"> </v>
      </c>
      <c r="R55" s="12" t="str">
        <f t="shared" si="19"/>
        <v xml:space="preserve"> </v>
      </c>
      <c r="S55" s="12" t="str">
        <f t="shared" si="20"/>
        <v xml:space="preserve"> </v>
      </c>
      <c r="T55" s="11" t="str">
        <f t="shared" si="21"/>
        <v xml:space="preserve"> </v>
      </c>
      <c r="U55" s="14" t="str">
        <f t="shared" si="25"/>
        <v xml:space="preserve"> </v>
      </c>
      <c r="V55" s="12" t="str">
        <f t="shared" si="22"/>
        <v xml:space="preserve"> </v>
      </c>
      <c r="W55" s="53" t="str">
        <f t="shared" si="12"/>
        <v xml:space="preserve"> </v>
      </c>
      <c r="X55" s="12" t="str">
        <f t="shared" si="23"/>
        <v xml:space="preserve"> </v>
      </c>
      <c r="Y55" s="12" t="str">
        <f ca="1">IFERROR(IF(TEXT($H$4,"DDMMAAAA")=TEXT($K54,"DDMMAAAA"),SUM($Y$2:INDIRECT(ADDRESS(ROW(Y54),COLUMN(Y54)))),$H$8/M55*U55)," ")</f>
        <v xml:space="preserve"> </v>
      </c>
      <c r="Z55" s="51" t="str">
        <f ca="1">IFERROR(IF(TEXT($H$4,"DDMMAAAA")=TEXT($K54,"DDMMAAAA"),SUM($Y$2:INDIRECT(ADDRESS(ROW(Z54),COLUMN(Z54)))),$H$8/M55*R55)," ")</f>
        <v xml:space="preserve"> </v>
      </c>
      <c r="AA55" s="12" t="str">
        <f ca="1">IFERROR(IF(TEXT($H$4,"DDMMAAAA")=TEXT($K54,"DDMMAAAA"),SUM($AA$2:INDIRECT(ADDRESS(ROW(AA54),COLUMN(AA54)))),$H$8/M55*S55)," ")</f>
        <v xml:space="preserve"> </v>
      </c>
      <c r="AB55" s="12" t="str">
        <f ca="1">IFERROR(IF(TEXT($H$4,"DDMMAAAA")=TEXT($K54,"DDMMAAAA"),SUM($AB$2:INDIRECT(ADDRESS(ROW(AB54),COLUMN(AB54)))),$H$8/M55*V55)," ")</f>
        <v xml:space="preserve"> </v>
      </c>
      <c r="AC55" s="12" t="str">
        <f ca="1">IFERROR(IF(TEXT($H$4,"DDMMAAAA")=TEXT($K54,"DDMMAAAA"),SUM($AC$2:INDIRECT(ADDRESS(ROW(AC54),COLUMN(AC54)))),IF(SUM(Y55:AB55)=0,"",SUM(Y55:AB55)))," ")</f>
        <v/>
      </c>
      <c r="AD55" s="6"/>
      <c r="AE55">
        <v>201910</v>
      </c>
      <c r="AF55">
        <v>3.86</v>
      </c>
    </row>
    <row r="56" spans="6:32" x14ac:dyDescent="0.4">
      <c r="F56" s="6"/>
      <c r="G56" s="6"/>
      <c r="H56" s="6"/>
      <c r="I56" s="6"/>
      <c r="J56" s="19" t="str">
        <f t="shared" si="24"/>
        <v/>
      </c>
      <c r="K56" s="19" t="str">
        <f t="shared" si="15"/>
        <v xml:space="preserve"> </v>
      </c>
      <c r="L56" s="13" t="str">
        <f t="shared" si="14"/>
        <v xml:space="preserve"> </v>
      </c>
      <c r="M56" s="9" t="str">
        <f t="shared" si="26"/>
        <v xml:space="preserve"> </v>
      </c>
      <c r="N56" s="46" t="str">
        <f t="shared" si="17"/>
        <v xml:space="preserve"> </v>
      </c>
      <c r="O56" s="46" t="str">
        <f t="shared" si="18"/>
        <v xml:space="preserve"> </v>
      </c>
      <c r="P56" s="14" t="str">
        <f>IFERROR(IF(VLOOKUP(INT(TEXT(K56,"AAAA")),Tabla3[[AÑO]:[SALARIO 
MENSUAL]],2,0)*2&lt;$H$2,0,IFERROR(VLOOKUP(INT(TEXT(K56,"AAAA")),Tabla3[[AÑO]:[SALARIO 
MENSUAL]],2,0)," "))/30*L56," ")</f>
        <v xml:space="preserve"> </v>
      </c>
      <c r="Q56" s="14" t="str">
        <f>IFERROR(IF(VLOOKUP(INT(TEXT(K56,"AAAA")),Tabla3[[AÑO]:[SALARIO 
MENSUAL]],4,0)*2&lt;$H$2,$H$2,VLOOKUP(INT(TEXT(K56,"AAAA")),Tabla3[[AÑO]:[SALARIO 
MENSUAL]],4,0))/30*L56+$H$14+P56," ")</f>
        <v xml:space="preserve"> </v>
      </c>
      <c r="R56" s="12" t="str">
        <f t="shared" si="19"/>
        <v xml:space="preserve"> </v>
      </c>
      <c r="S56" s="12" t="str">
        <f t="shared" si="20"/>
        <v xml:space="preserve"> </v>
      </c>
      <c r="T56" s="11" t="str">
        <f t="shared" si="21"/>
        <v xml:space="preserve"> </v>
      </c>
      <c r="U56" s="14" t="str">
        <f t="shared" si="25"/>
        <v xml:space="preserve"> </v>
      </c>
      <c r="V56" s="12" t="str">
        <f t="shared" si="22"/>
        <v xml:space="preserve"> </v>
      </c>
      <c r="W56" s="53" t="str">
        <f t="shared" si="12"/>
        <v xml:space="preserve"> </v>
      </c>
      <c r="X56" s="12" t="str">
        <f t="shared" si="23"/>
        <v xml:space="preserve"> </v>
      </c>
      <c r="Y56" s="12" t="str">
        <f ca="1">IFERROR(IF(TEXT($H$4,"DDMMAAAA")=TEXT($K55,"DDMMAAAA"),SUM($Y$2:INDIRECT(ADDRESS(ROW(Y55),COLUMN(Y55)))),$H$8/M56*U56)," ")</f>
        <v xml:space="preserve"> </v>
      </c>
      <c r="Z56" s="51" t="str">
        <f ca="1">IFERROR(IF(TEXT($H$4,"DDMMAAAA")=TEXT($K55,"DDMMAAAA"),SUM($Y$2:INDIRECT(ADDRESS(ROW(Z55),COLUMN(Z55)))),$H$8/M56*R56)," ")</f>
        <v xml:space="preserve"> </v>
      </c>
      <c r="AA56" s="12" t="str">
        <f ca="1">IFERROR(IF(TEXT($H$4,"DDMMAAAA")=TEXT($K55,"DDMMAAAA"),SUM($AA$2:INDIRECT(ADDRESS(ROW(AA55),COLUMN(AA55)))),$H$8/M56*S56)," ")</f>
        <v xml:space="preserve"> </v>
      </c>
      <c r="AB56" s="12" t="str">
        <f ca="1">IFERROR(IF(TEXT($H$4,"DDMMAAAA")=TEXT($K55,"DDMMAAAA"),SUM($AB$2:INDIRECT(ADDRESS(ROW(AB55),COLUMN(AB55)))),$H$8/M56*V56)," ")</f>
        <v xml:space="preserve"> </v>
      </c>
      <c r="AC56" s="12" t="str">
        <f ca="1">IFERROR(IF(TEXT($H$4,"DDMMAAAA")=TEXT($K55,"DDMMAAAA"),SUM($AC$2:INDIRECT(ADDRESS(ROW(AC55),COLUMN(AC55)))),IF(SUM(Y56:AB56)=0,"",SUM(Y56:AB56)))," ")</f>
        <v/>
      </c>
      <c r="AE56">
        <v>201909</v>
      </c>
      <c r="AF56">
        <v>3.82</v>
      </c>
    </row>
    <row r="57" spans="6:32" x14ac:dyDescent="0.4">
      <c r="F57" s="6"/>
      <c r="G57" s="6"/>
      <c r="H57" s="6"/>
      <c r="I57" s="6"/>
      <c r="J57" s="19" t="str">
        <f t="shared" si="24"/>
        <v/>
      </c>
      <c r="K57" s="19" t="str">
        <f t="shared" si="15"/>
        <v xml:space="preserve"> </v>
      </c>
      <c r="L57" s="13" t="str">
        <f t="shared" si="14"/>
        <v xml:space="preserve"> </v>
      </c>
      <c r="M57" s="9" t="str">
        <f t="shared" si="26"/>
        <v xml:space="preserve"> </v>
      </c>
      <c r="N57" s="46" t="str">
        <f t="shared" si="17"/>
        <v xml:space="preserve"> </v>
      </c>
      <c r="O57" s="46" t="str">
        <f t="shared" si="18"/>
        <v xml:space="preserve"> </v>
      </c>
      <c r="P57" s="14" t="str">
        <f>IFERROR(IF(VLOOKUP(INT(TEXT(K57,"AAAA")),Tabla3[[AÑO]:[SALARIO 
MENSUAL]],2,0)*2&lt;$H$2,0,IFERROR(VLOOKUP(INT(TEXT(K57,"AAAA")),Tabla3[[AÑO]:[SALARIO 
MENSUAL]],2,0)," "))/30*L57," ")</f>
        <v xml:space="preserve"> </v>
      </c>
      <c r="Q57" s="14" t="str">
        <f>IFERROR(IF(VLOOKUP(INT(TEXT(K57,"AAAA")),Tabla3[[AÑO]:[SALARIO 
MENSUAL]],4,0)*2&lt;$H$2,$H$2,VLOOKUP(INT(TEXT(K57,"AAAA")),Tabla3[[AÑO]:[SALARIO 
MENSUAL]],4,0))/30*L57+$H$14+P57," ")</f>
        <v xml:space="preserve"> </v>
      </c>
      <c r="R57" s="12" t="str">
        <f t="shared" si="19"/>
        <v xml:space="preserve"> </v>
      </c>
      <c r="S57" s="12" t="str">
        <f t="shared" si="20"/>
        <v xml:space="preserve"> </v>
      </c>
      <c r="T57" s="11" t="str">
        <f t="shared" si="21"/>
        <v xml:space="preserve"> </v>
      </c>
      <c r="U57" s="14" t="str">
        <f t="shared" si="25"/>
        <v xml:space="preserve"> </v>
      </c>
      <c r="V57" s="12" t="str">
        <f t="shared" si="22"/>
        <v xml:space="preserve"> </v>
      </c>
      <c r="W57" s="53" t="str">
        <f t="shared" si="12"/>
        <v xml:space="preserve"> </v>
      </c>
      <c r="X57" s="12" t="str">
        <f t="shared" si="23"/>
        <v xml:space="preserve"> </v>
      </c>
      <c r="Y57" s="12" t="str">
        <f ca="1">IFERROR(IF(TEXT($H$4,"DDMMAAAA")=TEXT($K56,"DDMMAAAA"),SUM($Y$2:INDIRECT(ADDRESS(ROW(Y56),COLUMN(Y56)))),$H$8/M57*U57)," ")</f>
        <v xml:space="preserve"> </v>
      </c>
      <c r="Z57" s="51" t="str">
        <f ca="1">IFERROR(IF(TEXT($H$4,"DDMMAAAA")=TEXT($K56,"DDMMAAAA"),SUM($Y$2:INDIRECT(ADDRESS(ROW(Z56),COLUMN(Z56)))),$H$8/M57*R57)," ")</f>
        <v xml:space="preserve"> </v>
      </c>
      <c r="AA57" s="12" t="str">
        <f ca="1">IFERROR(IF(TEXT($H$4,"DDMMAAAA")=TEXT($K56,"DDMMAAAA"),SUM($AA$2:INDIRECT(ADDRESS(ROW(AA56),COLUMN(AA56)))),$H$8/M57*S57)," ")</f>
        <v xml:space="preserve"> </v>
      </c>
      <c r="AB57" s="12" t="str">
        <f ca="1">IFERROR(IF(TEXT($H$4,"DDMMAAAA")=TEXT($K56,"DDMMAAAA"),SUM($AB$2:INDIRECT(ADDRESS(ROW(AB56),COLUMN(AB56)))),$H$8/M57*V57)," ")</f>
        <v xml:space="preserve"> </v>
      </c>
      <c r="AC57" s="12" t="str">
        <f ca="1">IFERROR(IF(TEXT($H$4,"DDMMAAAA")=TEXT($K56,"DDMMAAAA"),SUM($AC$2:INDIRECT(ADDRESS(ROW(AC56),COLUMN(AC56)))),IF(SUM(Y57:AB57)=0,"",SUM(Y57:AB57)))," ")</f>
        <v/>
      </c>
      <c r="AE57">
        <v>201908</v>
      </c>
      <c r="AF57">
        <v>3.75</v>
      </c>
    </row>
    <row r="58" spans="6:32" x14ac:dyDescent="0.4">
      <c r="F58" s="6"/>
      <c r="G58" s="6"/>
      <c r="H58" s="6"/>
      <c r="J58" s="19" t="str">
        <f t="shared" si="24"/>
        <v/>
      </c>
      <c r="K58" s="19" t="str">
        <f t="shared" si="15"/>
        <v xml:space="preserve"> </v>
      </c>
      <c r="L58" s="13" t="str">
        <f t="shared" si="14"/>
        <v xml:space="preserve"> </v>
      </c>
      <c r="M58" s="9" t="str">
        <f t="shared" si="26"/>
        <v xml:space="preserve"> </v>
      </c>
      <c r="N58" s="46" t="str">
        <f t="shared" si="17"/>
        <v xml:space="preserve"> </v>
      </c>
      <c r="O58" s="46" t="str">
        <f t="shared" si="18"/>
        <v xml:space="preserve"> </v>
      </c>
      <c r="P58" s="14" t="str">
        <f>IFERROR(IF(VLOOKUP(INT(TEXT(K58,"AAAA")),Tabla3[[AÑO]:[SALARIO 
MENSUAL]],2,0)*2&lt;$H$2,0,IFERROR(VLOOKUP(INT(TEXT(K58,"AAAA")),Tabla3[[AÑO]:[SALARIO 
MENSUAL]],2,0)," "))/30*L58," ")</f>
        <v xml:space="preserve"> </v>
      </c>
      <c r="Q58" s="14" t="str">
        <f>IFERROR(IF(VLOOKUP(INT(TEXT(K58,"AAAA")),Tabla3[[AÑO]:[SALARIO 
MENSUAL]],4,0)*2&lt;$H$2,$H$2,VLOOKUP(INT(TEXT(K58,"AAAA")),Tabla3[[AÑO]:[SALARIO 
MENSUAL]],4,0))/30*L58+$H$14+P58," ")</f>
        <v xml:space="preserve"> </v>
      </c>
      <c r="R58" s="12" t="str">
        <f t="shared" si="19"/>
        <v xml:space="preserve"> </v>
      </c>
      <c r="S58" s="12" t="str">
        <f t="shared" si="20"/>
        <v xml:space="preserve"> </v>
      </c>
      <c r="T58" s="11" t="str">
        <f t="shared" si="21"/>
        <v xml:space="preserve"> </v>
      </c>
      <c r="U58" s="14" t="str">
        <f t="shared" si="25"/>
        <v xml:space="preserve"> </v>
      </c>
      <c r="V58" s="12" t="str">
        <f t="shared" si="22"/>
        <v xml:space="preserve"> </v>
      </c>
      <c r="W58" s="53" t="str">
        <f t="shared" si="12"/>
        <v xml:space="preserve"> </v>
      </c>
      <c r="X58" s="12" t="str">
        <f t="shared" si="23"/>
        <v xml:space="preserve"> </v>
      </c>
      <c r="Y58" s="12" t="str">
        <f ca="1">IFERROR(IF(TEXT($H$4,"DDMMAAAA")=TEXT($K57,"DDMMAAAA"),SUM($Y$2:INDIRECT(ADDRESS(ROW(Y57),COLUMN(Y57)))),$H$8/M58*U58)," ")</f>
        <v xml:space="preserve"> </v>
      </c>
      <c r="Z58" s="51" t="str">
        <f ca="1">IFERROR(IF(TEXT($H$4,"DDMMAAAA")=TEXT($K57,"DDMMAAAA"),SUM($Y$2:INDIRECT(ADDRESS(ROW(Z57),COLUMN(Z57)))),$H$8/M58*R58)," ")</f>
        <v xml:space="preserve"> </v>
      </c>
      <c r="AA58" s="12" t="str">
        <f ca="1">IFERROR(IF(TEXT($H$4,"DDMMAAAA")=TEXT($K57,"DDMMAAAA"),SUM($AA$2:INDIRECT(ADDRESS(ROW(AA57),COLUMN(AA57)))),$H$8/M58*S58)," ")</f>
        <v xml:space="preserve"> </v>
      </c>
      <c r="AB58" s="12" t="str">
        <f ca="1">IFERROR(IF(TEXT($H$4,"DDMMAAAA")=TEXT($K57,"DDMMAAAA"),SUM($AB$2:INDIRECT(ADDRESS(ROW(AB57),COLUMN(AB57)))),$H$8/M58*V58)," ")</f>
        <v xml:space="preserve"> </v>
      </c>
      <c r="AC58" s="12" t="str">
        <f ca="1">IFERROR(IF(TEXT($H$4,"DDMMAAAA")=TEXT($K57,"DDMMAAAA"),SUM($AC$2:INDIRECT(ADDRESS(ROW(AC57),COLUMN(AC57)))),IF(SUM(Y58:AB58)=0,"",SUM(Y58:AB58)))," ")</f>
        <v/>
      </c>
      <c r="AE58">
        <v>201907</v>
      </c>
      <c r="AF58">
        <v>3.79</v>
      </c>
    </row>
    <row r="59" spans="6:32" x14ac:dyDescent="0.4">
      <c r="J59" s="19" t="str">
        <f t="shared" si="24"/>
        <v/>
      </c>
      <c r="K59" s="19" t="str">
        <f t="shared" si="15"/>
        <v xml:space="preserve"> </v>
      </c>
      <c r="L59" s="13" t="str">
        <f t="shared" si="14"/>
        <v xml:space="preserve"> </v>
      </c>
      <c r="M59" s="9" t="str">
        <f t="shared" si="26"/>
        <v xml:space="preserve"> </v>
      </c>
      <c r="N59" s="46" t="str">
        <f t="shared" si="17"/>
        <v xml:space="preserve"> </v>
      </c>
      <c r="O59" s="46" t="str">
        <f t="shared" si="18"/>
        <v xml:space="preserve"> </v>
      </c>
      <c r="P59" s="14" t="str">
        <f>IFERROR(IF(VLOOKUP(INT(TEXT(K59,"AAAA")),Tabla3[[AÑO]:[SALARIO 
MENSUAL]],2,0)*2&lt;$H$2,0,IFERROR(VLOOKUP(INT(TEXT(K59,"AAAA")),Tabla3[[AÑO]:[SALARIO 
MENSUAL]],2,0)," "))/30*L59," ")</f>
        <v xml:space="preserve"> </v>
      </c>
      <c r="Q59" s="14" t="str">
        <f>IFERROR(IF(VLOOKUP(INT(TEXT(K59,"AAAA")),Tabla3[[AÑO]:[SALARIO 
MENSUAL]],4,0)*2&lt;$H$2,$H$2,VLOOKUP(INT(TEXT(K59,"AAAA")),Tabla3[[AÑO]:[SALARIO 
MENSUAL]],4,0))/30*L59+$H$14+P59," ")</f>
        <v xml:space="preserve"> </v>
      </c>
      <c r="R59" s="12" t="str">
        <f t="shared" si="19"/>
        <v xml:space="preserve"> </v>
      </c>
      <c r="S59" s="12" t="str">
        <f t="shared" si="20"/>
        <v xml:space="preserve"> </v>
      </c>
      <c r="T59" s="11" t="str">
        <f t="shared" si="21"/>
        <v xml:space="preserve"> </v>
      </c>
      <c r="U59" s="14" t="str">
        <f t="shared" si="25"/>
        <v xml:space="preserve"> </v>
      </c>
      <c r="V59" s="12" t="str">
        <f t="shared" si="22"/>
        <v xml:space="preserve"> </v>
      </c>
      <c r="W59" s="53" t="str">
        <f t="shared" si="12"/>
        <v xml:space="preserve"> </v>
      </c>
      <c r="X59" s="12" t="str">
        <f t="shared" si="23"/>
        <v xml:space="preserve"> </v>
      </c>
      <c r="Y59" s="12" t="str">
        <f ca="1">IFERROR(IF(TEXT($H$4,"DDMMAAAA")=TEXT($K58,"DDMMAAAA"),SUM($Y$2:INDIRECT(ADDRESS(ROW(Y58),COLUMN(Y58)))),$H$8/M59*U59)," ")</f>
        <v xml:space="preserve"> </v>
      </c>
      <c r="Z59" s="51" t="str">
        <f ca="1">IFERROR(IF(TEXT($H$4,"DDMMAAAA")=TEXT($K58,"DDMMAAAA"),SUM($Y$2:INDIRECT(ADDRESS(ROW(Z58),COLUMN(Z58)))),$H$8/M59*R59)," ")</f>
        <v xml:space="preserve"> </v>
      </c>
      <c r="AA59" s="12" t="str">
        <f ca="1">IFERROR(IF(TEXT($H$4,"DDMMAAAA")=TEXT($K58,"DDMMAAAA"),SUM($AA$2:INDIRECT(ADDRESS(ROW(AA58),COLUMN(AA58)))),$H$8/M59*S59)," ")</f>
        <v xml:space="preserve"> </v>
      </c>
      <c r="AB59" s="12" t="str">
        <f ca="1">IFERROR(IF(TEXT($H$4,"DDMMAAAA")=TEXT($K58,"DDMMAAAA"),SUM($AB$2:INDIRECT(ADDRESS(ROW(AB58),COLUMN(AB58)))),$H$8/M59*V59)," ")</f>
        <v xml:space="preserve"> </v>
      </c>
      <c r="AC59" s="12" t="str">
        <f ca="1">IFERROR(IF(TEXT($H$4,"DDMMAAAA")=TEXT($K58,"DDMMAAAA"),SUM($AC$2:INDIRECT(ADDRESS(ROW(AC58),COLUMN(AC58)))),IF(SUM(Y59:AB59)=0,"",SUM(Y59:AB59)))," ")</f>
        <v/>
      </c>
      <c r="AE59">
        <v>201906</v>
      </c>
      <c r="AF59">
        <v>3.43</v>
      </c>
    </row>
    <row r="60" spans="6:32" x14ac:dyDescent="0.4">
      <c r="J60" s="19" t="str">
        <f t="shared" si="24"/>
        <v/>
      </c>
      <c r="K60" s="19" t="str">
        <f t="shared" si="15"/>
        <v xml:space="preserve"> </v>
      </c>
      <c r="L60" s="13" t="str">
        <f t="shared" si="14"/>
        <v xml:space="preserve"> </v>
      </c>
      <c r="M60" s="9" t="str">
        <f t="shared" si="26"/>
        <v xml:space="preserve"> </v>
      </c>
      <c r="N60" s="46" t="str">
        <f t="shared" si="17"/>
        <v xml:space="preserve"> </v>
      </c>
      <c r="O60" s="46" t="str">
        <f t="shared" si="18"/>
        <v xml:space="preserve"> </v>
      </c>
      <c r="P60" s="14" t="str">
        <f>IFERROR(IF(VLOOKUP(INT(TEXT(K60,"AAAA")),Tabla3[[AÑO]:[SALARIO 
MENSUAL]],2,0)*2&lt;$H$2,0,IFERROR(VLOOKUP(INT(TEXT(K60,"AAAA")),Tabla3[[AÑO]:[SALARIO 
MENSUAL]],2,0)," "))/30*L60," ")</f>
        <v xml:space="preserve"> </v>
      </c>
      <c r="Q60" s="14" t="str">
        <f>IFERROR(IF(VLOOKUP(INT(TEXT(K60,"AAAA")),Tabla3[[AÑO]:[SALARIO 
MENSUAL]],4,0)*2&lt;$H$2,$H$2,VLOOKUP(INT(TEXT(K60,"AAAA")),Tabla3[[AÑO]:[SALARIO 
MENSUAL]],4,0))/30*L60+$H$14+P60," ")</f>
        <v xml:space="preserve"> </v>
      </c>
      <c r="R60" s="12" t="str">
        <f t="shared" si="19"/>
        <v xml:space="preserve"> </v>
      </c>
      <c r="S60" s="12" t="str">
        <f t="shared" si="20"/>
        <v xml:space="preserve"> </v>
      </c>
      <c r="T60" s="11" t="str">
        <f t="shared" si="21"/>
        <v xml:space="preserve"> </v>
      </c>
      <c r="U60" s="14" t="str">
        <f t="shared" si="25"/>
        <v xml:space="preserve"> </v>
      </c>
      <c r="V60" s="12" t="str">
        <f t="shared" si="22"/>
        <v xml:space="preserve"> </v>
      </c>
      <c r="W60" s="53" t="str">
        <f t="shared" si="12"/>
        <v xml:space="preserve"> </v>
      </c>
      <c r="X60" s="12" t="str">
        <f t="shared" si="23"/>
        <v xml:space="preserve"> </v>
      </c>
      <c r="Y60" s="12" t="str">
        <f ca="1">IFERROR(IF(TEXT($H$4,"DDMMAAAA")=TEXT($K59,"DDMMAAAA"),SUM($Y$2:INDIRECT(ADDRESS(ROW(Y59),COLUMN(Y59)))),$H$8/M60*U60)," ")</f>
        <v xml:space="preserve"> </v>
      </c>
      <c r="Z60" s="51" t="str">
        <f ca="1">IFERROR(IF(TEXT($H$4,"DDMMAAAA")=TEXT($K59,"DDMMAAAA"),SUM($Y$2:INDIRECT(ADDRESS(ROW(Z59),COLUMN(Z59)))),$H$8/M60*R60)," ")</f>
        <v xml:space="preserve"> </v>
      </c>
      <c r="AA60" s="12" t="str">
        <f ca="1">IFERROR(IF(TEXT($H$4,"DDMMAAAA")=TEXT($K59,"DDMMAAAA"),SUM($AA$2:INDIRECT(ADDRESS(ROW(AA59),COLUMN(AA59)))),$H$8/M60*S60)," ")</f>
        <v xml:space="preserve"> </v>
      </c>
      <c r="AB60" s="12" t="str">
        <f ca="1">IFERROR(IF(TEXT($H$4,"DDMMAAAA")=TEXT($K59,"DDMMAAAA"),SUM($AB$2:INDIRECT(ADDRESS(ROW(AB59),COLUMN(AB59)))),$H$8/M60*V60)," ")</f>
        <v xml:space="preserve"> </v>
      </c>
      <c r="AC60" s="12" t="str">
        <f ca="1">IFERROR(IF(TEXT($H$4,"DDMMAAAA")=TEXT($K59,"DDMMAAAA"),SUM($AC$2:INDIRECT(ADDRESS(ROW(AC59),COLUMN(AC59)))),IF(SUM(Y60:AB60)=0,"",SUM(Y60:AB60)))," ")</f>
        <v/>
      </c>
      <c r="AE60">
        <v>201905</v>
      </c>
      <c r="AF60">
        <v>3.31</v>
      </c>
    </row>
    <row r="61" spans="6:32" x14ac:dyDescent="0.4">
      <c r="J61" s="19" t="str">
        <f t="shared" si="24"/>
        <v/>
      </c>
      <c r="K61" s="19" t="str">
        <f t="shared" si="15"/>
        <v xml:space="preserve"> </v>
      </c>
      <c r="L61" s="13" t="str">
        <f t="shared" si="14"/>
        <v xml:space="preserve"> </v>
      </c>
      <c r="M61" s="9" t="str">
        <f t="shared" si="26"/>
        <v xml:space="preserve"> </v>
      </c>
      <c r="N61" s="46" t="str">
        <f t="shared" si="17"/>
        <v xml:space="preserve"> </v>
      </c>
      <c r="O61" s="46" t="str">
        <f t="shared" si="18"/>
        <v xml:space="preserve"> </v>
      </c>
      <c r="P61" s="14" t="str">
        <f>IFERROR(IF(VLOOKUP(INT(TEXT(K61,"AAAA")),Tabla3[[AÑO]:[SALARIO 
MENSUAL]],2,0)*2&lt;$H$2,0,IFERROR(VLOOKUP(INT(TEXT(K61,"AAAA")),Tabla3[[AÑO]:[SALARIO 
MENSUAL]],2,0)," "))/30*L61," ")</f>
        <v xml:space="preserve"> </v>
      </c>
      <c r="Q61" s="14" t="str">
        <f>IFERROR(IF(VLOOKUP(INT(TEXT(K61,"AAAA")),Tabla3[[AÑO]:[SALARIO 
MENSUAL]],4,0)*2&lt;$H$2,$H$2,VLOOKUP(INT(TEXT(K61,"AAAA")),Tabla3[[AÑO]:[SALARIO 
MENSUAL]],4,0))/30*L61+$H$14+P61," ")</f>
        <v xml:space="preserve"> </v>
      </c>
      <c r="R61" s="12" t="str">
        <f t="shared" si="19"/>
        <v xml:space="preserve"> </v>
      </c>
      <c r="S61" s="12" t="str">
        <f t="shared" si="20"/>
        <v xml:space="preserve"> </v>
      </c>
      <c r="T61" s="11" t="str">
        <f t="shared" si="21"/>
        <v xml:space="preserve"> </v>
      </c>
      <c r="U61" s="14" t="str">
        <f t="shared" si="25"/>
        <v xml:space="preserve"> </v>
      </c>
      <c r="V61" s="12" t="str">
        <f t="shared" si="22"/>
        <v xml:space="preserve"> </v>
      </c>
      <c r="W61" s="53" t="str">
        <f t="shared" si="12"/>
        <v xml:space="preserve"> </v>
      </c>
      <c r="X61" s="12" t="str">
        <f t="shared" si="23"/>
        <v xml:space="preserve"> </v>
      </c>
      <c r="Y61" s="12" t="str">
        <f ca="1">IFERROR(IF(TEXT($H$4,"DDMMAAAA")=TEXT($K60,"DDMMAAAA"),SUM($Y$2:INDIRECT(ADDRESS(ROW(Y60),COLUMN(Y60)))),$H$8/M61*U61)," ")</f>
        <v xml:space="preserve"> </v>
      </c>
      <c r="Z61" s="51" t="str">
        <f ca="1">IFERROR(IF(TEXT($H$4,"DDMMAAAA")=TEXT($K60,"DDMMAAAA"),SUM($Y$2:INDIRECT(ADDRESS(ROW(Z60),COLUMN(Z60)))),$H$8/M61*R61)," ")</f>
        <v xml:space="preserve"> </v>
      </c>
      <c r="AA61" s="12" t="str">
        <f ca="1">IFERROR(IF(TEXT($H$4,"DDMMAAAA")=TEXT($K60,"DDMMAAAA"),SUM($AA$2:INDIRECT(ADDRESS(ROW(AA60),COLUMN(AA60)))),$H$8/M61*S61)," ")</f>
        <v xml:space="preserve"> </v>
      </c>
      <c r="AB61" s="12" t="str">
        <f ca="1">IFERROR(IF(TEXT($H$4,"DDMMAAAA")=TEXT($K60,"DDMMAAAA"),SUM($AB$2:INDIRECT(ADDRESS(ROW(AB60),COLUMN(AB60)))),$H$8/M61*V61)," ")</f>
        <v xml:space="preserve"> </v>
      </c>
      <c r="AC61" s="12" t="str">
        <f ca="1">IFERROR(IF(TEXT($H$4,"DDMMAAAA")=TEXT($K60,"DDMMAAAA"),SUM($AC$2:INDIRECT(ADDRESS(ROW(AC60),COLUMN(AC60)))),IF(SUM(Y61:AB61)=0,"",SUM(Y61:AB61)))," ")</f>
        <v/>
      </c>
      <c r="AE61">
        <v>201904</v>
      </c>
      <c r="AF61">
        <v>3.25</v>
      </c>
    </row>
    <row r="62" spans="6:32" x14ac:dyDescent="0.4">
      <c r="J62" s="19" t="str">
        <f t="shared" si="24"/>
        <v/>
      </c>
      <c r="K62" s="19" t="str">
        <f t="shared" si="15"/>
        <v xml:space="preserve"> </v>
      </c>
      <c r="L62" s="13" t="str">
        <f t="shared" si="14"/>
        <v xml:space="preserve"> </v>
      </c>
      <c r="M62" s="9" t="str">
        <f t="shared" si="26"/>
        <v xml:space="preserve"> </v>
      </c>
      <c r="N62" s="46" t="str">
        <f t="shared" si="17"/>
        <v xml:space="preserve"> </v>
      </c>
      <c r="O62" s="46" t="str">
        <f t="shared" si="18"/>
        <v xml:space="preserve"> </v>
      </c>
      <c r="P62" s="14" t="str">
        <f>IFERROR(IF(VLOOKUP(INT(TEXT(K62,"AAAA")),Tabla3[[AÑO]:[SALARIO 
MENSUAL]],2,0)*2&lt;$H$2,0,IFERROR(VLOOKUP(INT(TEXT(K62,"AAAA")),Tabla3[[AÑO]:[SALARIO 
MENSUAL]],2,0)," "))/30*L62," ")</f>
        <v xml:space="preserve"> </v>
      </c>
      <c r="Q62" s="14" t="str">
        <f>IFERROR(IF(VLOOKUP(INT(TEXT(K62,"AAAA")),Tabla3[[AÑO]:[SALARIO 
MENSUAL]],4,0)*2&lt;$H$2,$H$2,VLOOKUP(INT(TEXT(K62,"AAAA")),Tabla3[[AÑO]:[SALARIO 
MENSUAL]],4,0))/30*L62+$H$14+P62," ")</f>
        <v xml:space="preserve"> </v>
      </c>
      <c r="R62" s="12" t="str">
        <f t="shared" si="19"/>
        <v xml:space="preserve"> </v>
      </c>
      <c r="S62" s="12" t="str">
        <f t="shared" si="20"/>
        <v xml:space="preserve"> </v>
      </c>
      <c r="T62" s="11" t="str">
        <f t="shared" si="21"/>
        <v xml:space="preserve"> </v>
      </c>
      <c r="U62" s="14" t="str">
        <f t="shared" si="25"/>
        <v xml:space="preserve"> </v>
      </c>
      <c r="V62" s="12" t="str">
        <f t="shared" si="22"/>
        <v xml:space="preserve"> </v>
      </c>
      <c r="W62" s="53" t="str">
        <f t="shared" si="12"/>
        <v xml:space="preserve"> </v>
      </c>
      <c r="X62" s="12" t="str">
        <f t="shared" si="23"/>
        <v xml:space="preserve"> </v>
      </c>
      <c r="Y62" s="12" t="str">
        <f ca="1">IFERROR(IF(TEXT($H$4,"DDMMAAAA")=TEXT($K61,"DDMMAAAA"),SUM($Y$2:INDIRECT(ADDRESS(ROW(Y61),COLUMN(Y61)))),$H$8/M62*U62)," ")</f>
        <v xml:space="preserve"> </v>
      </c>
      <c r="Z62" s="51" t="str">
        <f ca="1">IFERROR(IF(TEXT($H$4,"DDMMAAAA")=TEXT($K61,"DDMMAAAA"),SUM($Y$2:INDIRECT(ADDRESS(ROW(Z61),COLUMN(Z61)))),$H$8/M62*R62)," ")</f>
        <v xml:space="preserve"> </v>
      </c>
      <c r="AA62" s="12" t="str">
        <f ca="1">IFERROR(IF(TEXT($H$4,"DDMMAAAA")=TEXT($K61,"DDMMAAAA"),SUM($AA$2:INDIRECT(ADDRESS(ROW(AA61),COLUMN(AA61)))),$H$8/M62*S62)," ")</f>
        <v xml:space="preserve"> </v>
      </c>
      <c r="AB62" s="12" t="str">
        <f ca="1">IFERROR(IF(TEXT($H$4,"DDMMAAAA")=TEXT($K61,"DDMMAAAA"),SUM($AB$2:INDIRECT(ADDRESS(ROW(AB61),COLUMN(AB61)))),$H$8/M62*V62)," ")</f>
        <v xml:space="preserve"> </v>
      </c>
      <c r="AC62" s="12" t="str">
        <f ca="1">IFERROR(IF(TEXT($H$4,"DDMMAAAA")=TEXT($K61,"DDMMAAAA"),SUM($AC$2:INDIRECT(ADDRESS(ROW(AC61),COLUMN(AC61)))),IF(SUM(Y62:AB62)=0,"",SUM(Y62:AB62)))," ")</f>
        <v/>
      </c>
      <c r="AE62">
        <v>201903</v>
      </c>
      <c r="AF62">
        <v>3.21</v>
      </c>
    </row>
    <row r="63" spans="6:32" x14ac:dyDescent="0.4">
      <c r="J63" s="19" t="str">
        <f t="shared" si="24"/>
        <v/>
      </c>
      <c r="K63" s="19" t="str">
        <f t="shared" si="15"/>
        <v xml:space="preserve"> </v>
      </c>
      <c r="L63" s="13" t="str">
        <f t="shared" si="14"/>
        <v xml:space="preserve"> </v>
      </c>
      <c r="M63" s="9" t="str">
        <f t="shared" si="26"/>
        <v xml:space="preserve"> </v>
      </c>
      <c r="N63" s="46" t="str">
        <f t="shared" si="17"/>
        <v xml:space="preserve"> </v>
      </c>
      <c r="O63" s="46" t="str">
        <f t="shared" si="18"/>
        <v xml:space="preserve"> </v>
      </c>
      <c r="P63" s="14" t="str">
        <f>IFERROR(IF(VLOOKUP(INT(TEXT(K63,"AAAA")),Tabla3[[AÑO]:[SALARIO 
MENSUAL]],2,0)*2&lt;$H$2,0,IFERROR(VLOOKUP(INT(TEXT(K63,"AAAA")),Tabla3[[AÑO]:[SALARIO 
MENSUAL]],2,0)," "))/30*L63," ")</f>
        <v xml:space="preserve"> </v>
      </c>
      <c r="Q63" s="14" t="str">
        <f>IFERROR(IF(VLOOKUP(INT(TEXT(K63,"AAAA")),Tabla3[[AÑO]:[SALARIO 
MENSUAL]],4,0)*2&lt;$H$2,$H$2,VLOOKUP(INT(TEXT(K63,"AAAA")),Tabla3[[AÑO]:[SALARIO 
MENSUAL]],4,0))/30*L63+$H$14+P63," ")</f>
        <v xml:space="preserve"> </v>
      </c>
      <c r="R63" s="12" t="str">
        <f t="shared" si="19"/>
        <v xml:space="preserve"> </v>
      </c>
      <c r="S63" s="12" t="str">
        <f t="shared" si="20"/>
        <v xml:space="preserve"> </v>
      </c>
      <c r="T63" s="11" t="str">
        <f t="shared" si="21"/>
        <v xml:space="preserve"> </v>
      </c>
      <c r="U63" s="14" t="str">
        <f t="shared" si="25"/>
        <v xml:space="preserve"> </v>
      </c>
      <c r="V63" s="12" t="str">
        <f t="shared" si="22"/>
        <v xml:space="preserve"> </v>
      </c>
      <c r="W63" s="53" t="str">
        <f t="shared" si="12"/>
        <v xml:space="preserve"> </v>
      </c>
      <c r="X63" s="12" t="str">
        <f t="shared" si="23"/>
        <v xml:space="preserve"> </v>
      </c>
      <c r="Y63" s="12" t="str">
        <f ca="1">IFERROR(IF(TEXT($H$4,"DDMMAAAA")=TEXT($K62,"DDMMAAAA"),SUM($Y$2:INDIRECT(ADDRESS(ROW(Y62),COLUMN(Y62)))),$H$8/M63*U63)," ")</f>
        <v xml:space="preserve"> </v>
      </c>
      <c r="Z63" s="51" t="str">
        <f ca="1">IFERROR(IF(TEXT($H$4,"DDMMAAAA")=TEXT($K62,"DDMMAAAA"),SUM($Y$2:INDIRECT(ADDRESS(ROW(Z62),COLUMN(Z62)))),$H$8/M63*R63)," ")</f>
        <v xml:space="preserve"> </v>
      </c>
      <c r="AA63" s="12" t="str">
        <f ca="1">IFERROR(IF(TEXT($H$4,"DDMMAAAA")=TEXT($K62,"DDMMAAAA"),SUM($AA$2:INDIRECT(ADDRESS(ROW(AA62),COLUMN(AA62)))),$H$8/M63*S63)," ")</f>
        <v xml:space="preserve"> </v>
      </c>
      <c r="AB63" s="12" t="str">
        <f ca="1">IFERROR(IF(TEXT($H$4,"DDMMAAAA")=TEXT($K62,"DDMMAAAA"),SUM($AB$2:INDIRECT(ADDRESS(ROW(AB62),COLUMN(AB62)))),$H$8/M63*V63)," ")</f>
        <v xml:space="preserve"> </v>
      </c>
      <c r="AC63" s="12" t="str">
        <f ca="1">IFERROR(IF(TEXT($H$4,"DDMMAAAA")=TEXT($K62,"DDMMAAAA"),SUM($AC$2:INDIRECT(ADDRESS(ROW(AC62),COLUMN(AC62)))),IF(SUM(Y63:AB63)=0,"",SUM(Y63:AB63)))," ")</f>
        <v/>
      </c>
      <c r="AE63">
        <v>201902</v>
      </c>
      <c r="AF63">
        <v>3.01</v>
      </c>
    </row>
    <row r="64" spans="6:32" x14ac:dyDescent="0.4">
      <c r="J64" s="19" t="str">
        <f t="shared" si="24"/>
        <v/>
      </c>
      <c r="K64" s="19" t="str">
        <f t="shared" si="15"/>
        <v xml:space="preserve"> </v>
      </c>
      <c r="L64" s="13" t="str">
        <f t="shared" si="14"/>
        <v xml:space="preserve"> </v>
      </c>
      <c r="M64" s="9" t="str">
        <f t="shared" si="26"/>
        <v xml:space="preserve"> </v>
      </c>
      <c r="N64" s="46" t="str">
        <f t="shared" si="17"/>
        <v xml:space="preserve"> </v>
      </c>
      <c r="O64" s="46" t="str">
        <f t="shared" si="18"/>
        <v xml:space="preserve"> </v>
      </c>
      <c r="P64" s="14" t="str">
        <f>IFERROR(IF(VLOOKUP(INT(TEXT(K64,"AAAA")),Tabla3[[AÑO]:[SALARIO 
MENSUAL]],2,0)*2&lt;$H$2,0,IFERROR(VLOOKUP(INT(TEXT(K64,"AAAA")),Tabla3[[AÑO]:[SALARIO 
MENSUAL]],2,0)," "))/30*L64," ")</f>
        <v xml:space="preserve"> </v>
      </c>
      <c r="Q64" s="14" t="str">
        <f>IFERROR(IF(VLOOKUP(INT(TEXT(K64,"AAAA")),Tabla3[[AÑO]:[SALARIO 
MENSUAL]],4,0)*2&lt;$H$2,$H$2,VLOOKUP(INT(TEXT(K64,"AAAA")),Tabla3[[AÑO]:[SALARIO 
MENSUAL]],4,0))/30*L64+$H$14+P64," ")</f>
        <v xml:space="preserve"> </v>
      </c>
      <c r="R64" s="12" t="str">
        <f t="shared" si="19"/>
        <v xml:space="preserve"> </v>
      </c>
      <c r="S64" s="12" t="str">
        <f t="shared" si="20"/>
        <v xml:space="preserve"> </v>
      </c>
      <c r="T64" s="11" t="str">
        <f t="shared" si="21"/>
        <v xml:space="preserve"> </v>
      </c>
      <c r="U64" s="14" t="str">
        <f t="shared" si="25"/>
        <v xml:space="preserve"> </v>
      </c>
      <c r="V64" s="12" t="str">
        <f t="shared" si="22"/>
        <v xml:space="preserve"> </v>
      </c>
      <c r="W64" s="53" t="str">
        <f t="shared" si="12"/>
        <v xml:space="preserve"> </v>
      </c>
      <c r="X64" s="12" t="str">
        <f t="shared" si="23"/>
        <v xml:space="preserve"> </v>
      </c>
      <c r="Y64" s="12" t="str">
        <f ca="1">IFERROR(IF(TEXT($H$4,"DDMMAAAA")=TEXT($K63,"DDMMAAAA"),SUM($Y$2:INDIRECT(ADDRESS(ROW(Y63),COLUMN(Y63)))),$H$8/M64*U64)," ")</f>
        <v xml:space="preserve"> </v>
      </c>
      <c r="Z64" s="51" t="str">
        <f ca="1">IFERROR(IF(TEXT($H$4,"DDMMAAAA")=TEXT($K63,"DDMMAAAA"),SUM($Y$2:INDIRECT(ADDRESS(ROW(Z63),COLUMN(Z63)))),$H$8/M64*R64)," ")</f>
        <v xml:space="preserve"> </v>
      </c>
      <c r="AA64" s="12" t="str">
        <f ca="1">IFERROR(IF(TEXT($H$4,"DDMMAAAA")=TEXT($K63,"DDMMAAAA"),SUM($AA$2:INDIRECT(ADDRESS(ROW(AA63),COLUMN(AA63)))),$H$8/M64*S64)," ")</f>
        <v xml:space="preserve"> </v>
      </c>
      <c r="AB64" s="12" t="str">
        <f ca="1">IFERROR(IF(TEXT($H$4,"DDMMAAAA")=TEXT($K63,"DDMMAAAA"),SUM($AB$2:INDIRECT(ADDRESS(ROW(AB63),COLUMN(AB63)))),$H$8/M64*V64)," ")</f>
        <v xml:space="preserve"> </v>
      </c>
      <c r="AC64" s="12" t="str">
        <f ca="1">IFERROR(IF(TEXT($H$4,"DDMMAAAA")=TEXT($K63,"DDMMAAAA"),SUM($AC$2:INDIRECT(ADDRESS(ROW(AC63),COLUMN(AC63)))),IF(SUM(Y64:AB64)=0,"",SUM(Y64:AB64)))," ")</f>
        <v/>
      </c>
      <c r="AE64">
        <v>201901</v>
      </c>
      <c r="AF64">
        <v>3.15</v>
      </c>
    </row>
    <row r="65" spans="10:32" x14ac:dyDescent="0.4">
      <c r="J65" s="19" t="str">
        <f t="shared" si="24"/>
        <v/>
      </c>
      <c r="K65" s="19" t="str">
        <f t="shared" si="15"/>
        <v xml:space="preserve"> </v>
      </c>
      <c r="L65" s="13" t="str">
        <f t="shared" si="14"/>
        <v xml:space="preserve"> </v>
      </c>
      <c r="M65" s="9" t="str">
        <f t="shared" si="26"/>
        <v xml:space="preserve"> </v>
      </c>
      <c r="N65" s="46" t="str">
        <f t="shared" si="17"/>
        <v xml:space="preserve"> </v>
      </c>
      <c r="O65" s="46" t="str">
        <f t="shared" si="18"/>
        <v xml:space="preserve"> </v>
      </c>
      <c r="P65" s="14" t="str">
        <f>IFERROR(IF(VLOOKUP(INT(TEXT(K65,"AAAA")),Tabla3[[AÑO]:[SALARIO 
MENSUAL]],2,0)*2&lt;$H$2,0,IFERROR(VLOOKUP(INT(TEXT(K65,"AAAA")),Tabla3[[AÑO]:[SALARIO 
MENSUAL]],2,0)," "))/30*L65," ")</f>
        <v xml:space="preserve"> </v>
      </c>
      <c r="Q65" s="14" t="str">
        <f>IFERROR(IF(VLOOKUP(INT(TEXT(K65,"AAAA")),Tabla3[[AÑO]:[SALARIO 
MENSUAL]],4,0)*2&lt;$H$2,$H$2,VLOOKUP(INT(TEXT(K65,"AAAA")),Tabla3[[AÑO]:[SALARIO 
MENSUAL]],4,0))/30*L65+$H$14+P65," ")</f>
        <v xml:space="preserve"> </v>
      </c>
      <c r="R65" s="12" t="str">
        <f t="shared" si="19"/>
        <v xml:space="preserve"> </v>
      </c>
      <c r="S65" s="12" t="str">
        <f t="shared" si="20"/>
        <v xml:space="preserve"> </v>
      </c>
      <c r="T65" s="11" t="str">
        <f t="shared" si="21"/>
        <v xml:space="preserve"> </v>
      </c>
      <c r="U65" s="14" t="str">
        <f t="shared" si="25"/>
        <v xml:space="preserve"> </v>
      </c>
      <c r="V65" s="12" t="str">
        <f t="shared" si="22"/>
        <v xml:space="preserve"> </v>
      </c>
      <c r="W65" s="53" t="str">
        <f t="shared" si="12"/>
        <v xml:space="preserve"> </v>
      </c>
      <c r="X65" s="12" t="str">
        <f t="shared" si="23"/>
        <v xml:space="preserve"> </v>
      </c>
      <c r="Y65" s="12" t="str">
        <f ca="1">IFERROR(IF(TEXT($H$4,"DDMMAAAA")=TEXT($K64,"DDMMAAAA"),SUM($Y$2:INDIRECT(ADDRESS(ROW(Y64),COLUMN(Y64)))),$H$8/M65*U65)," ")</f>
        <v xml:space="preserve"> </v>
      </c>
      <c r="Z65" s="51" t="str">
        <f ca="1">IFERROR(IF(TEXT($H$4,"DDMMAAAA")=TEXT($K64,"DDMMAAAA"),SUM($Y$2:INDIRECT(ADDRESS(ROW(Z64),COLUMN(Z64)))),$H$8/M65*R65)," ")</f>
        <v xml:space="preserve"> </v>
      </c>
      <c r="AA65" s="12" t="str">
        <f ca="1">IFERROR(IF(TEXT($H$4,"DDMMAAAA")=TEXT($K64,"DDMMAAAA"),SUM($AA$2:INDIRECT(ADDRESS(ROW(AA64),COLUMN(AA64)))),$H$8/M65*S65)," ")</f>
        <v xml:space="preserve"> </v>
      </c>
      <c r="AB65" s="12" t="str">
        <f ca="1">IFERROR(IF(TEXT($H$4,"DDMMAAAA")=TEXT($K64,"DDMMAAAA"),SUM($AB$2:INDIRECT(ADDRESS(ROW(AB64),COLUMN(AB64)))),$H$8/M65*V65)," ")</f>
        <v xml:space="preserve"> </v>
      </c>
      <c r="AC65" s="12" t="str">
        <f ca="1">IFERROR(IF(TEXT($H$4,"DDMMAAAA")=TEXT($K64,"DDMMAAAA"),SUM($AC$2:INDIRECT(ADDRESS(ROW(AC64),COLUMN(AC64)))),IF(SUM(Y65:AB65)=0,"",SUM(Y65:AB65)))," ")</f>
        <v/>
      </c>
      <c r="AE65">
        <v>201812</v>
      </c>
      <c r="AF65">
        <v>3.18</v>
      </c>
    </row>
    <row r="66" spans="10:32" x14ac:dyDescent="0.4">
      <c r="J66" s="19" t="str">
        <f t="shared" si="24"/>
        <v/>
      </c>
      <c r="K66" s="19" t="str">
        <f t="shared" ref="K66:K97" si="27">IFERROR(IF(TEXT(J66,"MMAAA")=TEXT($H$4,"MMAAAA"),$H$4,EOMONTH(J66,0))," ")</f>
        <v xml:space="preserve"> </v>
      </c>
      <c r="L66" s="13" t="str">
        <f t="shared" si="14"/>
        <v xml:space="preserve"> </v>
      </c>
      <c r="M66" s="9" t="str">
        <f t="shared" si="26"/>
        <v xml:space="preserve"> </v>
      </c>
      <c r="N66" s="46" t="str">
        <f t="shared" ref="N66:N97" si="28">IFERROR(Q66+$H$14-Q66," ")</f>
        <v xml:space="preserve"> </v>
      </c>
      <c r="O66" s="46" t="str">
        <f t="shared" ref="O66:O97" si="29">IFERROR(Q66-N66-P66," ")</f>
        <v xml:space="preserve"> </v>
      </c>
      <c r="P66" s="14" t="str">
        <f>IFERROR(IF(VLOOKUP(INT(TEXT(K66,"AAAA")),Tabla3[[AÑO]:[SALARIO 
MENSUAL]],2,0)*2&lt;$H$2,0,IFERROR(VLOOKUP(INT(TEXT(K66,"AAAA")),Tabla3[[AÑO]:[SALARIO 
MENSUAL]],2,0)," "))/30*L66," ")</f>
        <v xml:space="preserve"> </v>
      </c>
      <c r="Q66" s="14" t="str">
        <f>IFERROR(IF(VLOOKUP(INT(TEXT(K66,"AAAA")),Tabla3[[AÑO]:[SALARIO 
MENSUAL]],4,0)*2&lt;$H$2,$H$2,VLOOKUP(INT(TEXT(K66,"AAAA")),Tabla3[[AÑO]:[SALARIO 
MENSUAL]],4,0))/30*L66+$H$14+P66," ")</f>
        <v xml:space="preserve"> </v>
      </c>
      <c r="R66" s="12" t="str">
        <f t="shared" ref="R66:R97" si="30">IFERROR(Q66/360*L66," ")</f>
        <v xml:space="preserve"> </v>
      </c>
      <c r="S66" s="12" t="str">
        <f t="shared" ref="S66:S97" si="31">IFERROR(Q66/360*L66," ")</f>
        <v xml:space="preserve"> </v>
      </c>
      <c r="T66" s="11" t="str">
        <f t="shared" ref="T66:T97" si="32">IFERROR(L66/24," ")</f>
        <v xml:space="preserve"> </v>
      </c>
      <c r="U66" s="14" t="str">
        <f t="shared" si="25"/>
        <v xml:space="preserve"> </v>
      </c>
      <c r="V66" s="12" t="str">
        <f t="shared" ref="V66:V97" si="33">IFERROR(360*Q66*0.12/360/12," ")</f>
        <v xml:space="preserve"> </v>
      </c>
      <c r="W66" s="53" t="str">
        <f t="shared" si="12"/>
        <v xml:space="preserve"> </v>
      </c>
      <c r="X66" s="12" t="str">
        <f t="shared" ref="X66:X97" si="34">IFERROR(IF(TEXT($H$4,"DDMMAAAA")=TEXT($K65,"DDMMAAAA"),"Sub Total",$H$8/M66*Q66)," ")</f>
        <v xml:space="preserve"> </v>
      </c>
      <c r="Y66" s="12" t="str">
        <f ca="1">IFERROR(IF(TEXT($H$4,"DDMMAAAA")=TEXT($K65,"DDMMAAAA"),SUM($Y$2:INDIRECT(ADDRESS(ROW(Y65),COLUMN(Y65)))),$H$8/M66*U66)," ")</f>
        <v xml:space="preserve"> </v>
      </c>
      <c r="Z66" s="51" t="str">
        <f ca="1">IFERROR(IF(TEXT($H$4,"DDMMAAAA")=TEXT($K65,"DDMMAAAA"),SUM($Y$2:INDIRECT(ADDRESS(ROW(Z65),COLUMN(Z65)))),$H$8/M66*R66)," ")</f>
        <v xml:space="preserve"> </v>
      </c>
      <c r="AA66" s="12" t="str">
        <f ca="1">IFERROR(IF(TEXT($H$4,"DDMMAAAA")=TEXT($K65,"DDMMAAAA"),SUM($AA$2:INDIRECT(ADDRESS(ROW(AA65),COLUMN(AA65)))),$H$8/M66*S66)," ")</f>
        <v xml:space="preserve"> </v>
      </c>
      <c r="AB66" s="12" t="str">
        <f ca="1">IFERROR(IF(TEXT($H$4,"DDMMAAAA")=TEXT($K65,"DDMMAAAA"),SUM($AB$2:INDIRECT(ADDRESS(ROW(AB65),COLUMN(AB65)))),$H$8/M66*V66)," ")</f>
        <v xml:space="preserve"> </v>
      </c>
      <c r="AC66" s="12" t="str">
        <f ca="1">IFERROR(IF(TEXT($H$4,"DDMMAAAA")=TEXT($K65,"DDMMAAAA"),SUM($AC$2:INDIRECT(ADDRESS(ROW(AC65),COLUMN(AC65)))),IF(SUM(Y66:AB66)=0,"",SUM(Y66:AB66)))," ")</f>
        <v/>
      </c>
      <c r="AE66">
        <v>201811</v>
      </c>
      <c r="AF66">
        <v>3.27</v>
      </c>
    </row>
    <row r="67" spans="10:32" x14ac:dyDescent="0.4">
      <c r="J67" s="19" t="str">
        <f t="shared" ref="J67:J98" si="35">IF(EDATE($K$2,ROW()-3)&lt;=$H$4,EDATE($K$2+1,ROW()-3),"")</f>
        <v/>
      </c>
      <c r="K67" s="19" t="str">
        <f t="shared" si="27"/>
        <v xml:space="preserve"> </v>
      </c>
      <c r="L67" s="13" t="str">
        <f t="shared" si="14"/>
        <v xml:space="preserve"> </v>
      </c>
      <c r="M67" s="9" t="str">
        <f t="shared" si="26"/>
        <v xml:space="preserve"> </v>
      </c>
      <c r="N67" s="46" t="str">
        <f t="shared" si="28"/>
        <v xml:space="preserve"> </v>
      </c>
      <c r="O67" s="46" t="str">
        <f t="shared" si="29"/>
        <v xml:space="preserve"> </v>
      </c>
      <c r="P67" s="14" t="str">
        <f>IFERROR(IF(VLOOKUP(INT(TEXT(K67,"AAAA")),Tabla3[[AÑO]:[SALARIO 
MENSUAL]],2,0)*2&lt;$H$2,0,IFERROR(VLOOKUP(INT(TEXT(K67,"AAAA")),Tabla3[[AÑO]:[SALARIO 
MENSUAL]],2,0)," "))/30*L67," ")</f>
        <v xml:space="preserve"> </v>
      </c>
      <c r="Q67" s="14" t="str">
        <f>IFERROR(IF(VLOOKUP(INT(TEXT(K67,"AAAA")),Tabla3[[AÑO]:[SALARIO 
MENSUAL]],4,0)*2&lt;$H$2,$H$2,VLOOKUP(INT(TEXT(K67,"AAAA")),Tabla3[[AÑO]:[SALARIO 
MENSUAL]],4,0))/30*L67+$H$14+P67," ")</f>
        <v xml:space="preserve"> </v>
      </c>
      <c r="R67" s="12" t="str">
        <f t="shared" si="30"/>
        <v xml:space="preserve"> </v>
      </c>
      <c r="S67" s="12" t="str">
        <f t="shared" si="31"/>
        <v xml:space="preserve"> </v>
      </c>
      <c r="T67" s="11" t="str">
        <f t="shared" si="32"/>
        <v xml:space="preserve"> </v>
      </c>
      <c r="U67" s="14" t="str">
        <f t="shared" ref="U67:U98" si="36">IFERROR(Q67/30*T67," ")</f>
        <v xml:space="preserve"> </v>
      </c>
      <c r="V67" s="12" t="str">
        <f t="shared" si="33"/>
        <v xml:space="preserve"> </v>
      </c>
      <c r="W67" s="53" t="str">
        <f t="shared" ref="W67:W130" si="37">IFERROR(IF(TEXT($H$4,"DDMMAAAA")=TEXT($K66,"DDMMAAAA")," ",$H$8/M67*P67)," ")</f>
        <v xml:space="preserve"> </v>
      </c>
      <c r="X67" s="12" t="str">
        <f t="shared" si="34"/>
        <v xml:space="preserve"> </v>
      </c>
      <c r="Y67" s="12" t="str">
        <f ca="1">IFERROR(IF(TEXT($H$4,"DDMMAAAA")=TEXT($K66,"DDMMAAAA"),SUM($Y$2:INDIRECT(ADDRESS(ROW(Y66),COLUMN(Y66)))),$H$8/M67*U67)," ")</f>
        <v xml:space="preserve"> </v>
      </c>
      <c r="Z67" s="51" t="str">
        <f ca="1">IFERROR(IF(TEXT($H$4,"DDMMAAAA")=TEXT($K66,"DDMMAAAA"),SUM($Y$2:INDIRECT(ADDRESS(ROW(Z66),COLUMN(Z66)))),$H$8/M67*R67)," ")</f>
        <v xml:space="preserve"> </v>
      </c>
      <c r="AA67" s="12" t="str">
        <f ca="1">IFERROR(IF(TEXT($H$4,"DDMMAAAA")=TEXT($K66,"DDMMAAAA"),SUM($AA$2:INDIRECT(ADDRESS(ROW(AA66),COLUMN(AA66)))),$H$8/M67*S67)," ")</f>
        <v xml:space="preserve"> </v>
      </c>
      <c r="AB67" s="12" t="str">
        <f ca="1">IFERROR(IF(TEXT($H$4,"DDMMAAAA")=TEXT($K66,"DDMMAAAA"),SUM($AB$2:INDIRECT(ADDRESS(ROW(AB66),COLUMN(AB66)))),$H$8/M67*V67)," ")</f>
        <v xml:space="preserve"> </v>
      </c>
      <c r="AC67" s="12" t="str">
        <f ca="1">IFERROR(IF(TEXT($H$4,"DDMMAAAA")=TEXT($K66,"DDMMAAAA"),SUM($AC$2:INDIRECT(ADDRESS(ROW(AC66),COLUMN(AC66)))),IF(SUM(Y67:AB67)=0,"",SUM(Y67:AB67)))," ")</f>
        <v/>
      </c>
      <c r="AE67">
        <v>201810</v>
      </c>
      <c r="AF67">
        <v>3.33</v>
      </c>
    </row>
    <row r="68" spans="10:32" x14ac:dyDescent="0.4">
      <c r="J68" s="19" t="str">
        <f t="shared" si="35"/>
        <v/>
      </c>
      <c r="K68" s="19" t="str">
        <f t="shared" si="27"/>
        <v xml:space="preserve"> </v>
      </c>
      <c r="L68" s="13" t="str">
        <f t="shared" si="14"/>
        <v xml:space="preserve"> </v>
      </c>
      <c r="M68" s="9" t="str">
        <f t="shared" si="26"/>
        <v xml:space="preserve"> </v>
      </c>
      <c r="N68" s="46" t="str">
        <f t="shared" si="28"/>
        <v xml:space="preserve"> </v>
      </c>
      <c r="O68" s="46" t="str">
        <f t="shared" si="29"/>
        <v xml:space="preserve"> </v>
      </c>
      <c r="P68" s="14" t="str">
        <f>IFERROR(IF(VLOOKUP(INT(TEXT(K68,"AAAA")),Tabla3[[AÑO]:[SALARIO 
MENSUAL]],2,0)*2&lt;$H$2,0,IFERROR(VLOOKUP(INT(TEXT(K68,"AAAA")),Tabla3[[AÑO]:[SALARIO 
MENSUAL]],2,0)," "))/30*L68," ")</f>
        <v xml:space="preserve"> </v>
      </c>
      <c r="Q68" s="14" t="str">
        <f>IFERROR(IF(VLOOKUP(INT(TEXT(K68,"AAAA")),Tabla3[[AÑO]:[SALARIO 
MENSUAL]],4,0)*2&lt;$H$2,$H$2,VLOOKUP(INT(TEXT(K68,"AAAA")),Tabla3[[AÑO]:[SALARIO 
MENSUAL]],4,0))/30*L68+$H$14+P68," ")</f>
        <v xml:space="preserve"> </v>
      </c>
      <c r="R68" s="12" t="str">
        <f t="shared" si="30"/>
        <v xml:space="preserve"> </v>
      </c>
      <c r="S68" s="12" t="str">
        <f t="shared" si="31"/>
        <v xml:space="preserve"> </v>
      </c>
      <c r="T68" s="11" t="str">
        <f t="shared" si="32"/>
        <v xml:space="preserve"> </v>
      </c>
      <c r="U68" s="14" t="str">
        <f t="shared" si="36"/>
        <v xml:space="preserve"> </v>
      </c>
      <c r="V68" s="12" t="str">
        <f t="shared" si="33"/>
        <v xml:space="preserve"> </v>
      </c>
      <c r="W68" s="53" t="str">
        <f t="shared" si="37"/>
        <v xml:space="preserve"> </v>
      </c>
      <c r="X68" s="12" t="str">
        <f t="shared" si="34"/>
        <v xml:space="preserve"> </v>
      </c>
      <c r="Y68" s="12" t="str">
        <f ca="1">IFERROR(IF(TEXT($H$4,"DDMMAAAA")=TEXT($K67,"DDMMAAAA"),SUM($Y$2:INDIRECT(ADDRESS(ROW(Y67),COLUMN(Y67)))),$H$8/M68*U68)," ")</f>
        <v xml:space="preserve"> </v>
      </c>
      <c r="Z68" s="51" t="str">
        <f ca="1">IFERROR(IF(TEXT($H$4,"DDMMAAAA")=TEXT($K67,"DDMMAAAA"),SUM($Y$2:INDIRECT(ADDRESS(ROW(Z67),COLUMN(Z67)))),$H$8/M68*R68)," ")</f>
        <v xml:space="preserve"> </v>
      </c>
      <c r="AA68" s="12" t="str">
        <f ca="1">IFERROR(IF(TEXT($H$4,"DDMMAAAA")=TEXT($K67,"DDMMAAAA"),SUM($AA$2:INDIRECT(ADDRESS(ROW(AA67),COLUMN(AA67)))),$H$8/M68*S68)," ")</f>
        <v xml:space="preserve"> </v>
      </c>
      <c r="AB68" s="12" t="str">
        <f ca="1">IFERROR(IF(TEXT($H$4,"DDMMAAAA")=TEXT($K67,"DDMMAAAA"),SUM($AB$2:INDIRECT(ADDRESS(ROW(AB67),COLUMN(AB67)))),$H$8/M68*V68)," ")</f>
        <v xml:space="preserve"> </v>
      </c>
      <c r="AC68" s="12" t="str">
        <f ca="1">IFERROR(IF(TEXT($H$4,"DDMMAAAA")=TEXT($K67,"DDMMAAAA"),SUM($AC$2:INDIRECT(ADDRESS(ROW(AC67),COLUMN(AC67)))),IF(SUM(Y68:AB68)=0,"",SUM(Y68:AB68)))," ")</f>
        <v/>
      </c>
      <c r="AE68">
        <v>201809</v>
      </c>
      <c r="AF68">
        <v>3.23</v>
      </c>
    </row>
    <row r="69" spans="10:32" x14ac:dyDescent="0.4">
      <c r="J69" s="19" t="str">
        <f t="shared" si="35"/>
        <v/>
      </c>
      <c r="K69" s="19" t="str">
        <f t="shared" si="27"/>
        <v xml:space="preserve"> </v>
      </c>
      <c r="L69" s="13" t="str">
        <f t="shared" si="14"/>
        <v xml:space="preserve"> </v>
      </c>
      <c r="M69" s="9" t="str">
        <f t="shared" si="26"/>
        <v xml:space="preserve"> </v>
      </c>
      <c r="N69" s="46" t="str">
        <f t="shared" si="28"/>
        <v xml:space="preserve"> </v>
      </c>
      <c r="O69" s="46" t="str">
        <f t="shared" si="29"/>
        <v xml:space="preserve"> </v>
      </c>
      <c r="P69" s="14" t="str">
        <f>IFERROR(IF(VLOOKUP(INT(TEXT(K69,"AAAA")),Tabla3[[AÑO]:[SALARIO 
MENSUAL]],2,0)*2&lt;$H$2,0,IFERROR(VLOOKUP(INT(TEXT(K69,"AAAA")),Tabla3[[AÑO]:[SALARIO 
MENSUAL]],2,0)," "))/30*L69," ")</f>
        <v xml:space="preserve"> </v>
      </c>
      <c r="Q69" s="14" t="str">
        <f>IFERROR(IF(VLOOKUP(INT(TEXT(K69,"AAAA")),Tabla3[[AÑO]:[SALARIO 
MENSUAL]],4,0)*2&lt;$H$2,$H$2,VLOOKUP(INT(TEXT(K69,"AAAA")),Tabla3[[AÑO]:[SALARIO 
MENSUAL]],4,0))/30*L69+$H$14+P69," ")</f>
        <v xml:space="preserve"> </v>
      </c>
      <c r="R69" s="12" t="str">
        <f t="shared" si="30"/>
        <v xml:space="preserve"> </v>
      </c>
      <c r="S69" s="12" t="str">
        <f t="shared" si="31"/>
        <v xml:space="preserve"> </v>
      </c>
      <c r="T69" s="11" t="str">
        <f t="shared" si="32"/>
        <v xml:space="preserve"> </v>
      </c>
      <c r="U69" s="14" t="str">
        <f t="shared" si="36"/>
        <v xml:space="preserve"> </v>
      </c>
      <c r="V69" s="12" t="str">
        <f t="shared" si="33"/>
        <v xml:space="preserve"> </v>
      </c>
      <c r="W69" s="53" t="str">
        <f t="shared" si="37"/>
        <v xml:space="preserve"> </v>
      </c>
      <c r="X69" s="12" t="str">
        <f t="shared" si="34"/>
        <v xml:space="preserve"> </v>
      </c>
      <c r="Y69" s="12" t="str">
        <f ca="1">IFERROR(IF(TEXT($H$4,"DDMMAAAA")=TEXT($K68,"DDMMAAAA"),SUM($Y$2:INDIRECT(ADDRESS(ROW(Y68),COLUMN(Y68)))),$H$8/M69*U69)," ")</f>
        <v xml:space="preserve"> </v>
      </c>
      <c r="Z69" s="51" t="str">
        <f ca="1">IFERROR(IF(TEXT($H$4,"DDMMAAAA")=TEXT($K68,"DDMMAAAA"),SUM($Y$2:INDIRECT(ADDRESS(ROW(Z68),COLUMN(Z68)))),$H$8/M69*R69)," ")</f>
        <v xml:space="preserve"> </v>
      </c>
      <c r="AA69" s="12" t="str">
        <f ca="1">IFERROR(IF(TEXT($H$4,"DDMMAAAA")=TEXT($K68,"DDMMAAAA"),SUM($AA$2:INDIRECT(ADDRESS(ROW(AA68),COLUMN(AA68)))),$H$8/M69*S69)," ")</f>
        <v xml:space="preserve"> </v>
      </c>
      <c r="AB69" s="12" t="str">
        <f ca="1">IFERROR(IF(TEXT($H$4,"DDMMAAAA")=TEXT($K68,"DDMMAAAA"),SUM($AB$2:INDIRECT(ADDRESS(ROW(AB68),COLUMN(AB68)))),$H$8/M69*V69)," ")</f>
        <v xml:space="preserve"> </v>
      </c>
      <c r="AC69" s="12" t="str">
        <f ca="1">IFERROR(IF(TEXT($H$4,"DDMMAAAA")=TEXT($K68,"DDMMAAAA"),SUM($AC$2:INDIRECT(ADDRESS(ROW(AC68),COLUMN(AC68)))),IF(SUM(Y69:AB69)=0,"",SUM(Y69:AB69)))," ")</f>
        <v/>
      </c>
      <c r="AE69">
        <v>201808</v>
      </c>
      <c r="AF69">
        <v>3.1</v>
      </c>
    </row>
    <row r="70" spans="10:32" x14ac:dyDescent="0.4">
      <c r="J70" s="19" t="str">
        <f t="shared" si="35"/>
        <v/>
      </c>
      <c r="K70" s="19" t="str">
        <f t="shared" si="27"/>
        <v xml:space="preserve"> </v>
      </c>
      <c r="L70" s="13" t="str">
        <f t="shared" si="14"/>
        <v xml:space="preserve"> </v>
      </c>
      <c r="M70" s="9" t="str">
        <f t="shared" si="26"/>
        <v xml:space="preserve"> </v>
      </c>
      <c r="N70" s="46" t="str">
        <f t="shared" si="28"/>
        <v xml:space="preserve"> </v>
      </c>
      <c r="O70" s="46" t="str">
        <f t="shared" si="29"/>
        <v xml:space="preserve"> </v>
      </c>
      <c r="P70" s="14" t="str">
        <f>IFERROR(IF(VLOOKUP(INT(TEXT(K70,"AAAA")),Tabla3[[AÑO]:[SALARIO 
MENSUAL]],2,0)*2&lt;$H$2,0,IFERROR(VLOOKUP(INT(TEXT(K70,"AAAA")),Tabla3[[AÑO]:[SALARIO 
MENSUAL]],2,0)," "))/30*L70," ")</f>
        <v xml:space="preserve"> </v>
      </c>
      <c r="Q70" s="14" t="str">
        <f>IFERROR(IF(VLOOKUP(INT(TEXT(K70,"AAAA")),Tabla3[[AÑO]:[SALARIO 
MENSUAL]],4,0)*2&lt;$H$2,$H$2,VLOOKUP(INT(TEXT(K70,"AAAA")),Tabla3[[AÑO]:[SALARIO 
MENSUAL]],4,0))/30*L70+$H$14+P70," ")</f>
        <v xml:space="preserve"> </v>
      </c>
      <c r="R70" s="12" t="str">
        <f t="shared" si="30"/>
        <v xml:space="preserve"> </v>
      </c>
      <c r="S70" s="12" t="str">
        <f t="shared" si="31"/>
        <v xml:space="preserve"> </v>
      </c>
      <c r="T70" s="11" t="str">
        <f t="shared" si="32"/>
        <v xml:space="preserve"> </v>
      </c>
      <c r="U70" s="14" t="str">
        <f t="shared" si="36"/>
        <v xml:space="preserve"> </v>
      </c>
      <c r="V70" s="12" t="str">
        <f t="shared" si="33"/>
        <v xml:space="preserve"> </v>
      </c>
      <c r="W70" s="53" t="str">
        <f t="shared" si="37"/>
        <v xml:space="preserve"> </v>
      </c>
      <c r="X70" s="12" t="str">
        <f t="shared" si="34"/>
        <v xml:space="preserve"> </v>
      </c>
      <c r="Y70" s="12" t="str">
        <f ca="1">IFERROR(IF(TEXT($H$4,"DDMMAAAA")=TEXT($K69,"DDMMAAAA"),SUM($Y$2:INDIRECT(ADDRESS(ROW(Y69),COLUMN(Y69)))),$H$8/M70*U70)," ")</f>
        <v xml:space="preserve"> </v>
      </c>
      <c r="Z70" s="51" t="str">
        <f ca="1">IFERROR(IF(TEXT($H$4,"DDMMAAAA")=TEXT($K69,"DDMMAAAA"),SUM($Y$2:INDIRECT(ADDRESS(ROW(Z69),COLUMN(Z69)))),$H$8/M70*R70)," ")</f>
        <v xml:space="preserve"> </v>
      </c>
      <c r="AA70" s="12" t="str">
        <f ca="1">IFERROR(IF(TEXT($H$4,"DDMMAAAA")=TEXT($K69,"DDMMAAAA"),SUM($AA$2:INDIRECT(ADDRESS(ROW(AA69),COLUMN(AA69)))),$H$8/M70*S70)," ")</f>
        <v xml:space="preserve"> </v>
      </c>
      <c r="AB70" s="12" t="str">
        <f ca="1">IFERROR(IF(TEXT($H$4,"DDMMAAAA")=TEXT($K69,"DDMMAAAA"),SUM($AB$2:INDIRECT(ADDRESS(ROW(AB69),COLUMN(AB69)))),$H$8/M70*V70)," ")</f>
        <v xml:space="preserve"> </v>
      </c>
      <c r="AC70" s="12" t="str">
        <f ca="1">IFERROR(IF(TEXT($H$4,"DDMMAAAA")=TEXT($K69,"DDMMAAAA"),SUM($AC$2:INDIRECT(ADDRESS(ROW(AC69),COLUMN(AC69)))),IF(SUM(Y70:AB70)=0,"",SUM(Y70:AB70)))," ")</f>
        <v/>
      </c>
      <c r="AE70">
        <v>201807</v>
      </c>
      <c r="AF70">
        <v>3.12</v>
      </c>
    </row>
    <row r="71" spans="10:32" x14ac:dyDescent="0.4">
      <c r="J71" s="19" t="str">
        <f t="shared" si="35"/>
        <v/>
      </c>
      <c r="K71" s="19" t="str">
        <f t="shared" si="27"/>
        <v xml:space="preserve"> </v>
      </c>
      <c r="L71" s="13" t="str">
        <f t="shared" si="14"/>
        <v xml:space="preserve"> </v>
      </c>
      <c r="M71" s="9" t="str">
        <f t="shared" si="26"/>
        <v xml:space="preserve"> </v>
      </c>
      <c r="N71" s="46" t="str">
        <f t="shared" si="28"/>
        <v xml:space="preserve"> </v>
      </c>
      <c r="O71" s="46" t="str">
        <f t="shared" si="29"/>
        <v xml:space="preserve"> </v>
      </c>
      <c r="P71" s="14" t="str">
        <f>IFERROR(IF(VLOOKUP(INT(TEXT(K71,"AAAA")),Tabla3[[AÑO]:[SALARIO 
MENSUAL]],2,0)*2&lt;$H$2,0,IFERROR(VLOOKUP(INT(TEXT(K71,"AAAA")),Tabla3[[AÑO]:[SALARIO 
MENSUAL]],2,0)," "))/30*L71," ")</f>
        <v xml:space="preserve"> </v>
      </c>
      <c r="Q71" s="14" t="str">
        <f>IFERROR(IF(VLOOKUP(INT(TEXT(K71,"AAAA")),Tabla3[[AÑO]:[SALARIO 
MENSUAL]],4,0)*2&lt;$H$2,$H$2,VLOOKUP(INT(TEXT(K71,"AAAA")),Tabla3[[AÑO]:[SALARIO 
MENSUAL]],4,0))/30*L71+$H$14+P71," ")</f>
        <v xml:space="preserve"> </v>
      </c>
      <c r="R71" s="12" t="str">
        <f t="shared" si="30"/>
        <v xml:space="preserve"> </v>
      </c>
      <c r="S71" s="12" t="str">
        <f t="shared" si="31"/>
        <v xml:space="preserve"> </v>
      </c>
      <c r="T71" s="11" t="str">
        <f t="shared" si="32"/>
        <v xml:space="preserve"> </v>
      </c>
      <c r="U71" s="14" t="str">
        <f t="shared" si="36"/>
        <v xml:space="preserve"> </v>
      </c>
      <c r="V71" s="12" t="str">
        <f t="shared" si="33"/>
        <v xml:space="preserve"> </v>
      </c>
      <c r="W71" s="53" t="str">
        <f t="shared" si="37"/>
        <v xml:space="preserve"> </v>
      </c>
      <c r="X71" s="12" t="str">
        <f t="shared" si="34"/>
        <v xml:space="preserve"> </v>
      </c>
      <c r="Y71" s="12" t="str">
        <f ca="1">IFERROR(IF(TEXT($H$4,"DDMMAAAA")=TEXT($K70,"DDMMAAAA"),SUM($Y$2:INDIRECT(ADDRESS(ROW(Y70),COLUMN(Y70)))),$H$8/M71*U71)," ")</f>
        <v xml:space="preserve"> </v>
      </c>
      <c r="Z71" s="51" t="str">
        <f ca="1">IFERROR(IF(TEXT($H$4,"DDMMAAAA")=TEXT($K70,"DDMMAAAA"),SUM($Y$2:INDIRECT(ADDRESS(ROW(Z70),COLUMN(Z70)))),$H$8/M71*R71)," ")</f>
        <v xml:space="preserve"> </v>
      </c>
      <c r="AA71" s="12" t="str">
        <f ca="1">IFERROR(IF(TEXT($H$4,"DDMMAAAA")=TEXT($K70,"DDMMAAAA"),SUM($AA$2:INDIRECT(ADDRESS(ROW(AA70),COLUMN(AA70)))),$H$8/M71*S71)," ")</f>
        <v xml:space="preserve"> </v>
      </c>
      <c r="AB71" s="12" t="str">
        <f ca="1">IFERROR(IF(TEXT($H$4,"DDMMAAAA")=TEXT($K70,"DDMMAAAA"),SUM($AB$2:INDIRECT(ADDRESS(ROW(AB70),COLUMN(AB70)))),$H$8/M71*V71)," ")</f>
        <v xml:space="preserve"> </v>
      </c>
      <c r="AC71" s="12" t="str">
        <f ca="1">IFERROR(IF(TEXT($H$4,"DDMMAAAA")=TEXT($K70,"DDMMAAAA"),SUM($AC$2:INDIRECT(ADDRESS(ROW(AC70),COLUMN(AC70)))),IF(SUM(Y71:AB71)=0,"",SUM(Y71:AB71)))," ")</f>
        <v/>
      </c>
      <c r="AE71">
        <v>201806</v>
      </c>
      <c r="AF71">
        <v>3.2</v>
      </c>
    </row>
    <row r="72" spans="10:32" x14ac:dyDescent="0.4">
      <c r="J72" s="19" t="str">
        <f t="shared" si="35"/>
        <v/>
      </c>
      <c r="K72" s="19" t="str">
        <f t="shared" si="27"/>
        <v xml:space="preserve"> </v>
      </c>
      <c r="L72" s="13" t="str">
        <f t="shared" si="14"/>
        <v xml:space="preserve"> </v>
      </c>
      <c r="M72" s="9" t="str">
        <f t="shared" si="26"/>
        <v xml:space="preserve"> </v>
      </c>
      <c r="N72" s="46" t="str">
        <f t="shared" si="28"/>
        <v xml:space="preserve"> </v>
      </c>
      <c r="O72" s="46" t="str">
        <f t="shared" si="29"/>
        <v xml:space="preserve"> </v>
      </c>
      <c r="P72" s="14" t="str">
        <f>IFERROR(IF(VLOOKUP(INT(TEXT(K72,"AAAA")),Tabla3[[AÑO]:[SALARIO 
MENSUAL]],2,0)*2&lt;$H$2,0,IFERROR(VLOOKUP(INT(TEXT(K72,"AAAA")),Tabla3[[AÑO]:[SALARIO 
MENSUAL]],2,0)," "))/30*L72," ")</f>
        <v xml:space="preserve"> </v>
      </c>
      <c r="Q72" s="14" t="str">
        <f>IFERROR(IF(VLOOKUP(INT(TEXT(K72,"AAAA")),Tabla3[[AÑO]:[SALARIO 
MENSUAL]],4,0)*2&lt;$H$2,$H$2,VLOOKUP(INT(TEXT(K72,"AAAA")),Tabla3[[AÑO]:[SALARIO 
MENSUAL]],4,0))/30*L72+$H$14+P72," ")</f>
        <v xml:space="preserve"> </v>
      </c>
      <c r="R72" s="12" t="str">
        <f t="shared" si="30"/>
        <v xml:space="preserve"> </v>
      </c>
      <c r="S72" s="12" t="str">
        <f t="shared" si="31"/>
        <v xml:space="preserve"> </v>
      </c>
      <c r="T72" s="11" t="str">
        <f t="shared" si="32"/>
        <v xml:space="preserve"> </v>
      </c>
      <c r="U72" s="14" t="str">
        <f t="shared" si="36"/>
        <v xml:space="preserve"> </v>
      </c>
      <c r="V72" s="12" t="str">
        <f t="shared" si="33"/>
        <v xml:space="preserve"> </v>
      </c>
      <c r="W72" s="53" t="str">
        <f t="shared" si="37"/>
        <v xml:space="preserve"> </v>
      </c>
      <c r="X72" s="12" t="str">
        <f t="shared" si="34"/>
        <v xml:space="preserve"> </v>
      </c>
      <c r="Y72" s="12" t="str">
        <f ca="1">IFERROR(IF(TEXT($H$4,"DDMMAAAA")=TEXT($K71,"DDMMAAAA"),SUM($Y$2:INDIRECT(ADDRESS(ROW(Y71),COLUMN(Y71)))),$H$8/M72*U72)," ")</f>
        <v xml:space="preserve"> </v>
      </c>
      <c r="Z72" s="51" t="str">
        <f ca="1">IFERROR(IF(TEXT($H$4,"DDMMAAAA")=TEXT($K71,"DDMMAAAA"),SUM($Y$2:INDIRECT(ADDRESS(ROW(Z71),COLUMN(Z71)))),$H$8/M72*R72)," ")</f>
        <v xml:space="preserve"> </v>
      </c>
      <c r="AA72" s="12" t="str">
        <f ca="1">IFERROR(IF(TEXT($H$4,"DDMMAAAA")=TEXT($K71,"DDMMAAAA"),SUM($AA$2:INDIRECT(ADDRESS(ROW(AA71),COLUMN(AA71)))),$H$8/M72*S72)," ")</f>
        <v xml:space="preserve"> </v>
      </c>
      <c r="AB72" s="12" t="str">
        <f ca="1">IFERROR(IF(TEXT($H$4,"DDMMAAAA")=TEXT($K71,"DDMMAAAA"),SUM($AB$2:INDIRECT(ADDRESS(ROW(AB71),COLUMN(AB71)))),$H$8/M72*V72)," ")</f>
        <v xml:space="preserve"> </v>
      </c>
      <c r="AC72" s="12" t="str">
        <f ca="1">IFERROR(IF(TEXT($H$4,"DDMMAAAA")=TEXT($K71,"DDMMAAAA"),SUM($AC$2:INDIRECT(ADDRESS(ROW(AC71),COLUMN(AC71)))),IF(SUM(Y72:AB72)=0,"",SUM(Y72:AB72)))," ")</f>
        <v/>
      </c>
      <c r="AE72">
        <v>201805</v>
      </c>
      <c r="AF72">
        <v>3.16</v>
      </c>
    </row>
    <row r="73" spans="10:32" x14ac:dyDescent="0.4">
      <c r="J73" s="19" t="str">
        <f t="shared" si="35"/>
        <v/>
      </c>
      <c r="K73" s="19" t="str">
        <f t="shared" si="27"/>
        <v xml:space="preserve"> </v>
      </c>
      <c r="L73" s="13" t="str">
        <f t="shared" ref="L73:L136" si="38">IFERROR(IF(AND(TEXT(J73,"D")="1",TEXT(K73,"DD")=TEXT(EOMONTH(J73,0),"D")),30,K73-J73)," ")</f>
        <v xml:space="preserve"> </v>
      </c>
      <c r="M73" s="9" t="str">
        <f t="shared" si="26"/>
        <v xml:space="preserve"> </v>
      </c>
      <c r="N73" s="46" t="str">
        <f t="shared" si="28"/>
        <v xml:space="preserve"> </v>
      </c>
      <c r="O73" s="46" t="str">
        <f t="shared" si="29"/>
        <v xml:space="preserve"> </v>
      </c>
      <c r="P73" s="14" t="str">
        <f>IFERROR(IF(VLOOKUP(INT(TEXT(K73,"AAAA")),Tabla3[[AÑO]:[SALARIO 
MENSUAL]],2,0)*2&lt;$H$2,0,IFERROR(VLOOKUP(INT(TEXT(K73,"AAAA")),Tabla3[[AÑO]:[SALARIO 
MENSUAL]],2,0)," "))/30*L73," ")</f>
        <v xml:space="preserve"> </v>
      </c>
      <c r="Q73" s="14" t="str">
        <f>IFERROR(IF(VLOOKUP(INT(TEXT(K73,"AAAA")),Tabla3[[AÑO]:[SALARIO 
MENSUAL]],4,0)*2&lt;$H$2,$H$2,VLOOKUP(INT(TEXT(K73,"AAAA")),Tabla3[[AÑO]:[SALARIO 
MENSUAL]],4,0))/30*L73+$H$14+P73," ")</f>
        <v xml:space="preserve"> </v>
      </c>
      <c r="R73" s="12" t="str">
        <f t="shared" si="30"/>
        <v xml:space="preserve"> </v>
      </c>
      <c r="S73" s="12" t="str">
        <f t="shared" si="31"/>
        <v xml:space="preserve"> </v>
      </c>
      <c r="T73" s="11" t="str">
        <f t="shared" si="32"/>
        <v xml:space="preserve"> </v>
      </c>
      <c r="U73" s="14" t="str">
        <f t="shared" si="36"/>
        <v xml:space="preserve"> </v>
      </c>
      <c r="V73" s="12" t="str">
        <f t="shared" si="33"/>
        <v xml:space="preserve"> </v>
      </c>
      <c r="W73" s="53" t="str">
        <f t="shared" si="37"/>
        <v xml:space="preserve"> </v>
      </c>
      <c r="X73" s="12" t="str">
        <f t="shared" si="34"/>
        <v xml:space="preserve"> </v>
      </c>
      <c r="Y73" s="12" t="str">
        <f ca="1">IFERROR(IF(TEXT($H$4,"DDMMAAAA")=TEXT($K72,"DDMMAAAA"),SUM($Y$2:INDIRECT(ADDRESS(ROW(Y72),COLUMN(Y72)))),$H$8/M73*U73)," ")</f>
        <v xml:space="preserve"> </v>
      </c>
      <c r="Z73" s="51" t="str">
        <f ca="1">IFERROR(IF(TEXT($H$4,"DDMMAAAA")=TEXT($K72,"DDMMAAAA"),SUM($Y$2:INDIRECT(ADDRESS(ROW(Z72),COLUMN(Z72)))),$H$8/M73*R73)," ")</f>
        <v xml:space="preserve"> </v>
      </c>
      <c r="AA73" s="12" t="str">
        <f ca="1">IFERROR(IF(TEXT($H$4,"DDMMAAAA")=TEXT($K72,"DDMMAAAA"),SUM($AA$2:INDIRECT(ADDRESS(ROW(AA72),COLUMN(AA72)))),$H$8/M73*S73)," ")</f>
        <v xml:space="preserve"> </v>
      </c>
      <c r="AB73" s="12" t="str">
        <f ca="1">IFERROR(IF(TEXT($H$4,"DDMMAAAA")=TEXT($K72,"DDMMAAAA"),SUM($AB$2:INDIRECT(ADDRESS(ROW(AB72),COLUMN(AB72)))),$H$8/M73*V73)," ")</f>
        <v xml:space="preserve"> </v>
      </c>
      <c r="AC73" s="12" t="str">
        <f ca="1">IFERROR(IF(TEXT($H$4,"DDMMAAAA")=TEXT($K72,"DDMMAAAA"),SUM($AC$2:INDIRECT(ADDRESS(ROW(AC72),COLUMN(AC72)))),IF(SUM(Y73:AB73)=0,"",SUM(Y73:AB73)))," ")</f>
        <v/>
      </c>
      <c r="AE73">
        <v>201804</v>
      </c>
      <c r="AF73">
        <v>3.13</v>
      </c>
    </row>
    <row r="74" spans="10:32" x14ac:dyDescent="0.4">
      <c r="J74" s="19" t="str">
        <f t="shared" si="35"/>
        <v/>
      </c>
      <c r="K74" s="19" t="str">
        <f t="shared" si="27"/>
        <v xml:space="preserve"> </v>
      </c>
      <c r="L74" s="13" t="str">
        <f t="shared" si="38"/>
        <v xml:space="preserve"> </v>
      </c>
      <c r="M74" s="9" t="str">
        <f t="shared" si="26"/>
        <v xml:space="preserve"> </v>
      </c>
      <c r="N74" s="46" t="str">
        <f t="shared" si="28"/>
        <v xml:space="preserve"> </v>
      </c>
      <c r="O74" s="46" t="str">
        <f t="shared" si="29"/>
        <v xml:space="preserve"> </v>
      </c>
      <c r="P74" s="14" t="str">
        <f>IFERROR(IF(VLOOKUP(INT(TEXT(K74,"AAAA")),Tabla3[[AÑO]:[SALARIO 
MENSUAL]],2,0)*2&lt;$H$2,0,IFERROR(VLOOKUP(INT(TEXT(K74,"AAAA")),Tabla3[[AÑO]:[SALARIO 
MENSUAL]],2,0)," "))/30*L74," ")</f>
        <v xml:space="preserve"> </v>
      </c>
      <c r="Q74" s="14" t="str">
        <f>IFERROR(IF(VLOOKUP(INT(TEXT(K74,"AAAA")),Tabla3[[AÑO]:[SALARIO 
MENSUAL]],4,0)*2&lt;$H$2,$H$2,VLOOKUP(INT(TEXT(K74,"AAAA")),Tabla3[[AÑO]:[SALARIO 
MENSUAL]],4,0))/30*L74+$H$14+P74," ")</f>
        <v xml:space="preserve"> </v>
      </c>
      <c r="R74" s="12" t="str">
        <f t="shared" si="30"/>
        <v xml:space="preserve"> </v>
      </c>
      <c r="S74" s="12" t="str">
        <f t="shared" si="31"/>
        <v xml:space="preserve"> </v>
      </c>
      <c r="T74" s="11" t="str">
        <f t="shared" si="32"/>
        <v xml:space="preserve"> </v>
      </c>
      <c r="U74" s="14" t="str">
        <f t="shared" si="36"/>
        <v xml:space="preserve"> </v>
      </c>
      <c r="V74" s="12" t="str">
        <f t="shared" si="33"/>
        <v xml:space="preserve"> </v>
      </c>
      <c r="W74" s="53" t="str">
        <f t="shared" si="37"/>
        <v xml:space="preserve"> </v>
      </c>
      <c r="X74" s="12" t="str">
        <f t="shared" si="34"/>
        <v xml:space="preserve"> </v>
      </c>
      <c r="Y74" s="12" t="str">
        <f ca="1">IFERROR(IF(TEXT($H$4,"DDMMAAAA")=TEXT($K73,"DDMMAAAA"),SUM($Y$2:INDIRECT(ADDRESS(ROW(Y73),COLUMN(Y73)))),$H$8/M74*U74)," ")</f>
        <v xml:space="preserve"> </v>
      </c>
      <c r="Z74" s="51" t="str">
        <f ca="1">IFERROR(IF(TEXT($H$4,"DDMMAAAA")=TEXT($K73,"DDMMAAAA"),SUM($Y$2:INDIRECT(ADDRESS(ROW(Z73),COLUMN(Z73)))),$H$8/M74*R74)," ")</f>
        <v xml:space="preserve"> </v>
      </c>
      <c r="AA74" s="12" t="str">
        <f ca="1">IFERROR(IF(TEXT($H$4,"DDMMAAAA")=TEXT($K73,"DDMMAAAA"),SUM($AA$2:INDIRECT(ADDRESS(ROW(AA73),COLUMN(AA73)))),$H$8/M74*S74)," ")</f>
        <v xml:space="preserve"> </v>
      </c>
      <c r="AB74" s="12" t="str">
        <f ca="1">IFERROR(IF(TEXT($H$4,"DDMMAAAA")=TEXT($K73,"DDMMAAAA"),SUM($AB$2:INDIRECT(ADDRESS(ROW(AB73),COLUMN(AB73)))),$H$8/M74*V74)," ")</f>
        <v xml:space="preserve"> </v>
      </c>
      <c r="AC74" s="12" t="str">
        <f ca="1">IFERROR(IF(TEXT($H$4,"DDMMAAAA")=TEXT($K73,"DDMMAAAA"),SUM($AC$2:INDIRECT(ADDRESS(ROW(AC73),COLUMN(AC73)))),IF(SUM(Y74:AB74)=0,"",SUM(Y74:AB74)))," ")</f>
        <v/>
      </c>
      <c r="AE74">
        <v>201803</v>
      </c>
      <c r="AF74">
        <v>3.14</v>
      </c>
    </row>
    <row r="75" spans="10:32" x14ac:dyDescent="0.4">
      <c r="J75" s="19" t="str">
        <f t="shared" si="35"/>
        <v/>
      </c>
      <c r="K75" s="19" t="str">
        <f t="shared" si="27"/>
        <v xml:space="preserve"> </v>
      </c>
      <c r="L75" s="13" t="str">
        <f t="shared" si="38"/>
        <v xml:space="preserve"> </v>
      </c>
      <c r="M75" s="9" t="str">
        <f t="shared" si="26"/>
        <v xml:space="preserve"> </v>
      </c>
      <c r="N75" s="46" t="str">
        <f t="shared" si="28"/>
        <v xml:space="preserve"> </v>
      </c>
      <c r="O75" s="46" t="str">
        <f t="shared" si="29"/>
        <v xml:space="preserve"> </v>
      </c>
      <c r="P75" s="14" t="str">
        <f>IFERROR(IF(VLOOKUP(INT(TEXT(K75,"AAAA")),Tabla3[[AÑO]:[SALARIO 
MENSUAL]],2,0)*2&lt;$H$2,0,IFERROR(VLOOKUP(INT(TEXT(K75,"AAAA")),Tabla3[[AÑO]:[SALARIO 
MENSUAL]],2,0)," "))/30*L75," ")</f>
        <v xml:space="preserve"> </v>
      </c>
      <c r="Q75" s="14" t="str">
        <f>IFERROR(IF(VLOOKUP(INT(TEXT(K75,"AAAA")),Tabla3[[AÑO]:[SALARIO 
MENSUAL]],4,0)*2&lt;$H$2,$H$2,VLOOKUP(INT(TEXT(K75,"AAAA")),Tabla3[[AÑO]:[SALARIO 
MENSUAL]],4,0))/30*L75+$H$14+P75," ")</f>
        <v xml:space="preserve"> </v>
      </c>
      <c r="R75" s="12" t="str">
        <f t="shared" si="30"/>
        <v xml:space="preserve"> </v>
      </c>
      <c r="S75" s="12" t="str">
        <f t="shared" si="31"/>
        <v xml:space="preserve"> </v>
      </c>
      <c r="T75" s="11" t="str">
        <f t="shared" si="32"/>
        <v xml:space="preserve"> </v>
      </c>
      <c r="U75" s="14" t="str">
        <f t="shared" si="36"/>
        <v xml:space="preserve"> </v>
      </c>
      <c r="V75" s="12" t="str">
        <f t="shared" si="33"/>
        <v xml:space="preserve"> </v>
      </c>
      <c r="W75" s="53" t="str">
        <f t="shared" si="37"/>
        <v xml:space="preserve"> </v>
      </c>
      <c r="X75" s="12" t="str">
        <f t="shared" si="34"/>
        <v xml:space="preserve"> </v>
      </c>
      <c r="Y75" s="12" t="str">
        <f ca="1">IFERROR(IF(TEXT($H$4,"DDMMAAAA")=TEXT($K74,"DDMMAAAA"),SUM($Y$2:INDIRECT(ADDRESS(ROW(Y74),COLUMN(Y74)))),$H$8/M75*U75)," ")</f>
        <v xml:space="preserve"> </v>
      </c>
      <c r="Z75" s="51" t="str">
        <f ca="1">IFERROR(IF(TEXT($H$4,"DDMMAAAA")=TEXT($K74,"DDMMAAAA"),SUM($Y$2:INDIRECT(ADDRESS(ROW(Z74),COLUMN(Z74)))),$H$8/M75*R75)," ")</f>
        <v xml:space="preserve"> </v>
      </c>
      <c r="AA75" s="12" t="str">
        <f ca="1">IFERROR(IF(TEXT($H$4,"DDMMAAAA")=TEXT($K74,"DDMMAAAA"),SUM($AA$2:INDIRECT(ADDRESS(ROW(AA74),COLUMN(AA74)))),$H$8/M75*S75)," ")</f>
        <v xml:space="preserve"> </v>
      </c>
      <c r="AB75" s="12" t="str">
        <f ca="1">IFERROR(IF(TEXT($H$4,"DDMMAAAA")=TEXT($K74,"DDMMAAAA"),SUM($AB$2:INDIRECT(ADDRESS(ROW(AB74),COLUMN(AB74)))),$H$8/M75*V75)," ")</f>
        <v xml:space="preserve"> </v>
      </c>
      <c r="AC75" s="12" t="str">
        <f ca="1">IFERROR(IF(TEXT($H$4,"DDMMAAAA")=TEXT($K74,"DDMMAAAA"),SUM($AC$2:INDIRECT(ADDRESS(ROW(AC74),COLUMN(AC74)))),IF(SUM(Y75:AB75)=0,"",SUM(Y75:AB75)))," ")</f>
        <v/>
      </c>
      <c r="AE75">
        <v>201802</v>
      </c>
      <c r="AF75">
        <v>3.37</v>
      </c>
    </row>
    <row r="76" spans="10:32" x14ac:dyDescent="0.4">
      <c r="J76" s="19" t="str">
        <f t="shared" si="35"/>
        <v/>
      </c>
      <c r="K76" s="19" t="str">
        <f t="shared" si="27"/>
        <v xml:space="preserve"> </v>
      </c>
      <c r="L76" s="13" t="str">
        <f t="shared" si="38"/>
        <v xml:space="preserve"> </v>
      </c>
      <c r="M76" s="9" t="str">
        <f t="shared" si="26"/>
        <v xml:space="preserve"> </v>
      </c>
      <c r="N76" s="46" t="str">
        <f t="shared" si="28"/>
        <v xml:space="preserve"> </v>
      </c>
      <c r="O76" s="46" t="str">
        <f t="shared" si="29"/>
        <v xml:space="preserve"> </v>
      </c>
      <c r="P76" s="14" t="str">
        <f>IFERROR(IF(VLOOKUP(INT(TEXT(K76,"AAAA")),Tabla3[[AÑO]:[SALARIO 
MENSUAL]],2,0)*2&lt;$H$2,0,IFERROR(VLOOKUP(INT(TEXT(K76,"AAAA")),Tabla3[[AÑO]:[SALARIO 
MENSUAL]],2,0)," "))/30*L76," ")</f>
        <v xml:space="preserve"> </v>
      </c>
      <c r="Q76" s="14" t="str">
        <f>IFERROR(IF(VLOOKUP(INT(TEXT(K76,"AAAA")),Tabla3[[AÑO]:[SALARIO 
MENSUAL]],4,0)*2&lt;$H$2,$H$2,VLOOKUP(INT(TEXT(K76,"AAAA")),Tabla3[[AÑO]:[SALARIO 
MENSUAL]],4,0))/30*L76+$H$14+P76," ")</f>
        <v xml:space="preserve"> </v>
      </c>
      <c r="R76" s="12" t="str">
        <f t="shared" si="30"/>
        <v xml:space="preserve"> </v>
      </c>
      <c r="S76" s="12" t="str">
        <f t="shared" si="31"/>
        <v xml:space="preserve"> </v>
      </c>
      <c r="T76" s="11" t="str">
        <f t="shared" si="32"/>
        <v xml:space="preserve"> </v>
      </c>
      <c r="U76" s="14" t="str">
        <f t="shared" si="36"/>
        <v xml:space="preserve"> </v>
      </c>
      <c r="V76" s="12" t="str">
        <f t="shared" si="33"/>
        <v xml:space="preserve"> </v>
      </c>
      <c r="W76" s="53" t="str">
        <f t="shared" si="37"/>
        <v xml:space="preserve"> </v>
      </c>
      <c r="X76" s="12" t="str">
        <f t="shared" si="34"/>
        <v xml:space="preserve"> </v>
      </c>
      <c r="Y76" s="12" t="str">
        <f ca="1">IFERROR(IF(TEXT($H$4,"DDMMAAAA")=TEXT($K75,"DDMMAAAA"),SUM($Y$2:INDIRECT(ADDRESS(ROW(Y75),COLUMN(Y75)))),$H$8/M76*U76)," ")</f>
        <v xml:space="preserve"> </v>
      </c>
      <c r="Z76" s="51" t="str">
        <f ca="1">IFERROR(IF(TEXT($H$4,"DDMMAAAA")=TEXT($K75,"DDMMAAAA"),SUM($Y$2:INDIRECT(ADDRESS(ROW(Z75),COLUMN(Z75)))),$H$8/M76*R76)," ")</f>
        <v xml:space="preserve"> </v>
      </c>
      <c r="AA76" s="12" t="str">
        <f ca="1">IFERROR(IF(TEXT($H$4,"DDMMAAAA")=TEXT($K75,"DDMMAAAA"),SUM($AA$2:INDIRECT(ADDRESS(ROW(AA75),COLUMN(AA75)))),$H$8/M76*S76)," ")</f>
        <v xml:space="preserve"> </v>
      </c>
      <c r="AB76" s="12" t="str">
        <f ca="1">IFERROR(IF(TEXT($H$4,"DDMMAAAA")=TEXT($K75,"DDMMAAAA"),SUM($AB$2:INDIRECT(ADDRESS(ROW(AB75),COLUMN(AB75)))),$H$8/M76*V76)," ")</f>
        <v xml:space="preserve"> </v>
      </c>
      <c r="AC76" s="12" t="str">
        <f ca="1">IFERROR(IF(TEXT($H$4,"DDMMAAAA")=TEXT($K75,"DDMMAAAA"),SUM($AC$2:INDIRECT(ADDRESS(ROW(AC75),COLUMN(AC75)))),IF(SUM(Y76:AB76)=0,"",SUM(Y76:AB76)))," ")</f>
        <v/>
      </c>
      <c r="AE76">
        <v>201801</v>
      </c>
      <c r="AF76">
        <v>3.68</v>
      </c>
    </row>
    <row r="77" spans="10:32" x14ac:dyDescent="0.4">
      <c r="J77" s="19" t="str">
        <f t="shared" si="35"/>
        <v/>
      </c>
      <c r="K77" s="19" t="str">
        <f t="shared" si="27"/>
        <v xml:space="preserve"> </v>
      </c>
      <c r="L77" s="13" t="str">
        <f t="shared" si="38"/>
        <v xml:space="preserve"> </v>
      </c>
      <c r="M77" s="9" t="str">
        <f t="shared" si="26"/>
        <v xml:space="preserve"> </v>
      </c>
      <c r="N77" s="46" t="str">
        <f t="shared" si="28"/>
        <v xml:space="preserve"> </v>
      </c>
      <c r="O77" s="46" t="str">
        <f t="shared" si="29"/>
        <v xml:space="preserve"> </v>
      </c>
      <c r="P77" s="14" t="str">
        <f>IFERROR(IF(VLOOKUP(INT(TEXT(K77,"AAAA")),Tabla3[[AÑO]:[SALARIO 
MENSUAL]],2,0)*2&lt;$H$2,0,IFERROR(VLOOKUP(INT(TEXT(K77,"AAAA")),Tabla3[[AÑO]:[SALARIO 
MENSUAL]],2,0)," "))/30*L77," ")</f>
        <v xml:space="preserve"> </v>
      </c>
      <c r="Q77" s="14" t="str">
        <f>IFERROR(IF(VLOOKUP(INT(TEXT(K77,"AAAA")),Tabla3[[AÑO]:[SALARIO 
MENSUAL]],4,0)*2&lt;$H$2,$H$2,VLOOKUP(INT(TEXT(K77,"AAAA")),Tabla3[[AÑO]:[SALARIO 
MENSUAL]],4,0))/30*L77+$H$14+P77," ")</f>
        <v xml:space="preserve"> </v>
      </c>
      <c r="R77" s="12" t="str">
        <f t="shared" si="30"/>
        <v xml:space="preserve"> </v>
      </c>
      <c r="S77" s="12" t="str">
        <f t="shared" si="31"/>
        <v xml:space="preserve"> </v>
      </c>
      <c r="T77" s="11" t="str">
        <f t="shared" si="32"/>
        <v xml:space="preserve"> </v>
      </c>
      <c r="U77" s="14" t="str">
        <f t="shared" si="36"/>
        <v xml:space="preserve"> </v>
      </c>
      <c r="V77" s="12" t="str">
        <f t="shared" si="33"/>
        <v xml:space="preserve"> </v>
      </c>
      <c r="W77" s="53" t="str">
        <f t="shared" si="37"/>
        <v xml:space="preserve"> </v>
      </c>
      <c r="X77" s="12" t="str">
        <f t="shared" si="34"/>
        <v xml:space="preserve"> </v>
      </c>
      <c r="Y77" s="12" t="str">
        <f ca="1">IFERROR(IF(TEXT($H$4,"DDMMAAAA")=TEXT($K76,"DDMMAAAA"),SUM($Y$2:INDIRECT(ADDRESS(ROW(Y76),COLUMN(Y76)))),$H$8/M77*U77)," ")</f>
        <v xml:space="preserve"> </v>
      </c>
      <c r="Z77" s="51" t="str">
        <f ca="1">IFERROR(IF(TEXT($H$4,"DDMMAAAA")=TEXT($K76,"DDMMAAAA"),SUM($Y$2:INDIRECT(ADDRESS(ROW(Z76),COLUMN(Z76)))),$H$8/M77*R77)," ")</f>
        <v xml:space="preserve"> </v>
      </c>
      <c r="AA77" s="12" t="str">
        <f ca="1">IFERROR(IF(TEXT($H$4,"DDMMAAAA")=TEXT($K76,"DDMMAAAA"),SUM($AA$2:INDIRECT(ADDRESS(ROW(AA76),COLUMN(AA76)))),$H$8/M77*S77)," ")</f>
        <v xml:space="preserve"> </v>
      </c>
      <c r="AB77" s="12" t="str">
        <f ca="1">IFERROR(IF(TEXT($H$4,"DDMMAAAA")=TEXT($K76,"DDMMAAAA"),SUM($AB$2:INDIRECT(ADDRESS(ROW(AB76),COLUMN(AB76)))),$H$8/M77*V77)," ")</f>
        <v xml:space="preserve"> </v>
      </c>
      <c r="AC77" s="12" t="str">
        <f ca="1">IFERROR(IF(TEXT($H$4,"DDMMAAAA")=TEXT($K76,"DDMMAAAA"),SUM($AC$2:INDIRECT(ADDRESS(ROW(AC76),COLUMN(AC76)))),IF(SUM(Y77:AB77)=0,"",SUM(Y77:AB77)))," ")</f>
        <v/>
      </c>
      <c r="AE77">
        <v>201712</v>
      </c>
      <c r="AF77">
        <v>4.09</v>
      </c>
    </row>
    <row r="78" spans="10:32" x14ac:dyDescent="0.4">
      <c r="J78" s="19" t="str">
        <f t="shared" si="35"/>
        <v/>
      </c>
      <c r="K78" s="19" t="str">
        <f t="shared" si="27"/>
        <v xml:space="preserve"> </v>
      </c>
      <c r="L78" s="13" t="str">
        <f t="shared" si="38"/>
        <v xml:space="preserve"> </v>
      </c>
      <c r="M78" s="9" t="str">
        <f t="shared" si="26"/>
        <v xml:space="preserve"> </v>
      </c>
      <c r="N78" s="46" t="str">
        <f t="shared" si="28"/>
        <v xml:space="preserve"> </v>
      </c>
      <c r="O78" s="46" t="str">
        <f t="shared" si="29"/>
        <v xml:space="preserve"> </v>
      </c>
      <c r="P78" s="14" t="str">
        <f>IFERROR(IF(VLOOKUP(INT(TEXT(K78,"AAAA")),Tabla3[[AÑO]:[SALARIO 
MENSUAL]],2,0)*2&lt;$H$2,0,IFERROR(VLOOKUP(INT(TEXT(K78,"AAAA")),Tabla3[[AÑO]:[SALARIO 
MENSUAL]],2,0)," "))/30*L78," ")</f>
        <v xml:space="preserve"> </v>
      </c>
      <c r="Q78" s="14" t="str">
        <f>IFERROR(IF(VLOOKUP(INT(TEXT(K78,"AAAA")),Tabla3[[AÑO]:[SALARIO 
MENSUAL]],4,0)*2&lt;$H$2,$H$2,VLOOKUP(INT(TEXT(K78,"AAAA")),Tabla3[[AÑO]:[SALARIO 
MENSUAL]],4,0))/30*L78+$H$14+P78," ")</f>
        <v xml:space="preserve"> </v>
      </c>
      <c r="R78" s="12" t="str">
        <f t="shared" si="30"/>
        <v xml:space="preserve"> </v>
      </c>
      <c r="S78" s="12" t="str">
        <f t="shared" si="31"/>
        <v xml:space="preserve"> </v>
      </c>
      <c r="T78" s="11" t="str">
        <f t="shared" si="32"/>
        <v xml:space="preserve"> </v>
      </c>
      <c r="U78" s="14" t="str">
        <f t="shared" si="36"/>
        <v xml:space="preserve"> </v>
      </c>
      <c r="V78" s="12" t="str">
        <f t="shared" si="33"/>
        <v xml:space="preserve"> </v>
      </c>
      <c r="W78" s="53" t="str">
        <f t="shared" si="37"/>
        <v xml:space="preserve"> </v>
      </c>
      <c r="X78" s="12" t="str">
        <f t="shared" si="34"/>
        <v xml:space="preserve"> </v>
      </c>
      <c r="Y78" s="12" t="str">
        <f ca="1">IFERROR(IF(TEXT($H$4,"DDMMAAAA")=TEXT($K77,"DDMMAAAA"),SUM($Y$2:INDIRECT(ADDRESS(ROW(Y77),COLUMN(Y77)))),$H$8/M78*U78)," ")</f>
        <v xml:space="preserve"> </v>
      </c>
      <c r="Z78" s="51" t="str">
        <f ca="1">IFERROR(IF(TEXT($H$4,"DDMMAAAA")=TEXT($K77,"DDMMAAAA"),SUM($Y$2:INDIRECT(ADDRESS(ROW(Z77),COLUMN(Z77)))),$H$8/M78*R78)," ")</f>
        <v xml:space="preserve"> </v>
      </c>
      <c r="AA78" s="12" t="str">
        <f ca="1">IFERROR(IF(TEXT($H$4,"DDMMAAAA")=TEXT($K77,"DDMMAAAA"),SUM($AA$2:INDIRECT(ADDRESS(ROW(AA77),COLUMN(AA77)))),$H$8/M78*S78)," ")</f>
        <v xml:space="preserve"> </v>
      </c>
      <c r="AB78" s="12" t="str">
        <f ca="1">IFERROR(IF(TEXT($H$4,"DDMMAAAA")=TEXT($K77,"DDMMAAAA"),SUM($AB$2:INDIRECT(ADDRESS(ROW(AB77),COLUMN(AB77)))),$H$8/M78*V78)," ")</f>
        <v xml:space="preserve"> </v>
      </c>
      <c r="AC78" s="12" t="str">
        <f ca="1">IFERROR(IF(TEXT($H$4,"DDMMAAAA")=TEXT($K77,"DDMMAAAA"),SUM($AC$2:INDIRECT(ADDRESS(ROW(AC77),COLUMN(AC77)))),IF(SUM(Y78:AB78)=0,"",SUM(Y78:AB78)))," ")</f>
        <v/>
      </c>
      <c r="AE78">
        <v>201711</v>
      </c>
      <c r="AF78">
        <v>4.12</v>
      </c>
    </row>
    <row r="79" spans="10:32" x14ac:dyDescent="0.4">
      <c r="J79" s="19" t="str">
        <f t="shared" si="35"/>
        <v/>
      </c>
      <c r="K79" s="19" t="str">
        <f t="shared" si="27"/>
        <v xml:space="preserve"> </v>
      </c>
      <c r="L79" s="13" t="str">
        <f t="shared" si="38"/>
        <v xml:space="preserve"> </v>
      </c>
      <c r="M79" s="9" t="str">
        <f t="shared" si="26"/>
        <v xml:space="preserve"> </v>
      </c>
      <c r="N79" s="46" t="str">
        <f t="shared" si="28"/>
        <v xml:space="preserve"> </v>
      </c>
      <c r="O79" s="46" t="str">
        <f t="shared" si="29"/>
        <v xml:space="preserve"> </v>
      </c>
      <c r="P79" s="14" t="str">
        <f>IFERROR(IF(VLOOKUP(INT(TEXT(K79,"AAAA")),Tabla3[[AÑO]:[SALARIO 
MENSUAL]],2,0)*2&lt;$H$2,0,IFERROR(VLOOKUP(INT(TEXT(K79,"AAAA")),Tabla3[[AÑO]:[SALARIO 
MENSUAL]],2,0)," "))/30*L79," ")</f>
        <v xml:space="preserve"> </v>
      </c>
      <c r="Q79" s="14" t="str">
        <f>IFERROR(IF(VLOOKUP(INT(TEXT(K79,"AAAA")),Tabla3[[AÑO]:[SALARIO 
MENSUAL]],4,0)*2&lt;$H$2,$H$2,VLOOKUP(INT(TEXT(K79,"AAAA")),Tabla3[[AÑO]:[SALARIO 
MENSUAL]],4,0))/30*L79+$H$14+P79," ")</f>
        <v xml:space="preserve"> </v>
      </c>
      <c r="R79" s="12" t="str">
        <f t="shared" si="30"/>
        <v xml:space="preserve"> </v>
      </c>
      <c r="S79" s="12" t="str">
        <f t="shared" si="31"/>
        <v xml:space="preserve"> </v>
      </c>
      <c r="T79" s="11" t="str">
        <f t="shared" si="32"/>
        <v xml:space="preserve"> </v>
      </c>
      <c r="U79" s="14" t="str">
        <f t="shared" si="36"/>
        <v xml:space="preserve"> </v>
      </c>
      <c r="V79" s="12" t="str">
        <f t="shared" si="33"/>
        <v xml:space="preserve"> </v>
      </c>
      <c r="W79" s="53" t="str">
        <f t="shared" si="37"/>
        <v xml:space="preserve"> </v>
      </c>
      <c r="X79" s="12" t="str">
        <f t="shared" si="34"/>
        <v xml:space="preserve"> </v>
      </c>
      <c r="Y79" s="12" t="str">
        <f ca="1">IFERROR(IF(TEXT($H$4,"DDMMAAAA")=TEXT($K78,"DDMMAAAA"),SUM($Y$2:INDIRECT(ADDRESS(ROW(Y78),COLUMN(Y78)))),$H$8/M79*U79)," ")</f>
        <v xml:space="preserve"> </v>
      </c>
      <c r="Z79" s="51" t="str">
        <f ca="1">IFERROR(IF(TEXT($H$4,"DDMMAAAA")=TEXT($K78,"DDMMAAAA"),SUM($Y$2:INDIRECT(ADDRESS(ROW(Z78),COLUMN(Z78)))),$H$8/M79*R79)," ")</f>
        <v xml:space="preserve"> </v>
      </c>
      <c r="AA79" s="12" t="str">
        <f ca="1">IFERROR(IF(TEXT($H$4,"DDMMAAAA")=TEXT($K78,"DDMMAAAA"),SUM($AA$2:INDIRECT(ADDRESS(ROW(AA78),COLUMN(AA78)))),$H$8/M79*S79)," ")</f>
        <v xml:space="preserve"> </v>
      </c>
      <c r="AB79" s="12" t="str">
        <f ca="1">IFERROR(IF(TEXT($H$4,"DDMMAAAA")=TEXT($K78,"DDMMAAAA"),SUM($AB$2:INDIRECT(ADDRESS(ROW(AB78),COLUMN(AB78)))),$H$8/M79*V79)," ")</f>
        <v xml:space="preserve"> </v>
      </c>
      <c r="AC79" s="12" t="str">
        <f ca="1">IFERROR(IF(TEXT($H$4,"DDMMAAAA")=TEXT($K78,"DDMMAAAA"),SUM($AC$2:INDIRECT(ADDRESS(ROW(AC78),COLUMN(AC78)))),IF(SUM(Y79:AB79)=0,"",SUM(Y79:AB79)))," ")</f>
        <v/>
      </c>
      <c r="AE79">
        <v>201710</v>
      </c>
      <c r="AF79">
        <v>4.05</v>
      </c>
    </row>
    <row r="80" spans="10:32" x14ac:dyDescent="0.4">
      <c r="J80" s="19" t="str">
        <f t="shared" si="35"/>
        <v/>
      </c>
      <c r="K80" s="19" t="str">
        <f t="shared" si="27"/>
        <v xml:space="preserve"> </v>
      </c>
      <c r="L80" s="13" t="str">
        <f t="shared" si="38"/>
        <v xml:space="preserve"> </v>
      </c>
      <c r="M80" s="9" t="str">
        <f t="shared" si="26"/>
        <v xml:space="preserve"> </v>
      </c>
      <c r="N80" s="46" t="str">
        <f t="shared" si="28"/>
        <v xml:space="preserve"> </v>
      </c>
      <c r="O80" s="46" t="str">
        <f t="shared" si="29"/>
        <v xml:space="preserve"> </v>
      </c>
      <c r="P80" s="14" t="str">
        <f>IFERROR(IF(VLOOKUP(INT(TEXT(K80,"AAAA")),Tabla3[[AÑO]:[SALARIO 
MENSUAL]],2,0)*2&lt;$H$2,0,IFERROR(VLOOKUP(INT(TEXT(K80,"AAAA")),Tabla3[[AÑO]:[SALARIO 
MENSUAL]],2,0)," "))/30*L80," ")</f>
        <v xml:space="preserve"> </v>
      </c>
      <c r="Q80" s="14" t="str">
        <f>IFERROR(IF(VLOOKUP(INT(TEXT(K80,"AAAA")),Tabla3[[AÑO]:[SALARIO 
MENSUAL]],4,0)*2&lt;$H$2,$H$2,VLOOKUP(INT(TEXT(K80,"AAAA")),Tabla3[[AÑO]:[SALARIO 
MENSUAL]],4,0))/30*L80+$H$14+P80," ")</f>
        <v xml:space="preserve"> </v>
      </c>
      <c r="R80" s="12" t="str">
        <f t="shared" si="30"/>
        <v xml:space="preserve"> </v>
      </c>
      <c r="S80" s="12" t="str">
        <f t="shared" si="31"/>
        <v xml:space="preserve"> </v>
      </c>
      <c r="T80" s="11" t="str">
        <f t="shared" si="32"/>
        <v xml:space="preserve"> </v>
      </c>
      <c r="U80" s="14" t="str">
        <f t="shared" si="36"/>
        <v xml:space="preserve"> </v>
      </c>
      <c r="V80" s="12" t="str">
        <f t="shared" si="33"/>
        <v xml:space="preserve"> </v>
      </c>
      <c r="W80" s="53" t="str">
        <f t="shared" si="37"/>
        <v xml:space="preserve"> </v>
      </c>
      <c r="X80" s="12" t="str">
        <f t="shared" si="34"/>
        <v xml:space="preserve"> </v>
      </c>
      <c r="Y80" s="12" t="str">
        <f ca="1">IFERROR(IF(TEXT($H$4,"DDMMAAAA")=TEXT($K79,"DDMMAAAA"),SUM($Y$2:INDIRECT(ADDRESS(ROW(Y79),COLUMN(Y79)))),$H$8/M80*U80)," ")</f>
        <v xml:space="preserve"> </v>
      </c>
      <c r="Z80" s="51" t="str">
        <f ca="1">IFERROR(IF(TEXT($H$4,"DDMMAAAA")=TEXT($K79,"DDMMAAAA"),SUM($Y$2:INDIRECT(ADDRESS(ROW(Z79),COLUMN(Z79)))),$H$8/M80*R80)," ")</f>
        <v xml:space="preserve"> </v>
      </c>
      <c r="AA80" s="12" t="str">
        <f ca="1">IFERROR(IF(TEXT($H$4,"DDMMAAAA")=TEXT($K79,"DDMMAAAA"),SUM($AA$2:INDIRECT(ADDRESS(ROW(AA79),COLUMN(AA79)))),$H$8/M80*S80)," ")</f>
        <v xml:space="preserve"> </v>
      </c>
      <c r="AB80" s="12" t="str">
        <f ca="1">IFERROR(IF(TEXT($H$4,"DDMMAAAA")=TEXT($K79,"DDMMAAAA"),SUM($AB$2:INDIRECT(ADDRESS(ROW(AB79),COLUMN(AB79)))),$H$8/M80*V80)," ")</f>
        <v xml:space="preserve"> </v>
      </c>
      <c r="AC80" s="12" t="str">
        <f ca="1">IFERROR(IF(TEXT($H$4,"DDMMAAAA")=TEXT($K79,"DDMMAAAA"),SUM($AC$2:INDIRECT(ADDRESS(ROW(AC79),COLUMN(AC79)))),IF(SUM(Y80:AB80)=0,"",SUM(Y80:AB80)))," ")</f>
        <v/>
      </c>
      <c r="AE80">
        <v>201709</v>
      </c>
      <c r="AF80">
        <v>3.97</v>
      </c>
    </row>
    <row r="81" spans="10:32" x14ac:dyDescent="0.4">
      <c r="J81" s="19" t="str">
        <f t="shared" si="35"/>
        <v/>
      </c>
      <c r="K81" s="19" t="str">
        <f t="shared" si="27"/>
        <v xml:space="preserve"> </v>
      </c>
      <c r="L81" s="13" t="str">
        <f t="shared" si="38"/>
        <v xml:space="preserve"> </v>
      </c>
      <c r="M81" s="9" t="str">
        <f t="shared" si="26"/>
        <v xml:space="preserve"> </v>
      </c>
      <c r="N81" s="46" t="str">
        <f t="shared" si="28"/>
        <v xml:space="preserve"> </v>
      </c>
      <c r="O81" s="46" t="str">
        <f t="shared" si="29"/>
        <v xml:space="preserve"> </v>
      </c>
      <c r="P81" s="14" t="str">
        <f>IFERROR(IF(VLOOKUP(INT(TEXT(K81,"AAAA")),Tabla3[[AÑO]:[SALARIO 
MENSUAL]],2,0)*2&lt;$H$2,0,IFERROR(VLOOKUP(INT(TEXT(K81,"AAAA")),Tabla3[[AÑO]:[SALARIO 
MENSUAL]],2,0)," "))/30*L81," ")</f>
        <v xml:space="preserve"> </v>
      </c>
      <c r="Q81" s="14" t="str">
        <f>IFERROR(IF(VLOOKUP(INT(TEXT(K81,"AAAA")),Tabla3[[AÑO]:[SALARIO 
MENSUAL]],4,0)*2&lt;$H$2,$H$2,VLOOKUP(INT(TEXT(K81,"AAAA")),Tabla3[[AÑO]:[SALARIO 
MENSUAL]],4,0))/30*L81+$H$14+P81," ")</f>
        <v xml:space="preserve"> </v>
      </c>
      <c r="R81" s="12" t="str">
        <f t="shared" si="30"/>
        <v xml:space="preserve"> </v>
      </c>
      <c r="S81" s="12" t="str">
        <f t="shared" si="31"/>
        <v xml:space="preserve"> </v>
      </c>
      <c r="T81" s="11" t="str">
        <f t="shared" si="32"/>
        <v xml:space="preserve"> </v>
      </c>
      <c r="U81" s="14" t="str">
        <f t="shared" si="36"/>
        <v xml:space="preserve"> </v>
      </c>
      <c r="V81" s="12" t="str">
        <f t="shared" si="33"/>
        <v xml:space="preserve"> </v>
      </c>
      <c r="W81" s="53" t="str">
        <f t="shared" si="37"/>
        <v xml:space="preserve"> </v>
      </c>
      <c r="X81" s="12" t="str">
        <f t="shared" si="34"/>
        <v xml:space="preserve"> </v>
      </c>
      <c r="Y81" s="12" t="str">
        <f ca="1">IFERROR(IF(TEXT($H$4,"DDMMAAAA")=TEXT($K80,"DDMMAAAA"),SUM($Y$2:INDIRECT(ADDRESS(ROW(Y80),COLUMN(Y80)))),$H$8/M81*U81)," ")</f>
        <v xml:space="preserve"> </v>
      </c>
      <c r="Z81" s="51" t="str">
        <f ca="1">IFERROR(IF(TEXT($H$4,"DDMMAAAA")=TEXT($K80,"DDMMAAAA"),SUM($Y$2:INDIRECT(ADDRESS(ROW(Z80),COLUMN(Z80)))),$H$8/M81*R81)," ")</f>
        <v xml:space="preserve"> </v>
      </c>
      <c r="AA81" s="12" t="str">
        <f ca="1">IFERROR(IF(TEXT($H$4,"DDMMAAAA")=TEXT($K80,"DDMMAAAA"),SUM($AA$2:INDIRECT(ADDRESS(ROW(AA80),COLUMN(AA80)))),$H$8/M81*S81)," ")</f>
        <v xml:space="preserve"> </v>
      </c>
      <c r="AB81" s="12" t="str">
        <f ca="1">IFERROR(IF(TEXT($H$4,"DDMMAAAA")=TEXT($K80,"DDMMAAAA"),SUM($AB$2:INDIRECT(ADDRESS(ROW(AB80),COLUMN(AB80)))),$H$8/M81*V81)," ")</f>
        <v xml:space="preserve"> </v>
      </c>
      <c r="AC81" s="12" t="str">
        <f ca="1">IFERROR(IF(TEXT($H$4,"DDMMAAAA")=TEXT($K80,"DDMMAAAA"),SUM($AC$2:INDIRECT(ADDRESS(ROW(AC80),COLUMN(AC80)))),IF(SUM(Y81:AB81)=0,"",SUM(Y81:AB81)))," ")</f>
        <v/>
      </c>
      <c r="AE81">
        <v>201708</v>
      </c>
      <c r="AF81">
        <v>3.87</v>
      </c>
    </row>
    <row r="82" spans="10:32" x14ac:dyDescent="0.4">
      <c r="J82" s="19" t="str">
        <f t="shared" si="35"/>
        <v/>
      </c>
      <c r="K82" s="19" t="str">
        <f t="shared" si="27"/>
        <v xml:space="preserve"> </v>
      </c>
      <c r="L82" s="13" t="str">
        <f t="shared" si="38"/>
        <v xml:space="preserve"> </v>
      </c>
      <c r="M82" s="9" t="str">
        <f t="shared" si="26"/>
        <v xml:space="preserve"> </v>
      </c>
      <c r="N82" s="46" t="str">
        <f t="shared" si="28"/>
        <v xml:space="preserve"> </v>
      </c>
      <c r="O82" s="46" t="str">
        <f t="shared" si="29"/>
        <v xml:space="preserve"> </v>
      </c>
      <c r="P82" s="14" t="str">
        <f>IFERROR(IF(VLOOKUP(INT(TEXT(K82,"AAAA")),Tabla3[[AÑO]:[SALARIO 
MENSUAL]],2,0)*2&lt;$H$2,0,IFERROR(VLOOKUP(INT(TEXT(K82,"AAAA")),Tabla3[[AÑO]:[SALARIO 
MENSUAL]],2,0)," "))/30*L82," ")</f>
        <v xml:space="preserve"> </v>
      </c>
      <c r="Q82" s="14" t="str">
        <f>IFERROR(IF(VLOOKUP(INT(TEXT(K82,"AAAA")),Tabla3[[AÑO]:[SALARIO 
MENSUAL]],4,0)*2&lt;$H$2,$H$2,VLOOKUP(INT(TEXT(K82,"AAAA")),Tabla3[[AÑO]:[SALARIO 
MENSUAL]],4,0))/30*L82+$H$14+P82," ")</f>
        <v xml:space="preserve"> </v>
      </c>
      <c r="R82" s="12" t="str">
        <f t="shared" si="30"/>
        <v xml:space="preserve"> </v>
      </c>
      <c r="S82" s="12" t="str">
        <f t="shared" si="31"/>
        <v xml:space="preserve"> </v>
      </c>
      <c r="T82" s="11" t="str">
        <f t="shared" si="32"/>
        <v xml:space="preserve"> </v>
      </c>
      <c r="U82" s="14" t="str">
        <f t="shared" si="36"/>
        <v xml:space="preserve"> </v>
      </c>
      <c r="V82" s="12" t="str">
        <f t="shared" si="33"/>
        <v xml:space="preserve"> </v>
      </c>
      <c r="W82" s="53" t="str">
        <f t="shared" si="37"/>
        <v xml:space="preserve"> </v>
      </c>
      <c r="X82" s="12" t="str">
        <f t="shared" si="34"/>
        <v xml:space="preserve"> </v>
      </c>
      <c r="Y82" s="12" t="str">
        <f ca="1">IFERROR(IF(TEXT($H$4,"DDMMAAAA")=TEXT($K81,"DDMMAAAA"),SUM($Y$2:INDIRECT(ADDRESS(ROW(Y81),COLUMN(Y81)))),$H$8/M82*U82)," ")</f>
        <v xml:space="preserve"> </v>
      </c>
      <c r="Z82" s="51" t="str">
        <f ca="1">IFERROR(IF(TEXT($H$4,"DDMMAAAA")=TEXT($K81,"DDMMAAAA"),SUM($Y$2:INDIRECT(ADDRESS(ROW(Z81),COLUMN(Z81)))),$H$8/M82*R82)," ")</f>
        <v xml:space="preserve"> </v>
      </c>
      <c r="AA82" s="12" t="str">
        <f ca="1">IFERROR(IF(TEXT($H$4,"DDMMAAAA")=TEXT($K81,"DDMMAAAA"),SUM($AA$2:INDIRECT(ADDRESS(ROW(AA81),COLUMN(AA81)))),$H$8/M82*S82)," ")</f>
        <v xml:space="preserve"> </v>
      </c>
      <c r="AB82" s="12" t="str">
        <f ca="1">IFERROR(IF(TEXT($H$4,"DDMMAAAA")=TEXT($K81,"DDMMAAAA"),SUM($AB$2:INDIRECT(ADDRESS(ROW(AB81),COLUMN(AB81)))),$H$8/M82*V82)," ")</f>
        <v xml:space="preserve"> </v>
      </c>
      <c r="AC82" s="12" t="str">
        <f ca="1">IFERROR(IF(TEXT($H$4,"DDMMAAAA")=TEXT($K81,"DDMMAAAA"),SUM($AC$2:INDIRECT(ADDRESS(ROW(AC81),COLUMN(AC81)))),IF(SUM(Y82:AB82)=0,"",SUM(Y82:AB82)))," ")</f>
        <v/>
      </c>
      <c r="AE82">
        <v>201707</v>
      </c>
      <c r="AF82">
        <v>3.4</v>
      </c>
    </row>
    <row r="83" spans="10:32" x14ac:dyDescent="0.4">
      <c r="J83" s="19" t="str">
        <f t="shared" si="35"/>
        <v/>
      </c>
      <c r="K83" s="19" t="str">
        <f t="shared" si="27"/>
        <v xml:space="preserve"> </v>
      </c>
      <c r="L83" s="13" t="str">
        <f t="shared" si="38"/>
        <v xml:space="preserve"> </v>
      </c>
      <c r="M83" s="9" t="str">
        <f t="shared" ref="M83:M114" si="39">IFERROR(VLOOKUP(INT(TEXT(K83,"AAAAMM")),$AE$1:$AF$376,2,0)," ")</f>
        <v xml:space="preserve"> </v>
      </c>
      <c r="N83" s="46" t="str">
        <f t="shared" si="28"/>
        <v xml:space="preserve"> </v>
      </c>
      <c r="O83" s="46" t="str">
        <f t="shared" si="29"/>
        <v xml:space="preserve"> </v>
      </c>
      <c r="P83" s="14" t="str">
        <f>IFERROR(IF(VLOOKUP(INT(TEXT(K83,"AAAA")),Tabla3[[AÑO]:[SALARIO 
MENSUAL]],2,0)*2&lt;$H$2,0,IFERROR(VLOOKUP(INT(TEXT(K83,"AAAA")),Tabla3[[AÑO]:[SALARIO 
MENSUAL]],2,0)," "))/30*L83," ")</f>
        <v xml:space="preserve"> </v>
      </c>
      <c r="Q83" s="14" t="str">
        <f>IFERROR(IF(VLOOKUP(INT(TEXT(K83,"AAAA")),Tabla3[[AÑO]:[SALARIO 
MENSUAL]],4,0)*2&lt;$H$2,$H$2,VLOOKUP(INT(TEXT(K83,"AAAA")),Tabla3[[AÑO]:[SALARIO 
MENSUAL]],4,0))/30*L83+$H$14+P83," ")</f>
        <v xml:space="preserve"> </v>
      </c>
      <c r="R83" s="12" t="str">
        <f t="shared" si="30"/>
        <v xml:space="preserve"> </v>
      </c>
      <c r="S83" s="12" t="str">
        <f t="shared" si="31"/>
        <v xml:space="preserve"> </v>
      </c>
      <c r="T83" s="11" t="str">
        <f t="shared" si="32"/>
        <v xml:space="preserve"> </v>
      </c>
      <c r="U83" s="14" t="str">
        <f t="shared" si="36"/>
        <v xml:space="preserve"> </v>
      </c>
      <c r="V83" s="12" t="str">
        <f t="shared" si="33"/>
        <v xml:space="preserve"> </v>
      </c>
      <c r="W83" s="53" t="str">
        <f t="shared" si="37"/>
        <v xml:space="preserve"> </v>
      </c>
      <c r="X83" s="12" t="str">
        <f t="shared" si="34"/>
        <v xml:space="preserve"> </v>
      </c>
      <c r="Y83" s="12" t="str">
        <f ca="1">IFERROR(IF(TEXT($H$4,"DDMMAAAA")=TEXT($K82,"DDMMAAAA"),SUM($Y$2:INDIRECT(ADDRESS(ROW(Y82),COLUMN(Y82)))),$H$8/M83*U83)," ")</f>
        <v xml:space="preserve"> </v>
      </c>
      <c r="Z83" s="51" t="str">
        <f ca="1">IFERROR(IF(TEXT($H$4,"DDMMAAAA")=TEXT($K82,"DDMMAAAA"),SUM($Y$2:INDIRECT(ADDRESS(ROW(Z82),COLUMN(Z82)))),$H$8/M83*R83)," ")</f>
        <v xml:space="preserve"> </v>
      </c>
      <c r="AA83" s="12" t="str">
        <f ca="1">IFERROR(IF(TEXT($H$4,"DDMMAAAA")=TEXT($K82,"DDMMAAAA"),SUM($AA$2:INDIRECT(ADDRESS(ROW(AA82),COLUMN(AA82)))),$H$8/M83*S83)," ")</f>
        <v xml:space="preserve"> </v>
      </c>
      <c r="AB83" s="12" t="str">
        <f ca="1">IFERROR(IF(TEXT($H$4,"DDMMAAAA")=TEXT($K82,"DDMMAAAA"),SUM($AB$2:INDIRECT(ADDRESS(ROW(AB82),COLUMN(AB82)))),$H$8/M83*V83)," ")</f>
        <v xml:space="preserve"> </v>
      </c>
      <c r="AC83" s="12" t="str">
        <f ca="1">IFERROR(IF(TEXT($H$4,"DDMMAAAA")=TEXT($K82,"DDMMAAAA"),SUM($AC$2:INDIRECT(ADDRESS(ROW(AC82),COLUMN(AC82)))),IF(SUM(Y83:AB83)=0,"",SUM(Y83:AB83)))," ")</f>
        <v/>
      </c>
      <c r="AE83">
        <v>201706</v>
      </c>
      <c r="AF83">
        <v>3.99</v>
      </c>
    </row>
    <row r="84" spans="10:32" x14ac:dyDescent="0.4">
      <c r="J84" s="19" t="str">
        <f t="shared" si="35"/>
        <v/>
      </c>
      <c r="K84" s="19" t="str">
        <f t="shared" si="27"/>
        <v xml:space="preserve"> </v>
      </c>
      <c r="L84" s="13" t="str">
        <f t="shared" si="38"/>
        <v xml:space="preserve"> </v>
      </c>
      <c r="M84" s="9" t="str">
        <f t="shared" si="39"/>
        <v xml:space="preserve"> </v>
      </c>
      <c r="N84" s="46" t="str">
        <f t="shared" si="28"/>
        <v xml:space="preserve"> </v>
      </c>
      <c r="O84" s="46" t="str">
        <f t="shared" si="29"/>
        <v xml:space="preserve"> </v>
      </c>
      <c r="P84" s="14" t="str">
        <f>IFERROR(IF(VLOOKUP(INT(TEXT(K84,"AAAA")),Tabla3[[AÑO]:[SALARIO 
MENSUAL]],2,0)*2&lt;$H$2,0,IFERROR(VLOOKUP(INT(TEXT(K84,"AAAA")),Tabla3[[AÑO]:[SALARIO 
MENSUAL]],2,0)," "))/30*L84," ")</f>
        <v xml:space="preserve"> </v>
      </c>
      <c r="Q84" s="14" t="str">
        <f>IFERROR(IF(VLOOKUP(INT(TEXT(K84,"AAAA")),Tabla3[[AÑO]:[SALARIO 
MENSUAL]],4,0)*2&lt;$H$2,$H$2,VLOOKUP(INT(TEXT(K84,"AAAA")),Tabla3[[AÑO]:[SALARIO 
MENSUAL]],4,0))/30*L84+$H$14+P84," ")</f>
        <v xml:space="preserve"> </v>
      </c>
      <c r="R84" s="12" t="str">
        <f t="shared" si="30"/>
        <v xml:space="preserve"> </v>
      </c>
      <c r="S84" s="12" t="str">
        <f t="shared" si="31"/>
        <v xml:space="preserve"> </v>
      </c>
      <c r="T84" s="11" t="str">
        <f t="shared" si="32"/>
        <v xml:space="preserve"> </v>
      </c>
      <c r="U84" s="14" t="str">
        <f t="shared" si="36"/>
        <v xml:space="preserve"> </v>
      </c>
      <c r="V84" s="12" t="str">
        <f t="shared" si="33"/>
        <v xml:space="preserve"> </v>
      </c>
      <c r="W84" s="53" t="str">
        <f t="shared" si="37"/>
        <v xml:space="preserve"> </v>
      </c>
      <c r="X84" s="12" t="str">
        <f t="shared" si="34"/>
        <v xml:space="preserve"> </v>
      </c>
      <c r="Y84" s="12" t="str">
        <f ca="1">IFERROR(IF(TEXT($H$4,"DDMMAAAA")=TEXT($K83,"DDMMAAAA"),SUM($Y$2:INDIRECT(ADDRESS(ROW(Y83),COLUMN(Y83)))),$H$8/M84*U84)," ")</f>
        <v xml:space="preserve"> </v>
      </c>
      <c r="Z84" s="51" t="str">
        <f ca="1">IFERROR(IF(TEXT($H$4,"DDMMAAAA")=TEXT($K83,"DDMMAAAA"),SUM($Y$2:INDIRECT(ADDRESS(ROW(Z83),COLUMN(Z83)))),$H$8/M84*R84)," ")</f>
        <v xml:space="preserve"> </v>
      </c>
      <c r="AA84" s="12" t="str">
        <f ca="1">IFERROR(IF(TEXT($H$4,"DDMMAAAA")=TEXT($K83,"DDMMAAAA"),SUM($AA$2:INDIRECT(ADDRESS(ROW(AA83),COLUMN(AA83)))),$H$8/M84*S84)," ")</f>
        <v xml:space="preserve"> </v>
      </c>
      <c r="AB84" s="12" t="str">
        <f ca="1">IFERROR(IF(TEXT($H$4,"DDMMAAAA")=TEXT($K83,"DDMMAAAA"),SUM($AB$2:INDIRECT(ADDRESS(ROW(AB83),COLUMN(AB83)))),$H$8/M84*V84)," ")</f>
        <v xml:space="preserve"> </v>
      </c>
      <c r="AC84" s="12" t="str">
        <f ca="1">IFERROR(IF(TEXT($H$4,"DDMMAAAA")=TEXT($K83,"DDMMAAAA"),SUM($AC$2:INDIRECT(ADDRESS(ROW(AC83),COLUMN(AC83)))),IF(SUM(Y84:AB84)=0,"",SUM(Y84:AB84)))," ")</f>
        <v/>
      </c>
      <c r="AE84">
        <v>201705</v>
      </c>
      <c r="AF84">
        <v>4.37</v>
      </c>
    </row>
    <row r="85" spans="10:32" x14ac:dyDescent="0.4">
      <c r="J85" s="19" t="str">
        <f t="shared" si="35"/>
        <v/>
      </c>
      <c r="K85" s="19" t="str">
        <f t="shared" si="27"/>
        <v xml:space="preserve"> </v>
      </c>
      <c r="L85" s="13" t="str">
        <f t="shared" si="38"/>
        <v xml:space="preserve"> </v>
      </c>
      <c r="M85" s="9" t="str">
        <f t="shared" si="39"/>
        <v xml:space="preserve"> </v>
      </c>
      <c r="N85" s="46" t="str">
        <f t="shared" si="28"/>
        <v xml:space="preserve"> </v>
      </c>
      <c r="O85" s="46" t="str">
        <f t="shared" si="29"/>
        <v xml:space="preserve"> </v>
      </c>
      <c r="P85" s="14" t="str">
        <f>IFERROR(IF(VLOOKUP(INT(TEXT(K85,"AAAA")),Tabla3[[AÑO]:[SALARIO 
MENSUAL]],2,0)*2&lt;$H$2,0,IFERROR(VLOOKUP(INT(TEXT(K85,"AAAA")),Tabla3[[AÑO]:[SALARIO 
MENSUAL]],2,0)," "))/30*L85," ")</f>
        <v xml:space="preserve"> </v>
      </c>
      <c r="Q85" s="14" t="str">
        <f>IFERROR(IF(VLOOKUP(INT(TEXT(K85,"AAAA")),Tabla3[[AÑO]:[SALARIO 
MENSUAL]],4,0)*2&lt;$H$2,$H$2,VLOOKUP(INT(TEXT(K85,"AAAA")),Tabla3[[AÑO]:[SALARIO 
MENSUAL]],4,0))/30*L85+$H$14+P85," ")</f>
        <v xml:space="preserve"> </v>
      </c>
      <c r="R85" s="12" t="str">
        <f t="shared" si="30"/>
        <v xml:space="preserve"> </v>
      </c>
      <c r="S85" s="12" t="str">
        <f t="shared" si="31"/>
        <v xml:space="preserve"> </v>
      </c>
      <c r="T85" s="11" t="str">
        <f t="shared" si="32"/>
        <v xml:space="preserve"> </v>
      </c>
      <c r="U85" s="14" t="str">
        <f t="shared" si="36"/>
        <v xml:space="preserve"> </v>
      </c>
      <c r="V85" s="12" t="str">
        <f t="shared" si="33"/>
        <v xml:space="preserve"> </v>
      </c>
      <c r="W85" s="53" t="str">
        <f t="shared" si="37"/>
        <v xml:space="preserve"> </v>
      </c>
      <c r="X85" s="12" t="str">
        <f t="shared" si="34"/>
        <v xml:space="preserve"> </v>
      </c>
      <c r="Y85" s="12" t="str">
        <f ca="1">IFERROR(IF(TEXT($H$4,"DDMMAAAA")=TEXT($K84,"DDMMAAAA"),SUM($Y$2:INDIRECT(ADDRESS(ROW(Y84),COLUMN(Y84)))),$H$8/M85*U85)," ")</f>
        <v xml:space="preserve"> </v>
      </c>
      <c r="Z85" s="51" t="str">
        <f ca="1">IFERROR(IF(TEXT($H$4,"DDMMAAAA")=TEXT($K84,"DDMMAAAA"),SUM($Y$2:INDIRECT(ADDRESS(ROW(Z84),COLUMN(Z84)))),$H$8/M85*R85)," ")</f>
        <v xml:space="preserve"> </v>
      </c>
      <c r="AA85" s="12" t="str">
        <f ca="1">IFERROR(IF(TEXT($H$4,"DDMMAAAA")=TEXT($K84,"DDMMAAAA"),SUM($AA$2:INDIRECT(ADDRESS(ROW(AA84),COLUMN(AA84)))),$H$8/M85*S85)," ")</f>
        <v xml:space="preserve"> </v>
      </c>
      <c r="AB85" s="12" t="str">
        <f ca="1">IFERROR(IF(TEXT($H$4,"DDMMAAAA")=TEXT($K84,"DDMMAAAA"),SUM($AB$2:INDIRECT(ADDRESS(ROW(AB84),COLUMN(AB84)))),$H$8/M85*V85)," ")</f>
        <v xml:space="preserve"> </v>
      </c>
      <c r="AC85" s="12" t="str">
        <f ca="1">IFERROR(IF(TEXT($H$4,"DDMMAAAA")=TEXT($K84,"DDMMAAAA"),SUM($AC$2:INDIRECT(ADDRESS(ROW(AC84),COLUMN(AC84)))),IF(SUM(Y85:AB85)=0,"",SUM(Y85:AB85)))," ")</f>
        <v/>
      </c>
      <c r="AE85">
        <v>201704</v>
      </c>
      <c r="AF85">
        <v>4.66</v>
      </c>
    </row>
    <row r="86" spans="10:32" x14ac:dyDescent="0.4">
      <c r="J86" s="19" t="str">
        <f t="shared" si="35"/>
        <v/>
      </c>
      <c r="K86" s="19" t="str">
        <f t="shared" si="27"/>
        <v xml:space="preserve"> </v>
      </c>
      <c r="L86" s="13" t="str">
        <f t="shared" si="38"/>
        <v xml:space="preserve"> </v>
      </c>
      <c r="M86" s="9" t="str">
        <f t="shared" si="39"/>
        <v xml:space="preserve"> </v>
      </c>
      <c r="N86" s="46" t="str">
        <f t="shared" si="28"/>
        <v xml:space="preserve"> </v>
      </c>
      <c r="O86" s="46" t="str">
        <f t="shared" si="29"/>
        <v xml:space="preserve"> </v>
      </c>
      <c r="P86" s="14" t="str">
        <f>IFERROR(IF(VLOOKUP(INT(TEXT(K86,"AAAA")),Tabla3[[AÑO]:[SALARIO 
MENSUAL]],2,0)*2&lt;$H$2,0,IFERROR(VLOOKUP(INT(TEXT(K86,"AAAA")),Tabla3[[AÑO]:[SALARIO 
MENSUAL]],2,0)," "))/30*L86," ")</f>
        <v xml:space="preserve"> </v>
      </c>
      <c r="Q86" s="14" t="str">
        <f>IFERROR(IF(VLOOKUP(INT(TEXT(K86,"AAAA")),Tabla3[[AÑO]:[SALARIO 
MENSUAL]],4,0)*2&lt;$H$2,$H$2,VLOOKUP(INT(TEXT(K86,"AAAA")),Tabla3[[AÑO]:[SALARIO 
MENSUAL]],4,0))/30*L86+$H$14+P86," ")</f>
        <v xml:space="preserve"> </v>
      </c>
      <c r="R86" s="12" t="str">
        <f t="shared" si="30"/>
        <v xml:space="preserve"> </v>
      </c>
      <c r="S86" s="12" t="str">
        <f t="shared" si="31"/>
        <v xml:space="preserve"> </v>
      </c>
      <c r="T86" s="11" t="str">
        <f t="shared" si="32"/>
        <v xml:space="preserve"> </v>
      </c>
      <c r="U86" s="14" t="str">
        <f t="shared" si="36"/>
        <v xml:space="preserve"> </v>
      </c>
      <c r="V86" s="12" t="str">
        <f t="shared" si="33"/>
        <v xml:space="preserve"> </v>
      </c>
      <c r="W86" s="53" t="str">
        <f t="shared" si="37"/>
        <v xml:space="preserve"> </v>
      </c>
      <c r="X86" s="12" t="str">
        <f t="shared" si="34"/>
        <v xml:space="preserve"> </v>
      </c>
      <c r="Y86" s="12" t="str">
        <f ca="1">IFERROR(IF(TEXT($H$4,"DDMMAAAA")=TEXT($K85,"DDMMAAAA"),SUM($Y$2:INDIRECT(ADDRESS(ROW(Y85),COLUMN(Y85)))),$H$8/M86*U86)," ")</f>
        <v xml:space="preserve"> </v>
      </c>
      <c r="Z86" s="51" t="str">
        <f ca="1">IFERROR(IF(TEXT($H$4,"DDMMAAAA")=TEXT($K85,"DDMMAAAA"),SUM($Y$2:INDIRECT(ADDRESS(ROW(Z85),COLUMN(Z85)))),$H$8/M86*R86)," ")</f>
        <v xml:space="preserve"> </v>
      </c>
      <c r="AA86" s="12" t="str">
        <f ca="1">IFERROR(IF(TEXT($H$4,"DDMMAAAA")=TEXT($K85,"DDMMAAAA"),SUM($AA$2:INDIRECT(ADDRESS(ROW(AA85),COLUMN(AA85)))),$H$8/M86*S86)," ")</f>
        <v xml:space="preserve"> </v>
      </c>
      <c r="AB86" s="12" t="str">
        <f ca="1">IFERROR(IF(TEXT($H$4,"DDMMAAAA")=TEXT($K85,"DDMMAAAA"),SUM($AB$2:INDIRECT(ADDRESS(ROW(AB85),COLUMN(AB85)))),$H$8/M86*V86)," ")</f>
        <v xml:space="preserve"> </v>
      </c>
      <c r="AC86" s="12" t="str">
        <f ca="1">IFERROR(IF(TEXT($H$4,"DDMMAAAA")=TEXT($K85,"DDMMAAAA"),SUM($AC$2:INDIRECT(ADDRESS(ROW(AC85),COLUMN(AC85)))),IF(SUM(Y86:AB86)=0,"",SUM(Y86:AB86)))," ")</f>
        <v/>
      </c>
      <c r="AE86">
        <v>201703</v>
      </c>
      <c r="AF86">
        <v>4.6900000000000004</v>
      </c>
    </row>
    <row r="87" spans="10:32" x14ac:dyDescent="0.4">
      <c r="J87" s="19" t="str">
        <f t="shared" si="35"/>
        <v/>
      </c>
      <c r="K87" s="19" t="str">
        <f t="shared" si="27"/>
        <v xml:space="preserve"> </v>
      </c>
      <c r="L87" s="13" t="str">
        <f t="shared" si="38"/>
        <v xml:space="preserve"> </v>
      </c>
      <c r="M87" s="9" t="str">
        <f t="shared" si="39"/>
        <v xml:space="preserve"> </v>
      </c>
      <c r="N87" s="46" t="str">
        <f t="shared" si="28"/>
        <v xml:space="preserve"> </v>
      </c>
      <c r="O87" s="46" t="str">
        <f t="shared" si="29"/>
        <v xml:space="preserve"> </v>
      </c>
      <c r="P87" s="14" t="str">
        <f>IFERROR(IF(VLOOKUP(INT(TEXT(K87,"AAAA")),Tabla3[[AÑO]:[SALARIO 
MENSUAL]],2,0)*2&lt;$H$2,0,IFERROR(VLOOKUP(INT(TEXT(K87,"AAAA")),Tabla3[[AÑO]:[SALARIO 
MENSUAL]],2,0)," "))/30*L87," ")</f>
        <v xml:space="preserve"> </v>
      </c>
      <c r="Q87" s="14" t="str">
        <f>IFERROR(IF(VLOOKUP(INT(TEXT(K87,"AAAA")),Tabla3[[AÑO]:[SALARIO 
MENSUAL]],4,0)*2&lt;$H$2,$H$2,VLOOKUP(INT(TEXT(K87,"AAAA")),Tabla3[[AÑO]:[SALARIO 
MENSUAL]],4,0))/30*L87+$H$14+P87," ")</f>
        <v xml:space="preserve"> </v>
      </c>
      <c r="R87" s="12" t="str">
        <f t="shared" si="30"/>
        <v xml:space="preserve"> </v>
      </c>
      <c r="S87" s="12" t="str">
        <f t="shared" si="31"/>
        <v xml:space="preserve"> </v>
      </c>
      <c r="T87" s="11" t="str">
        <f t="shared" si="32"/>
        <v xml:space="preserve"> </v>
      </c>
      <c r="U87" s="14" t="str">
        <f t="shared" si="36"/>
        <v xml:space="preserve"> </v>
      </c>
      <c r="V87" s="12" t="str">
        <f t="shared" si="33"/>
        <v xml:space="preserve"> </v>
      </c>
      <c r="W87" s="53" t="str">
        <f t="shared" si="37"/>
        <v xml:space="preserve"> </v>
      </c>
      <c r="X87" s="12" t="str">
        <f t="shared" si="34"/>
        <v xml:space="preserve"> </v>
      </c>
      <c r="Y87" s="12" t="str">
        <f ca="1">IFERROR(IF(TEXT($H$4,"DDMMAAAA")=TEXT($K86,"DDMMAAAA"),SUM($Y$2:INDIRECT(ADDRESS(ROW(Y86),COLUMN(Y86)))),$H$8/M87*U87)," ")</f>
        <v xml:space="preserve"> </v>
      </c>
      <c r="Z87" s="51" t="str">
        <f ca="1">IFERROR(IF(TEXT($H$4,"DDMMAAAA")=TEXT($K86,"DDMMAAAA"),SUM($Y$2:INDIRECT(ADDRESS(ROW(Z86),COLUMN(Z86)))),$H$8/M87*R87)," ")</f>
        <v xml:space="preserve"> </v>
      </c>
      <c r="AA87" s="12" t="str">
        <f ca="1">IFERROR(IF(TEXT($H$4,"DDMMAAAA")=TEXT($K86,"DDMMAAAA"),SUM($AA$2:INDIRECT(ADDRESS(ROW(AA86),COLUMN(AA86)))),$H$8/M87*S87)," ")</f>
        <v xml:space="preserve"> </v>
      </c>
      <c r="AB87" s="12" t="str">
        <f ca="1">IFERROR(IF(TEXT($H$4,"DDMMAAAA")=TEXT($K86,"DDMMAAAA"),SUM($AB$2:INDIRECT(ADDRESS(ROW(AB86),COLUMN(AB86)))),$H$8/M87*V87)," ")</f>
        <v xml:space="preserve"> </v>
      </c>
      <c r="AC87" s="12" t="str">
        <f ca="1">IFERROR(IF(TEXT($H$4,"DDMMAAAA")=TEXT($K86,"DDMMAAAA"),SUM($AC$2:INDIRECT(ADDRESS(ROW(AC86),COLUMN(AC86)))),IF(SUM(Y87:AB87)=0,"",SUM(Y87:AB87)))," ")</f>
        <v/>
      </c>
      <c r="AE87">
        <v>201702</v>
      </c>
      <c r="AF87">
        <v>5.18</v>
      </c>
    </row>
    <row r="88" spans="10:32" x14ac:dyDescent="0.4">
      <c r="J88" s="19" t="str">
        <f t="shared" si="35"/>
        <v/>
      </c>
      <c r="K88" s="19" t="str">
        <f t="shared" si="27"/>
        <v xml:space="preserve"> </v>
      </c>
      <c r="L88" s="13" t="str">
        <f>IFERROR(IF(AND(TEXT(J88,"D")="1",TEXT(K88,"DD")=TEXT(EOMONTH(J88,0),"D")),30,K88-J88)," ")</f>
        <v xml:space="preserve"> </v>
      </c>
      <c r="M88" s="9" t="str">
        <f t="shared" si="39"/>
        <v xml:space="preserve"> </v>
      </c>
      <c r="N88" s="46" t="str">
        <f t="shared" si="28"/>
        <v xml:space="preserve"> </v>
      </c>
      <c r="O88" s="46" t="str">
        <f t="shared" si="29"/>
        <v xml:space="preserve"> </v>
      </c>
      <c r="P88" s="14" t="str">
        <f>IFERROR(IF(VLOOKUP(INT(TEXT(K88,"AAAA")),Tabla3[[AÑO]:[SALARIO 
MENSUAL]],2,0)*2&lt;$H$2,0,IFERROR(VLOOKUP(INT(TEXT(K88,"AAAA")),Tabla3[[AÑO]:[SALARIO 
MENSUAL]],2,0)," "))/30*L88," ")</f>
        <v xml:space="preserve"> </v>
      </c>
      <c r="Q88" s="14" t="str">
        <f>IFERROR(IF(VLOOKUP(INT(TEXT(K88,"AAAA")),Tabla3[[AÑO]:[SALARIO 
MENSUAL]],4,0)*2&lt;$H$2,$H$2,VLOOKUP(INT(TEXT(K88,"AAAA")),Tabla3[[AÑO]:[SALARIO 
MENSUAL]],4,0))/30*L88+$H$14+P88," ")</f>
        <v xml:space="preserve"> </v>
      </c>
      <c r="R88" s="12" t="str">
        <f t="shared" si="30"/>
        <v xml:space="preserve"> </v>
      </c>
      <c r="S88" s="12" t="str">
        <f t="shared" si="31"/>
        <v xml:space="preserve"> </v>
      </c>
      <c r="T88" s="11" t="str">
        <f t="shared" si="32"/>
        <v xml:space="preserve"> </v>
      </c>
      <c r="U88" s="14" t="str">
        <f t="shared" si="36"/>
        <v xml:space="preserve"> </v>
      </c>
      <c r="V88" s="12" t="str">
        <f t="shared" si="33"/>
        <v xml:space="preserve"> </v>
      </c>
      <c r="W88" s="53" t="str">
        <f t="shared" si="37"/>
        <v xml:space="preserve"> </v>
      </c>
      <c r="X88" s="12" t="str">
        <f t="shared" si="34"/>
        <v xml:space="preserve"> </v>
      </c>
      <c r="Y88" s="12" t="str">
        <f ca="1">IFERROR(IF(TEXT($H$4,"DDMMAAAA")=TEXT($K87,"DDMMAAAA"),SUM($Y$2:INDIRECT(ADDRESS(ROW(Y87),COLUMN(Y87)))),$H$8/M88*U88)," ")</f>
        <v xml:space="preserve"> </v>
      </c>
      <c r="Z88" s="51" t="str">
        <f ca="1">IFERROR(IF(TEXT($H$4,"DDMMAAAA")=TEXT($K87,"DDMMAAAA"),SUM($Z$2:INDIRECT(ADDRESS(ROW(Z87),COLUMN(Z87)))),$H$8/M88*R88)," ")</f>
        <v xml:space="preserve"> </v>
      </c>
      <c r="AA88" s="12" t="str">
        <f ca="1">IFERROR(IF(TEXT($H$4,"DDMMAAAA")=TEXT($K87,"DDMMAAAA"),SUM($AA$2:INDIRECT(ADDRESS(ROW(AA87),COLUMN(AA87)))),$H$8/M88*S88)," ")</f>
        <v xml:space="preserve"> </v>
      </c>
      <c r="AB88" s="12" t="str">
        <f ca="1">IFERROR(IF(TEXT($H$4,"DDMMAAAA")=TEXT($K87,"DDMMAAAA"),SUM($AB$2:INDIRECT(ADDRESS(ROW(AB87),COLUMN(AB87)))),$H$8/M88*V88)," ")</f>
        <v xml:space="preserve"> </v>
      </c>
      <c r="AC88" s="12" t="str">
        <f ca="1">IFERROR(IF(TEXT($H$4,"DDMMAAAA")=TEXT($K87,"DDMMAAAA"),SUM($AC$2:INDIRECT(ADDRESS(ROW(AC87),COLUMN(AC87)))),IF(SUM(Y88:AB88)=0,"",SUM(Y88:AB88)))," ")</f>
        <v/>
      </c>
      <c r="AE88">
        <v>201701</v>
      </c>
      <c r="AF88">
        <v>5.47</v>
      </c>
    </row>
    <row r="89" spans="10:32" x14ac:dyDescent="0.4">
      <c r="J89" s="19" t="str">
        <f t="shared" si="35"/>
        <v/>
      </c>
      <c r="K89" s="19" t="str">
        <f t="shared" si="27"/>
        <v xml:space="preserve"> </v>
      </c>
      <c r="L89" s="13" t="str">
        <f t="shared" si="38"/>
        <v xml:space="preserve"> </v>
      </c>
      <c r="M89" s="9" t="str">
        <f t="shared" si="39"/>
        <v xml:space="preserve"> </v>
      </c>
      <c r="N89" s="46" t="str">
        <f t="shared" si="28"/>
        <v xml:space="preserve"> </v>
      </c>
      <c r="O89" s="46" t="str">
        <f t="shared" si="29"/>
        <v xml:space="preserve"> </v>
      </c>
      <c r="P89" s="14" t="str">
        <f>IFERROR(IF(VLOOKUP(INT(TEXT(K89,"AAAA")),Tabla3[[AÑO]:[SALARIO 
MENSUAL]],2,0)*2&lt;$H$2,0,IFERROR(VLOOKUP(INT(TEXT(K89,"AAAA")),Tabla3[[AÑO]:[SALARIO 
MENSUAL]],2,0)," "))/30*L89," ")</f>
        <v xml:space="preserve"> </v>
      </c>
      <c r="Q89" s="14" t="str">
        <f>IFERROR(IF(VLOOKUP(INT(TEXT(K89,"AAAA")),Tabla3[[AÑO]:[SALARIO 
MENSUAL]],4,0)*2&lt;$H$2,$H$2,VLOOKUP(INT(TEXT(K89,"AAAA")),Tabla3[[AÑO]:[SALARIO 
MENSUAL]],4,0))/30*L89+$H$14+P89," ")</f>
        <v xml:space="preserve"> </v>
      </c>
      <c r="R89" s="12" t="str">
        <f t="shared" si="30"/>
        <v xml:space="preserve"> </v>
      </c>
      <c r="S89" s="12" t="str">
        <f t="shared" si="31"/>
        <v xml:space="preserve"> </v>
      </c>
      <c r="T89" s="11" t="str">
        <f t="shared" si="32"/>
        <v xml:space="preserve"> </v>
      </c>
      <c r="U89" s="14" t="str">
        <f t="shared" si="36"/>
        <v xml:space="preserve"> </v>
      </c>
      <c r="V89" s="12" t="str">
        <f t="shared" si="33"/>
        <v xml:space="preserve"> </v>
      </c>
      <c r="W89" s="53" t="str">
        <f t="shared" si="37"/>
        <v xml:space="preserve"> </v>
      </c>
      <c r="X89" s="12" t="str">
        <f t="shared" si="34"/>
        <v xml:space="preserve"> </v>
      </c>
      <c r="Y89" s="12" t="str">
        <f ca="1">IFERROR(IF(TEXT($H$4,"DDMMAAAA")=TEXT($K88,"DDMMAAAA"),SUM($Y$2:INDIRECT(ADDRESS(ROW(Y88),COLUMN(Y88)))),$H$8/M89*U89)," ")</f>
        <v xml:space="preserve"> </v>
      </c>
      <c r="Z89" s="51" t="str">
        <f ca="1">IFERROR(IF(TEXT($H$4,"DDMMAAAA")=TEXT($K88,"DDMMAAAA"),SUM($Y$2:INDIRECT(ADDRESS(ROW(Z88),COLUMN(Z88)))),$H$8/M89*R89)," ")</f>
        <v xml:space="preserve"> </v>
      </c>
      <c r="AA89" s="12" t="str">
        <f ca="1">IFERROR(IF(TEXT($H$4,"DDMMAAAA")=TEXT($K88,"DDMMAAAA"),SUM($AA$2:INDIRECT(ADDRESS(ROW(AA88),COLUMN(AA88)))),$H$8/M89*S89)," ")</f>
        <v xml:space="preserve"> </v>
      </c>
      <c r="AB89" s="12" t="str">
        <f ca="1">IFERROR(IF(TEXT($H$4,"DDMMAAAA")=TEXT($K88,"DDMMAAAA"),SUM($AB$2:INDIRECT(ADDRESS(ROW(AB88),COLUMN(AB88)))),$H$8/M89*V89)," ")</f>
        <v xml:space="preserve"> </v>
      </c>
      <c r="AC89" s="12" t="str">
        <f ca="1">IFERROR(IF(TEXT($H$4,"DDMMAAAA")=TEXT($K88,"DDMMAAAA"),SUM($AC$2:INDIRECT(ADDRESS(ROW(AC88),COLUMN(AC88)))),IF(SUM(Y89:AB89)=0,"",SUM(Y89:AB89)))," ")</f>
        <v/>
      </c>
      <c r="AE89">
        <v>201612</v>
      </c>
      <c r="AF89">
        <v>5.75</v>
      </c>
    </row>
    <row r="90" spans="10:32" x14ac:dyDescent="0.4">
      <c r="J90" s="19" t="str">
        <f t="shared" si="35"/>
        <v/>
      </c>
      <c r="K90" s="19" t="str">
        <f t="shared" si="27"/>
        <v xml:space="preserve"> </v>
      </c>
      <c r="L90" s="13" t="str">
        <f t="shared" si="38"/>
        <v xml:space="preserve"> </v>
      </c>
      <c r="M90" s="9" t="str">
        <f t="shared" si="39"/>
        <v xml:space="preserve"> </v>
      </c>
      <c r="N90" s="46" t="str">
        <f t="shared" si="28"/>
        <v xml:space="preserve"> </v>
      </c>
      <c r="O90" s="46" t="str">
        <f t="shared" si="29"/>
        <v xml:space="preserve"> </v>
      </c>
      <c r="P90" s="14" t="str">
        <f>IFERROR(IF(VLOOKUP(INT(TEXT(K90,"AAAA")),Tabla3[[AÑO]:[SALARIO 
MENSUAL]],2,0)*2&lt;$H$2,0,IFERROR(VLOOKUP(INT(TEXT(K90,"AAAA")),Tabla3[[AÑO]:[SALARIO 
MENSUAL]],2,0)," "))/30*L90," ")</f>
        <v xml:space="preserve"> </v>
      </c>
      <c r="Q90" s="14" t="str">
        <f>IFERROR(IF(VLOOKUP(INT(TEXT(K90,"AAAA")),Tabla3[[AÑO]:[SALARIO 
MENSUAL]],4,0)*2&lt;$H$2,$H$2,VLOOKUP(INT(TEXT(K90,"AAAA")),Tabla3[[AÑO]:[SALARIO 
MENSUAL]],4,0))/30*L90+$H$14+P90," ")</f>
        <v xml:space="preserve"> </v>
      </c>
      <c r="R90" s="12" t="str">
        <f t="shared" si="30"/>
        <v xml:space="preserve"> </v>
      </c>
      <c r="S90" s="12" t="str">
        <f t="shared" si="31"/>
        <v xml:space="preserve"> </v>
      </c>
      <c r="T90" s="11" t="str">
        <f t="shared" si="32"/>
        <v xml:space="preserve"> </v>
      </c>
      <c r="U90" s="14" t="str">
        <f t="shared" si="36"/>
        <v xml:space="preserve"> </v>
      </c>
      <c r="V90" s="12" t="str">
        <f t="shared" si="33"/>
        <v xml:space="preserve"> </v>
      </c>
      <c r="W90" s="53" t="str">
        <f t="shared" si="37"/>
        <v xml:space="preserve"> </v>
      </c>
      <c r="X90" s="12" t="str">
        <f t="shared" si="34"/>
        <v xml:space="preserve"> </v>
      </c>
      <c r="Y90" s="12" t="str">
        <f ca="1">IFERROR(IF(TEXT($H$4,"DDMMAAAA")=TEXT($K89,"DDMMAAAA"),SUM($Y$2:INDIRECT(ADDRESS(ROW(Y89),COLUMN(Y89)))),$H$8/M90*U90)," ")</f>
        <v xml:space="preserve"> </v>
      </c>
      <c r="Z90" s="51" t="str">
        <f ca="1">IFERROR(IF(TEXT($H$4,"DDMMAAAA")=TEXT($K89,"DDMMAAAA"),SUM($Y$2:INDIRECT(ADDRESS(ROW(Z89),COLUMN(Z89)))),$H$8/M90*R90)," ")</f>
        <v xml:space="preserve"> </v>
      </c>
      <c r="AA90" s="12" t="str">
        <f ca="1">IFERROR(IF(TEXT($H$4,"DDMMAAAA")=TEXT($K89,"DDMMAAAA"),SUM($AA$2:INDIRECT(ADDRESS(ROW(AA89),COLUMN(AA89)))),$H$8/M90*S90)," ")</f>
        <v xml:space="preserve"> </v>
      </c>
      <c r="AB90" s="12" t="str">
        <f ca="1">IFERROR(IF(TEXT($H$4,"DDMMAAAA")=TEXT($K89,"DDMMAAAA"),SUM($AB$2:INDIRECT(ADDRESS(ROW(AB89),COLUMN(AB89)))),$H$8/M90*V90)," ")</f>
        <v xml:space="preserve"> </v>
      </c>
      <c r="AC90" s="12" t="str">
        <f ca="1">IFERROR(IF(TEXT($H$4,"DDMMAAAA")=TEXT($K89,"DDMMAAAA"),SUM($AC$2:INDIRECT(ADDRESS(ROW(AC89),COLUMN(AC89)))),IF(SUM(Y90:AB90)=0,"",SUM(Y90:AB90)))," ")</f>
        <v/>
      </c>
      <c r="AE90">
        <v>201611</v>
      </c>
      <c r="AF90">
        <v>5.96</v>
      </c>
    </row>
    <row r="91" spans="10:32" x14ac:dyDescent="0.4">
      <c r="J91" s="19" t="str">
        <f t="shared" si="35"/>
        <v/>
      </c>
      <c r="K91" s="19" t="str">
        <f t="shared" si="27"/>
        <v xml:space="preserve"> </v>
      </c>
      <c r="L91" s="13" t="str">
        <f t="shared" si="38"/>
        <v xml:space="preserve"> </v>
      </c>
      <c r="M91" s="9" t="str">
        <f t="shared" si="39"/>
        <v xml:space="preserve"> </v>
      </c>
      <c r="N91" s="46" t="str">
        <f t="shared" si="28"/>
        <v xml:space="preserve"> </v>
      </c>
      <c r="O91" s="46" t="str">
        <f t="shared" si="29"/>
        <v xml:space="preserve"> </v>
      </c>
      <c r="P91" s="14" t="str">
        <f>IFERROR(IF(VLOOKUP(INT(TEXT(K91,"AAAA")),Tabla3[[AÑO]:[SALARIO 
MENSUAL]],2,0)*2&lt;$H$2,0,IFERROR(VLOOKUP(INT(TEXT(K91,"AAAA")),Tabla3[[AÑO]:[SALARIO 
MENSUAL]],2,0)," "))/30*L91," ")</f>
        <v xml:space="preserve"> </v>
      </c>
      <c r="Q91" s="14" t="str">
        <f>IFERROR(IF(VLOOKUP(INT(TEXT(K91,"AAAA")),Tabla3[[AÑO]:[SALARIO 
MENSUAL]],4,0)*2&lt;$H$2,$H$2,VLOOKUP(INT(TEXT(K91,"AAAA")),Tabla3[[AÑO]:[SALARIO 
MENSUAL]],4,0))/30*L91+$H$14+P91," ")</f>
        <v xml:space="preserve"> </v>
      </c>
      <c r="R91" s="12" t="str">
        <f t="shared" si="30"/>
        <v xml:space="preserve"> </v>
      </c>
      <c r="S91" s="12" t="str">
        <f t="shared" si="31"/>
        <v xml:space="preserve"> </v>
      </c>
      <c r="T91" s="11" t="str">
        <f t="shared" si="32"/>
        <v xml:space="preserve"> </v>
      </c>
      <c r="U91" s="14" t="str">
        <f t="shared" si="36"/>
        <v xml:space="preserve"> </v>
      </c>
      <c r="V91" s="12" t="str">
        <f t="shared" si="33"/>
        <v xml:space="preserve"> </v>
      </c>
      <c r="W91" s="53" t="str">
        <f t="shared" si="37"/>
        <v xml:space="preserve"> </v>
      </c>
      <c r="X91" s="12" t="str">
        <f t="shared" si="34"/>
        <v xml:space="preserve"> </v>
      </c>
      <c r="Y91" s="12" t="str">
        <f ca="1">IFERROR(IF(TEXT($H$4,"DDMMAAAA")=TEXT($K90,"DDMMAAAA"),SUM($Y$2:INDIRECT(ADDRESS(ROW(Y90),COLUMN(Y90)))),$H$8/M91*U91)," ")</f>
        <v xml:space="preserve"> </v>
      </c>
      <c r="Z91" s="51" t="str">
        <f ca="1">IFERROR(IF(TEXT($H$4,"DDMMAAAA")=TEXT($K90,"DDMMAAAA"),SUM($Y$2:INDIRECT(ADDRESS(ROW(Z90),COLUMN(Z90)))),$H$8/M91*R91)," ")</f>
        <v xml:space="preserve"> </v>
      </c>
      <c r="AA91" s="12" t="str">
        <f ca="1">IFERROR(IF(TEXT($H$4,"DDMMAAAA")=TEXT($K90,"DDMMAAAA"),SUM($AA$2:INDIRECT(ADDRESS(ROW(AA90),COLUMN(AA90)))),$H$8/M91*S91)," ")</f>
        <v xml:space="preserve"> </v>
      </c>
      <c r="AB91" s="12" t="str">
        <f ca="1">IFERROR(IF(TEXT($H$4,"DDMMAAAA")=TEXT($K90,"DDMMAAAA"),SUM($AB$2:INDIRECT(ADDRESS(ROW(AB90),COLUMN(AB90)))),$H$8/M91*V91)," ")</f>
        <v xml:space="preserve"> </v>
      </c>
      <c r="AC91" s="12" t="str">
        <f ca="1">IFERROR(IF(TEXT($H$4,"DDMMAAAA")=TEXT($K90,"DDMMAAAA"),SUM($AC$2:INDIRECT(ADDRESS(ROW(AC90),COLUMN(AC90)))),IF(SUM(Y91:AB91)=0,"",SUM(Y91:AB91)))," ")</f>
        <v/>
      </c>
      <c r="AE91">
        <v>201610</v>
      </c>
      <c r="AF91">
        <v>6.48</v>
      </c>
    </row>
    <row r="92" spans="10:32" x14ac:dyDescent="0.4">
      <c r="J92" s="19" t="str">
        <f t="shared" si="35"/>
        <v/>
      </c>
      <c r="K92" s="19" t="str">
        <f t="shared" si="27"/>
        <v xml:space="preserve"> </v>
      </c>
      <c r="L92" s="13" t="str">
        <f t="shared" si="38"/>
        <v xml:space="preserve"> </v>
      </c>
      <c r="M92" s="9" t="str">
        <f t="shared" si="39"/>
        <v xml:space="preserve"> </v>
      </c>
      <c r="N92" s="46" t="str">
        <f t="shared" si="28"/>
        <v xml:space="preserve"> </v>
      </c>
      <c r="O92" s="46" t="str">
        <f t="shared" si="29"/>
        <v xml:space="preserve"> </v>
      </c>
      <c r="P92" s="14" t="str">
        <f>IFERROR(IF(VLOOKUP(INT(TEXT(K92,"AAAA")),Tabla3[[AÑO]:[SALARIO 
MENSUAL]],2,0)*2&lt;$H$2,0,IFERROR(VLOOKUP(INT(TEXT(K92,"AAAA")),Tabla3[[AÑO]:[SALARIO 
MENSUAL]],2,0)," "))/30*L92," ")</f>
        <v xml:space="preserve"> </v>
      </c>
      <c r="Q92" s="14" t="str">
        <f>IFERROR(IF(VLOOKUP(INT(TEXT(K92,"AAAA")),Tabla3[[AÑO]:[SALARIO 
MENSUAL]],4,0)*2&lt;$H$2,$H$2,VLOOKUP(INT(TEXT(K92,"AAAA")),Tabla3[[AÑO]:[SALARIO 
MENSUAL]],4,0))/30*L92+$H$14+P92," ")</f>
        <v xml:space="preserve"> </v>
      </c>
      <c r="R92" s="12" t="str">
        <f t="shared" si="30"/>
        <v xml:space="preserve"> </v>
      </c>
      <c r="S92" s="12" t="str">
        <f t="shared" si="31"/>
        <v xml:space="preserve"> </v>
      </c>
      <c r="T92" s="11" t="str">
        <f t="shared" si="32"/>
        <v xml:space="preserve"> </v>
      </c>
      <c r="U92" s="14" t="str">
        <f t="shared" si="36"/>
        <v xml:space="preserve"> </v>
      </c>
      <c r="V92" s="12" t="str">
        <f t="shared" si="33"/>
        <v xml:space="preserve"> </v>
      </c>
      <c r="W92" s="53" t="str">
        <f t="shared" si="37"/>
        <v xml:space="preserve"> </v>
      </c>
      <c r="X92" s="12" t="str">
        <f t="shared" si="34"/>
        <v xml:space="preserve"> </v>
      </c>
      <c r="Y92" s="12" t="str">
        <f ca="1">IFERROR(IF(TEXT($H$4,"DDMMAAAA")=TEXT($K91,"DDMMAAAA"),SUM($Y$2:INDIRECT(ADDRESS(ROW(Y91),COLUMN(Y91)))),$H$8/M92*U92)," ")</f>
        <v xml:space="preserve"> </v>
      </c>
      <c r="Z92" s="51" t="str">
        <f ca="1">IFERROR(IF(TEXT($H$4,"DDMMAAAA")=TEXT($K91,"DDMMAAAA"),SUM($Y$2:INDIRECT(ADDRESS(ROW(Z91),COLUMN(Z91)))),$H$8/M92*R92)," ")</f>
        <v xml:space="preserve"> </v>
      </c>
      <c r="AA92" s="12" t="str">
        <f ca="1">IFERROR(IF(TEXT($H$4,"DDMMAAAA")=TEXT($K91,"DDMMAAAA"),SUM($AA$2:INDIRECT(ADDRESS(ROW(AA91),COLUMN(AA91)))),$H$8/M92*S92)," ")</f>
        <v xml:space="preserve"> </v>
      </c>
      <c r="AB92" s="12" t="str">
        <f ca="1">IFERROR(IF(TEXT($H$4,"DDMMAAAA")=TEXT($K91,"DDMMAAAA"),SUM($AB$2:INDIRECT(ADDRESS(ROW(AB91),COLUMN(AB91)))),$H$8/M92*V92)," ")</f>
        <v xml:space="preserve"> </v>
      </c>
      <c r="AC92" s="12" t="str">
        <f ca="1">IFERROR(IF(TEXT($H$4,"DDMMAAAA")=TEXT($K91,"DDMMAAAA"),SUM($AC$2:INDIRECT(ADDRESS(ROW(AC91),COLUMN(AC91)))),IF(SUM(Y92:AB92)=0,"",SUM(Y92:AB92)))," ")</f>
        <v/>
      </c>
      <c r="AE92">
        <v>201609</v>
      </c>
      <c r="AF92">
        <v>7.27</v>
      </c>
    </row>
    <row r="93" spans="10:32" x14ac:dyDescent="0.4">
      <c r="J93" s="19" t="str">
        <f t="shared" si="35"/>
        <v/>
      </c>
      <c r="K93" s="19" t="str">
        <f t="shared" si="27"/>
        <v xml:space="preserve"> </v>
      </c>
      <c r="L93" s="13" t="str">
        <f t="shared" si="38"/>
        <v xml:space="preserve"> </v>
      </c>
      <c r="M93" s="9" t="str">
        <f t="shared" si="39"/>
        <v xml:space="preserve"> </v>
      </c>
      <c r="N93" s="46" t="str">
        <f t="shared" si="28"/>
        <v xml:space="preserve"> </v>
      </c>
      <c r="O93" s="46" t="str">
        <f t="shared" si="29"/>
        <v xml:space="preserve"> </v>
      </c>
      <c r="P93" s="14" t="str">
        <f>IFERROR(IF(VLOOKUP(INT(TEXT(K93,"AAAA")),Tabla3[[AÑO]:[SALARIO 
MENSUAL]],2,0)*2&lt;$H$2,0,IFERROR(VLOOKUP(INT(TEXT(K93,"AAAA")),Tabla3[[AÑO]:[SALARIO 
MENSUAL]],2,0)," "))/30*L93," ")</f>
        <v xml:space="preserve"> </v>
      </c>
      <c r="Q93" s="14" t="str">
        <f>IFERROR(IF(VLOOKUP(INT(TEXT(K93,"AAAA")),Tabla3[[AÑO]:[SALARIO 
MENSUAL]],4,0)*2&lt;$H$2,$H$2,VLOOKUP(INT(TEXT(K93,"AAAA")),Tabla3[[AÑO]:[SALARIO 
MENSUAL]],4,0))/30*L93+$H$14+P93," ")</f>
        <v xml:space="preserve"> </v>
      </c>
      <c r="R93" s="12" t="str">
        <f t="shared" si="30"/>
        <v xml:space="preserve"> </v>
      </c>
      <c r="S93" s="12" t="str">
        <f t="shared" si="31"/>
        <v xml:space="preserve"> </v>
      </c>
      <c r="T93" s="11" t="str">
        <f t="shared" si="32"/>
        <v xml:space="preserve"> </v>
      </c>
      <c r="U93" s="14" t="str">
        <f t="shared" si="36"/>
        <v xml:space="preserve"> </v>
      </c>
      <c r="V93" s="12" t="str">
        <f t="shared" si="33"/>
        <v xml:space="preserve"> </v>
      </c>
      <c r="W93" s="53" t="str">
        <f t="shared" si="37"/>
        <v xml:space="preserve"> </v>
      </c>
      <c r="X93" s="12" t="str">
        <f t="shared" si="34"/>
        <v xml:space="preserve"> </v>
      </c>
      <c r="Y93" s="12" t="str">
        <f ca="1">IFERROR(IF(TEXT($H$4,"DDMMAAAA")=TEXT($K92,"DDMMAAAA"),SUM($Y$2:INDIRECT(ADDRESS(ROW(Y92),COLUMN(Y92)))),$H$8/M93*U93)," ")</f>
        <v xml:space="preserve"> </v>
      </c>
      <c r="Z93" s="51" t="str">
        <f ca="1">IFERROR(IF(TEXT($H$4,"DDMMAAAA")=TEXT($K92,"DDMMAAAA"),SUM($Y$2:INDIRECT(ADDRESS(ROW(Z92),COLUMN(Z92)))),$H$8/M93*R93)," ")</f>
        <v xml:space="preserve"> </v>
      </c>
      <c r="AA93" s="12" t="str">
        <f ca="1">IFERROR(IF(TEXT($H$4,"DDMMAAAA")=TEXT($K92,"DDMMAAAA"),SUM($AA$2:INDIRECT(ADDRESS(ROW(AA92),COLUMN(AA92)))),$H$8/M93*S93)," ")</f>
        <v xml:space="preserve"> </v>
      </c>
      <c r="AB93" s="12" t="str">
        <f ca="1">IFERROR(IF(TEXT($H$4,"DDMMAAAA")=TEXT($K92,"DDMMAAAA"),SUM($AB$2:INDIRECT(ADDRESS(ROW(AB92),COLUMN(AB92)))),$H$8/M93*V93)," ")</f>
        <v xml:space="preserve"> </v>
      </c>
      <c r="AC93" s="12" t="str">
        <f ca="1">IFERROR(IF(TEXT($H$4,"DDMMAAAA")=TEXT($K92,"DDMMAAAA"),SUM($AC$2:INDIRECT(ADDRESS(ROW(AC92),COLUMN(AC92)))),IF(SUM(Y93:AB93)=0,"",SUM(Y93:AB93)))," ")</f>
        <v/>
      </c>
      <c r="AE93">
        <v>201608</v>
      </c>
      <c r="AF93">
        <v>8.1</v>
      </c>
    </row>
    <row r="94" spans="10:32" x14ac:dyDescent="0.4">
      <c r="J94" s="19" t="str">
        <f t="shared" si="35"/>
        <v/>
      </c>
      <c r="K94" s="19" t="str">
        <f t="shared" si="27"/>
        <v xml:space="preserve"> </v>
      </c>
      <c r="L94" s="13" t="str">
        <f t="shared" si="38"/>
        <v xml:space="preserve"> </v>
      </c>
      <c r="M94" s="9" t="str">
        <f t="shared" si="39"/>
        <v xml:space="preserve"> </v>
      </c>
      <c r="N94" s="46" t="str">
        <f t="shared" si="28"/>
        <v xml:space="preserve"> </v>
      </c>
      <c r="O94" s="46" t="str">
        <f t="shared" si="29"/>
        <v xml:space="preserve"> </v>
      </c>
      <c r="P94" s="14" t="str">
        <f>IFERROR(IF(VLOOKUP(INT(TEXT(K94,"AAAA")),Tabla3[[AÑO]:[SALARIO 
MENSUAL]],2,0)*2&lt;$H$2,0,IFERROR(VLOOKUP(INT(TEXT(K94,"AAAA")),Tabla3[[AÑO]:[SALARIO 
MENSUAL]],2,0)," "))/30*L94," ")</f>
        <v xml:space="preserve"> </v>
      </c>
      <c r="Q94" s="14" t="str">
        <f>IFERROR(IF(VLOOKUP(INT(TEXT(K94,"AAAA")),Tabla3[[AÑO]:[SALARIO 
MENSUAL]],4,0)*2&lt;$H$2,$H$2,VLOOKUP(INT(TEXT(K94,"AAAA")),Tabla3[[AÑO]:[SALARIO 
MENSUAL]],4,0))/30*L94+$H$14+P94," ")</f>
        <v xml:space="preserve"> </v>
      </c>
      <c r="R94" s="12" t="str">
        <f t="shared" si="30"/>
        <v xml:space="preserve"> </v>
      </c>
      <c r="S94" s="12" t="str">
        <f t="shared" si="31"/>
        <v xml:space="preserve"> </v>
      </c>
      <c r="T94" s="11" t="str">
        <f t="shared" si="32"/>
        <v xml:space="preserve"> </v>
      </c>
      <c r="U94" s="14" t="str">
        <f t="shared" si="36"/>
        <v xml:space="preserve"> </v>
      </c>
      <c r="V94" s="12" t="str">
        <f t="shared" si="33"/>
        <v xml:space="preserve"> </v>
      </c>
      <c r="W94" s="53" t="str">
        <f t="shared" si="37"/>
        <v xml:space="preserve"> </v>
      </c>
      <c r="X94" s="12" t="str">
        <f t="shared" si="34"/>
        <v xml:space="preserve"> </v>
      </c>
      <c r="Y94" s="12" t="str">
        <f ca="1">IFERROR(IF(TEXT($H$4,"DDMMAAAA")=TEXT($K93,"DDMMAAAA"),SUM($Y$2:INDIRECT(ADDRESS(ROW(Y93),COLUMN(Y93)))),$H$8/M94*U94)," ")</f>
        <v xml:space="preserve"> </v>
      </c>
      <c r="Z94" s="51" t="str">
        <f ca="1">IFERROR(IF(TEXT($H$4,"DDMMAAAA")=TEXT($K93,"DDMMAAAA"),SUM($Y$2:INDIRECT(ADDRESS(ROW(Z93),COLUMN(Z93)))),$H$8/M94*R94)," ")</f>
        <v xml:space="preserve"> </v>
      </c>
      <c r="AA94" s="12" t="str">
        <f ca="1">IFERROR(IF(TEXT($H$4,"DDMMAAAA")=TEXT($K93,"DDMMAAAA"),SUM($AA$2:INDIRECT(ADDRESS(ROW(AA93),COLUMN(AA93)))),$H$8/M94*S94)," ")</f>
        <v xml:space="preserve"> </v>
      </c>
      <c r="AB94" s="12" t="str">
        <f ca="1">IFERROR(IF(TEXT($H$4,"DDMMAAAA")=TEXT($K93,"DDMMAAAA"),SUM($AB$2:INDIRECT(ADDRESS(ROW(AB93),COLUMN(AB93)))),$H$8/M94*V94)," ")</f>
        <v xml:space="preserve"> </v>
      </c>
      <c r="AC94" s="12" t="str">
        <f ca="1">IFERROR(IF(TEXT($H$4,"DDMMAAAA")=TEXT($K93,"DDMMAAAA"),SUM($AC$2:INDIRECT(ADDRESS(ROW(AC93),COLUMN(AC93)))),IF(SUM(Y94:AB94)=0,"",SUM(Y94:AB94)))," ")</f>
        <v/>
      </c>
      <c r="AE94">
        <v>201607</v>
      </c>
      <c r="AF94">
        <v>8.9700000000000006</v>
      </c>
    </row>
    <row r="95" spans="10:32" x14ac:dyDescent="0.4">
      <c r="J95" s="19" t="str">
        <f t="shared" si="35"/>
        <v/>
      </c>
      <c r="K95" s="19" t="str">
        <f t="shared" si="27"/>
        <v xml:space="preserve"> </v>
      </c>
      <c r="L95" s="13" t="str">
        <f t="shared" si="38"/>
        <v xml:space="preserve"> </v>
      </c>
      <c r="M95" s="9" t="str">
        <f t="shared" si="39"/>
        <v xml:space="preserve"> </v>
      </c>
      <c r="N95" s="46" t="str">
        <f t="shared" si="28"/>
        <v xml:space="preserve"> </v>
      </c>
      <c r="O95" s="46" t="str">
        <f t="shared" si="29"/>
        <v xml:space="preserve"> </v>
      </c>
      <c r="P95" s="14" t="str">
        <f>IFERROR(IF(VLOOKUP(INT(TEXT(K95,"AAAA")),Tabla3[[AÑO]:[SALARIO 
MENSUAL]],2,0)*2&lt;$H$2,0,IFERROR(VLOOKUP(INT(TEXT(K95,"AAAA")),Tabla3[[AÑO]:[SALARIO 
MENSUAL]],2,0)," "))/30*L95," ")</f>
        <v xml:space="preserve"> </v>
      </c>
      <c r="Q95" s="14" t="str">
        <f>IFERROR(IF(VLOOKUP(INT(TEXT(K95,"AAAA")),Tabla3[[AÑO]:[SALARIO 
MENSUAL]],4,0)*2&lt;$H$2,$H$2,VLOOKUP(INT(TEXT(K95,"AAAA")),Tabla3[[AÑO]:[SALARIO 
MENSUAL]],4,0))/30*L95+$H$14+P95," ")</f>
        <v xml:space="preserve"> </v>
      </c>
      <c r="R95" s="12" t="str">
        <f t="shared" si="30"/>
        <v xml:space="preserve"> </v>
      </c>
      <c r="S95" s="12" t="str">
        <f t="shared" si="31"/>
        <v xml:space="preserve"> </v>
      </c>
      <c r="T95" s="11" t="str">
        <f t="shared" si="32"/>
        <v xml:space="preserve"> </v>
      </c>
      <c r="U95" s="14" t="str">
        <f t="shared" si="36"/>
        <v xml:space="preserve"> </v>
      </c>
      <c r="V95" s="12" t="str">
        <f t="shared" si="33"/>
        <v xml:space="preserve"> </v>
      </c>
      <c r="W95" s="53" t="str">
        <f t="shared" si="37"/>
        <v xml:space="preserve"> </v>
      </c>
      <c r="X95" s="12" t="str">
        <f t="shared" si="34"/>
        <v xml:space="preserve"> </v>
      </c>
      <c r="Y95" s="12" t="str">
        <f ca="1">IFERROR(IF(TEXT($H$4,"DDMMAAAA")=TEXT($K94,"DDMMAAAA"),SUM($Y$2:INDIRECT(ADDRESS(ROW(Y94),COLUMN(Y94)))),$H$8/M95*U95)," ")</f>
        <v xml:space="preserve"> </v>
      </c>
      <c r="Z95" s="51" t="str">
        <f ca="1">IFERROR(IF(TEXT($H$4,"DDMMAAAA")=TEXT($K94,"DDMMAAAA"),SUM($Y$2:INDIRECT(ADDRESS(ROW(Z94),COLUMN(Z94)))),$H$8/M95*R95)," ")</f>
        <v xml:space="preserve"> </v>
      </c>
      <c r="AA95" s="12" t="str">
        <f ca="1">IFERROR(IF(TEXT($H$4,"DDMMAAAA")=TEXT($K94,"DDMMAAAA"),SUM($AA$2:INDIRECT(ADDRESS(ROW(AA94),COLUMN(AA94)))),$H$8/M95*S95)," ")</f>
        <v xml:space="preserve"> </v>
      </c>
      <c r="AB95" s="12" t="str">
        <f ca="1">IFERROR(IF(TEXT($H$4,"DDMMAAAA")=TEXT($K94,"DDMMAAAA"),SUM($AB$2:INDIRECT(ADDRESS(ROW(AB94),COLUMN(AB94)))),$H$8/M95*V95)," ")</f>
        <v xml:space="preserve"> </v>
      </c>
      <c r="AC95" s="12" t="str">
        <f ca="1">IFERROR(IF(TEXT($H$4,"DDMMAAAA")=TEXT($K94,"DDMMAAAA"),SUM($AC$2:INDIRECT(ADDRESS(ROW(AC94),COLUMN(AC94)))),IF(SUM(Y95:AB95)=0,"",SUM(Y95:AB95)))," ")</f>
        <v/>
      </c>
      <c r="AE95">
        <v>201606</v>
      </c>
      <c r="AF95">
        <v>8.6</v>
      </c>
    </row>
    <row r="96" spans="10:32" x14ac:dyDescent="0.4">
      <c r="J96" s="19" t="str">
        <f t="shared" si="35"/>
        <v/>
      </c>
      <c r="K96" s="19" t="str">
        <f t="shared" si="27"/>
        <v xml:space="preserve"> </v>
      </c>
      <c r="L96" s="13" t="str">
        <f t="shared" si="38"/>
        <v xml:space="preserve"> </v>
      </c>
      <c r="M96" s="9" t="str">
        <f t="shared" si="39"/>
        <v xml:space="preserve"> </v>
      </c>
      <c r="N96" s="46" t="str">
        <f t="shared" si="28"/>
        <v xml:space="preserve"> </v>
      </c>
      <c r="O96" s="46" t="str">
        <f t="shared" si="29"/>
        <v xml:space="preserve"> </v>
      </c>
      <c r="P96" s="14" t="str">
        <f>IFERROR(IF(VLOOKUP(INT(TEXT(K96,"AAAA")),Tabla3[[AÑO]:[SALARIO 
MENSUAL]],2,0)*2&lt;$H$2,0,IFERROR(VLOOKUP(INT(TEXT(K96,"AAAA")),Tabla3[[AÑO]:[SALARIO 
MENSUAL]],2,0)," "))/30*L96," ")</f>
        <v xml:space="preserve"> </v>
      </c>
      <c r="Q96" s="14" t="str">
        <f>IFERROR(IF(VLOOKUP(INT(TEXT(K96,"AAAA")),Tabla3[[AÑO]:[SALARIO 
MENSUAL]],4,0)*2&lt;$H$2,$H$2,VLOOKUP(INT(TEXT(K96,"AAAA")),Tabla3[[AÑO]:[SALARIO 
MENSUAL]],4,0))/30*L96+$H$14+P96," ")</f>
        <v xml:space="preserve"> </v>
      </c>
      <c r="R96" s="12" t="str">
        <f t="shared" si="30"/>
        <v xml:space="preserve"> </v>
      </c>
      <c r="S96" s="12" t="str">
        <f t="shared" si="31"/>
        <v xml:space="preserve"> </v>
      </c>
      <c r="T96" s="11" t="str">
        <f t="shared" si="32"/>
        <v xml:space="preserve"> </v>
      </c>
      <c r="U96" s="14" t="str">
        <f t="shared" si="36"/>
        <v xml:space="preserve"> </v>
      </c>
      <c r="V96" s="12" t="str">
        <f t="shared" si="33"/>
        <v xml:space="preserve"> </v>
      </c>
      <c r="W96" s="53" t="str">
        <f t="shared" si="37"/>
        <v xml:space="preserve"> </v>
      </c>
      <c r="X96" s="12" t="str">
        <f t="shared" si="34"/>
        <v xml:space="preserve"> </v>
      </c>
      <c r="Y96" s="12" t="str">
        <f ca="1">IFERROR(IF(TEXT($H$4,"DDMMAAAA")=TEXT($K95,"DDMMAAAA"),SUM($Y$2:INDIRECT(ADDRESS(ROW(Y95),COLUMN(Y95)))),$H$8/M96*U96)," ")</f>
        <v xml:space="preserve"> </v>
      </c>
      <c r="Z96" s="51" t="str">
        <f ca="1">IFERROR(IF(TEXT($H$4,"DDMMAAAA")=TEXT($K95,"DDMMAAAA"),SUM($Y$2:INDIRECT(ADDRESS(ROW(Z95),COLUMN(Z95)))),$H$8/M96*R96)," ")</f>
        <v xml:space="preserve"> </v>
      </c>
      <c r="AA96" s="12" t="str">
        <f ca="1">IFERROR(IF(TEXT($H$4,"DDMMAAAA")=TEXT($K95,"DDMMAAAA"),SUM($AA$2:INDIRECT(ADDRESS(ROW(AA95),COLUMN(AA95)))),$H$8/M96*S96)," ")</f>
        <v xml:space="preserve"> </v>
      </c>
      <c r="AB96" s="12" t="str">
        <f ca="1">IFERROR(IF(TEXT($H$4,"DDMMAAAA")=TEXT($K95,"DDMMAAAA"),SUM($AB$2:INDIRECT(ADDRESS(ROW(AB95),COLUMN(AB95)))),$H$8/M96*V96)," ")</f>
        <v xml:space="preserve"> </v>
      </c>
      <c r="AC96" s="12" t="str">
        <f ca="1">IFERROR(IF(TEXT($H$4,"DDMMAAAA")=TEXT($K95,"DDMMAAAA"),SUM($AC$2:INDIRECT(ADDRESS(ROW(AC95),COLUMN(AC95)))),IF(SUM(Y96:AB96)=0,"",SUM(Y96:AB96)))," ")</f>
        <v/>
      </c>
      <c r="AE96">
        <v>201605</v>
      </c>
      <c r="AF96">
        <v>8.1999999999999993</v>
      </c>
    </row>
    <row r="97" spans="10:32" x14ac:dyDescent="0.4">
      <c r="J97" s="19" t="str">
        <f t="shared" si="35"/>
        <v/>
      </c>
      <c r="K97" s="19" t="str">
        <f t="shared" si="27"/>
        <v xml:space="preserve"> </v>
      </c>
      <c r="L97" s="13" t="str">
        <f t="shared" si="38"/>
        <v xml:space="preserve"> </v>
      </c>
      <c r="M97" s="9" t="str">
        <f t="shared" si="39"/>
        <v xml:space="preserve"> </v>
      </c>
      <c r="N97" s="46" t="str">
        <f t="shared" si="28"/>
        <v xml:space="preserve"> </v>
      </c>
      <c r="O97" s="46" t="str">
        <f t="shared" si="29"/>
        <v xml:space="preserve"> </v>
      </c>
      <c r="P97" s="14" t="str">
        <f>IFERROR(IF(VLOOKUP(INT(TEXT(K97,"AAAA")),Tabla3[[AÑO]:[SALARIO 
MENSUAL]],2,0)*2&lt;$H$2,0,IFERROR(VLOOKUP(INT(TEXT(K97,"AAAA")),Tabla3[[AÑO]:[SALARIO 
MENSUAL]],2,0)," "))/30*L97," ")</f>
        <v xml:space="preserve"> </v>
      </c>
      <c r="Q97" s="14" t="str">
        <f>IFERROR(IF(VLOOKUP(INT(TEXT(K97,"AAAA")),Tabla3[[AÑO]:[SALARIO 
MENSUAL]],4,0)*2&lt;$H$2,$H$2,VLOOKUP(INT(TEXT(K97,"AAAA")),Tabla3[[AÑO]:[SALARIO 
MENSUAL]],4,0))/30*L97+$H$14+P97," ")</f>
        <v xml:space="preserve"> </v>
      </c>
      <c r="R97" s="12" t="str">
        <f t="shared" si="30"/>
        <v xml:space="preserve"> </v>
      </c>
      <c r="S97" s="12" t="str">
        <f t="shared" si="31"/>
        <v xml:space="preserve"> </v>
      </c>
      <c r="T97" s="11" t="str">
        <f t="shared" si="32"/>
        <v xml:space="preserve"> </v>
      </c>
      <c r="U97" s="14" t="str">
        <f t="shared" si="36"/>
        <v xml:space="preserve"> </v>
      </c>
      <c r="V97" s="12" t="str">
        <f t="shared" si="33"/>
        <v xml:space="preserve"> </v>
      </c>
      <c r="W97" s="53" t="str">
        <f t="shared" si="37"/>
        <v xml:space="preserve"> </v>
      </c>
      <c r="X97" s="12" t="str">
        <f t="shared" si="34"/>
        <v xml:space="preserve"> </v>
      </c>
      <c r="Y97" s="12" t="str">
        <f ca="1">IFERROR(IF(TEXT($H$4,"DDMMAAAA")=TEXT($K96,"DDMMAAAA"),SUM($Y$2:INDIRECT(ADDRESS(ROW(Y96),COLUMN(Y96)))),$H$8/M97*U97)," ")</f>
        <v xml:space="preserve"> </v>
      </c>
      <c r="Z97" s="51" t="str">
        <f ca="1">IFERROR(IF(TEXT($H$4,"DDMMAAAA")=TEXT($K96,"DDMMAAAA"),SUM($Y$2:INDIRECT(ADDRESS(ROW(Z96),COLUMN(Z96)))),$H$8/M97*R97)," ")</f>
        <v xml:space="preserve"> </v>
      </c>
      <c r="AA97" s="12" t="str">
        <f ca="1">IFERROR(IF(TEXT($H$4,"DDMMAAAA")=TEXT($K96,"DDMMAAAA"),SUM($AA$2:INDIRECT(ADDRESS(ROW(AA96),COLUMN(AA96)))),$H$8/M97*S97)," ")</f>
        <v xml:space="preserve"> </v>
      </c>
      <c r="AB97" s="12" t="str">
        <f ca="1">IFERROR(IF(TEXT($H$4,"DDMMAAAA")=TEXT($K96,"DDMMAAAA"),SUM($AB$2:INDIRECT(ADDRESS(ROW(AB96),COLUMN(AB96)))),$H$8/M97*V97)," ")</f>
        <v xml:space="preserve"> </v>
      </c>
      <c r="AC97" s="12" t="str">
        <f ca="1">IFERROR(IF(TEXT($H$4,"DDMMAAAA")=TEXT($K96,"DDMMAAAA"),SUM($AC$2:INDIRECT(ADDRESS(ROW(AC96),COLUMN(AC96)))),IF(SUM(Y97:AB97)=0,"",SUM(Y97:AB97)))," ")</f>
        <v/>
      </c>
      <c r="AE97">
        <v>201604</v>
      </c>
      <c r="AF97">
        <v>7.93</v>
      </c>
    </row>
    <row r="98" spans="10:32" x14ac:dyDescent="0.4">
      <c r="J98" s="19" t="str">
        <f t="shared" si="35"/>
        <v/>
      </c>
      <c r="K98" s="19" t="str">
        <f t="shared" ref="K98:K129" si="40">IFERROR(IF(TEXT(J98,"MMAAA")=TEXT($H$4,"MMAAAA"),$H$4,EOMONTH(J98,0))," ")</f>
        <v xml:space="preserve"> </v>
      </c>
      <c r="L98" s="13" t="str">
        <f t="shared" si="38"/>
        <v xml:space="preserve"> </v>
      </c>
      <c r="M98" s="9" t="str">
        <f t="shared" si="39"/>
        <v xml:space="preserve"> </v>
      </c>
      <c r="N98" s="46" t="str">
        <f t="shared" ref="N98:N129" si="41">IFERROR(Q98+$H$14-Q98," ")</f>
        <v xml:space="preserve"> </v>
      </c>
      <c r="O98" s="46" t="str">
        <f t="shared" ref="O98:O129" si="42">IFERROR(Q98-N98-P98," ")</f>
        <v xml:space="preserve"> </v>
      </c>
      <c r="P98" s="14" t="str">
        <f>IFERROR(IF(VLOOKUP(INT(TEXT(K98,"AAAA")),Tabla3[[AÑO]:[SALARIO 
MENSUAL]],2,0)*2&lt;$H$2,0,IFERROR(VLOOKUP(INT(TEXT(K98,"AAAA")),Tabla3[[AÑO]:[SALARIO 
MENSUAL]],2,0)," "))/30*L98," ")</f>
        <v xml:space="preserve"> </v>
      </c>
      <c r="Q98" s="14" t="str">
        <f>IFERROR(IF(VLOOKUP(INT(TEXT(K98,"AAAA")),Tabla3[[AÑO]:[SALARIO 
MENSUAL]],4,0)*2&lt;$H$2,$H$2,VLOOKUP(INT(TEXT(K98,"AAAA")),Tabla3[[AÑO]:[SALARIO 
MENSUAL]],4,0))/30*L98+$H$14+P98," ")</f>
        <v xml:space="preserve"> </v>
      </c>
      <c r="R98" s="12" t="str">
        <f t="shared" ref="R98:R129" si="43">IFERROR(Q98/360*L98," ")</f>
        <v xml:space="preserve"> </v>
      </c>
      <c r="S98" s="12" t="str">
        <f t="shared" ref="S98:S129" si="44">IFERROR(Q98/360*L98," ")</f>
        <v xml:space="preserve"> </v>
      </c>
      <c r="T98" s="11" t="str">
        <f t="shared" ref="T98:T129" si="45">IFERROR(L98/24," ")</f>
        <v xml:space="preserve"> </v>
      </c>
      <c r="U98" s="14" t="str">
        <f t="shared" si="36"/>
        <v xml:space="preserve"> </v>
      </c>
      <c r="V98" s="12" t="str">
        <f t="shared" ref="V98:V129" si="46">IFERROR(360*Q98*0.12/360/12," ")</f>
        <v xml:space="preserve"> </v>
      </c>
      <c r="W98" s="53" t="str">
        <f t="shared" si="37"/>
        <v xml:space="preserve"> </v>
      </c>
      <c r="X98" s="12" t="str">
        <f t="shared" ref="X98:X129" si="47">IFERROR(IF(TEXT($H$4,"DDMMAAAA")=TEXT($K97,"DDMMAAAA"),"Sub Total",$H$8/M98*Q98)," ")</f>
        <v xml:space="preserve"> </v>
      </c>
      <c r="Y98" s="12" t="str">
        <f ca="1">IFERROR(IF(TEXT($H$4,"DDMMAAAA")=TEXT($K97,"DDMMAAAA"),SUM($Y$2:INDIRECT(ADDRESS(ROW(Y97),COLUMN(Y97)))),$H$8/M98*U98)," ")</f>
        <v xml:space="preserve"> </v>
      </c>
      <c r="Z98" s="51" t="str">
        <f ca="1">IFERROR(IF(TEXT($H$4,"DDMMAAAA")=TEXT($K97,"DDMMAAAA"),SUM($Y$2:INDIRECT(ADDRESS(ROW(Z97),COLUMN(Z97)))),$H$8/M98*R98)," ")</f>
        <v xml:space="preserve"> </v>
      </c>
      <c r="AA98" s="12" t="str">
        <f ca="1">IFERROR(IF(TEXT($H$4,"DDMMAAAA")=TEXT($K97,"DDMMAAAA"),SUM($AA$2:INDIRECT(ADDRESS(ROW(AA97),COLUMN(AA97)))),$H$8/M98*S98)," ")</f>
        <v xml:space="preserve"> </v>
      </c>
      <c r="AB98" s="12" t="str">
        <f ca="1">IFERROR(IF(TEXT($H$4,"DDMMAAAA")=TEXT($K97,"DDMMAAAA"),SUM($AB$2:INDIRECT(ADDRESS(ROW(AB97),COLUMN(AB97)))),$H$8/M98*V98)," ")</f>
        <v xml:space="preserve"> </v>
      </c>
      <c r="AC98" s="12" t="str">
        <f ca="1">IFERROR(IF(TEXT($H$4,"DDMMAAAA")=TEXT($K97,"DDMMAAAA"),SUM($AC$2:INDIRECT(ADDRESS(ROW(AC97),COLUMN(AC97)))),IF(SUM(Y98:AB98)=0,"",SUM(Y98:AB98)))," ")</f>
        <v/>
      </c>
      <c r="AE98">
        <v>201603</v>
      </c>
      <c r="AF98">
        <v>7.98</v>
      </c>
    </row>
    <row r="99" spans="10:32" x14ac:dyDescent="0.4">
      <c r="J99" s="19" t="str">
        <f t="shared" ref="J99:J130" si="48">IF(EDATE($K$2,ROW()-3)&lt;=$H$4,EDATE($K$2+1,ROW()-3),"")</f>
        <v/>
      </c>
      <c r="K99" s="19" t="str">
        <f t="shared" si="40"/>
        <v xml:space="preserve"> </v>
      </c>
      <c r="L99" s="13" t="str">
        <f t="shared" si="38"/>
        <v xml:space="preserve"> </v>
      </c>
      <c r="M99" s="9" t="str">
        <f t="shared" si="39"/>
        <v xml:space="preserve"> </v>
      </c>
      <c r="N99" s="46" t="str">
        <f t="shared" si="41"/>
        <v xml:space="preserve"> </v>
      </c>
      <c r="O99" s="46" t="str">
        <f t="shared" si="42"/>
        <v xml:space="preserve"> </v>
      </c>
      <c r="P99" s="14" t="str">
        <f>IFERROR(IF(VLOOKUP(INT(TEXT(K99,"AAAA")),Tabla3[[AÑO]:[SALARIO 
MENSUAL]],2,0)*2&lt;$H$2,0,IFERROR(VLOOKUP(INT(TEXT(K99,"AAAA")),Tabla3[[AÑO]:[SALARIO 
MENSUAL]],2,0)," "))/30*L99," ")</f>
        <v xml:space="preserve"> </v>
      </c>
      <c r="Q99" s="14" t="str">
        <f>IFERROR(IF(VLOOKUP(INT(TEXT(K99,"AAAA")),Tabla3[[AÑO]:[SALARIO 
MENSUAL]],4,0)*2&lt;$H$2,$H$2,VLOOKUP(INT(TEXT(K99,"AAAA")),Tabla3[[AÑO]:[SALARIO 
MENSUAL]],4,0))/30*L99+$H$14+P99," ")</f>
        <v xml:space="preserve"> </v>
      </c>
      <c r="R99" s="12" t="str">
        <f t="shared" si="43"/>
        <v xml:space="preserve"> </v>
      </c>
      <c r="S99" s="12" t="str">
        <f t="shared" si="44"/>
        <v xml:space="preserve"> </v>
      </c>
      <c r="T99" s="11" t="str">
        <f t="shared" si="45"/>
        <v xml:space="preserve"> </v>
      </c>
      <c r="U99" s="14" t="str">
        <f t="shared" ref="U99:U130" si="49">IFERROR(Q99/30*T99," ")</f>
        <v xml:space="preserve"> </v>
      </c>
      <c r="V99" s="12" t="str">
        <f t="shared" si="46"/>
        <v xml:space="preserve"> </v>
      </c>
      <c r="W99" s="53" t="str">
        <f t="shared" si="37"/>
        <v xml:space="preserve"> </v>
      </c>
      <c r="X99" s="12" t="str">
        <f t="shared" si="47"/>
        <v xml:space="preserve"> </v>
      </c>
      <c r="Y99" s="12" t="str">
        <f ca="1">IFERROR(IF(TEXT($H$4,"DDMMAAAA")=TEXT($K98,"DDMMAAAA"),SUM($Y$2:INDIRECT(ADDRESS(ROW(Y98),COLUMN(Y98)))),$H$8/M99*U99)," ")</f>
        <v xml:space="preserve"> </v>
      </c>
      <c r="Z99" s="51" t="str">
        <f ca="1">IFERROR(IF(TEXT($H$4,"DDMMAAAA")=TEXT($K98,"DDMMAAAA"),SUM($Y$2:INDIRECT(ADDRESS(ROW(Z98),COLUMN(Z98)))),$H$8/M99*R99)," ")</f>
        <v xml:space="preserve"> </v>
      </c>
      <c r="AA99" s="12" t="str">
        <f ca="1">IFERROR(IF(TEXT($H$4,"DDMMAAAA")=TEXT($K98,"DDMMAAAA"),SUM($AA$2:INDIRECT(ADDRESS(ROW(AA98),COLUMN(AA98)))),$H$8/M99*S99)," ")</f>
        <v xml:space="preserve"> </v>
      </c>
      <c r="AB99" s="12" t="str">
        <f ca="1">IFERROR(IF(TEXT($H$4,"DDMMAAAA")=TEXT($K98,"DDMMAAAA"),SUM($AB$2:INDIRECT(ADDRESS(ROW(AB98),COLUMN(AB98)))),$H$8/M99*V99)," ")</f>
        <v xml:space="preserve"> </v>
      </c>
      <c r="AC99" s="12" t="str">
        <f ca="1">IFERROR(IF(TEXT($H$4,"DDMMAAAA")=TEXT($K98,"DDMMAAAA"),SUM($AC$2:INDIRECT(ADDRESS(ROW(AC98),COLUMN(AC98)))),IF(SUM(Y99:AB99)=0,"",SUM(Y99:AB99)))," ")</f>
        <v/>
      </c>
      <c r="AE99">
        <v>201602</v>
      </c>
      <c r="AF99">
        <v>7.59</v>
      </c>
    </row>
    <row r="100" spans="10:32" x14ac:dyDescent="0.4">
      <c r="J100" s="19" t="str">
        <f t="shared" si="48"/>
        <v/>
      </c>
      <c r="K100" s="19" t="str">
        <f t="shared" si="40"/>
        <v xml:space="preserve"> </v>
      </c>
      <c r="L100" s="13" t="str">
        <f t="shared" si="38"/>
        <v xml:space="preserve"> </v>
      </c>
      <c r="M100" s="9" t="str">
        <f t="shared" si="39"/>
        <v xml:space="preserve"> </v>
      </c>
      <c r="N100" s="46" t="str">
        <f t="shared" si="41"/>
        <v xml:space="preserve"> </v>
      </c>
      <c r="O100" s="46" t="str">
        <f t="shared" si="42"/>
        <v xml:space="preserve"> </v>
      </c>
      <c r="P100" s="14" t="str">
        <f>IFERROR(IF(VLOOKUP(INT(TEXT(K100,"AAAA")),Tabla3[[AÑO]:[SALARIO 
MENSUAL]],2,0)*2&lt;$H$2,0,IFERROR(VLOOKUP(INT(TEXT(K100,"AAAA")),Tabla3[[AÑO]:[SALARIO 
MENSUAL]],2,0)," "))/30*L100," ")</f>
        <v xml:space="preserve"> </v>
      </c>
      <c r="Q100" s="14" t="str">
        <f>IFERROR(IF(VLOOKUP(INT(TEXT(K100,"AAAA")),Tabla3[[AÑO]:[SALARIO 
MENSUAL]],4,0)*2&lt;$H$2,$H$2,VLOOKUP(INT(TEXT(K100,"AAAA")),Tabla3[[AÑO]:[SALARIO 
MENSUAL]],4,0))/30*L100+$H$14+P100," ")</f>
        <v xml:space="preserve"> </v>
      </c>
      <c r="R100" s="12" t="str">
        <f t="shared" si="43"/>
        <v xml:space="preserve"> </v>
      </c>
      <c r="S100" s="12" t="str">
        <f t="shared" si="44"/>
        <v xml:space="preserve"> </v>
      </c>
      <c r="T100" s="11" t="str">
        <f t="shared" si="45"/>
        <v xml:space="preserve"> </v>
      </c>
      <c r="U100" s="14" t="str">
        <f t="shared" si="49"/>
        <v xml:space="preserve"> </v>
      </c>
      <c r="V100" s="12" t="str">
        <f t="shared" si="46"/>
        <v xml:space="preserve"> </v>
      </c>
      <c r="W100" s="53" t="str">
        <f t="shared" si="37"/>
        <v xml:space="preserve"> </v>
      </c>
      <c r="X100" s="12" t="str">
        <f t="shared" si="47"/>
        <v xml:space="preserve"> </v>
      </c>
      <c r="Y100" s="12" t="str">
        <f ca="1">IFERROR(IF(TEXT($H$4,"DDMMAAAA")=TEXT($K99,"DDMMAAAA"),SUM($Y$2:INDIRECT(ADDRESS(ROW(Y99),COLUMN(Y99)))),$H$8/M100*U100)," ")</f>
        <v xml:space="preserve"> </v>
      </c>
      <c r="Z100" s="51" t="str">
        <f ca="1">IFERROR(IF(TEXT($H$4,"DDMMAAAA")=TEXT($K99,"DDMMAAAA"),SUM($Y$2:INDIRECT(ADDRESS(ROW(Z99),COLUMN(Z99)))),$H$8/M100*R100)," ")</f>
        <v xml:space="preserve"> </v>
      </c>
      <c r="AA100" s="12" t="str">
        <f ca="1">IFERROR(IF(TEXT($H$4,"DDMMAAAA")=TEXT($K99,"DDMMAAAA"),SUM($AA$2:INDIRECT(ADDRESS(ROW(AA99),COLUMN(AA99)))),$H$8/M100*S100)," ")</f>
        <v xml:space="preserve"> </v>
      </c>
      <c r="AB100" s="12" t="str">
        <f ca="1">IFERROR(IF(TEXT($H$4,"DDMMAAAA")=TEXT($K99,"DDMMAAAA"),SUM($AB$2:INDIRECT(ADDRESS(ROW(AB99),COLUMN(AB99)))),$H$8/M100*V100)," ")</f>
        <v xml:space="preserve"> </v>
      </c>
      <c r="AC100" s="12" t="str">
        <f ca="1">IFERROR(IF(TEXT($H$4,"DDMMAAAA")=TEXT($K99,"DDMMAAAA"),SUM($AC$2:INDIRECT(ADDRESS(ROW(AC99),COLUMN(AC99)))),IF(SUM(Y100:AB100)=0,"",SUM(Y100:AB100)))," ")</f>
        <v/>
      </c>
      <c r="AE100">
        <v>201601</v>
      </c>
      <c r="AF100">
        <v>7.45</v>
      </c>
    </row>
    <row r="101" spans="10:32" x14ac:dyDescent="0.4">
      <c r="J101" s="19" t="str">
        <f t="shared" si="48"/>
        <v/>
      </c>
      <c r="K101" s="19" t="str">
        <f t="shared" si="40"/>
        <v xml:space="preserve"> </v>
      </c>
      <c r="L101" s="13" t="str">
        <f t="shared" si="38"/>
        <v xml:space="preserve"> </v>
      </c>
      <c r="M101" s="9" t="str">
        <f t="shared" si="39"/>
        <v xml:space="preserve"> </v>
      </c>
      <c r="N101" s="46" t="str">
        <f t="shared" si="41"/>
        <v xml:space="preserve"> </v>
      </c>
      <c r="O101" s="46" t="str">
        <f t="shared" si="42"/>
        <v xml:space="preserve"> </v>
      </c>
      <c r="P101" s="14" t="str">
        <f>IFERROR(IF(VLOOKUP(INT(TEXT(K101,"AAAA")),Tabla3[[AÑO]:[SALARIO 
MENSUAL]],2,0)*2&lt;$H$2,0,IFERROR(VLOOKUP(INT(TEXT(K101,"AAAA")),Tabla3[[AÑO]:[SALARIO 
MENSUAL]],2,0)," "))/30*L101," ")</f>
        <v xml:space="preserve"> </v>
      </c>
      <c r="Q101" s="14" t="str">
        <f>IFERROR(IF(VLOOKUP(INT(TEXT(K101,"AAAA")),Tabla3[[AÑO]:[SALARIO 
MENSUAL]],4,0)*2&lt;$H$2,$H$2,VLOOKUP(INT(TEXT(K101,"AAAA")),Tabla3[[AÑO]:[SALARIO 
MENSUAL]],4,0))/30*L101+$H$14+P101," ")</f>
        <v xml:space="preserve"> </v>
      </c>
      <c r="R101" s="12" t="str">
        <f t="shared" si="43"/>
        <v xml:space="preserve"> </v>
      </c>
      <c r="S101" s="12" t="str">
        <f t="shared" si="44"/>
        <v xml:space="preserve"> </v>
      </c>
      <c r="T101" s="11" t="str">
        <f t="shared" si="45"/>
        <v xml:space="preserve"> </v>
      </c>
      <c r="U101" s="14" t="str">
        <f t="shared" si="49"/>
        <v xml:space="preserve"> </v>
      </c>
      <c r="V101" s="12" t="str">
        <f t="shared" si="46"/>
        <v xml:space="preserve"> </v>
      </c>
      <c r="W101" s="53" t="str">
        <f t="shared" si="37"/>
        <v xml:space="preserve"> </v>
      </c>
      <c r="X101" s="12" t="str">
        <f t="shared" si="47"/>
        <v xml:space="preserve"> </v>
      </c>
      <c r="Y101" s="12" t="str">
        <f ca="1">IFERROR(IF(TEXT($H$4,"DDMMAAAA")=TEXT($K100,"DDMMAAAA"),SUM($Y$2:INDIRECT(ADDRESS(ROW(Y100),COLUMN(Y100)))),$H$8/M101*U101)," ")</f>
        <v xml:space="preserve"> </v>
      </c>
      <c r="Z101" s="51" t="str">
        <f ca="1">IFERROR(IF(TEXT($H$4,"DDMMAAAA")=TEXT($K100,"DDMMAAAA"),SUM($Y$2:INDIRECT(ADDRESS(ROW(Z100),COLUMN(Z100)))),$H$8/M101*R101)," ")</f>
        <v xml:space="preserve"> </v>
      </c>
      <c r="AA101" s="12" t="str">
        <f ca="1">IFERROR(IF(TEXT($H$4,"DDMMAAAA")=TEXT($K100,"DDMMAAAA"),SUM($AA$2:INDIRECT(ADDRESS(ROW(AA100),COLUMN(AA100)))),$H$8/M101*S101)," ")</f>
        <v xml:space="preserve"> </v>
      </c>
      <c r="AB101" s="12" t="str">
        <f ca="1">IFERROR(IF(TEXT($H$4,"DDMMAAAA")=TEXT($K100,"DDMMAAAA"),SUM($AB$2:INDIRECT(ADDRESS(ROW(AB100),COLUMN(AB100)))),$H$8/M101*V101)," ")</f>
        <v xml:space="preserve"> </v>
      </c>
      <c r="AC101" s="12" t="str">
        <f ca="1">IFERROR(IF(TEXT($H$4,"DDMMAAAA")=TEXT($K100,"DDMMAAAA"),SUM($AC$2:INDIRECT(ADDRESS(ROW(AC100),COLUMN(AC100)))),IF(SUM(Y101:AB101)=0,"",SUM(Y101:AB101)))," ")</f>
        <v/>
      </c>
      <c r="AE101">
        <v>201512</v>
      </c>
      <c r="AF101">
        <v>6.77</v>
      </c>
    </row>
    <row r="102" spans="10:32" x14ac:dyDescent="0.4">
      <c r="J102" s="19" t="str">
        <f t="shared" si="48"/>
        <v/>
      </c>
      <c r="K102" s="19" t="str">
        <f t="shared" si="40"/>
        <v xml:space="preserve"> </v>
      </c>
      <c r="L102" s="13" t="str">
        <f t="shared" si="38"/>
        <v xml:space="preserve"> </v>
      </c>
      <c r="M102" s="9" t="str">
        <f t="shared" si="39"/>
        <v xml:space="preserve"> </v>
      </c>
      <c r="N102" s="46" t="str">
        <f t="shared" si="41"/>
        <v xml:space="preserve"> </v>
      </c>
      <c r="O102" s="46" t="str">
        <f t="shared" si="42"/>
        <v xml:space="preserve"> </v>
      </c>
      <c r="P102" s="14" t="str">
        <f>IFERROR(IF(VLOOKUP(INT(TEXT(K102,"AAAA")),Tabla3[[AÑO]:[SALARIO 
MENSUAL]],2,0)*2&lt;$H$2,0,IFERROR(VLOOKUP(INT(TEXT(K102,"AAAA")),Tabla3[[AÑO]:[SALARIO 
MENSUAL]],2,0)," "))/30*L102," ")</f>
        <v xml:space="preserve"> </v>
      </c>
      <c r="Q102" s="14" t="str">
        <f>IFERROR(IF(VLOOKUP(INT(TEXT(K102,"AAAA")),Tabla3[[AÑO]:[SALARIO 
MENSUAL]],4,0)*2&lt;$H$2,$H$2,VLOOKUP(INT(TEXT(K102,"AAAA")),Tabla3[[AÑO]:[SALARIO 
MENSUAL]],4,0))/30*L102+$H$14+P102," ")</f>
        <v xml:space="preserve"> </v>
      </c>
      <c r="R102" s="12" t="str">
        <f t="shared" si="43"/>
        <v xml:space="preserve"> </v>
      </c>
      <c r="S102" s="12" t="str">
        <f t="shared" si="44"/>
        <v xml:space="preserve"> </v>
      </c>
      <c r="T102" s="11" t="str">
        <f t="shared" si="45"/>
        <v xml:space="preserve"> </v>
      </c>
      <c r="U102" s="14" t="str">
        <f t="shared" si="49"/>
        <v xml:space="preserve"> </v>
      </c>
      <c r="V102" s="12" t="str">
        <f t="shared" si="46"/>
        <v xml:space="preserve"> </v>
      </c>
      <c r="W102" s="53" t="str">
        <f t="shared" si="37"/>
        <v xml:space="preserve"> </v>
      </c>
      <c r="X102" s="12" t="str">
        <f t="shared" si="47"/>
        <v xml:space="preserve"> </v>
      </c>
      <c r="Y102" s="12" t="str">
        <f ca="1">IFERROR(IF(TEXT($H$4,"DDMMAAAA")=TEXT($K101,"DDMMAAAA"),SUM($Y$2:INDIRECT(ADDRESS(ROW(Y101),COLUMN(Y101)))),$H$8/M102*U102)," ")</f>
        <v xml:space="preserve"> </v>
      </c>
      <c r="Z102" s="51" t="str">
        <f ca="1">IFERROR(IF(TEXT($H$4,"DDMMAAAA")=TEXT($K101,"DDMMAAAA"),SUM($Y$2:INDIRECT(ADDRESS(ROW(Z101),COLUMN(Z101)))),$H$8/M102*R102)," ")</f>
        <v xml:space="preserve"> </v>
      </c>
      <c r="AA102" s="12" t="str">
        <f ca="1">IFERROR(IF(TEXT($H$4,"DDMMAAAA")=TEXT($K101,"DDMMAAAA"),SUM($AA$2:INDIRECT(ADDRESS(ROW(AA101),COLUMN(AA101)))),$H$8/M102*S102)," ")</f>
        <v xml:space="preserve"> </v>
      </c>
      <c r="AB102" s="12" t="str">
        <f ca="1">IFERROR(IF(TEXT($H$4,"DDMMAAAA")=TEXT($K101,"DDMMAAAA"),SUM($AB$2:INDIRECT(ADDRESS(ROW(AB101),COLUMN(AB101)))),$H$8/M102*V102)," ")</f>
        <v xml:space="preserve"> </v>
      </c>
      <c r="AC102" s="12" t="str">
        <f ca="1">IFERROR(IF(TEXT($H$4,"DDMMAAAA")=TEXT($K101,"DDMMAAAA"),SUM($AC$2:INDIRECT(ADDRESS(ROW(AC101),COLUMN(AC101)))),IF(SUM(Y102:AB102)=0,"",SUM(Y102:AB102)))," ")</f>
        <v/>
      </c>
      <c r="AE102">
        <v>201511</v>
      </c>
      <c r="AF102">
        <v>6.39</v>
      </c>
    </row>
    <row r="103" spans="10:32" x14ac:dyDescent="0.4">
      <c r="J103" s="19" t="str">
        <f t="shared" si="48"/>
        <v/>
      </c>
      <c r="K103" s="19" t="str">
        <f t="shared" si="40"/>
        <v xml:space="preserve"> </v>
      </c>
      <c r="L103" s="13" t="str">
        <f t="shared" si="38"/>
        <v xml:space="preserve"> </v>
      </c>
      <c r="M103" s="9" t="str">
        <f t="shared" si="39"/>
        <v xml:space="preserve"> </v>
      </c>
      <c r="N103" s="46" t="str">
        <f t="shared" si="41"/>
        <v xml:space="preserve"> </v>
      </c>
      <c r="O103" s="46" t="str">
        <f t="shared" si="42"/>
        <v xml:space="preserve"> </v>
      </c>
      <c r="P103" s="14" t="str">
        <f>IFERROR(IF(VLOOKUP(INT(TEXT(K103,"AAAA")),Tabla3[[AÑO]:[SALARIO 
MENSUAL]],2,0)*2&lt;$H$2,0,IFERROR(VLOOKUP(INT(TEXT(K103,"AAAA")),Tabla3[[AÑO]:[SALARIO 
MENSUAL]],2,0)," "))/30*L103," ")</f>
        <v xml:space="preserve"> </v>
      </c>
      <c r="Q103" s="14" t="str">
        <f>IFERROR(IF(VLOOKUP(INT(TEXT(K103,"AAAA")),Tabla3[[AÑO]:[SALARIO 
MENSUAL]],4,0)*2&lt;$H$2,$H$2,VLOOKUP(INT(TEXT(K103,"AAAA")),Tabla3[[AÑO]:[SALARIO 
MENSUAL]],4,0))/30*L103+$H$14+P103," ")</f>
        <v xml:space="preserve"> </v>
      </c>
      <c r="R103" s="12" t="str">
        <f t="shared" si="43"/>
        <v xml:space="preserve"> </v>
      </c>
      <c r="S103" s="12" t="str">
        <f t="shared" si="44"/>
        <v xml:space="preserve"> </v>
      </c>
      <c r="T103" s="11" t="str">
        <f t="shared" si="45"/>
        <v xml:space="preserve"> </v>
      </c>
      <c r="U103" s="14" t="str">
        <f t="shared" si="49"/>
        <v xml:space="preserve"> </v>
      </c>
      <c r="V103" s="12" t="str">
        <f t="shared" si="46"/>
        <v xml:space="preserve"> </v>
      </c>
      <c r="W103" s="53" t="str">
        <f t="shared" si="37"/>
        <v xml:space="preserve"> </v>
      </c>
      <c r="X103" s="12" t="str">
        <f t="shared" si="47"/>
        <v xml:space="preserve"> </v>
      </c>
      <c r="Y103" s="12" t="str">
        <f ca="1">IFERROR(IF(TEXT($H$4,"DDMMAAAA")=TEXT($K102,"DDMMAAAA"),SUM($Y$2:INDIRECT(ADDRESS(ROW(Y102),COLUMN(Y102)))),$H$8/M103*U103)," ")</f>
        <v xml:space="preserve"> </v>
      </c>
      <c r="Z103" s="51" t="str">
        <f ca="1">IFERROR(IF(TEXT($H$4,"DDMMAAAA")=TEXT($K102,"DDMMAAAA"),SUM($Y$2:INDIRECT(ADDRESS(ROW(Z102),COLUMN(Z102)))),$H$8/M103*R103)," ")</f>
        <v xml:space="preserve"> </v>
      </c>
      <c r="AA103" s="12" t="str">
        <f ca="1">IFERROR(IF(TEXT($H$4,"DDMMAAAA")=TEXT($K102,"DDMMAAAA"),SUM($AA$2:INDIRECT(ADDRESS(ROW(AA102),COLUMN(AA102)))),$H$8/M103*S103)," ")</f>
        <v xml:space="preserve"> </v>
      </c>
      <c r="AB103" s="12" t="str">
        <f ca="1">IFERROR(IF(TEXT($H$4,"DDMMAAAA")=TEXT($K102,"DDMMAAAA"),SUM($AB$2:INDIRECT(ADDRESS(ROW(AB102),COLUMN(AB102)))),$H$8/M103*V103)," ")</f>
        <v xml:space="preserve"> </v>
      </c>
      <c r="AC103" s="12" t="str">
        <f ca="1">IFERROR(IF(TEXT($H$4,"DDMMAAAA")=TEXT($K102,"DDMMAAAA"),SUM($AC$2:INDIRECT(ADDRESS(ROW(AC102),COLUMN(AC102)))),IF(SUM(Y103:AB103)=0,"",SUM(Y103:AB103)))," ")</f>
        <v/>
      </c>
      <c r="AE103">
        <v>201510</v>
      </c>
      <c r="AF103">
        <v>5.89</v>
      </c>
    </row>
    <row r="104" spans="10:32" x14ac:dyDescent="0.4">
      <c r="J104" s="19" t="str">
        <f t="shared" si="48"/>
        <v/>
      </c>
      <c r="K104" s="19" t="str">
        <f t="shared" si="40"/>
        <v xml:space="preserve"> </v>
      </c>
      <c r="L104" s="13" t="str">
        <f t="shared" si="38"/>
        <v xml:space="preserve"> </v>
      </c>
      <c r="M104" s="9" t="str">
        <f t="shared" si="39"/>
        <v xml:space="preserve"> </v>
      </c>
      <c r="N104" s="46" t="str">
        <f t="shared" si="41"/>
        <v xml:space="preserve"> </v>
      </c>
      <c r="O104" s="46" t="str">
        <f t="shared" si="42"/>
        <v xml:space="preserve"> </v>
      </c>
      <c r="P104" s="14" t="str">
        <f>IFERROR(IF(VLOOKUP(INT(TEXT(K104,"AAAA")),Tabla3[[AÑO]:[SALARIO 
MENSUAL]],2,0)*2&lt;$H$2,0,IFERROR(VLOOKUP(INT(TEXT(K104,"AAAA")),Tabla3[[AÑO]:[SALARIO 
MENSUAL]],2,0)," "))/30*L104," ")</f>
        <v xml:space="preserve"> </v>
      </c>
      <c r="Q104" s="14" t="str">
        <f>IFERROR(IF(VLOOKUP(INT(TEXT(K104,"AAAA")),Tabla3[[AÑO]:[SALARIO 
MENSUAL]],4,0)*2&lt;$H$2,$H$2,VLOOKUP(INT(TEXT(K104,"AAAA")),Tabla3[[AÑO]:[SALARIO 
MENSUAL]],4,0))/30*L104+$H$14+P104," ")</f>
        <v xml:space="preserve"> </v>
      </c>
      <c r="R104" s="12" t="str">
        <f t="shared" si="43"/>
        <v xml:space="preserve"> </v>
      </c>
      <c r="S104" s="12" t="str">
        <f t="shared" si="44"/>
        <v xml:space="preserve"> </v>
      </c>
      <c r="T104" s="11" t="str">
        <f t="shared" si="45"/>
        <v xml:space="preserve"> </v>
      </c>
      <c r="U104" s="14" t="str">
        <f t="shared" si="49"/>
        <v xml:space="preserve"> </v>
      </c>
      <c r="V104" s="12" t="str">
        <f t="shared" si="46"/>
        <v xml:space="preserve"> </v>
      </c>
      <c r="W104" s="53" t="str">
        <f t="shared" si="37"/>
        <v xml:space="preserve"> </v>
      </c>
      <c r="X104" s="12" t="str">
        <f t="shared" si="47"/>
        <v xml:space="preserve"> </v>
      </c>
      <c r="Y104" s="12" t="str">
        <f ca="1">IFERROR(IF(TEXT($H$4,"DDMMAAAA")=TEXT($K103,"DDMMAAAA"),SUM($Y$2:INDIRECT(ADDRESS(ROW(Y103),COLUMN(Y103)))),$H$8/M104*U104)," ")</f>
        <v xml:space="preserve"> </v>
      </c>
      <c r="Z104" s="51" t="str">
        <f ca="1">IFERROR(IF(TEXT($H$4,"DDMMAAAA")=TEXT($K103,"DDMMAAAA"),SUM($Y$2:INDIRECT(ADDRESS(ROW(Z103),COLUMN(Z103)))),$H$8/M104*R104)," ")</f>
        <v xml:space="preserve"> </v>
      </c>
      <c r="AA104" s="12" t="str">
        <f ca="1">IFERROR(IF(TEXT($H$4,"DDMMAAAA")=TEXT($K103,"DDMMAAAA"),SUM($AA$2:INDIRECT(ADDRESS(ROW(AA103),COLUMN(AA103)))),$H$8/M104*S104)," ")</f>
        <v xml:space="preserve"> </v>
      </c>
      <c r="AB104" s="12" t="str">
        <f ca="1">IFERROR(IF(TEXT($H$4,"DDMMAAAA")=TEXT($K103,"DDMMAAAA"),SUM($AB$2:INDIRECT(ADDRESS(ROW(AB103),COLUMN(AB103)))),$H$8/M104*V104)," ")</f>
        <v xml:space="preserve"> </v>
      </c>
      <c r="AC104" s="12" t="str">
        <f ca="1">IFERROR(IF(TEXT($H$4,"DDMMAAAA")=TEXT($K103,"DDMMAAAA"),SUM($AC$2:INDIRECT(ADDRESS(ROW(AC103),COLUMN(AC103)))),IF(SUM(Y104:AB104)=0,"",SUM(Y104:AB104)))," ")</f>
        <v/>
      </c>
      <c r="AE104">
        <v>201509</v>
      </c>
      <c r="AF104">
        <v>5.35</v>
      </c>
    </row>
    <row r="105" spans="10:32" x14ac:dyDescent="0.4">
      <c r="J105" s="19" t="str">
        <f t="shared" si="48"/>
        <v/>
      </c>
      <c r="K105" s="19" t="str">
        <f t="shared" si="40"/>
        <v xml:space="preserve"> </v>
      </c>
      <c r="L105" s="13" t="str">
        <f t="shared" si="38"/>
        <v xml:space="preserve"> </v>
      </c>
      <c r="M105" s="9" t="str">
        <f t="shared" si="39"/>
        <v xml:space="preserve"> </v>
      </c>
      <c r="N105" s="46" t="str">
        <f t="shared" si="41"/>
        <v xml:space="preserve"> </v>
      </c>
      <c r="O105" s="46" t="str">
        <f t="shared" si="42"/>
        <v xml:space="preserve"> </v>
      </c>
      <c r="P105" s="14" t="str">
        <f>IFERROR(IF(VLOOKUP(INT(TEXT(K105,"AAAA")),Tabla3[[AÑO]:[SALARIO 
MENSUAL]],2,0)*2&lt;$H$2,0,IFERROR(VLOOKUP(INT(TEXT(K105,"AAAA")),Tabla3[[AÑO]:[SALARIO 
MENSUAL]],2,0)," "))/30*L105," ")</f>
        <v xml:space="preserve"> </v>
      </c>
      <c r="Q105" s="14" t="str">
        <f>IFERROR(IF(VLOOKUP(INT(TEXT(K105,"AAAA")),Tabla3[[AÑO]:[SALARIO 
MENSUAL]],4,0)*2&lt;$H$2,$H$2,VLOOKUP(INT(TEXT(K105,"AAAA")),Tabla3[[AÑO]:[SALARIO 
MENSUAL]],4,0))/30*L105+$H$14+P105," ")</f>
        <v xml:space="preserve"> </v>
      </c>
      <c r="R105" s="12" t="str">
        <f t="shared" si="43"/>
        <v xml:space="preserve"> </v>
      </c>
      <c r="S105" s="12" t="str">
        <f t="shared" si="44"/>
        <v xml:space="preserve"> </v>
      </c>
      <c r="T105" s="11" t="str">
        <f t="shared" si="45"/>
        <v xml:space="preserve"> </v>
      </c>
      <c r="U105" s="14" t="str">
        <f t="shared" si="49"/>
        <v xml:space="preserve"> </v>
      </c>
      <c r="V105" s="12" t="str">
        <f t="shared" si="46"/>
        <v xml:space="preserve"> </v>
      </c>
      <c r="W105" s="53" t="str">
        <f t="shared" si="37"/>
        <v xml:space="preserve"> </v>
      </c>
      <c r="X105" s="12" t="str">
        <f t="shared" si="47"/>
        <v xml:space="preserve"> </v>
      </c>
      <c r="Y105" s="12" t="str">
        <f ca="1">IFERROR(IF(TEXT($H$4,"DDMMAAAA")=TEXT($K104,"DDMMAAAA"),SUM($Y$2:INDIRECT(ADDRESS(ROW(Y104),COLUMN(Y104)))),$H$8/M105*U105)," ")</f>
        <v xml:space="preserve"> </v>
      </c>
      <c r="Z105" s="51" t="str">
        <f ca="1">IFERROR(IF(TEXT($H$4,"DDMMAAAA")=TEXT($K104,"DDMMAAAA"),SUM($Y$2:INDIRECT(ADDRESS(ROW(Z104),COLUMN(Z104)))),$H$8/M105*R105)," ")</f>
        <v xml:space="preserve"> </v>
      </c>
      <c r="AA105" s="12" t="str">
        <f ca="1">IFERROR(IF(TEXT($H$4,"DDMMAAAA")=TEXT($K104,"DDMMAAAA"),SUM($AA$2:INDIRECT(ADDRESS(ROW(AA104),COLUMN(AA104)))),$H$8/M105*S105)," ")</f>
        <v xml:space="preserve"> </v>
      </c>
      <c r="AB105" s="12" t="str">
        <f ca="1">IFERROR(IF(TEXT($H$4,"DDMMAAAA")=TEXT($K104,"DDMMAAAA"),SUM($AB$2:INDIRECT(ADDRESS(ROW(AB104),COLUMN(AB104)))),$H$8/M105*V105)," ")</f>
        <v xml:space="preserve"> </v>
      </c>
      <c r="AC105" s="12" t="str">
        <f ca="1">IFERROR(IF(TEXT($H$4,"DDMMAAAA")=TEXT($K104,"DDMMAAAA"),SUM($AC$2:INDIRECT(ADDRESS(ROW(AC104),COLUMN(AC104)))),IF(SUM(Y105:AB105)=0,"",SUM(Y105:AB105)))," ")</f>
        <v/>
      </c>
      <c r="AE105">
        <v>201508</v>
      </c>
      <c r="AF105">
        <v>4.74</v>
      </c>
    </row>
    <row r="106" spans="10:32" x14ac:dyDescent="0.4">
      <c r="J106" s="19" t="str">
        <f t="shared" si="48"/>
        <v/>
      </c>
      <c r="K106" s="19" t="str">
        <f t="shared" si="40"/>
        <v xml:space="preserve"> </v>
      </c>
      <c r="L106" s="13" t="str">
        <f t="shared" si="38"/>
        <v xml:space="preserve"> </v>
      </c>
      <c r="M106" s="9" t="str">
        <f t="shared" si="39"/>
        <v xml:space="preserve"> </v>
      </c>
      <c r="N106" s="46" t="str">
        <f t="shared" si="41"/>
        <v xml:space="preserve"> </v>
      </c>
      <c r="O106" s="46" t="str">
        <f t="shared" si="42"/>
        <v xml:space="preserve"> </v>
      </c>
      <c r="P106" s="14" t="str">
        <f>IFERROR(IF(VLOOKUP(INT(TEXT(K106,"AAAA")),Tabla3[[AÑO]:[SALARIO 
MENSUAL]],2,0)*2&lt;$H$2,0,IFERROR(VLOOKUP(INT(TEXT(K106,"AAAA")),Tabla3[[AÑO]:[SALARIO 
MENSUAL]],2,0)," "))/30*L106," ")</f>
        <v xml:space="preserve"> </v>
      </c>
      <c r="Q106" s="14" t="str">
        <f>IFERROR(IF(VLOOKUP(INT(TEXT(K106,"AAAA")),Tabla3[[AÑO]:[SALARIO 
MENSUAL]],4,0)*2&lt;$H$2,$H$2,VLOOKUP(INT(TEXT(K106,"AAAA")),Tabla3[[AÑO]:[SALARIO 
MENSUAL]],4,0))/30*L106+$H$14+P106," ")</f>
        <v xml:space="preserve"> </v>
      </c>
      <c r="R106" s="12" t="str">
        <f t="shared" si="43"/>
        <v xml:space="preserve"> </v>
      </c>
      <c r="S106" s="12" t="str">
        <f t="shared" si="44"/>
        <v xml:space="preserve"> </v>
      </c>
      <c r="T106" s="11" t="str">
        <f t="shared" si="45"/>
        <v xml:space="preserve"> </v>
      </c>
      <c r="U106" s="14" t="str">
        <f t="shared" si="49"/>
        <v xml:space="preserve"> </v>
      </c>
      <c r="V106" s="12" t="str">
        <f t="shared" si="46"/>
        <v xml:space="preserve"> </v>
      </c>
      <c r="W106" s="53" t="str">
        <f t="shared" si="37"/>
        <v xml:space="preserve"> </v>
      </c>
      <c r="X106" s="12" t="str">
        <f t="shared" si="47"/>
        <v xml:space="preserve"> </v>
      </c>
      <c r="Y106" s="12" t="str">
        <f ca="1">IFERROR(IF(TEXT($H$4,"DDMMAAAA")=TEXT($K105,"DDMMAAAA"),SUM($Y$2:INDIRECT(ADDRESS(ROW(Y105),COLUMN(Y105)))),$H$8/M106*U106)," ")</f>
        <v xml:space="preserve"> </v>
      </c>
      <c r="Z106" s="51" t="str">
        <f ca="1">IFERROR(IF(TEXT($H$4,"DDMMAAAA")=TEXT($K105,"DDMMAAAA"),SUM($Y$2:INDIRECT(ADDRESS(ROW(Z105),COLUMN(Z105)))),$H$8/M106*R106)," ")</f>
        <v xml:space="preserve"> </v>
      </c>
      <c r="AA106" s="12" t="str">
        <f ca="1">IFERROR(IF(TEXT($H$4,"DDMMAAAA")=TEXT($K105,"DDMMAAAA"),SUM($AA$2:INDIRECT(ADDRESS(ROW(AA105),COLUMN(AA105)))),$H$8/M106*S106)," ")</f>
        <v xml:space="preserve"> </v>
      </c>
      <c r="AB106" s="12" t="str">
        <f ca="1">IFERROR(IF(TEXT($H$4,"DDMMAAAA")=TEXT($K105,"DDMMAAAA"),SUM($AB$2:INDIRECT(ADDRESS(ROW(AB105),COLUMN(AB105)))),$H$8/M106*V106)," ")</f>
        <v xml:space="preserve"> </v>
      </c>
      <c r="AC106" s="12" t="str">
        <f ca="1">IFERROR(IF(TEXT($H$4,"DDMMAAAA")=TEXT($K105,"DDMMAAAA"),SUM($AC$2:INDIRECT(ADDRESS(ROW(AC105),COLUMN(AC105)))),IF(SUM(Y106:AB106)=0,"",SUM(Y106:AB106)))," ")</f>
        <v/>
      </c>
      <c r="AE106">
        <v>201507</v>
      </c>
      <c r="AF106">
        <v>4.46</v>
      </c>
    </row>
    <row r="107" spans="10:32" x14ac:dyDescent="0.4">
      <c r="J107" s="19" t="str">
        <f t="shared" si="48"/>
        <v/>
      </c>
      <c r="K107" s="19" t="str">
        <f t="shared" si="40"/>
        <v xml:space="preserve"> </v>
      </c>
      <c r="L107" s="13" t="str">
        <f t="shared" si="38"/>
        <v xml:space="preserve"> </v>
      </c>
      <c r="M107" s="9" t="str">
        <f t="shared" si="39"/>
        <v xml:space="preserve"> </v>
      </c>
      <c r="N107" s="46" t="str">
        <f t="shared" si="41"/>
        <v xml:space="preserve"> </v>
      </c>
      <c r="O107" s="46" t="str">
        <f t="shared" si="42"/>
        <v xml:space="preserve"> </v>
      </c>
      <c r="P107" s="14" t="str">
        <f>IFERROR(IF(VLOOKUP(INT(TEXT(K107,"AAAA")),Tabla3[[AÑO]:[SALARIO 
MENSUAL]],2,0)*2&lt;$H$2,0,IFERROR(VLOOKUP(INT(TEXT(K107,"AAAA")),Tabla3[[AÑO]:[SALARIO 
MENSUAL]],2,0)," "))/30*L107," ")</f>
        <v xml:space="preserve"> </v>
      </c>
      <c r="Q107" s="14" t="str">
        <f>IFERROR(IF(VLOOKUP(INT(TEXT(K107,"AAAA")),Tabla3[[AÑO]:[SALARIO 
MENSUAL]],4,0)*2&lt;$H$2,$H$2,VLOOKUP(INT(TEXT(K107,"AAAA")),Tabla3[[AÑO]:[SALARIO 
MENSUAL]],4,0))/30*L107+$H$14+P107," ")</f>
        <v xml:space="preserve"> </v>
      </c>
      <c r="R107" s="12" t="str">
        <f t="shared" si="43"/>
        <v xml:space="preserve"> </v>
      </c>
      <c r="S107" s="12" t="str">
        <f t="shared" si="44"/>
        <v xml:space="preserve"> </v>
      </c>
      <c r="T107" s="11" t="str">
        <f t="shared" si="45"/>
        <v xml:space="preserve"> </v>
      </c>
      <c r="U107" s="14" t="str">
        <f t="shared" si="49"/>
        <v xml:space="preserve"> </v>
      </c>
      <c r="V107" s="12" t="str">
        <f t="shared" si="46"/>
        <v xml:space="preserve"> </v>
      </c>
      <c r="W107" s="53" t="str">
        <f t="shared" si="37"/>
        <v xml:space="preserve"> </v>
      </c>
      <c r="X107" s="12" t="str">
        <f t="shared" si="47"/>
        <v xml:space="preserve"> </v>
      </c>
      <c r="Y107" s="12" t="str">
        <f ca="1">IFERROR(IF(TEXT($H$4,"DDMMAAAA")=TEXT($K106,"DDMMAAAA"),SUM($Y$2:INDIRECT(ADDRESS(ROW(Y106),COLUMN(Y106)))),$H$8/M107*U107)," ")</f>
        <v xml:space="preserve"> </v>
      </c>
      <c r="Z107" s="51" t="str">
        <f ca="1">IFERROR(IF(TEXT($H$4,"DDMMAAAA")=TEXT($K106,"DDMMAAAA"),SUM($Y$2:INDIRECT(ADDRESS(ROW(Z106),COLUMN(Z106)))),$H$8/M107*R107)," ")</f>
        <v xml:space="preserve"> </v>
      </c>
      <c r="AA107" s="12" t="str">
        <f ca="1">IFERROR(IF(TEXT($H$4,"DDMMAAAA")=TEXT($K106,"DDMMAAAA"),SUM($AA$2:INDIRECT(ADDRESS(ROW(AA106),COLUMN(AA106)))),$H$8/M107*S107)," ")</f>
        <v xml:space="preserve"> </v>
      </c>
      <c r="AB107" s="12" t="str">
        <f ca="1">IFERROR(IF(TEXT($H$4,"DDMMAAAA")=TEXT($K106,"DDMMAAAA"),SUM($AB$2:INDIRECT(ADDRESS(ROW(AB106),COLUMN(AB106)))),$H$8/M107*V107)," ")</f>
        <v xml:space="preserve"> </v>
      </c>
      <c r="AC107" s="12" t="str">
        <f ca="1">IFERROR(IF(TEXT($H$4,"DDMMAAAA")=TEXT($K106,"DDMMAAAA"),SUM($AC$2:INDIRECT(ADDRESS(ROW(AC106),COLUMN(AC106)))),IF(SUM(Y107:AB107)=0,"",SUM(Y107:AB107)))," ")</f>
        <v/>
      </c>
      <c r="AE107">
        <v>201506</v>
      </c>
      <c r="AF107">
        <v>4.42</v>
      </c>
    </row>
    <row r="108" spans="10:32" x14ac:dyDescent="0.4">
      <c r="J108" s="19" t="str">
        <f t="shared" si="48"/>
        <v/>
      </c>
      <c r="K108" s="19" t="str">
        <f t="shared" si="40"/>
        <v xml:space="preserve"> </v>
      </c>
      <c r="L108" s="13" t="str">
        <f t="shared" si="38"/>
        <v xml:space="preserve"> </v>
      </c>
      <c r="M108" s="9" t="str">
        <f t="shared" si="39"/>
        <v xml:space="preserve"> </v>
      </c>
      <c r="N108" s="46" t="str">
        <f t="shared" si="41"/>
        <v xml:space="preserve"> </v>
      </c>
      <c r="O108" s="46" t="str">
        <f t="shared" si="42"/>
        <v xml:space="preserve"> </v>
      </c>
      <c r="P108" s="14" t="str">
        <f>IFERROR(IF(VLOOKUP(INT(TEXT(K108,"AAAA")),Tabla3[[AÑO]:[SALARIO 
MENSUAL]],2,0)*2&lt;$H$2,0,IFERROR(VLOOKUP(INT(TEXT(K108,"AAAA")),Tabla3[[AÑO]:[SALARIO 
MENSUAL]],2,0)," "))/30*L108," ")</f>
        <v xml:space="preserve"> </v>
      </c>
      <c r="Q108" s="14" t="str">
        <f>IFERROR(IF(VLOOKUP(INT(TEXT(K108,"AAAA")),Tabla3[[AÑO]:[SALARIO 
MENSUAL]],4,0)*2&lt;$H$2,$H$2,VLOOKUP(INT(TEXT(K108,"AAAA")),Tabla3[[AÑO]:[SALARIO 
MENSUAL]],4,0))/30*L108+$H$14+P108," ")</f>
        <v xml:space="preserve"> </v>
      </c>
      <c r="R108" s="12" t="str">
        <f t="shared" si="43"/>
        <v xml:space="preserve"> </v>
      </c>
      <c r="S108" s="12" t="str">
        <f t="shared" si="44"/>
        <v xml:space="preserve"> </v>
      </c>
      <c r="T108" s="11" t="str">
        <f t="shared" si="45"/>
        <v xml:space="preserve"> </v>
      </c>
      <c r="U108" s="14" t="str">
        <f t="shared" si="49"/>
        <v xml:space="preserve"> </v>
      </c>
      <c r="V108" s="12" t="str">
        <f t="shared" si="46"/>
        <v xml:space="preserve"> </v>
      </c>
      <c r="W108" s="53" t="str">
        <f t="shared" si="37"/>
        <v xml:space="preserve"> </v>
      </c>
      <c r="X108" s="12" t="str">
        <f t="shared" si="47"/>
        <v xml:space="preserve"> </v>
      </c>
      <c r="Y108" s="12" t="str">
        <f ca="1">IFERROR(IF(TEXT($H$4,"DDMMAAAA")=TEXT($K107,"DDMMAAAA"),SUM($Y$2:INDIRECT(ADDRESS(ROW(Y107),COLUMN(Y107)))),$H$8/M108*U108)," ")</f>
        <v xml:space="preserve"> </v>
      </c>
      <c r="Z108" s="51" t="str">
        <f ca="1">IFERROR(IF(TEXT($H$4,"DDMMAAAA")=TEXT($K107,"DDMMAAAA"),SUM($Y$2:INDIRECT(ADDRESS(ROW(Z107),COLUMN(Z107)))),$H$8/M108*R108)," ")</f>
        <v xml:space="preserve"> </v>
      </c>
      <c r="AA108" s="12" t="str">
        <f ca="1">IFERROR(IF(TEXT($H$4,"DDMMAAAA")=TEXT($K107,"DDMMAAAA"),SUM($AA$2:INDIRECT(ADDRESS(ROW(AA107),COLUMN(AA107)))),$H$8/M108*S108)," ")</f>
        <v xml:space="preserve"> </v>
      </c>
      <c r="AB108" s="12" t="str">
        <f ca="1">IFERROR(IF(TEXT($H$4,"DDMMAAAA")=TEXT($K107,"DDMMAAAA"),SUM($AB$2:INDIRECT(ADDRESS(ROW(AB107),COLUMN(AB107)))),$H$8/M108*V108)," ")</f>
        <v xml:space="preserve"> </v>
      </c>
      <c r="AC108" s="12" t="str">
        <f ca="1">IFERROR(IF(TEXT($H$4,"DDMMAAAA")=TEXT($K107,"DDMMAAAA"),SUM($AC$2:INDIRECT(ADDRESS(ROW(AC107),COLUMN(AC107)))),IF(SUM(Y108:AB108)=0,"",SUM(Y108:AB108)))," ")</f>
        <v/>
      </c>
      <c r="AE108">
        <v>201505</v>
      </c>
      <c r="AF108">
        <v>4.41</v>
      </c>
    </row>
    <row r="109" spans="10:32" x14ac:dyDescent="0.4">
      <c r="J109" s="19" t="str">
        <f t="shared" si="48"/>
        <v/>
      </c>
      <c r="K109" s="19" t="str">
        <f t="shared" si="40"/>
        <v xml:space="preserve"> </v>
      </c>
      <c r="L109" s="13" t="str">
        <f t="shared" si="38"/>
        <v xml:space="preserve"> </v>
      </c>
      <c r="M109" s="9" t="str">
        <f t="shared" si="39"/>
        <v xml:space="preserve"> </v>
      </c>
      <c r="N109" s="46" t="str">
        <f t="shared" si="41"/>
        <v xml:space="preserve"> </v>
      </c>
      <c r="O109" s="46" t="str">
        <f t="shared" si="42"/>
        <v xml:space="preserve"> </v>
      </c>
      <c r="P109" s="14" t="str">
        <f>IFERROR(IF(VLOOKUP(INT(TEXT(K109,"AAAA")),Tabla3[[AÑO]:[SALARIO 
MENSUAL]],2,0)*2&lt;$H$2,0,IFERROR(VLOOKUP(INT(TEXT(K109,"AAAA")),Tabla3[[AÑO]:[SALARIO 
MENSUAL]],2,0)," "))/30*L109," ")</f>
        <v xml:space="preserve"> </v>
      </c>
      <c r="Q109" s="14" t="str">
        <f>IFERROR(IF(VLOOKUP(INT(TEXT(K109,"AAAA")),Tabla3[[AÑO]:[SALARIO 
MENSUAL]],4,0)*2&lt;$H$2,$H$2,VLOOKUP(INT(TEXT(K109,"AAAA")),Tabla3[[AÑO]:[SALARIO 
MENSUAL]],4,0))/30*L109+$H$14+P109," ")</f>
        <v xml:space="preserve"> </v>
      </c>
      <c r="R109" s="12" t="str">
        <f t="shared" si="43"/>
        <v xml:space="preserve"> </v>
      </c>
      <c r="S109" s="12" t="str">
        <f t="shared" si="44"/>
        <v xml:space="preserve"> </v>
      </c>
      <c r="T109" s="11" t="str">
        <f t="shared" si="45"/>
        <v xml:space="preserve"> </v>
      </c>
      <c r="U109" s="14" t="str">
        <f t="shared" si="49"/>
        <v xml:space="preserve"> </v>
      </c>
      <c r="V109" s="12" t="str">
        <f t="shared" si="46"/>
        <v xml:space="preserve"> </v>
      </c>
      <c r="W109" s="53" t="str">
        <f t="shared" si="37"/>
        <v xml:space="preserve"> </v>
      </c>
      <c r="X109" s="12" t="str">
        <f t="shared" si="47"/>
        <v xml:space="preserve"> </v>
      </c>
      <c r="Y109" s="12" t="str">
        <f ca="1">IFERROR(IF(TEXT($H$4,"DDMMAAAA")=TEXT($K108,"DDMMAAAA"),SUM($Y$2:INDIRECT(ADDRESS(ROW(Y108),COLUMN(Y108)))),$H$8/M109*U109)," ")</f>
        <v xml:space="preserve"> </v>
      </c>
      <c r="Z109" s="51" t="str">
        <f ca="1">IFERROR(IF(TEXT($H$4,"DDMMAAAA")=TEXT($K108,"DDMMAAAA"),SUM($Y$2:INDIRECT(ADDRESS(ROW(Z108),COLUMN(Z108)))),$H$8/M109*R109)," ")</f>
        <v xml:space="preserve"> </v>
      </c>
      <c r="AA109" s="12" t="str">
        <f ca="1">IFERROR(IF(TEXT($H$4,"DDMMAAAA")=TEXT($K108,"DDMMAAAA"),SUM($AA$2:INDIRECT(ADDRESS(ROW(AA108),COLUMN(AA108)))),$H$8/M109*S109)," ")</f>
        <v xml:space="preserve"> </v>
      </c>
      <c r="AB109" s="12" t="str">
        <f ca="1">IFERROR(IF(TEXT($H$4,"DDMMAAAA")=TEXT($K108,"DDMMAAAA"),SUM($AB$2:INDIRECT(ADDRESS(ROW(AB108),COLUMN(AB108)))),$H$8/M109*V109)," ")</f>
        <v xml:space="preserve"> </v>
      </c>
      <c r="AC109" s="12" t="str">
        <f ca="1">IFERROR(IF(TEXT($H$4,"DDMMAAAA")=TEXT($K108,"DDMMAAAA"),SUM($AC$2:INDIRECT(ADDRESS(ROW(AC108),COLUMN(AC108)))),IF(SUM(Y109:AB109)=0,"",SUM(Y109:AB109)))," ")</f>
        <v/>
      </c>
      <c r="AE109">
        <v>201504</v>
      </c>
      <c r="AF109">
        <v>4.6399999999999997</v>
      </c>
    </row>
    <row r="110" spans="10:32" x14ac:dyDescent="0.4">
      <c r="J110" s="19" t="str">
        <f t="shared" si="48"/>
        <v/>
      </c>
      <c r="K110" s="19" t="str">
        <f t="shared" si="40"/>
        <v xml:space="preserve"> </v>
      </c>
      <c r="L110" s="13" t="str">
        <f t="shared" si="38"/>
        <v xml:space="preserve"> </v>
      </c>
      <c r="M110" s="9" t="str">
        <f t="shared" si="39"/>
        <v xml:space="preserve"> </v>
      </c>
      <c r="N110" s="46" t="str">
        <f t="shared" si="41"/>
        <v xml:space="preserve"> </v>
      </c>
      <c r="O110" s="46" t="str">
        <f t="shared" si="42"/>
        <v xml:space="preserve"> </v>
      </c>
      <c r="P110" s="14" t="str">
        <f>IFERROR(IF(VLOOKUP(INT(TEXT(K110,"AAAA")),Tabla3[[AÑO]:[SALARIO 
MENSUAL]],2,0)*2&lt;$H$2,0,IFERROR(VLOOKUP(INT(TEXT(K110,"AAAA")),Tabla3[[AÑO]:[SALARIO 
MENSUAL]],2,0)," "))/30*L110," ")</f>
        <v xml:space="preserve"> </v>
      </c>
      <c r="Q110" s="14" t="str">
        <f>IFERROR(IF(VLOOKUP(INT(TEXT(K110,"AAAA")),Tabla3[[AÑO]:[SALARIO 
MENSUAL]],4,0)*2&lt;$H$2,$H$2,VLOOKUP(INT(TEXT(K110,"AAAA")),Tabla3[[AÑO]:[SALARIO 
MENSUAL]],4,0))/30*L110+$H$14+P110," ")</f>
        <v xml:space="preserve"> </v>
      </c>
      <c r="R110" s="12" t="str">
        <f t="shared" si="43"/>
        <v xml:space="preserve"> </v>
      </c>
      <c r="S110" s="12" t="str">
        <f t="shared" si="44"/>
        <v xml:space="preserve"> </v>
      </c>
      <c r="T110" s="11" t="str">
        <f t="shared" si="45"/>
        <v xml:space="preserve"> </v>
      </c>
      <c r="U110" s="14" t="str">
        <f t="shared" si="49"/>
        <v xml:space="preserve"> </v>
      </c>
      <c r="V110" s="12" t="str">
        <f t="shared" si="46"/>
        <v xml:space="preserve"> </v>
      </c>
      <c r="W110" s="53" t="str">
        <f t="shared" si="37"/>
        <v xml:space="preserve"> </v>
      </c>
      <c r="X110" s="12" t="str">
        <f t="shared" si="47"/>
        <v xml:space="preserve"> </v>
      </c>
      <c r="Y110" s="12" t="str">
        <f ca="1">IFERROR(IF(TEXT($H$4,"DDMMAAAA")=TEXT($K109,"DDMMAAAA"),SUM($Y$2:INDIRECT(ADDRESS(ROW(Y109),COLUMN(Y109)))),$H$8/M110*U110)," ")</f>
        <v xml:space="preserve"> </v>
      </c>
      <c r="Z110" s="51" t="str">
        <f ca="1">IFERROR(IF(TEXT($H$4,"DDMMAAAA")=TEXT($K109,"DDMMAAAA"),SUM($Y$2:INDIRECT(ADDRESS(ROW(Z109),COLUMN(Z109)))),$H$8/M110*R110)," ")</f>
        <v xml:space="preserve"> </v>
      </c>
      <c r="AA110" s="12" t="str">
        <f ca="1">IFERROR(IF(TEXT($H$4,"DDMMAAAA")=TEXT($K109,"DDMMAAAA"),SUM($AA$2:INDIRECT(ADDRESS(ROW(AA109),COLUMN(AA109)))),$H$8/M110*S110)," ")</f>
        <v xml:space="preserve"> </v>
      </c>
      <c r="AB110" s="12" t="str">
        <f ca="1">IFERROR(IF(TEXT($H$4,"DDMMAAAA")=TEXT($K109,"DDMMAAAA"),SUM($AB$2:INDIRECT(ADDRESS(ROW(AB109),COLUMN(AB109)))),$H$8/M110*V110)," ")</f>
        <v xml:space="preserve"> </v>
      </c>
      <c r="AC110" s="12" t="str">
        <f ca="1">IFERROR(IF(TEXT($H$4,"DDMMAAAA")=TEXT($K109,"DDMMAAAA"),SUM($AC$2:INDIRECT(ADDRESS(ROW(AC109),COLUMN(AC109)))),IF(SUM(Y110:AB110)=0,"",SUM(Y110:AB110)))," ")</f>
        <v/>
      </c>
      <c r="AE110">
        <v>201503</v>
      </c>
      <c r="AF110">
        <v>4.5599999999999996</v>
      </c>
    </row>
    <row r="111" spans="10:32" x14ac:dyDescent="0.4">
      <c r="J111" s="19" t="str">
        <f t="shared" si="48"/>
        <v/>
      </c>
      <c r="K111" s="19" t="str">
        <f t="shared" si="40"/>
        <v xml:space="preserve"> </v>
      </c>
      <c r="L111" s="13" t="str">
        <f t="shared" si="38"/>
        <v xml:space="preserve"> </v>
      </c>
      <c r="M111" s="9" t="str">
        <f t="shared" si="39"/>
        <v xml:space="preserve"> </v>
      </c>
      <c r="N111" s="46" t="str">
        <f t="shared" si="41"/>
        <v xml:space="preserve"> </v>
      </c>
      <c r="O111" s="46" t="str">
        <f t="shared" si="42"/>
        <v xml:space="preserve"> </v>
      </c>
      <c r="P111" s="14" t="str">
        <f>IFERROR(IF(VLOOKUP(INT(TEXT(K111,"AAAA")),Tabla3[[AÑO]:[SALARIO 
MENSUAL]],2,0)*2&lt;$H$2,0,IFERROR(VLOOKUP(INT(TEXT(K111,"AAAA")),Tabla3[[AÑO]:[SALARIO 
MENSUAL]],2,0)," "))/30*L111," ")</f>
        <v xml:space="preserve"> </v>
      </c>
      <c r="Q111" s="14" t="str">
        <f>IFERROR(IF(VLOOKUP(INT(TEXT(K111,"AAAA")),Tabla3[[AÑO]:[SALARIO 
MENSUAL]],4,0)*2&lt;$H$2,$H$2,VLOOKUP(INT(TEXT(K111,"AAAA")),Tabla3[[AÑO]:[SALARIO 
MENSUAL]],4,0))/30*L111+$H$14+P111," ")</f>
        <v xml:space="preserve"> </v>
      </c>
      <c r="R111" s="12" t="str">
        <f t="shared" si="43"/>
        <v xml:space="preserve"> </v>
      </c>
      <c r="S111" s="12" t="str">
        <f t="shared" si="44"/>
        <v xml:space="preserve"> </v>
      </c>
      <c r="T111" s="11" t="str">
        <f t="shared" si="45"/>
        <v xml:space="preserve"> </v>
      </c>
      <c r="U111" s="14" t="str">
        <f t="shared" si="49"/>
        <v xml:space="preserve"> </v>
      </c>
      <c r="V111" s="12" t="str">
        <f t="shared" si="46"/>
        <v xml:space="preserve"> </v>
      </c>
      <c r="W111" s="53" t="str">
        <f t="shared" si="37"/>
        <v xml:space="preserve"> </v>
      </c>
      <c r="X111" s="12" t="str">
        <f t="shared" si="47"/>
        <v xml:space="preserve"> </v>
      </c>
      <c r="Y111" s="12" t="str">
        <f ca="1">IFERROR(IF(TEXT($H$4,"DDMMAAAA")=TEXT($K110,"DDMMAAAA"),SUM($Y$2:INDIRECT(ADDRESS(ROW(Y110),COLUMN(Y110)))),$H$8/M111*U111)," ")</f>
        <v xml:space="preserve"> </v>
      </c>
      <c r="Z111" s="51" t="str">
        <f ca="1">IFERROR(IF(TEXT($H$4,"DDMMAAAA")=TEXT($K110,"DDMMAAAA"),SUM($Y$2:INDIRECT(ADDRESS(ROW(Z110),COLUMN(Z110)))),$H$8/M111*R111)," ")</f>
        <v xml:space="preserve"> </v>
      </c>
      <c r="AA111" s="12" t="str">
        <f ca="1">IFERROR(IF(TEXT($H$4,"DDMMAAAA")=TEXT($K110,"DDMMAAAA"),SUM($AA$2:INDIRECT(ADDRESS(ROW(AA110),COLUMN(AA110)))),$H$8/M111*S111)," ")</f>
        <v xml:space="preserve"> </v>
      </c>
      <c r="AB111" s="12" t="str">
        <f ca="1">IFERROR(IF(TEXT($H$4,"DDMMAAAA")=TEXT($K110,"DDMMAAAA"),SUM($AB$2:INDIRECT(ADDRESS(ROW(AB110),COLUMN(AB110)))),$H$8/M111*V111)," ")</f>
        <v xml:space="preserve"> </v>
      </c>
      <c r="AC111" s="12" t="str">
        <f ca="1">IFERROR(IF(TEXT($H$4,"DDMMAAAA")=TEXT($K110,"DDMMAAAA"),SUM($AC$2:INDIRECT(ADDRESS(ROW(AC110),COLUMN(AC110)))),IF(SUM(Y111:AB111)=0,"",SUM(Y111:AB111)))," ")</f>
        <v/>
      </c>
      <c r="AE111">
        <v>201502</v>
      </c>
      <c r="AF111">
        <v>4.3600000000000003</v>
      </c>
    </row>
    <row r="112" spans="10:32" x14ac:dyDescent="0.4">
      <c r="J112" s="19" t="str">
        <f t="shared" si="48"/>
        <v/>
      </c>
      <c r="K112" s="19" t="str">
        <f t="shared" si="40"/>
        <v xml:space="preserve"> </v>
      </c>
      <c r="L112" s="13" t="str">
        <f t="shared" si="38"/>
        <v xml:space="preserve"> </v>
      </c>
      <c r="M112" s="9" t="str">
        <f t="shared" si="39"/>
        <v xml:space="preserve"> </v>
      </c>
      <c r="N112" s="46" t="str">
        <f t="shared" si="41"/>
        <v xml:space="preserve"> </v>
      </c>
      <c r="O112" s="46" t="str">
        <f t="shared" si="42"/>
        <v xml:space="preserve"> </v>
      </c>
      <c r="P112" s="14" t="str">
        <f>IFERROR(IF(VLOOKUP(INT(TEXT(K112,"AAAA")),Tabla3[[AÑO]:[SALARIO 
MENSUAL]],2,0)*2&lt;$H$2,0,IFERROR(VLOOKUP(INT(TEXT(K112,"AAAA")),Tabla3[[AÑO]:[SALARIO 
MENSUAL]],2,0)," "))/30*L112," ")</f>
        <v xml:space="preserve"> </v>
      </c>
      <c r="Q112" s="14" t="str">
        <f>IFERROR(IF(VLOOKUP(INT(TEXT(K112,"AAAA")),Tabla3[[AÑO]:[SALARIO 
MENSUAL]],4,0)*2&lt;$H$2,$H$2,VLOOKUP(INT(TEXT(K112,"AAAA")),Tabla3[[AÑO]:[SALARIO 
MENSUAL]],4,0))/30*L112+$H$14+P112," ")</f>
        <v xml:space="preserve"> </v>
      </c>
      <c r="R112" s="12" t="str">
        <f t="shared" si="43"/>
        <v xml:space="preserve"> </v>
      </c>
      <c r="S112" s="12" t="str">
        <f t="shared" si="44"/>
        <v xml:space="preserve"> </v>
      </c>
      <c r="T112" s="11" t="str">
        <f t="shared" si="45"/>
        <v xml:space="preserve"> </v>
      </c>
      <c r="U112" s="14" t="str">
        <f t="shared" si="49"/>
        <v xml:space="preserve"> </v>
      </c>
      <c r="V112" s="12" t="str">
        <f t="shared" si="46"/>
        <v xml:space="preserve"> </v>
      </c>
      <c r="W112" s="53" t="str">
        <f t="shared" si="37"/>
        <v xml:space="preserve"> </v>
      </c>
      <c r="X112" s="12" t="str">
        <f t="shared" si="47"/>
        <v xml:space="preserve"> </v>
      </c>
      <c r="Y112" s="12" t="str">
        <f ca="1">IFERROR(IF(TEXT($H$4,"DDMMAAAA")=TEXT($K111,"DDMMAAAA"),SUM($Y$2:INDIRECT(ADDRESS(ROW(Y111),COLUMN(Y111)))),$H$8/M112*U112)," ")</f>
        <v xml:space="preserve"> </v>
      </c>
      <c r="Z112" s="51" t="str">
        <f ca="1">IFERROR(IF(TEXT($H$4,"DDMMAAAA")=TEXT($K111,"DDMMAAAA"),SUM($Y$2:INDIRECT(ADDRESS(ROW(Z111),COLUMN(Z111)))),$H$8/M112*R112)," ")</f>
        <v xml:space="preserve"> </v>
      </c>
      <c r="AA112" s="12" t="str">
        <f ca="1">IFERROR(IF(TEXT($H$4,"DDMMAAAA")=TEXT($K111,"DDMMAAAA"),SUM($AA$2:INDIRECT(ADDRESS(ROW(AA111),COLUMN(AA111)))),$H$8/M112*S112)," ")</f>
        <v xml:space="preserve"> </v>
      </c>
      <c r="AB112" s="12" t="str">
        <f ca="1">IFERROR(IF(TEXT($H$4,"DDMMAAAA")=TEXT($K111,"DDMMAAAA"),SUM($AB$2:INDIRECT(ADDRESS(ROW(AB111),COLUMN(AB111)))),$H$8/M112*V112)," ")</f>
        <v xml:space="preserve"> </v>
      </c>
      <c r="AC112" s="12" t="str">
        <f ca="1">IFERROR(IF(TEXT($H$4,"DDMMAAAA")=TEXT($K111,"DDMMAAAA"),SUM($AC$2:INDIRECT(ADDRESS(ROW(AC111),COLUMN(AC111)))),IF(SUM(Y112:AB112)=0,"",SUM(Y112:AB112)))," ")</f>
        <v/>
      </c>
      <c r="AE112">
        <v>201501</v>
      </c>
      <c r="AF112">
        <v>3.82</v>
      </c>
    </row>
    <row r="113" spans="10:32" x14ac:dyDescent="0.4">
      <c r="J113" s="19" t="str">
        <f t="shared" si="48"/>
        <v/>
      </c>
      <c r="K113" s="19" t="str">
        <f t="shared" si="40"/>
        <v xml:space="preserve"> </v>
      </c>
      <c r="L113" s="13" t="str">
        <f t="shared" si="38"/>
        <v xml:space="preserve"> </v>
      </c>
      <c r="M113" s="9" t="str">
        <f t="shared" si="39"/>
        <v xml:space="preserve"> </v>
      </c>
      <c r="N113" s="46" t="str">
        <f t="shared" si="41"/>
        <v xml:space="preserve"> </v>
      </c>
      <c r="O113" s="46" t="str">
        <f t="shared" si="42"/>
        <v xml:space="preserve"> </v>
      </c>
      <c r="P113" s="14" t="str">
        <f>IFERROR(IF(VLOOKUP(INT(TEXT(K113,"AAAA")),Tabla3[[AÑO]:[SALARIO 
MENSUAL]],2,0)*2&lt;$H$2,0,IFERROR(VLOOKUP(INT(TEXT(K113,"AAAA")),Tabla3[[AÑO]:[SALARIO 
MENSUAL]],2,0)," "))/30*L113," ")</f>
        <v xml:space="preserve"> </v>
      </c>
      <c r="Q113" s="14" t="str">
        <f>IFERROR(IF(VLOOKUP(INT(TEXT(K113,"AAAA")),Tabla3[[AÑO]:[SALARIO 
MENSUAL]],4,0)*2&lt;$H$2,$H$2,VLOOKUP(INT(TEXT(K113,"AAAA")),Tabla3[[AÑO]:[SALARIO 
MENSUAL]],4,0))/30*L113+$H$14+P113," ")</f>
        <v xml:space="preserve"> </v>
      </c>
      <c r="R113" s="12" t="str">
        <f t="shared" si="43"/>
        <v xml:space="preserve"> </v>
      </c>
      <c r="S113" s="12" t="str">
        <f t="shared" si="44"/>
        <v xml:space="preserve"> </v>
      </c>
      <c r="T113" s="11" t="str">
        <f t="shared" si="45"/>
        <v xml:space="preserve"> </v>
      </c>
      <c r="U113" s="14" t="str">
        <f t="shared" si="49"/>
        <v xml:space="preserve"> </v>
      </c>
      <c r="V113" s="12" t="str">
        <f t="shared" si="46"/>
        <v xml:space="preserve"> </v>
      </c>
      <c r="W113" s="53" t="str">
        <f t="shared" si="37"/>
        <v xml:space="preserve"> </v>
      </c>
      <c r="X113" s="12" t="str">
        <f t="shared" si="47"/>
        <v xml:space="preserve"> </v>
      </c>
      <c r="Y113" s="12" t="str">
        <f ca="1">IFERROR(IF(TEXT($H$4,"DDMMAAAA")=TEXT($K112,"DDMMAAAA"),SUM($Y$2:INDIRECT(ADDRESS(ROW(Y112),COLUMN(Y112)))),$H$8/M113*U113)," ")</f>
        <v xml:space="preserve"> </v>
      </c>
      <c r="Z113" s="51" t="str">
        <f ca="1">IFERROR(IF(TEXT($H$4,"DDMMAAAA")=TEXT($K112,"DDMMAAAA"),SUM($Y$2:INDIRECT(ADDRESS(ROW(Z112),COLUMN(Z112)))),$H$8/M113*R113)," ")</f>
        <v xml:space="preserve"> </v>
      </c>
      <c r="AA113" s="12" t="str">
        <f ca="1">IFERROR(IF(TEXT($H$4,"DDMMAAAA")=TEXT($K112,"DDMMAAAA"),SUM($AA$2:INDIRECT(ADDRESS(ROW(AA112),COLUMN(AA112)))),$H$8/M113*S113)," ")</f>
        <v xml:space="preserve"> </v>
      </c>
      <c r="AB113" s="12" t="str">
        <f ca="1">IFERROR(IF(TEXT($H$4,"DDMMAAAA")=TEXT($K112,"DDMMAAAA"),SUM($AB$2:INDIRECT(ADDRESS(ROW(AB112),COLUMN(AB112)))),$H$8/M113*V113)," ")</f>
        <v xml:space="preserve"> </v>
      </c>
      <c r="AC113" s="12" t="str">
        <f ca="1">IFERROR(IF(TEXT($H$4,"DDMMAAAA")=TEXT($K112,"DDMMAAAA"),SUM($AC$2:INDIRECT(ADDRESS(ROW(AC112),COLUMN(AC112)))),IF(SUM(Y113:AB113)=0,"",SUM(Y113:AB113)))," ")</f>
        <v/>
      </c>
      <c r="AE113">
        <v>201412</v>
      </c>
      <c r="AF113">
        <v>3.66</v>
      </c>
    </row>
    <row r="114" spans="10:32" x14ac:dyDescent="0.4">
      <c r="J114" s="19" t="str">
        <f t="shared" si="48"/>
        <v/>
      </c>
      <c r="K114" s="19" t="str">
        <f t="shared" si="40"/>
        <v xml:space="preserve"> </v>
      </c>
      <c r="L114" s="13" t="str">
        <f t="shared" si="38"/>
        <v xml:space="preserve"> </v>
      </c>
      <c r="M114" s="9" t="str">
        <f t="shared" si="39"/>
        <v xml:space="preserve"> </v>
      </c>
      <c r="N114" s="46" t="str">
        <f t="shared" si="41"/>
        <v xml:space="preserve"> </v>
      </c>
      <c r="O114" s="46" t="str">
        <f t="shared" si="42"/>
        <v xml:space="preserve"> </v>
      </c>
      <c r="P114" s="14" t="str">
        <f>IFERROR(IF(VLOOKUP(INT(TEXT(K114,"AAAA")),Tabla3[[AÑO]:[SALARIO 
MENSUAL]],2,0)*2&lt;$H$2,0,IFERROR(VLOOKUP(INT(TEXT(K114,"AAAA")),Tabla3[[AÑO]:[SALARIO 
MENSUAL]],2,0)," "))/30*L114," ")</f>
        <v xml:space="preserve"> </v>
      </c>
      <c r="Q114" s="14" t="str">
        <f>IFERROR(IF(VLOOKUP(INT(TEXT(K114,"AAAA")),Tabla3[[AÑO]:[SALARIO 
MENSUAL]],4,0)*2&lt;$H$2,$H$2,VLOOKUP(INT(TEXT(K114,"AAAA")),Tabla3[[AÑO]:[SALARIO 
MENSUAL]],4,0))/30*L114+$H$14+P114," ")</f>
        <v xml:space="preserve"> </v>
      </c>
      <c r="R114" s="12" t="str">
        <f t="shared" si="43"/>
        <v xml:space="preserve"> </v>
      </c>
      <c r="S114" s="12" t="str">
        <f t="shared" si="44"/>
        <v xml:space="preserve"> </v>
      </c>
      <c r="T114" s="11" t="str">
        <f t="shared" si="45"/>
        <v xml:space="preserve"> </v>
      </c>
      <c r="U114" s="14" t="str">
        <f t="shared" si="49"/>
        <v xml:space="preserve"> </v>
      </c>
      <c r="V114" s="12" t="str">
        <f t="shared" si="46"/>
        <v xml:space="preserve"> </v>
      </c>
      <c r="W114" s="53" t="str">
        <f t="shared" si="37"/>
        <v xml:space="preserve"> </v>
      </c>
      <c r="X114" s="12" t="str">
        <f t="shared" si="47"/>
        <v xml:space="preserve"> </v>
      </c>
      <c r="Y114" s="12" t="str">
        <f ca="1">IFERROR(IF(TEXT($H$4,"DDMMAAAA")=TEXT($K113,"DDMMAAAA"),SUM($Y$2:INDIRECT(ADDRESS(ROW(Y113),COLUMN(Y113)))),$H$8/M114*U114)," ")</f>
        <v xml:space="preserve"> </v>
      </c>
      <c r="Z114" s="51" t="str">
        <f ca="1">IFERROR(IF(TEXT($H$4,"DDMMAAAA")=TEXT($K113,"DDMMAAAA"),SUM($Y$2:INDIRECT(ADDRESS(ROW(Z113),COLUMN(Z113)))),$H$8/M114*R114)," ")</f>
        <v xml:space="preserve"> </v>
      </c>
      <c r="AA114" s="12" t="str">
        <f ca="1">IFERROR(IF(TEXT($H$4,"DDMMAAAA")=TEXT($K113,"DDMMAAAA"),SUM($AA$2:INDIRECT(ADDRESS(ROW(AA113),COLUMN(AA113)))),$H$8/M114*S114)," ")</f>
        <v xml:space="preserve"> </v>
      </c>
      <c r="AB114" s="12" t="str">
        <f ca="1">IFERROR(IF(TEXT($H$4,"DDMMAAAA")=TEXT($K113,"DDMMAAAA"),SUM($AB$2:INDIRECT(ADDRESS(ROW(AB113),COLUMN(AB113)))),$H$8/M114*V114)," ")</f>
        <v xml:space="preserve"> </v>
      </c>
      <c r="AC114" s="12" t="str">
        <f ca="1">IFERROR(IF(TEXT($H$4,"DDMMAAAA")=TEXT($K113,"DDMMAAAA"),SUM($AC$2:INDIRECT(ADDRESS(ROW(AC113),COLUMN(AC113)))),IF(SUM(Y114:AB114)=0,"",SUM(Y114:AB114)))," ")</f>
        <v/>
      </c>
      <c r="AE114">
        <v>201411</v>
      </c>
      <c r="AF114">
        <v>3.65</v>
      </c>
    </row>
    <row r="115" spans="10:32" x14ac:dyDescent="0.4">
      <c r="J115" s="19" t="str">
        <f t="shared" si="48"/>
        <v/>
      </c>
      <c r="K115" s="19" t="str">
        <f t="shared" si="40"/>
        <v xml:space="preserve"> </v>
      </c>
      <c r="L115" s="13" t="str">
        <f t="shared" si="38"/>
        <v xml:space="preserve"> </v>
      </c>
      <c r="M115" s="9" t="str">
        <f t="shared" ref="M115:M146" si="50">IFERROR(VLOOKUP(INT(TEXT(K115,"AAAAMM")),$AE$1:$AF$376,2,0)," ")</f>
        <v xml:space="preserve"> </v>
      </c>
      <c r="N115" s="46" t="str">
        <f t="shared" si="41"/>
        <v xml:space="preserve"> </v>
      </c>
      <c r="O115" s="46" t="str">
        <f t="shared" si="42"/>
        <v xml:space="preserve"> </v>
      </c>
      <c r="P115" s="14" t="str">
        <f>IFERROR(IF(VLOOKUP(INT(TEXT(K115,"AAAA")),Tabla3[[AÑO]:[SALARIO 
MENSUAL]],2,0)*2&lt;$H$2,0,IFERROR(VLOOKUP(INT(TEXT(K115,"AAAA")),Tabla3[[AÑO]:[SALARIO 
MENSUAL]],2,0)," "))/30*L115," ")</f>
        <v xml:space="preserve"> </v>
      </c>
      <c r="Q115" s="14" t="str">
        <f>IFERROR(IF(VLOOKUP(INT(TEXT(K115,"AAAA")),Tabla3[[AÑO]:[SALARIO 
MENSUAL]],4,0)*2&lt;$H$2,$H$2,VLOOKUP(INT(TEXT(K115,"AAAA")),Tabla3[[AÑO]:[SALARIO 
MENSUAL]],4,0))/30*L115+$H$14+P115," ")</f>
        <v xml:space="preserve"> </v>
      </c>
      <c r="R115" s="12" t="str">
        <f t="shared" si="43"/>
        <v xml:space="preserve"> </v>
      </c>
      <c r="S115" s="12" t="str">
        <f t="shared" si="44"/>
        <v xml:space="preserve"> </v>
      </c>
      <c r="T115" s="11" t="str">
        <f t="shared" si="45"/>
        <v xml:space="preserve"> </v>
      </c>
      <c r="U115" s="14" t="str">
        <f t="shared" si="49"/>
        <v xml:space="preserve"> </v>
      </c>
      <c r="V115" s="12" t="str">
        <f t="shared" si="46"/>
        <v xml:space="preserve"> </v>
      </c>
      <c r="W115" s="53" t="str">
        <f t="shared" si="37"/>
        <v xml:space="preserve"> </v>
      </c>
      <c r="X115" s="12" t="str">
        <f t="shared" si="47"/>
        <v xml:space="preserve"> </v>
      </c>
      <c r="Y115" s="12" t="str">
        <f ca="1">IFERROR(IF(TEXT($H$4,"DDMMAAAA")=TEXT($K114,"DDMMAAAA"),SUM($Y$2:INDIRECT(ADDRESS(ROW(Y114),COLUMN(Y114)))),$H$8/M115*U115)," ")</f>
        <v xml:space="preserve"> </v>
      </c>
      <c r="Z115" s="51" t="str">
        <f ca="1">IFERROR(IF(TEXT($H$4,"DDMMAAAA")=TEXT($K114,"DDMMAAAA"),SUM($Y$2:INDIRECT(ADDRESS(ROW(Z114),COLUMN(Z114)))),$H$8/M115*R115)," ")</f>
        <v xml:space="preserve"> </v>
      </c>
      <c r="AA115" s="12" t="str">
        <f ca="1">IFERROR(IF(TEXT($H$4,"DDMMAAAA")=TEXT($K114,"DDMMAAAA"),SUM($AA$2:INDIRECT(ADDRESS(ROW(AA114),COLUMN(AA114)))),$H$8/M115*S115)," ")</f>
        <v xml:space="preserve"> </v>
      </c>
      <c r="AB115" s="12" t="str">
        <f ca="1">IFERROR(IF(TEXT($H$4,"DDMMAAAA")=TEXT($K114,"DDMMAAAA"),SUM($AB$2:INDIRECT(ADDRESS(ROW(AB114),COLUMN(AB114)))),$H$8/M115*V115)," ")</f>
        <v xml:space="preserve"> </v>
      </c>
      <c r="AC115" s="12" t="str">
        <f ca="1">IFERROR(IF(TEXT($H$4,"DDMMAAAA")=TEXT($K114,"DDMMAAAA"),SUM($AC$2:INDIRECT(ADDRESS(ROW(AC114),COLUMN(AC114)))),IF(SUM(Y115:AB115)=0,"",SUM(Y115:AB115)))," ")</f>
        <v/>
      </c>
      <c r="AE115">
        <v>201410</v>
      </c>
      <c r="AF115">
        <v>3.29</v>
      </c>
    </row>
    <row r="116" spans="10:32" x14ac:dyDescent="0.4">
      <c r="J116" s="19" t="str">
        <f t="shared" si="48"/>
        <v/>
      </c>
      <c r="K116" s="19" t="str">
        <f t="shared" si="40"/>
        <v xml:space="preserve"> </v>
      </c>
      <c r="L116" s="13" t="str">
        <f t="shared" si="38"/>
        <v xml:space="preserve"> </v>
      </c>
      <c r="M116" s="9" t="str">
        <f t="shared" si="50"/>
        <v xml:space="preserve"> </v>
      </c>
      <c r="N116" s="46" t="str">
        <f t="shared" si="41"/>
        <v xml:space="preserve"> </v>
      </c>
      <c r="O116" s="46" t="str">
        <f t="shared" si="42"/>
        <v xml:space="preserve"> </v>
      </c>
      <c r="P116" s="14" t="str">
        <f>IFERROR(IF(VLOOKUP(INT(TEXT(K116,"AAAA")),Tabla3[[AÑO]:[SALARIO 
MENSUAL]],2,0)*2&lt;$H$2,0,IFERROR(VLOOKUP(INT(TEXT(K116,"AAAA")),Tabla3[[AÑO]:[SALARIO 
MENSUAL]],2,0)," "))/30*L116," ")</f>
        <v xml:space="preserve"> </v>
      </c>
      <c r="Q116" s="14" t="str">
        <f>IFERROR(IF(VLOOKUP(INT(TEXT(K116,"AAAA")),Tabla3[[AÑO]:[SALARIO 
MENSUAL]],4,0)*2&lt;$H$2,$H$2,VLOOKUP(INT(TEXT(K116,"AAAA")),Tabla3[[AÑO]:[SALARIO 
MENSUAL]],4,0))/30*L116+$H$14+P116," ")</f>
        <v xml:space="preserve"> </v>
      </c>
      <c r="R116" s="12" t="str">
        <f t="shared" si="43"/>
        <v xml:space="preserve"> </v>
      </c>
      <c r="S116" s="12" t="str">
        <f t="shared" si="44"/>
        <v xml:space="preserve"> </v>
      </c>
      <c r="T116" s="11" t="str">
        <f t="shared" si="45"/>
        <v xml:space="preserve"> </v>
      </c>
      <c r="U116" s="14" t="str">
        <f t="shared" si="49"/>
        <v xml:space="preserve"> </v>
      </c>
      <c r="V116" s="12" t="str">
        <f t="shared" si="46"/>
        <v xml:space="preserve"> </v>
      </c>
      <c r="W116" s="53" t="str">
        <f t="shared" si="37"/>
        <v xml:space="preserve"> </v>
      </c>
      <c r="X116" s="12" t="str">
        <f t="shared" si="47"/>
        <v xml:space="preserve"> </v>
      </c>
      <c r="Y116" s="12" t="str">
        <f ca="1">IFERROR(IF(TEXT($H$4,"DDMMAAAA")=TEXT($K115,"DDMMAAAA"),SUM($Y$2:INDIRECT(ADDRESS(ROW(Y115),COLUMN(Y115)))),$H$8/M116*U116)," ")</f>
        <v xml:space="preserve"> </v>
      </c>
      <c r="Z116" s="51" t="str">
        <f ca="1">IFERROR(IF(TEXT($H$4,"DDMMAAAA")=TEXT($K115,"DDMMAAAA"),SUM($Y$2:INDIRECT(ADDRESS(ROW(Z115),COLUMN(Z115)))),$H$8/M116*R116)," ")</f>
        <v xml:space="preserve"> </v>
      </c>
      <c r="AA116" s="12" t="str">
        <f ca="1">IFERROR(IF(TEXT($H$4,"DDMMAAAA")=TEXT($K115,"DDMMAAAA"),SUM($AA$2:INDIRECT(ADDRESS(ROW(AA115),COLUMN(AA115)))),$H$8/M116*S116)," ")</f>
        <v xml:space="preserve"> </v>
      </c>
      <c r="AB116" s="12" t="str">
        <f ca="1">IFERROR(IF(TEXT($H$4,"DDMMAAAA")=TEXT($K115,"DDMMAAAA"),SUM($AB$2:INDIRECT(ADDRESS(ROW(AB115),COLUMN(AB115)))),$H$8/M116*V116)," ")</f>
        <v xml:space="preserve"> </v>
      </c>
      <c r="AC116" s="12" t="str">
        <f ca="1">IFERROR(IF(TEXT($H$4,"DDMMAAAA")=TEXT($K115,"DDMMAAAA"),SUM($AC$2:INDIRECT(ADDRESS(ROW(AC115),COLUMN(AC115)))),IF(SUM(Y116:AB116)=0,"",SUM(Y116:AB116)))," ")</f>
        <v/>
      </c>
      <c r="AE116">
        <v>201409</v>
      </c>
      <c r="AF116">
        <v>2.86</v>
      </c>
    </row>
    <row r="117" spans="10:32" x14ac:dyDescent="0.4">
      <c r="J117" s="19" t="str">
        <f t="shared" si="48"/>
        <v/>
      </c>
      <c r="K117" s="19" t="str">
        <f t="shared" si="40"/>
        <v xml:space="preserve"> </v>
      </c>
      <c r="L117" s="13" t="str">
        <f t="shared" si="38"/>
        <v xml:space="preserve"> </v>
      </c>
      <c r="M117" s="9" t="str">
        <f t="shared" si="50"/>
        <v xml:space="preserve"> </v>
      </c>
      <c r="N117" s="46" t="str">
        <f t="shared" si="41"/>
        <v xml:space="preserve"> </v>
      </c>
      <c r="O117" s="46" t="str">
        <f t="shared" si="42"/>
        <v xml:space="preserve"> </v>
      </c>
      <c r="P117" s="14" t="str">
        <f>IFERROR(IF(VLOOKUP(INT(TEXT(K117,"AAAA")),Tabla3[[AÑO]:[SALARIO 
MENSUAL]],2,0)*2&lt;$H$2,0,IFERROR(VLOOKUP(INT(TEXT(K117,"AAAA")),Tabla3[[AÑO]:[SALARIO 
MENSUAL]],2,0)," "))/30*L117," ")</f>
        <v xml:space="preserve"> </v>
      </c>
      <c r="Q117" s="14" t="str">
        <f>IFERROR(IF(VLOOKUP(INT(TEXT(K117,"AAAA")),Tabla3[[AÑO]:[SALARIO 
MENSUAL]],4,0)*2&lt;$H$2,$H$2,VLOOKUP(INT(TEXT(K117,"AAAA")),Tabla3[[AÑO]:[SALARIO 
MENSUAL]],4,0))/30*L117+$H$14+P117," ")</f>
        <v xml:space="preserve"> </v>
      </c>
      <c r="R117" s="12" t="str">
        <f t="shared" si="43"/>
        <v xml:space="preserve"> </v>
      </c>
      <c r="S117" s="12" t="str">
        <f t="shared" si="44"/>
        <v xml:space="preserve"> </v>
      </c>
      <c r="T117" s="11" t="str">
        <f t="shared" si="45"/>
        <v xml:space="preserve"> </v>
      </c>
      <c r="U117" s="14" t="str">
        <f t="shared" si="49"/>
        <v xml:space="preserve"> </v>
      </c>
      <c r="V117" s="12" t="str">
        <f t="shared" si="46"/>
        <v xml:space="preserve"> </v>
      </c>
      <c r="W117" s="53" t="str">
        <f t="shared" si="37"/>
        <v xml:space="preserve"> </v>
      </c>
      <c r="X117" s="12" t="str">
        <f t="shared" si="47"/>
        <v xml:space="preserve"> </v>
      </c>
      <c r="Y117" s="12" t="str">
        <f ca="1">IFERROR(IF(TEXT($H$4,"DDMMAAAA")=TEXT($K116,"DDMMAAAA"),SUM($Y$2:INDIRECT(ADDRESS(ROW(Y116),COLUMN(Y116)))),$H$8/M117*U117)," ")</f>
        <v xml:space="preserve"> </v>
      </c>
      <c r="Z117" s="51" t="str">
        <f ca="1">IFERROR(IF(TEXT($H$4,"DDMMAAAA")=TEXT($K116,"DDMMAAAA"),SUM($Y$2:INDIRECT(ADDRESS(ROW(Z116),COLUMN(Z116)))),$H$8/M117*R117)," ")</f>
        <v xml:space="preserve"> </v>
      </c>
      <c r="AA117" s="12" t="str">
        <f ca="1">IFERROR(IF(TEXT($H$4,"DDMMAAAA")=TEXT($K116,"DDMMAAAA"),SUM($AA$2:INDIRECT(ADDRESS(ROW(AA116),COLUMN(AA116)))),$H$8/M117*S117)," ")</f>
        <v xml:space="preserve"> </v>
      </c>
      <c r="AB117" s="12" t="str">
        <f ca="1">IFERROR(IF(TEXT($H$4,"DDMMAAAA")=TEXT($K116,"DDMMAAAA"),SUM($AB$2:INDIRECT(ADDRESS(ROW(AB116),COLUMN(AB116)))),$H$8/M117*V117)," ")</f>
        <v xml:space="preserve"> </v>
      </c>
      <c r="AC117" s="12" t="str">
        <f ca="1">IFERROR(IF(TEXT($H$4,"DDMMAAAA")=TEXT($K116,"DDMMAAAA"),SUM($AC$2:INDIRECT(ADDRESS(ROW(AC116),COLUMN(AC116)))),IF(SUM(Y117:AB117)=0,"",SUM(Y117:AB117)))," ")</f>
        <v/>
      </c>
      <c r="AE117">
        <v>201408</v>
      </c>
      <c r="AF117">
        <v>3.02</v>
      </c>
    </row>
    <row r="118" spans="10:32" x14ac:dyDescent="0.4">
      <c r="J118" s="19" t="str">
        <f t="shared" si="48"/>
        <v/>
      </c>
      <c r="K118" s="19" t="str">
        <f t="shared" si="40"/>
        <v xml:space="preserve"> </v>
      </c>
      <c r="L118" s="13" t="str">
        <f t="shared" si="38"/>
        <v xml:space="preserve"> </v>
      </c>
      <c r="M118" s="9" t="str">
        <f t="shared" si="50"/>
        <v xml:space="preserve"> </v>
      </c>
      <c r="N118" s="46" t="str">
        <f t="shared" si="41"/>
        <v xml:space="preserve"> </v>
      </c>
      <c r="O118" s="46" t="str">
        <f t="shared" si="42"/>
        <v xml:space="preserve"> </v>
      </c>
      <c r="P118" s="14" t="str">
        <f>IFERROR(IF(VLOOKUP(INT(TEXT(K118,"AAAA")),Tabla3[[AÑO]:[SALARIO 
MENSUAL]],2,0)*2&lt;$H$2,0,IFERROR(VLOOKUP(INT(TEXT(K118,"AAAA")),Tabla3[[AÑO]:[SALARIO 
MENSUAL]],2,0)," "))/30*L118," ")</f>
        <v xml:space="preserve"> </v>
      </c>
      <c r="Q118" s="14" t="str">
        <f>IFERROR(IF(VLOOKUP(INT(TEXT(K118,"AAAA")),Tabla3[[AÑO]:[SALARIO 
MENSUAL]],4,0)*2&lt;$H$2,$H$2,VLOOKUP(INT(TEXT(K118,"AAAA")),Tabla3[[AÑO]:[SALARIO 
MENSUAL]],4,0))/30*L118+$H$14+P118," ")</f>
        <v xml:space="preserve"> </v>
      </c>
      <c r="R118" s="12" t="str">
        <f t="shared" si="43"/>
        <v xml:space="preserve"> </v>
      </c>
      <c r="S118" s="12" t="str">
        <f t="shared" si="44"/>
        <v xml:space="preserve"> </v>
      </c>
      <c r="T118" s="11" t="str">
        <f t="shared" si="45"/>
        <v xml:space="preserve"> </v>
      </c>
      <c r="U118" s="14" t="str">
        <f t="shared" si="49"/>
        <v xml:space="preserve"> </v>
      </c>
      <c r="V118" s="12" t="str">
        <f t="shared" si="46"/>
        <v xml:space="preserve"> </v>
      </c>
      <c r="W118" s="53" t="str">
        <f t="shared" si="37"/>
        <v xml:space="preserve"> </v>
      </c>
      <c r="X118" s="12" t="str">
        <f t="shared" si="47"/>
        <v xml:space="preserve"> </v>
      </c>
      <c r="Y118" s="12" t="str">
        <f ca="1">IFERROR(IF(TEXT($H$4,"DDMMAAAA")=TEXT($K117,"DDMMAAAA"),SUM($Y$2:INDIRECT(ADDRESS(ROW(Y117),COLUMN(Y117)))),$H$8/M118*U118)," ")</f>
        <v xml:space="preserve"> </v>
      </c>
      <c r="Z118" s="51" t="str">
        <f ca="1">IFERROR(IF(TEXT($H$4,"DDMMAAAA")=TEXT($K117,"DDMMAAAA"),SUM($Y$2:INDIRECT(ADDRESS(ROW(Z117),COLUMN(Z117)))),$H$8/M118*R118)," ")</f>
        <v xml:space="preserve"> </v>
      </c>
      <c r="AA118" s="12" t="str">
        <f ca="1">IFERROR(IF(TEXT($H$4,"DDMMAAAA")=TEXT($K117,"DDMMAAAA"),SUM($AA$2:INDIRECT(ADDRESS(ROW(AA117),COLUMN(AA117)))),$H$8/M118*S118)," ")</f>
        <v xml:space="preserve"> </v>
      </c>
      <c r="AB118" s="12" t="str">
        <f ca="1">IFERROR(IF(TEXT($H$4,"DDMMAAAA")=TEXT($K117,"DDMMAAAA"),SUM($AB$2:INDIRECT(ADDRESS(ROW(AB117),COLUMN(AB117)))),$H$8/M118*V118)," ")</f>
        <v xml:space="preserve"> </v>
      </c>
      <c r="AC118" s="12" t="str">
        <f ca="1">IFERROR(IF(TEXT($H$4,"DDMMAAAA")=TEXT($K117,"DDMMAAAA"),SUM($AC$2:INDIRECT(ADDRESS(ROW(AC117),COLUMN(AC117)))),IF(SUM(Y118:AB118)=0,"",SUM(Y118:AB118)))," ")</f>
        <v/>
      </c>
      <c r="AE118">
        <v>201407</v>
      </c>
      <c r="AF118">
        <v>2.89</v>
      </c>
    </row>
    <row r="119" spans="10:32" ht="29.25" customHeight="1" x14ac:dyDescent="0.4">
      <c r="J119" s="19" t="str">
        <f t="shared" si="48"/>
        <v/>
      </c>
      <c r="K119" s="19" t="str">
        <f t="shared" si="40"/>
        <v xml:space="preserve"> </v>
      </c>
      <c r="L119" s="13" t="str">
        <f t="shared" si="38"/>
        <v xml:space="preserve"> </v>
      </c>
      <c r="M119" s="9" t="str">
        <f t="shared" si="50"/>
        <v xml:space="preserve"> </v>
      </c>
      <c r="N119" s="46" t="str">
        <f t="shared" si="41"/>
        <v xml:space="preserve"> </v>
      </c>
      <c r="O119" s="46" t="str">
        <f t="shared" si="42"/>
        <v xml:space="preserve"> </v>
      </c>
      <c r="P119" s="14" t="str">
        <f>IFERROR(IF(VLOOKUP(INT(TEXT(K119,"AAAA")),Tabla3[[AÑO]:[SALARIO 
MENSUAL]],2,0)*2&lt;$H$2,0,IFERROR(VLOOKUP(INT(TEXT(K119,"AAAA")),Tabla3[[AÑO]:[SALARIO 
MENSUAL]],2,0)," "))/30*L119," ")</f>
        <v xml:space="preserve"> </v>
      </c>
      <c r="Q119" s="14" t="str">
        <f>IFERROR(IF(VLOOKUP(INT(TEXT(K119,"AAAA")),Tabla3[[AÑO]:[SALARIO 
MENSUAL]],4,0)*2&lt;$H$2,$H$2,VLOOKUP(INT(TEXT(K119,"AAAA")),Tabla3[[AÑO]:[SALARIO 
MENSUAL]],4,0))/30*L119+$H$14+P119," ")</f>
        <v xml:space="preserve"> </v>
      </c>
      <c r="R119" s="12" t="str">
        <f t="shared" si="43"/>
        <v xml:space="preserve"> </v>
      </c>
      <c r="S119" s="12" t="str">
        <f t="shared" si="44"/>
        <v xml:space="preserve"> </v>
      </c>
      <c r="T119" s="11" t="str">
        <f t="shared" si="45"/>
        <v xml:space="preserve"> </v>
      </c>
      <c r="U119" s="14" t="str">
        <f t="shared" si="49"/>
        <v xml:space="preserve"> </v>
      </c>
      <c r="V119" s="12" t="str">
        <f t="shared" si="46"/>
        <v xml:space="preserve"> </v>
      </c>
      <c r="W119" s="53" t="str">
        <f t="shared" si="37"/>
        <v xml:space="preserve"> </v>
      </c>
      <c r="X119" s="12" t="str">
        <f t="shared" si="47"/>
        <v xml:space="preserve"> </v>
      </c>
      <c r="Y119" s="12" t="str">
        <f ca="1">IFERROR(IF(TEXT($H$4,"DDMMAAAA")=TEXT($K118,"DDMMAAAA"),SUM($Y$2:INDIRECT(ADDRESS(ROW(Y118),COLUMN(Y118)))),$H$8/M119*U119)," ")</f>
        <v xml:space="preserve"> </v>
      </c>
      <c r="Z119" s="51" t="str">
        <f ca="1">IFERROR(IF(TEXT($H$4,"DDMMAAAA")=TEXT($K118,"DDMMAAAA"),SUM($Y$2:INDIRECT(ADDRESS(ROW(Z118),COLUMN(Z118)))),$H$8/M119*R119)," ")</f>
        <v xml:space="preserve"> </v>
      </c>
      <c r="AA119" s="12" t="str">
        <f ca="1">IFERROR(IF(TEXT($H$4,"DDMMAAAA")=TEXT($K118,"DDMMAAAA"),SUM($AA$2:INDIRECT(ADDRESS(ROW(AA118),COLUMN(AA118)))),$H$8/M119*S119)," ")</f>
        <v xml:space="preserve"> </v>
      </c>
      <c r="AB119" s="12" t="str">
        <f ca="1">IFERROR(IF(TEXT($H$4,"DDMMAAAA")=TEXT($K118,"DDMMAAAA"),SUM($AB$2:INDIRECT(ADDRESS(ROW(AB118),COLUMN(AB118)))),$H$8/M119*V119)," ")</f>
        <v xml:space="preserve"> </v>
      </c>
      <c r="AC119" s="12" t="str">
        <f ca="1">IFERROR(IF(TEXT($H$4,"DDMMAAAA")=TEXT($K118,"DDMMAAAA"),SUM($AC$2:INDIRECT(ADDRESS(ROW(AC118),COLUMN(AC118)))),IF(SUM(Y119:AB119)=0,"",SUM(Y119:AB119)))," ")</f>
        <v/>
      </c>
      <c r="AE119">
        <v>201406</v>
      </c>
      <c r="AF119">
        <v>2.79</v>
      </c>
    </row>
    <row r="120" spans="10:32" hidden="1" x14ac:dyDescent="0.4">
      <c r="J120" s="19" t="str">
        <f t="shared" si="48"/>
        <v/>
      </c>
      <c r="K120" s="19" t="str">
        <f t="shared" si="40"/>
        <v xml:space="preserve"> </v>
      </c>
      <c r="L120" s="13" t="str">
        <f t="shared" si="38"/>
        <v xml:space="preserve"> </v>
      </c>
      <c r="M120" s="9" t="str">
        <f t="shared" si="50"/>
        <v xml:space="preserve"> </v>
      </c>
      <c r="N120" s="46" t="str">
        <f t="shared" si="41"/>
        <v xml:space="preserve"> </v>
      </c>
      <c r="O120" s="46" t="str">
        <f t="shared" si="42"/>
        <v xml:space="preserve"> </v>
      </c>
      <c r="P120" s="14" t="str">
        <f>IFERROR(IF(VLOOKUP(INT(TEXT(K120,"AAAA")),Tabla3[[AÑO]:[SALARIO 
MENSUAL]],2,0)*2&lt;$H$2,0,IFERROR(VLOOKUP(INT(TEXT(K120,"AAAA")),Tabla3[[AÑO]:[SALARIO 
MENSUAL]],2,0)," "))/30*L120," ")</f>
        <v xml:space="preserve"> </v>
      </c>
      <c r="Q120" s="14" t="str">
        <f>IFERROR(IF(VLOOKUP(INT(TEXT(K120,"AAAA")),Tabla3[[AÑO]:[SALARIO 
MENSUAL]],4,0)*2&lt;$H$2,$H$2,VLOOKUP(INT(TEXT(K120,"AAAA")),Tabla3[[AÑO]:[SALARIO 
MENSUAL]],4,0))/30*L120+$H$14+P120," ")</f>
        <v xml:space="preserve"> </v>
      </c>
      <c r="R120" s="12" t="str">
        <f t="shared" si="43"/>
        <v xml:space="preserve"> </v>
      </c>
      <c r="S120" s="12" t="str">
        <f t="shared" si="44"/>
        <v xml:space="preserve"> </v>
      </c>
      <c r="T120" s="11" t="str">
        <f t="shared" si="45"/>
        <v xml:space="preserve"> </v>
      </c>
      <c r="U120" s="14" t="str">
        <f t="shared" si="49"/>
        <v xml:space="preserve"> </v>
      </c>
      <c r="V120" s="12" t="str">
        <f t="shared" si="46"/>
        <v xml:space="preserve"> </v>
      </c>
      <c r="W120" s="53" t="str">
        <f t="shared" si="37"/>
        <v xml:space="preserve"> </v>
      </c>
      <c r="X120" s="12" t="str">
        <f t="shared" si="47"/>
        <v xml:space="preserve"> </v>
      </c>
      <c r="Y120" s="12" t="str">
        <f ca="1">IFERROR(IF(TEXT($H$4,"DDMMAAAA")=TEXT($K119,"DDMMAAAA"),SUM($Y$2:INDIRECT(ADDRESS(ROW(Y119),COLUMN(Y119)))),$H$8/M120*U120)," ")</f>
        <v xml:space="preserve"> </v>
      </c>
      <c r="Z120" s="51" t="str">
        <f ca="1">IFERROR(IF(TEXT($H$4,"DDMMAAAA")=TEXT($K119,"DDMMAAAA"),SUM($Y$2:INDIRECT(ADDRESS(ROW(Z119),COLUMN(Z119)))),$H$8/M120*R120)," ")</f>
        <v xml:space="preserve"> </v>
      </c>
      <c r="AA120" s="12" t="str">
        <f ca="1">IFERROR(IF(TEXT($H$4,"DDMMAAAA")=TEXT($K119,"DDMMAAAA"),SUM($AA$2:INDIRECT(ADDRESS(ROW(AA119),COLUMN(AA119)))),$H$8/M120*S120)," ")</f>
        <v xml:space="preserve"> </v>
      </c>
      <c r="AB120" s="12" t="str">
        <f ca="1">IFERROR(IF(TEXT($H$4,"DDMMAAAA")=TEXT($K119,"DDMMAAAA"),SUM($AB$2:INDIRECT(ADDRESS(ROW(AB119),COLUMN(AB119)))),$H$8/M120*V120)," ")</f>
        <v xml:space="preserve"> </v>
      </c>
      <c r="AC120" s="12" t="str">
        <f ca="1">IFERROR(IF(TEXT($H$4,"DDMMAAAA")=TEXT($K119,"DDMMAAAA"),SUM($AC$2:INDIRECT(ADDRESS(ROW(AC119),COLUMN(AC119)))),IF(SUM(Y120:AB120)=0,"",SUM(Y120:AB120)))," ")</f>
        <v/>
      </c>
      <c r="AE120">
        <v>201405</v>
      </c>
      <c r="AF120">
        <v>2.93</v>
      </c>
    </row>
    <row r="121" spans="10:32" hidden="1" x14ac:dyDescent="0.4">
      <c r="J121" s="19" t="str">
        <f t="shared" si="48"/>
        <v/>
      </c>
      <c r="K121" s="19" t="str">
        <f t="shared" si="40"/>
        <v xml:space="preserve"> </v>
      </c>
      <c r="L121" s="13" t="str">
        <f t="shared" si="38"/>
        <v xml:space="preserve"> </v>
      </c>
      <c r="M121" s="9" t="str">
        <f t="shared" si="50"/>
        <v xml:space="preserve"> </v>
      </c>
      <c r="N121" s="46" t="str">
        <f t="shared" si="41"/>
        <v xml:space="preserve"> </v>
      </c>
      <c r="O121" s="46" t="str">
        <f t="shared" si="42"/>
        <v xml:space="preserve"> </v>
      </c>
      <c r="P121" s="14" t="str">
        <f>IFERROR(IF(VLOOKUP(INT(TEXT(K121,"AAAA")),Tabla3[[AÑO]:[SALARIO 
MENSUAL]],2,0)*2&lt;$H$2,0,IFERROR(VLOOKUP(INT(TEXT(K121,"AAAA")),Tabla3[[AÑO]:[SALARIO 
MENSUAL]],2,0)," "))/30*L121," ")</f>
        <v xml:space="preserve"> </v>
      </c>
      <c r="Q121" s="14" t="str">
        <f>IFERROR(IF(VLOOKUP(INT(TEXT(K121,"AAAA")),Tabla3[[AÑO]:[SALARIO 
MENSUAL]],4,0)*2&lt;$H$2,$H$2,VLOOKUP(INT(TEXT(K121,"AAAA")),Tabla3[[AÑO]:[SALARIO 
MENSUAL]],4,0))/30*L121+$H$14+P121," ")</f>
        <v xml:space="preserve"> </v>
      </c>
      <c r="R121" s="12" t="str">
        <f t="shared" si="43"/>
        <v xml:space="preserve"> </v>
      </c>
      <c r="S121" s="12" t="str">
        <f t="shared" si="44"/>
        <v xml:space="preserve"> </v>
      </c>
      <c r="T121" s="11" t="str">
        <f t="shared" si="45"/>
        <v xml:space="preserve"> </v>
      </c>
      <c r="U121" s="14" t="str">
        <f t="shared" si="49"/>
        <v xml:space="preserve"> </v>
      </c>
      <c r="V121" s="12" t="str">
        <f t="shared" si="46"/>
        <v xml:space="preserve"> </v>
      </c>
      <c r="W121" s="53" t="str">
        <f t="shared" si="37"/>
        <v xml:space="preserve"> </v>
      </c>
      <c r="X121" s="12" t="str">
        <f t="shared" si="47"/>
        <v xml:space="preserve"> </v>
      </c>
      <c r="Y121" s="12" t="str">
        <f ca="1">IFERROR(IF(TEXT($H$4,"DDMMAAAA")=TEXT($K120,"DDMMAAAA"),SUM($Y$2:INDIRECT(ADDRESS(ROW(Y120),COLUMN(Y120)))),$H$8/M121*U121)," ")</f>
        <v xml:space="preserve"> </v>
      </c>
      <c r="Z121" s="51" t="str">
        <f ca="1">IFERROR(IF(TEXT($H$4,"DDMMAAAA")=TEXT($K120,"DDMMAAAA"),SUM($Y$2:INDIRECT(ADDRESS(ROW(Z120),COLUMN(Z120)))),$H$8/M121*R121)," ")</f>
        <v xml:space="preserve"> </v>
      </c>
      <c r="AA121" s="12" t="str">
        <f ca="1">IFERROR(IF(TEXT($H$4,"DDMMAAAA")=TEXT($K120,"DDMMAAAA"),SUM($AA$2:INDIRECT(ADDRESS(ROW(AA120),COLUMN(AA120)))),$H$8/M121*S121)," ")</f>
        <v xml:space="preserve"> </v>
      </c>
      <c r="AB121" s="12" t="str">
        <f ca="1">IFERROR(IF(TEXT($H$4,"DDMMAAAA")=TEXT($K120,"DDMMAAAA"),SUM($AB$2:INDIRECT(ADDRESS(ROW(AB120),COLUMN(AB120)))),$H$8/M121*V121)," ")</f>
        <v xml:space="preserve"> </v>
      </c>
      <c r="AC121" s="12" t="str">
        <f ca="1">IFERROR(IF(TEXT($H$4,"DDMMAAAA")=TEXT($K120,"DDMMAAAA"),SUM($AC$2:INDIRECT(ADDRESS(ROW(AC120),COLUMN(AC120)))),IF(SUM(Y121:AB121)=0,"",SUM(Y121:AB121)))," ")</f>
        <v/>
      </c>
      <c r="AE121">
        <v>201404</v>
      </c>
      <c r="AF121">
        <v>2.72</v>
      </c>
    </row>
    <row r="122" spans="10:32" hidden="1" x14ac:dyDescent="0.4">
      <c r="J122" s="19" t="str">
        <f t="shared" si="48"/>
        <v/>
      </c>
      <c r="K122" s="19" t="str">
        <f t="shared" si="40"/>
        <v xml:space="preserve"> </v>
      </c>
      <c r="L122" s="13" t="str">
        <f t="shared" si="38"/>
        <v xml:space="preserve"> </v>
      </c>
      <c r="M122" s="9" t="str">
        <f t="shared" si="50"/>
        <v xml:space="preserve"> </v>
      </c>
      <c r="N122" s="46" t="str">
        <f t="shared" si="41"/>
        <v xml:space="preserve"> </v>
      </c>
      <c r="O122" s="46" t="str">
        <f t="shared" si="42"/>
        <v xml:space="preserve"> </v>
      </c>
      <c r="P122" s="14" t="str">
        <f>IFERROR(IF(VLOOKUP(INT(TEXT(K122,"AAAA")),Tabla3[[AÑO]:[SALARIO 
MENSUAL]],2,0)*2&lt;$H$2,0,IFERROR(VLOOKUP(INT(TEXT(K122,"AAAA")),Tabla3[[AÑO]:[SALARIO 
MENSUAL]],2,0)," "))/30*L122," ")</f>
        <v xml:space="preserve"> </v>
      </c>
      <c r="Q122" s="14" t="str">
        <f>IFERROR(IF(VLOOKUP(INT(TEXT(K122,"AAAA")),Tabla3[[AÑO]:[SALARIO 
MENSUAL]],4,0)*2&lt;$H$2,$H$2,VLOOKUP(INT(TEXT(K122,"AAAA")),Tabla3[[AÑO]:[SALARIO 
MENSUAL]],4,0))/30*L122+$H$14+P122," ")</f>
        <v xml:space="preserve"> </v>
      </c>
      <c r="R122" s="12" t="str">
        <f t="shared" si="43"/>
        <v xml:space="preserve"> </v>
      </c>
      <c r="S122" s="12" t="str">
        <f t="shared" si="44"/>
        <v xml:space="preserve"> </v>
      </c>
      <c r="T122" s="11" t="str">
        <f t="shared" si="45"/>
        <v xml:space="preserve"> </v>
      </c>
      <c r="U122" s="14" t="str">
        <f t="shared" si="49"/>
        <v xml:space="preserve"> </v>
      </c>
      <c r="V122" s="12" t="str">
        <f t="shared" si="46"/>
        <v xml:space="preserve"> </v>
      </c>
      <c r="W122" s="53" t="str">
        <f t="shared" si="37"/>
        <v xml:space="preserve"> </v>
      </c>
      <c r="X122" s="12" t="str">
        <f t="shared" si="47"/>
        <v xml:space="preserve"> </v>
      </c>
      <c r="Y122" s="12" t="str">
        <f ca="1">IFERROR(IF(TEXT($H$4,"DDMMAAAA")=TEXT($K121,"DDMMAAAA"),SUM($Y$2:INDIRECT(ADDRESS(ROW(Y121),COLUMN(Y121)))),$H$8/M122*U122)," ")</f>
        <v xml:space="preserve"> </v>
      </c>
      <c r="Z122" s="51" t="str">
        <f ca="1">IFERROR(IF(TEXT($H$4,"DDMMAAAA")=TEXT($K121,"DDMMAAAA"),SUM($Y$2:INDIRECT(ADDRESS(ROW(Z121),COLUMN(Z121)))),$H$8/M122*R122)," ")</f>
        <v xml:space="preserve"> </v>
      </c>
      <c r="AA122" s="12" t="str">
        <f ca="1">IFERROR(IF(TEXT($H$4,"DDMMAAAA")=TEXT($K121,"DDMMAAAA"),SUM($AA$2:INDIRECT(ADDRESS(ROW(AA121),COLUMN(AA121)))),$H$8/M122*S122)," ")</f>
        <v xml:space="preserve"> </v>
      </c>
      <c r="AB122" s="12" t="str">
        <f ca="1">IFERROR(IF(TEXT($H$4,"DDMMAAAA")=TEXT($K121,"DDMMAAAA"),SUM($AB$2:INDIRECT(ADDRESS(ROW(AB121),COLUMN(AB121)))),$H$8/M122*V122)," ")</f>
        <v xml:space="preserve"> </v>
      </c>
      <c r="AC122" s="12" t="str">
        <f ca="1">IFERROR(IF(TEXT($H$4,"DDMMAAAA")=TEXT($K121,"DDMMAAAA"),SUM($AC$2:INDIRECT(ADDRESS(ROW(AC121),COLUMN(AC121)))),IF(SUM(Y122:AB122)=0,"",SUM(Y122:AB122)))," ")</f>
        <v/>
      </c>
      <c r="AE122">
        <v>201403</v>
      </c>
      <c r="AF122">
        <v>2.5099999999999998</v>
      </c>
    </row>
    <row r="123" spans="10:32" hidden="1" x14ac:dyDescent="0.4">
      <c r="J123" s="19" t="str">
        <f t="shared" si="48"/>
        <v/>
      </c>
      <c r="K123" s="19" t="str">
        <f t="shared" si="40"/>
        <v xml:space="preserve"> </v>
      </c>
      <c r="L123" s="13" t="str">
        <f t="shared" si="38"/>
        <v xml:space="preserve"> </v>
      </c>
      <c r="M123" s="9" t="str">
        <f t="shared" si="50"/>
        <v xml:space="preserve"> </v>
      </c>
      <c r="N123" s="46" t="str">
        <f t="shared" si="41"/>
        <v xml:space="preserve"> </v>
      </c>
      <c r="O123" s="46" t="str">
        <f t="shared" si="42"/>
        <v xml:space="preserve"> </v>
      </c>
      <c r="P123" s="14" t="str">
        <f>IFERROR(IF(VLOOKUP(INT(TEXT(K123,"AAAA")),Tabla3[[AÑO]:[SALARIO 
MENSUAL]],2,0)*2&lt;$H$2,0,IFERROR(VLOOKUP(INT(TEXT(K123,"AAAA")),Tabla3[[AÑO]:[SALARIO 
MENSUAL]],2,0)," "))/30*L123," ")</f>
        <v xml:space="preserve"> </v>
      </c>
      <c r="Q123" s="14" t="str">
        <f>IFERROR(IF(VLOOKUP(INT(TEXT(K123,"AAAA")),Tabla3[[AÑO]:[SALARIO 
MENSUAL]],4,0)*2&lt;$H$2,$H$2,VLOOKUP(INT(TEXT(K123,"AAAA")),Tabla3[[AÑO]:[SALARIO 
MENSUAL]],4,0))/30*L123+$H$14+P123," ")</f>
        <v xml:space="preserve"> </v>
      </c>
      <c r="R123" s="12" t="str">
        <f t="shared" si="43"/>
        <v xml:space="preserve"> </v>
      </c>
      <c r="S123" s="12" t="str">
        <f t="shared" si="44"/>
        <v xml:space="preserve"> </v>
      </c>
      <c r="T123" s="11" t="str">
        <f t="shared" si="45"/>
        <v xml:space="preserve"> </v>
      </c>
      <c r="U123" s="14" t="str">
        <f t="shared" si="49"/>
        <v xml:space="preserve"> </v>
      </c>
      <c r="V123" s="12" t="str">
        <f t="shared" si="46"/>
        <v xml:space="preserve"> </v>
      </c>
      <c r="W123" s="53" t="str">
        <f t="shared" si="37"/>
        <v xml:space="preserve"> </v>
      </c>
      <c r="X123" s="12" t="str">
        <f t="shared" si="47"/>
        <v xml:space="preserve"> </v>
      </c>
      <c r="Y123" s="12" t="str">
        <f ca="1">IFERROR(IF(TEXT($H$4,"DDMMAAAA")=TEXT($K122,"DDMMAAAA"),SUM($Y$2:INDIRECT(ADDRESS(ROW(Y122),COLUMN(Y122)))),$H$8/M123*U123)," ")</f>
        <v xml:space="preserve"> </v>
      </c>
      <c r="Z123" s="51" t="str">
        <f ca="1">IFERROR(IF(TEXT($H$4,"DDMMAAAA")=TEXT($K122,"DDMMAAAA"),SUM($Y$2:INDIRECT(ADDRESS(ROW(Z122),COLUMN(Z122)))),$H$8/M123*R123)," ")</f>
        <v xml:space="preserve"> </v>
      </c>
      <c r="AA123" s="12" t="str">
        <f ca="1">IFERROR(IF(TEXT($H$4,"DDMMAAAA")=TEXT($K122,"DDMMAAAA"),SUM($AA$2:INDIRECT(ADDRESS(ROW(AA122),COLUMN(AA122)))),$H$8/M123*S123)," ")</f>
        <v xml:space="preserve"> </v>
      </c>
      <c r="AB123" s="12" t="str">
        <f ca="1">IFERROR(IF(TEXT($H$4,"DDMMAAAA")=TEXT($K122,"DDMMAAAA"),SUM($AB$2:INDIRECT(ADDRESS(ROW(AB122),COLUMN(AB122)))),$H$8/M123*V123)," ")</f>
        <v xml:space="preserve"> </v>
      </c>
      <c r="AC123" s="12" t="str">
        <f ca="1">IFERROR(IF(TEXT($H$4,"DDMMAAAA")=TEXT($K122,"DDMMAAAA"),SUM($AC$2:INDIRECT(ADDRESS(ROW(AC122),COLUMN(AC122)))),IF(SUM(Y123:AB123)=0,"",SUM(Y123:AB123)))," ")</f>
        <v/>
      </c>
      <c r="AE123">
        <v>201402</v>
      </c>
      <c r="AF123">
        <v>2.3199999999999998</v>
      </c>
    </row>
    <row r="124" spans="10:32" hidden="1" x14ac:dyDescent="0.4">
      <c r="J124" s="19" t="str">
        <f t="shared" si="48"/>
        <v/>
      </c>
      <c r="K124" s="19" t="str">
        <f t="shared" si="40"/>
        <v xml:space="preserve"> </v>
      </c>
      <c r="L124" s="13" t="str">
        <f t="shared" si="38"/>
        <v xml:space="preserve"> </v>
      </c>
      <c r="M124" s="9" t="str">
        <f t="shared" si="50"/>
        <v xml:space="preserve"> </v>
      </c>
      <c r="N124" s="46" t="str">
        <f t="shared" si="41"/>
        <v xml:space="preserve"> </v>
      </c>
      <c r="O124" s="46" t="str">
        <f t="shared" si="42"/>
        <v xml:space="preserve"> </v>
      </c>
      <c r="P124" s="14" t="str">
        <f>IFERROR(IF(VLOOKUP(INT(TEXT(K124,"AAAA")),Tabla3[[AÑO]:[SALARIO 
MENSUAL]],2,0)*2&lt;$H$2,0,IFERROR(VLOOKUP(INT(TEXT(K124,"AAAA")),Tabla3[[AÑO]:[SALARIO 
MENSUAL]],2,0)," "))/30*L124," ")</f>
        <v xml:space="preserve"> </v>
      </c>
      <c r="Q124" s="14" t="str">
        <f>IFERROR(IF(VLOOKUP(INT(TEXT(K124,"AAAA")),Tabla3[[AÑO]:[SALARIO 
MENSUAL]],4,0)*2&lt;$H$2,$H$2,VLOOKUP(INT(TEXT(K124,"AAAA")),Tabla3[[AÑO]:[SALARIO 
MENSUAL]],4,0))/30*L124+$H$14+P124," ")</f>
        <v xml:space="preserve"> </v>
      </c>
      <c r="R124" s="12" t="str">
        <f t="shared" si="43"/>
        <v xml:space="preserve"> </v>
      </c>
      <c r="S124" s="12" t="str">
        <f t="shared" si="44"/>
        <v xml:space="preserve"> </v>
      </c>
      <c r="T124" s="11" t="str">
        <f t="shared" si="45"/>
        <v xml:space="preserve"> </v>
      </c>
      <c r="U124" s="14" t="str">
        <f t="shared" si="49"/>
        <v xml:space="preserve"> </v>
      </c>
      <c r="V124" s="12" t="str">
        <f t="shared" si="46"/>
        <v xml:space="preserve"> </v>
      </c>
      <c r="W124" s="53" t="str">
        <f t="shared" si="37"/>
        <v xml:space="preserve"> </v>
      </c>
      <c r="X124" s="12" t="str">
        <f t="shared" si="47"/>
        <v xml:space="preserve"> </v>
      </c>
      <c r="Y124" s="12" t="str">
        <f ca="1">IFERROR(IF(TEXT($H$4,"DDMMAAAA")=TEXT($K123,"DDMMAAAA"),SUM($Y$2:INDIRECT(ADDRESS(ROW(Y123),COLUMN(Y123)))),$H$8/M124*U124)," ")</f>
        <v xml:space="preserve"> </v>
      </c>
      <c r="Z124" s="51" t="str">
        <f ca="1">IFERROR(IF(TEXT($H$4,"DDMMAAAA")=TEXT($K123,"DDMMAAAA"),SUM($Y$2:INDIRECT(ADDRESS(ROW(Z123),COLUMN(Z123)))),$H$8/M124*R124)," ")</f>
        <v xml:space="preserve"> </v>
      </c>
      <c r="AA124" s="12" t="str">
        <f ca="1">IFERROR(IF(TEXT($H$4,"DDMMAAAA")=TEXT($K123,"DDMMAAAA"),SUM($AA$2:INDIRECT(ADDRESS(ROW(AA123),COLUMN(AA123)))),$H$8/M124*S124)," ")</f>
        <v xml:space="preserve"> </v>
      </c>
      <c r="AB124" s="12" t="str">
        <f ca="1">IFERROR(IF(TEXT($H$4,"DDMMAAAA")=TEXT($K123,"DDMMAAAA"),SUM($AB$2:INDIRECT(ADDRESS(ROW(AB123),COLUMN(AB123)))),$H$8/M124*V124)," ")</f>
        <v xml:space="preserve"> </v>
      </c>
      <c r="AC124" s="12" t="str">
        <f ca="1">IFERROR(IF(TEXT($H$4,"DDMMAAAA")=TEXT($K123,"DDMMAAAA"),SUM($AC$2:INDIRECT(ADDRESS(ROW(AC123),COLUMN(AC123)))),IF(SUM(Y124:AB124)=0,"",SUM(Y124:AB124)))," ")</f>
        <v/>
      </c>
      <c r="AE124">
        <v>201401</v>
      </c>
      <c r="AF124">
        <v>2.13</v>
      </c>
    </row>
    <row r="125" spans="10:32" hidden="1" x14ac:dyDescent="0.4">
      <c r="J125" s="19" t="str">
        <f t="shared" si="48"/>
        <v/>
      </c>
      <c r="K125" s="19" t="str">
        <f t="shared" si="40"/>
        <v xml:space="preserve"> </v>
      </c>
      <c r="L125" s="13" t="str">
        <f t="shared" si="38"/>
        <v xml:space="preserve"> </v>
      </c>
      <c r="M125" s="9" t="str">
        <f t="shared" si="50"/>
        <v xml:space="preserve"> </v>
      </c>
      <c r="N125" s="46" t="str">
        <f t="shared" si="41"/>
        <v xml:space="preserve"> </v>
      </c>
      <c r="O125" s="46" t="str">
        <f t="shared" si="42"/>
        <v xml:space="preserve"> </v>
      </c>
      <c r="P125" s="14" t="str">
        <f>IFERROR(IF(VLOOKUP(INT(TEXT(K125,"AAAA")),Tabla3[[AÑO]:[SALARIO 
MENSUAL]],2,0)*2&lt;$H$2,0,IFERROR(VLOOKUP(INT(TEXT(K125,"AAAA")),Tabla3[[AÑO]:[SALARIO 
MENSUAL]],2,0)," "))/30*L125," ")</f>
        <v xml:space="preserve"> </v>
      </c>
      <c r="Q125" s="14" t="str">
        <f>IFERROR(IF(VLOOKUP(INT(TEXT(K125,"AAAA")),Tabla3[[AÑO]:[SALARIO 
MENSUAL]],4,0)*2&lt;$H$2,$H$2,VLOOKUP(INT(TEXT(K125,"AAAA")),Tabla3[[AÑO]:[SALARIO 
MENSUAL]],4,0))/30*L125+$H$14+P125," ")</f>
        <v xml:space="preserve"> </v>
      </c>
      <c r="R125" s="12" t="str">
        <f t="shared" si="43"/>
        <v xml:space="preserve"> </v>
      </c>
      <c r="S125" s="12" t="str">
        <f t="shared" si="44"/>
        <v xml:space="preserve"> </v>
      </c>
      <c r="T125" s="11" t="str">
        <f t="shared" si="45"/>
        <v xml:space="preserve"> </v>
      </c>
      <c r="U125" s="14" t="str">
        <f t="shared" si="49"/>
        <v xml:space="preserve"> </v>
      </c>
      <c r="V125" s="12" t="str">
        <f t="shared" si="46"/>
        <v xml:space="preserve"> </v>
      </c>
      <c r="W125" s="53" t="str">
        <f t="shared" si="37"/>
        <v xml:space="preserve"> </v>
      </c>
      <c r="X125" s="12" t="str">
        <f t="shared" si="47"/>
        <v xml:space="preserve"> </v>
      </c>
      <c r="Y125" s="12" t="str">
        <f ca="1">IFERROR(IF(TEXT($H$4,"DDMMAAAA")=TEXT($K124,"DDMMAAAA"),SUM($Y$2:INDIRECT(ADDRESS(ROW(Y124),COLUMN(Y124)))),$H$8/M125*U125)," ")</f>
        <v xml:space="preserve"> </v>
      </c>
      <c r="Z125" s="51" t="str">
        <f ca="1">IFERROR(IF(TEXT($H$4,"DDMMAAAA")=TEXT($K124,"DDMMAAAA"),SUM($Y$2:INDIRECT(ADDRESS(ROW(Z124),COLUMN(Z124)))),$H$8/M125*R125)," ")</f>
        <v xml:space="preserve"> </v>
      </c>
      <c r="AA125" s="12" t="str">
        <f ca="1">IFERROR(IF(TEXT($H$4,"DDMMAAAA")=TEXT($K124,"DDMMAAAA"),SUM($AA$2:INDIRECT(ADDRESS(ROW(AA124),COLUMN(AA124)))),$H$8/M125*S125)," ")</f>
        <v xml:space="preserve"> </v>
      </c>
      <c r="AB125" s="12" t="str">
        <f ca="1">IFERROR(IF(TEXT($H$4,"DDMMAAAA")=TEXT($K124,"DDMMAAAA"),SUM($AB$2:INDIRECT(ADDRESS(ROW(AB124),COLUMN(AB124)))),$H$8/M125*V125)," ")</f>
        <v xml:space="preserve"> </v>
      </c>
      <c r="AC125" s="12" t="str">
        <f ca="1">IFERROR(IF(TEXT($H$4,"DDMMAAAA")=TEXT($K124,"DDMMAAAA"),SUM($AC$2:INDIRECT(ADDRESS(ROW(AC124),COLUMN(AC124)))),IF(SUM(Y125:AB125)=0,"",SUM(Y125:AB125)))," ")</f>
        <v/>
      </c>
      <c r="AE125">
        <v>201312</v>
      </c>
      <c r="AF125">
        <v>1.94</v>
      </c>
    </row>
    <row r="126" spans="10:32" hidden="1" x14ac:dyDescent="0.4">
      <c r="J126" s="19" t="str">
        <f t="shared" si="48"/>
        <v/>
      </c>
      <c r="K126" s="19" t="str">
        <f t="shared" si="40"/>
        <v xml:space="preserve"> </v>
      </c>
      <c r="L126" s="13" t="str">
        <f t="shared" si="38"/>
        <v xml:space="preserve"> </v>
      </c>
      <c r="M126" s="9" t="str">
        <f t="shared" si="50"/>
        <v xml:space="preserve"> </v>
      </c>
      <c r="N126" s="46" t="str">
        <f t="shared" si="41"/>
        <v xml:space="preserve"> </v>
      </c>
      <c r="O126" s="46" t="str">
        <f t="shared" si="42"/>
        <v xml:space="preserve"> </v>
      </c>
      <c r="P126" s="14" t="str">
        <f>IFERROR(IF(VLOOKUP(INT(TEXT(K126,"AAAA")),Tabla3[[AÑO]:[SALARIO 
MENSUAL]],2,0)*2&lt;$H$2,0,IFERROR(VLOOKUP(INT(TEXT(K126,"AAAA")),Tabla3[[AÑO]:[SALARIO 
MENSUAL]],2,0)," "))/30*L126," ")</f>
        <v xml:space="preserve"> </v>
      </c>
      <c r="Q126" s="14" t="str">
        <f>IFERROR(IF(VLOOKUP(INT(TEXT(K126,"AAAA")),Tabla3[[AÑO]:[SALARIO 
MENSUAL]],4,0)*2&lt;$H$2,$H$2,VLOOKUP(INT(TEXT(K126,"AAAA")),Tabla3[[AÑO]:[SALARIO 
MENSUAL]],4,0))/30*L126+$H$14+P126," ")</f>
        <v xml:space="preserve"> </v>
      </c>
      <c r="R126" s="12" t="str">
        <f t="shared" si="43"/>
        <v xml:space="preserve"> </v>
      </c>
      <c r="S126" s="12" t="str">
        <f t="shared" si="44"/>
        <v xml:space="preserve"> </v>
      </c>
      <c r="T126" s="11" t="str">
        <f t="shared" si="45"/>
        <v xml:space="preserve"> </v>
      </c>
      <c r="U126" s="14" t="str">
        <f t="shared" si="49"/>
        <v xml:space="preserve"> </v>
      </c>
      <c r="V126" s="12" t="str">
        <f t="shared" si="46"/>
        <v xml:space="preserve"> </v>
      </c>
      <c r="W126" s="53" t="str">
        <f t="shared" si="37"/>
        <v xml:space="preserve"> </v>
      </c>
      <c r="X126" s="12" t="str">
        <f t="shared" si="47"/>
        <v xml:space="preserve"> </v>
      </c>
      <c r="Y126" s="12" t="str">
        <f ca="1">IFERROR(IF(TEXT($H$4,"DDMMAAAA")=TEXT($K125,"DDMMAAAA"),SUM($Y$2:INDIRECT(ADDRESS(ROW(Y125),COLUMN(Y125)))),$H$8/M126*U126)," ")</f>
        <v xml:space="preserve"> </v>
      </c>
      <c r="Z126" s="51" t="str">
        <f ca="1">IFERROR(IF(TEXT($H$4,"DDMMAAAA")=TEXT($K125,"DDMMAAAA"),SUM($Y$2:INDIRECT(ADDRESS(ROW(Z125),COLUMN(Z125)))),$H$8/M126*R126)," ")</f>
        <v xml:space="preserve"> </v>
      </c>
      <c r="AA126" s="12" t="str">
        <f ca="1">IFERROR(IF(TEXT($H$4,"DDMMAAAA")=TEXT($K125,"DDMMAAAA"),SUM($AA$2:INDIRECT(ADDRESS(ROW(AA125),COLUMN(AA125)))),$H$8/M126*S126)," ")</f>
        <v xml:space="preserve"> </v>
      </c>
      <c r="AB126" s="12" t="str">
        <f ca="1">IFERROR(IF(TEXT($H$4,"DDMMAAAA")=TEXT($K125,"DDMMAAAA"),SUM($AB$2:INDIRECT(ADDRESS(ROW(AB125),COLUMN(AB125)))),$H$8/M126*V126)," ")</f>
        <v xml:space="preserve"> </v>
      </c>
      <c r="AC126" s="12" t="str">
        <f ca="1">IFERROR(IF(TEXT($H$4,"DDMMAAAA")=TEXT($K125,"DDMMAAAA"),SUM($AC$2:INDIRECT(ADDRESS(ROW(AC125),COLUMN(AC125)))),IF(SUM(Y126:AB126)=0,"",SUM(Y126:AB126)))," ")</f>
        <v/>
      </c>
      <c r="AE126">
        <v>201311</v>
      </c>
      <c r="AF126">
        <v>1.76</v>
      </c>
    </row>
    <row r="127" spans="10:32" hidden="1" x14ac:dyDescent="0.4">
      <c r="J127" s="19" t="str">
        <f t="shared" si="48"/>
        <v/>
      </c>
      <c r="K127" s="19" t="str">
        <f t="shared" si="40"/>
        <v xml:space="preserve"> </v>
      </c>
      <c r="L127" s="13" t="str">
        <f t="shared" si="38"/>
        <v xml:space="preserve"> </v>
      </c>
      <c r="M127" s="9" t="str">
        <f t="shared" si="50"/>
        <v xml:space="preserve"> </v>
      </c>
      <c r="N127" s="46" t="str">
        <f t="shared" si="41"/>
        <v xml:space="preserve"> </v>
      </c>
      <c r="O127" s="46" t="str">
        <f t="shared" si="42"/>
        <v xml:space="preserve"> </v>
      </c>
      <c r="P127" s="14" t="str">
        <f>IFERROR(IF(VLOOKUP(INT(TEXT(K127,"AAAA")),Tabla3[[AÑO]:[SALARIO 
MENSUAL]],2,0)*2&lt;$H$2,0,IFERROR(VLOOKUP(INT(TEXT(K127,"AAAA")),Tabla3[[AÑO]:[SALARIO 
MENSUAL]],2,0)," "))/30*L127," ")</f>
        <v xml:space="preserve"> </v>
      </c>
      <c r="Q127" s="14" t="str">
        <f>IFERROR(IF(VLOOKUP(INT(TEXT(K127,"AAAA")),Tabla3[[AÑO]:[SALARIO 
MENSUAL]],4,0)*2&lt;$H$2,$H$2,VLOOKUP(INT(TEXT(K127,"AAAA")),Tabla3[[AÑO]:[SALARIO 
MENSUAL]],4,0))/30*L127+$H$14+P127," ")</f>
        <v xml:space="preserve"> </v>
      </c>
      <c r="R127" s="12" t="str">
        <f t="shared" si="43"/>
        <v xml:space="preserve"> </v>
      </c>
      <c r="S127" s="12" t="str">
        <f t="shared" si="44"/>
        <v xml:space="preserve"> </v>
      </c>
      <c r="T127" s="11" t="str">
        <f t="shared" si="45"/>
        <v xml:space="preserve"> </v>
      </c>
      <c r="U127" s="14" t="str">
        <f t="shared" si="49"/>
        <v xml:space="preserve"> </v>
      </c>
      <c r="V127" s="12" t="str">
        <f t="shared" si="46"/>
        <v xml:space="preserve"> </v>
      </c>
      <c r="W127" s="53" t="str">
        <f t="shared" si="37"/>
        <v xml:space="preserve"> </v>
      </c>
      <c r="X127" s="12" t="str">
        <f t="shared" si="47"/>
        <v xml:space="preserve"> </v>
      </c>
      <c r="Y127" s="12" t="str">
        <f ca="1">IFERROR(IF(TEXT($H$4,"DDMMAAAA")=TEXT($K126,"DDMMAAAA"),SUM($Y$2:INDIRECT(ADDRESS(ROW(Y126),COLUMN(Y126)))),$H$8/M127*U127)," ")</f>
        <v xml:space="preserve"> </v>
      </c>
      <c r="Z127" s="51" t="str">
        <f ca="1">IFERROR(IF(TEXT($H$4,"DDMMAAAA")=TEXT($K126,"DDMMAAAA"),SUM($Y$2:INDIRECT(ADDRESS(ROW(Z126),COLUMN(Z126)))),$H$8/M127*R127)," ")</f>
        <v xml:space="preserve"> </v>
      </c>
      <c r="AA127" s="12" t="str">
        <f ca="1">IFERROR(IF(TEXT($H$4,"DDMMAAAA")=TEXT($K126,"DDMMAAAA"),SUM($AA$2:INDIRECT(ADDRESS(ROW(AA126),COLUMN(AA126)))),$H$8/M127*S127)," ")</f>
        <v xml:space="preserve"> </v>
      </c>
      <c r="AB127" s="12" t="str">
        <f ca="1">IFERROR(IF(TEXT($H$4,"DDMMAAAA")=TEXT($K126,"DDMMAAAA"),SUM($AB$2:INDIRECT(ADDRESS(ROW(AB126),COLUMN(AB126)))),$H$8/M127*V127)," ")</f>
        <v xml:space="preserve"> </v>
      </c>
      <c r="AC127" s="12" t="str">
        <f ca="1">IFERROR(IF(TEXT($H$4,"DDMMAAAA")=TEXT($K126,"DDMMAAAA"),SUM($AC$2:INDIRECT(ADDRESS(ROW(AC126),COLUMN(AC126)))),IF(SUM(Y127:AB127)=0,"",SUM(Y127:AB127)))," ")</f>
        <v/>
      </c>
      <c r="AE127">
        <v>201310</v>
      </c>
      <c r="AF127">
        <v>1.84</v>
      </c>
    </row>
    <row r="128" spans="10:32" hidden="1" x14ac:dyDescent="0.4">
      <c r="J128" s="19" t="str">
        <f t="shared" si="48"/>
        <v/>
      </c>
      <c r="K128" s="19" t="str">
        <f t="shared" si="40"/>
        <v xml:space="preserve"> </v>
      </c>
      <c r="L128" s="13" t="str">
        <f t="shared" si="38"/>
        <v xml:space="preserve"> </v>
      </c>
      <c r="M128" s="9" t="str">
        <f t="shared" si="50"/>
        <v xml:space="preserve"> </v>
      </c>
      <c r="N128" s="46" t="str">
        <f t="shared" si="41"/>
        <v xml:space="preserve"> </v>
      </c>
      <c r="O128" s="46" t="str">
        <f t="shared" si="42"/>
        <v xml:space="preserve"> </v>
      </c>
      <c r="P128" s="14" t="str">
        <f>IFERROR(IF(VLOOKUP(INT(TEXT(K128,"AAAA")),Tabla3[[AÑO]:[SALARIO 
MENSUAL]],2,0)*2&lt;$H$2,0,IFERROR(VLOOKUP(INT(TEXT(K128,"AAAA")),Tabla3[[AÑO]:[SALARIO 
MENSUAL]],2,0)," "))/30*L128," ")</f>
        <v xml:space="preserve"> </v>
      </c>
      <c r="Q128" s="14" t="str">
        <f>IFERROR(IF(VLOOKUP(INT(TEXT(K128,"AAAA")),Tabla3[[AÑO]:[SALARIO 
MENSUAL]],4,0)*2&lt;$H$2,$H$2,VLOOKUP(INT(TEXT(K128,"AAAA")),Tabla3[[AÑO]:[SALARIO 
MENSUAL]],4,0))/30*L128+$H$14+P128," ")</f>
        <v xml:space="preserve"> </v>
      </c>
      <c r="R128" s="12" t="str">
        <f t="shared" si="43"/>
        <v xml:space="preserve"> </v>
      </c>
      <c r="S128" s="12" t="str">
        <f t="shared" si="44"/>
        <v xml:space="preserve"> </v>
      </c>
      <c r="T128" s="11" t="str">
        <f t="shared" si="45"/>
        <v xml:space="preserve"> </v>
      </c>
      <c r="U128" s="14" t="str">
        <f t="shared" si="49"/>
        <v xml:space="preserve"> </v>
      </c>
      <c r="V128" s="12" t="str">
        <f t="shared" si="46"/>
        <v xml:space="preserve"> </v>
      </c>
      <c r="W128" s="53" t="str">
        <f t="shared" si="37"/>
        <v xml:space="preserve"> </v>
      </c>
      <c r="X128" s="12" t="str">
        <f t="shared" si="47"/>
        <v xml:space="preserve"> </v>
      </c>
      <c r="Y128" s="12" t="str">
        <f ca="1">IFERROR(IF(TEXT($H$4,"DDMMAAAA")=TEXT($K127,"DDMMAAAA"),SUM($Y$2:INDIRECT(ADDRESS(ROW(Y127),COLUMN(Y127)))),$H$8/M128*U128)," ")</f>
        <v xml:space="preserve"> </v>
      </c>
      <c r="Z128" s="51" t="str">
        <f ca="1">IFERROR(IF(TEXT($H$4,"DDMMAAAA")=TEXT($K127,"DDMMAAAA"),SUM($Y$2:INDIRECT(ADDRESS(ROW(Z127),COLUMN(Z127)))),$H$8/M128*R128)," ")</f>
        <v xml:space="preserve"> </v>
      </c>
      <c r="AA128" s="12" t="str">
        <f ca="1">IFERROR(IF(TEXT($H$4,"DDMMAAAA")=TEXT($K127,"DDMMAAAA"),SUM($AA$2:INDIRECT(ADDRESS(ROW(AA127),COLUMN(AA127)))),$H$8/M128*S128)," ")</f>
        <v xml:space="preserve"> </v>
      </c>
      <c r="AB128" s="12" t="str">
        <f ca="1">IFERROR(IF(TEXT($H$4,"DDMMAAAA")=TEXT($K127,"DDMMAAAA"),SUM($AB$2:INDIRECT(ADDRESS(ROW(AB127),COLUMN(AB127)))),$H$8/M128*V128)," ")</f>
        <v xml:space="preserve"> </v>
      </c>
      <c r="AC128" s="12" t="str">
        <f ca="1">IFERROR(IF(TEXT($H$4,"DDMMAAAA")=TEXT($K127,"DDMMAAAA"),SUM($AC$2:INDIRECT(ADDRESS(ROW(AC127),COLUMN(AC127)))),IF(SUM(Y128:AB128)=0,"",SUM(Y128:AB128)))," ")</f>
        <v/>
      </c>
      <c r="AE128">
        <v>201309</v>
      </c>
      <c r="AF128">
        <v>2.27</v>
      </c>
    </row>
    <row r="129" spans="10:32" hidden="1" x14ac:dyDescent="0.4">
      <c r="J129" s="19" t="str">
        <f t="shared" si="48"/>
        <v/>
      </c>
      <c r="K129" s="19" t="str">
        <f t="shared" si="40"/>
        <v xml:space="preserve"> </v>
      </c>
      <c r="L129" s="13" t="str">
        <f t="shared" si="38"/>
        <v xml:space="preserve"> </v>
      </c>
      <c r="M129" s="9" t="str">
        <f t="shared" si="50"/>
        <v xml:space="preserve"> </v>
      </c>
      <c r="N129" s="46" t="str">
        <f t="shared" si="41"/>
        <v xml:space="preserve"> </v>
      </c>
      <c r="O129" s="46" t="str">
        <f t="shared" si="42"/>
        <v xml:space="preserve"> </v>
      </c>
      <c r="P129" s="14" t="str">
        <f>IFERROR(IF(VLOOKUP(INT(TEXT(K129,"AAAA")),Tabla3[[AÑO]:[SALARIO 
MENSUAL]],2,0)*2&lt;$H$2,0,IFERROR(VLOOKUP(INT(TEXT(K129,"AAAA")),Tabla3[[AÑO]:[SALARIO 
MENSUAL]],2,0)," "))/30*L129," ")</f>
        <v xml:space="preserve"> </v>
      </c>
      <c r="Q129" s="14" t="str">
        <f>IFERROR(IF(VLOOKUP(INT(TEXT(K129,"AAAA")),Tabla3[[AÑO]:[SALARIO 
MENSUAL]],4,0)*2&lt;$H$2,$H$2,VLOOKUP(INT(TEXT(K129,"AAAA")),Tabla3[[AÑO]:[SALARIO 
MENSUAL]],4,0))/30*L129+$H$14+P129," ")</f>
        <v xml:space="preserve"> </v>
      </c>
      <c r="R129" s="12" t="str">
        <f t="shared" si="43"/>
        <v xml:space="preserve"> </v>
      </c>
      <c r="S129" s="12" t="str">
        <f t="shared" si="44"/>
        <v xml:space="preserve"> </v>
      </c>
      <c r="T129" s="11" t="str">
        <f t="shared" si="45"/>
        <v xml:space="preserve"> </v>
      </c>
      <c r="U129" s="14" t="str">
        <f t="shared" si="49"/>
        <v xml:space="preserve"> </v>
      </c>
      <c r="V129" s="12" t="str">
        <f t="shared" si="46"/>
        <v xml:space="preserve"> </v>
      </c>
      <c r="W129" s="53" t="str">
        <f t="shared" si="37"/>
        <v xml:space="preserve"> </v>
      </c>
      <c r="X129" s="12" t="str">
        <f t="shared" si="47"/>
        <v xml:space="preserve"> </v>
      </c>
      <c r="Y129" s="12" t="str">
        <f ca="1">IFERROR(IF(TEXT($H$4,"DDMMAAAA")=TEXT($K128,"DDMMAAAA"),SUM($Y$2:INDIRECT(ADDRESS(ROW(Y128),COLUMN(Y128)))),$H$8/M129*U129)," ")</f>
        <v xml:space="preserve"> </v>
      </c>
      <c r="Z129" s="51" t="str">
        <f ca="1">IFERROR(IF(TEXT($H$4,"DDMMAAAA")=TEXT($K128,"DDMMAAAA"),SUM($Y$2:INDIRECT(ADDRESS(ROW(Z128),COLUMN(Z128)))),$H$8/M129*R129)," ")</f>
        <v xml:space="preserve"> </v>
      </c>
      <c r="AA129" s="12" t="str">
        <f ca="1">IFERROR(IF(TEXT($H$4,"DDMMAAAA")=TEXT($K128,"DDMMAAAA"),SUM($AA$2:INDIRECT(ADDRESS(ROW(AA128),COLUMN(AA128)))),$H$8/M129*S129)," ")</f>
        <v xml:space="preserve"> </v>
      </c>
      <c r="AB129" s="12" t="str">
        <f ca="1">IFERROR(IF(TEXT($H$4,"DDMMAAAA")=TEXT($K128,"DDMMAAAA"),SUM($AB$2:INDIRECT(ADDRESS(ROW(AB128),COLUMN(AB128)))),$H$8/M129*V129)," ")</f>
        <v xml:space="preserve"> </v>
      </c>
      <c r="AC129" s="12" t="str">
        <f ca="1">IFERROR(IF(TEXT($H$4,"DDMMAAAA")=TEXT($K128,"DDMMAAAA"),SUM($AC$2:INDIRECT(ADDRESS(ROW(AC128),COLUMN(AC128)))),IF(SUM(Y129:AB129)=0,"",SUM(Y129:AB129)))," ")</f>
        <v/>
      </c>
      <c r="AE129">
        <v>201308</v>
      </c>
      <c r="AF129">
        <v>2.27</v>
      </c>
    </row>
    <row r="130" spans="10:32" hidden="1" x14ac:dyDescent="0.4">
      <c r="J130" s="19" t="str">
        <f t="shared" si="48"/>
        <v/>
      </c>
      <c r="K130" s="19" t="str">
        <f t="shared" ref="K130:K161" si="51">IFERROR(IF(TEXT(J130,"MMAAA")=TEXT($H$4,"MMAAAA"),$H$4,EOMONTH(J130,0))," ")</f>
        <v xml:space="preserve"> </v>
      </c>
      <c r="L130" s="13" t="str">
        <f t="shared" si="38"/>
        <v xml:space="preserve"> </v>
      </c>
      <c r="M130" s="9" t="str">
        <f t="shared" si="50"/>
        <v xml:space="preserve"> </v>
      </c>
      <c r="N130" s="46" t="str">
        <f t="shared" ref="N130:N161" si="52">IFERROR(Q130+$H$14-Q130," ")</f>
        <v xml:space="preserve"> </v>
      </c>
      <c r="O130" s="46" t="str">
        <f t="shared" ref="O130:O161" si="53">IFERROR(Q130-N130-P130," ")</f>
        <v xml:space="preserve"> </v>
      </c>
      <c r="P130" s="14" t="str">
        <f>IFERROR(IF(VLOOKUP(INT(TEXT(K130,"AAAA")),Tabla3[[AÑO]:[SALARIO 
MENSUAL]],2,0)*2&lt;$H$2,0,IFERROR(VLOOKUP(INT(TEXT(K130,"AAAA")),Tabla3[[AÑO]:[SALARIO 
MENSUAL]],2,0)," "))/30*L130," ")</f>
        <v xml:space="preserve"> </v>
      </c>
      <c r="Q130" s="14" t="str">
        <f>IFERROR(IF(VLOOKUP(INT(TEXT(K130,"AAAA")),Tabla3[[AÑO]:[SALARIO 
MENSUAL]],4,0)*2&lt;$H$2,$H$2,VLOOKUP(INT(TEXT(K130,"AAAA")),Tabla3[[AÑO]:[SALARIO 
MENSUAL]],4,0))/30*L130+$H$14+P130," ")</f>
        <v xml:space="preserve"> </v>
      </c>
      <c r="R130" s="12" t="str">
        <f t="shared" ref="R130:R161" si="54">IFERROR(Q130/360*L130," ")</f>
        <v xml:space="preserve"> </v>
      </c>
      <c r="S130" s="12" t="str">
        <f t="shared" ref="S130:S161" si="55">IFERROR(Q130/360*L130," ")</f>
        <v xml:space="preserve"> </v>
      </c>
      <c r="T130" s="11" t="str">
        <f t="shared" ref="T130:T161" si="56">IFERROR(L130/24," ")</f>
        <v xml:space="preserve"> </v>
      </c>
      <c r="U130" s="14" t="str">
        <f t="shared" si="49"/>
        <v xml:space="preserve"> </v>
      </c>
      <c r="V130" s="12" t="str">
        <f t="shared" ref="V130:V161" si="57">IFERROR(360*Q130*0.12/360/12," ")</f>
        <v xml:space="preserve"> </v>
      </c>
      <c r="W130" s="53" t="str">
        <f t="shared" si="37"/>
        <v xml:space="preserve"> </v>
      </c>
      <c r="X130" s="12" t="str">
        <f t="shared" ref="X130:X161" si="58">IFERROR(IF(TEXT($H$4,"DDMMAAAA")=TEXT($K129,"DDMMAAAA"),"Sub Total",$H$8/M130*Q130)," ")</f>
        <v xml:space="preserve"> </v>
      </c>
      <c r="Y130" s="12" t="str">
        <f ca="1">IFERROR(IF(TEXT($H$4,"DDMMAAAA")=TEXT($K129,"DDMMAAAA"),SUM($Y$2:INDIRECT(ADDRESS(ROW(Y129),COLUMN(Y129)))),$H$8/M130*U130)," ")</f>
        <v xml:space="preserve"> </v>
      </c>
      <c r="Z130" s="51" t="str">
        <f ca="1">IFERROR(IF(TEXT($H$4,"DDMMAAAA")=TEXT($K129,"DDMMAAAA"),SUM($Y$2:INDIRECT(ADDRESS(ROW(Z129),COLUMN(Z129)))),$H$8/M130*R130)," ")</f>
        <v xml:space="preserve"> </v>
      </c>
      <c r="AA130" s="12" t="str">
        <f ca="1">IFERROR(IF(TEXT($H$4,"DDMMAAAA")=TEXT($K129,"DDMMAAAA"),SUM($AA$2:INDIRECT(ADDRESS(ROW(AA129),COLUMN(AA129)))),$H$8/M130*S130)," ")</f>
        <v xml:space="preserve"> </v>
      </c>
      <c r="AB130" s="12" t="str">
        <f ca="1">IFERROR(IF(TEXT($H$4,"DDMMAAAA")=TEXT($K129,"DDMMAAAA"),SUM($AB$2:INDIRECT(ADDRESS(ROW(AB129),COLUMN(AB129)))),$H$8/M130*V130)," ")</f>
        <v xml:space="preserve"> </v>
      </c>
      <c r="AC130" s="12" t="str">
        <f ca="1">IFERROR(IF(TEXT($H$4,"DDMMAAAA")=TEXT($K129,"DDMMAAAA"),SUM($AC$2:INDIRECT(ADDRESS(ROW(AC129),COLUMN(AC129)))),IF(SUM(Y130:AB130)=0,"",SUM(Y130:AB130)))," ")</f>
        <v/>
      </c>
      <c r="AE130">
        <v>201307</v>
      </c>
      <c r="AF130">
        <v>2.2200000000000002</v>
      </c>
    </row>
    <row r="131" spans="10:32" hidden="1" x14ac:dyDescent="0.4">
      <c r="J131" s="19" t="str">
        <f t="shared" ref="J131:J162" si="59">IF(EDATE($K$2,ROW()-3)&lt;=$H$4,EDATE($K$2+1,ROW()-3),"")</f>
        <v/>
      </c>
      <c r="K131" s="19" t="str">
        <f t="shared" si="51"/>
        <v xml:space="preserve"> </v>
      </c>
      <c r="L131" s="13" t="str">
        <f t="shared" si="38"/>
        <v xml:space="preserve"> </v>
      </c>
      <c r="M131" s="9" t="str">
        <f t="shared" si="50"/>
        <v xml:space="preserve"> </v>
      </c>
      <c r="N131" s="46" t="str">
        <f t="shared" si="52"/>
        <v xml:space="preserve"> </v>
      </c>
      <c r="O131" s="46" t="str">
        <f t="shared" si="53"/>
        <v xml:space="preserve"> </v>
      </c>
      <c r="P131" s="14" t="str">
        <f>IFERROR(IF(VLOOKUP(INT(TEXT(K131,"AAAA")),Tabla3[[AÑO]:[SALARIO 
MENSUAL]],2,0)*2&lt;$H$2,0,IFERROR(VLOOKUP(INT(TEXT(K131,"AAAA")),Tabla3[[AÑO]:[SALARIO 
MENSUAL]],2,0)," "))/30*L131," ")</f>
        <v xml:space="preserve"> </v>
      </c>
      <c r="Q131" s="14" t="str">
        <f>IFERROR(IF(VLOOKUP(INT(TEXT(K131,"AAAA")),Tabla3[[AÑO]:[SALARIO 
MENSUAL]],4,0)*2&lt;$H$2,$H$2,VLOOKUP(INT(TEXT(K131,"AAAA")),Tabla3[[AÑO]:[SALARIO 
MENSUAL]],4,0))/30*L131+$H$14+P131," ")</f>
        <v xml:space="preserve"> </v>
      </c>
      <c r="R131" s="12" t="str">
        <f t="shared" si="54"/>
        <v xml:space="preserve"> </v>
      </c>
      <c r="S131" s="12" t="str">
        <f t="shared" si="55"/>
        <v xml:space="preserve"> </v>
      </c>
      <c r="T131" s="11" t="str">
        <f t="shared" si="56"/>
        <v xml:space="preserve"> </v>
      </c>
      <c r="U131" s="14" t="str">
        <f t="shared" ref="U131:U162" si="60">IFERROR(Q131/30*T131," ")</f>
        <v xml:space="preserve"> </v>
      </c>
      <c r="V131" s="12" t="str">
        <f t="shared" si="57"/>
        <v xml:space="preserve"> </v>
      </c>
      <c r="W131" s="53" t="str">
        <f t="shared" ref="W131:W194" si="61">IFERROR(IF(TEXT($H$4,"DDMMAAAA")=TEXT($K130,"DDMMAAAA")," ",$H$8/M131*P131)," ")</f>
        <v xml:space="preserve"> </v>
      </c>
      <c r="X131" s="12" t="str">
        <f t="shared" si="58"/>
        <v xml:space="preserve"> </v>
      </c>
      <c r="Y131" s="12" t="str">
        <f ca="1">IFERROR(IF(TEXT($H$4,"DDMMAAAA")=TEXT($K130,"DDMMAAAA"),SUM($Y$2:INDIRECT(ADDRESS(ROW(Y130),COLUMN(Y130)))),$H$8/M131*U131)," ")</f>
        <v xml:space="preserve"> </v>
      </c>
      <c r="Z131" s="51" t="str">
        <f ca="1">IFERROR(IF(TEXT($H$4,"DDMMAAAA")=TEXT($K130,"DDMMAAAA"),SUM($Y$2:INDIRECT(ADDRESS(ROW(Z130),COLUMN(Z130)))),$H$8/M131*R131)," ")</f>
        <v xml:space="preserve"> </v>
      </c>
      <c r="AA131" s="12" t="str">
        <f ca="1">IFERROR(IF(TEXT($H$4,"DDMMAAAA")=TEXT($K130,"DDMMAAAA"),SUM($AA$2:INDIRECT(ADDRESS(ROW(AA130),COLUMN(AA130)))),$H$8/M131*S131)," ")</f>
        <v xml:space="preserve"> </v>
      </c>
      <c r="AB131" s="12" t="str">
        <f ca="1">IFERROR(IF(TEXT($H$4,"DDMMAAAA")=TEXT($K130,"DDMMAAAA"),SUM($AB$2:INDIRECT(ADDRESS(ROW(AB130),COLUMN(AB130)))),$H$8/M131*V131)," ")</f>
        <v xml:space="preserve"> </v>
      </c>
      <c r="AC131" s="12" t="str">
        <f ca="1">IFERROR(IF(TEXT($H$4,"DDMMAAAA")=TEXT($K130,"DDMMAAAA"),SUM($AC$2:INDIRECT(ADDRESS(ROW(AC130),COLUMN(AC130)))),IF(SUM(Y131:AB131)=0,"",SUM(Y131:AB131)))," ")</f>
        <v/>
      </c>
      <c r="AE131">
        <v>201306</v>
      </c>
      <c r="AF131">
        <v>2.16</v>
      </c>
    </row>
    <row r="132" spans="10:32" hidden="1" x14ac:dyDescent="0.4">
      <c r="J132" s="19" t="str">
        <f t="shared" si="59"/>
        <v/>
      </c>
      <c r="K132" s="19" t="str">
        <f t="shared" si="51"/>
        <v xml:space="preserve"> </v>
      </c>
      <c r="L132" s="13" t="str">
        <f t="shared" si="38"/>
        <v xml:space="preserve"> </v>
      </c>
      <c r="M132" s="9" t="str">
        <f t="shared" si="50"/>
        <v xml:space="preserve"> </v>
      </c>
      <c r="N132" s="46" t="str">
        <f t="shared" si="52"/>
        <v xml:space="preserve"> </v>
      </c>
      <c r="O132" s="46" t="str">
        <f t="shared" si="53"/>
        <v xml:space="preserve"> </v>
      </c>
      <c r="P132" s="14" t="str">
        <f>IFERROR(IF(VLOOKUP(INT(TEXT(K132,"AAAA")),Tabla3[[AÑO]:[SALARIO 
MENSUAL]],2,0)*2&lt;$H$2,0,IFERROR(VLOOKUP(INT(TEXT(K132,"AAAA")),Tabla3[[AÑO]:[SALARIO 
MENSUAL]],2,0)," "))/30*L132," ")</f>
        <v xml:space="preserve"> </v>
      </c>
      <c r="Q132" s="14" t="str">
        <f>IFERROR(IF(VLOOKUP(INT(TEXT(K132,"AAAA")),Tabla3[[AÑO]:[SALARIO 
MENSUAL]],4,0)*2&lt;$H$2,$H$2,VLOOKUP(INT(TEXT(K132,"AAAA")),Tabla3[[AÑO]:[SALARIO 
MENSUAL]],4,0))/30*L132+$H$14+P132," ")</f>
        <v xml:space="preserve"> </v>
      </c>
      <c r="R132" s="12" t="str">
        <f t="shared" si="54"/>
        <v xml:space="preserve"> </v>
      </c>
      <c r="S132" s="12" t="str">
        <f t="shared" si="55"/>
        <v xml:space="preserve"> </v>
      </c>
      <c r="T132" s="11" t="str">
        <f t="shared" si="56"/>
        <v xml:space="preserve"> </v>
      </c>
      <c r="U132" s="14" t="str">
        <f t="shared" si="60"/>
        <v xml:space="preserve"> </v>
      </c>
      <c r="V132" s="12" t="str">
        <f t="shared" si="57"/>
        <v xml:space="preserve"> </v>
      </c>
      <c r="W132" s="53" t="str">
        <f t="shared" si="61"/>
        <v xml:space="preserve"> </v>
      </c>
      <c r="X132" s="12" t="str">
        <f t="shared" si="58"/>
        <v xml:space="preserve"> </v>
      </c>
      <c r="Y132" s="12" t="str">
        <f ca="1">IFERROR(IF(TEXT($H$4,"DDMMAAAA")=TEXT($K131,"DDMMAAAA"),SUM($Y$2:INDIRECT(ADDRESS(ROW(Y131),COLUMN(Y131)))),$H$8/M132*U132)," ")</f>
        <v xml:space="preserve"> </v>
      </c>
      <c r="Z132" s="51" t="str">
        <f ca="1">IFERROR(IF(TEXT($H$4,"DDMMAAAA")=TEXT($K131,"DDMMAAAA"),SUM($Y$2:INDIRECT(ADDRESS(ROW(Z131),COLUMN(Z131)))),$H$8/M132*R132)," ")</f>
        <v xml:space="preserve"> </v>
      </c>
      <c r="AA132" s="12" t="str">
        <f ca="1">IFERROR(IF(TEXT($H$4,"DDMMAAAA")=TEXT($K131,"DDMMAAAA"),SUM($AA$2:INDIRECT(ADDRESS(ROW(AA131),COLUMN(AA131)))),$H$8/M132*S132)," ")</f>
        <v xml:space="preserve"> </v>
      </c>
      <c r="AB132" s="12" t="str">
        <f ca="1">IFERROR(IF(TEXT($H$4,"DDMMAAAA")=TEXT($K131,"DDMMAAAA"),SUM($AB$2:INDIRECT(ADDRESS(ROW(AB131),COLUMN(AB131)))),$H$8/M132*V132)," ")</f>
        <v xml:space="preserve"> </v>
      </c>
      <c r="AC132" s="12" t="str">
        <f ca="1">IFERROR(IF(TEXT($H$4,"DDMMAAAA")=TEXT($K131,"DDMMAAAA"),SUM($AC$2:INDIRECT(ADDRESS(ROW(AC131),COLUMN(AC131)))),IF(SUM(Y132:AB132)=0,"",SUM(Y132:AB132)))," ")</f>
        <v/>
      </c>
      <c r="AE132">
        <v>201305</v>
      </c>
      <c r="AF132">
        <v>2</v>
      </c>
    </row>
    <row r="133" spans="10:32" hidden="1" x14ac:dyDescent="0.4">
      <c r="J133" s="19" t="str">
        <f t="shared" si="59"/>
        <v/>
      </c>
      <c r="K133" s="19" t="str">
        <f t="shared" si="51"/>
        <v xml:space="preserve"> </v>
      </c>
      <c r="L133" s="13" t="str">
        <f t="shared" si="38"/>
        <v xml:space="preserve"> </v>
      </c>
      <c r="M133" s="9" t="str">
        <f t="shared" si="50"/>
        <v xml:space="preserve"> </v>
      </c>
      <c r="N133" s="46" t="str">
        <f t="shared" si="52"/>
        <v xml:space="preserve"> </v>
      </c>
      <c r="O133" s="46" t="str">
        <f t="shared" si="53"/>
        <v xml:space="preserve"> </v>
      </c>
      <c r="P133" s="14" t="str">
        <f>IFERROR(IF(VLOOKUP(INT(TEXT(K133,"AAAA")),Tabla3[[AÑO]:[SALARIO 
MENSUAL]],2,0)*2&lt;$H$2,0,IFERROR(VLOOKUP(INT(TEXT(K133,"AAAA")),Tabla3[[AÑO]:[SALARIO 
MENSUAL]],2,0)," "))/30*L133," ")</f>
        <v xml:space="preserve"> </v>
      </c>
      <c r="Q133" s="14" t="str">
        <f>IFERROR(IF(VLOOKUP(INT(TEXT(K133,"AAAA")),Tabla3[[AÑO]:[SALARIO 
MENSUAL]],4,0)*2&lt;$H$2,$H$2,VLOOKUP(INT(TEXT(K133,"AAAA")),Tabla3[[AÑO]:[SALARIO 
MENSUAL]],4,0))/30*L133+$H$14+P133," ")</f>
        <v xml:space="preserve"> </v>
      </c>
      <c r="R133" s="12" t="str">
        <f t="shared" si="54"/>
        <v xml:space="preserve"> </v>
      </c>
      <c r="S133" s="12" t="str">
        <f t="shared" si="55"/>
        <v xml:space="preserve"> </v>
      </c>
      <c r="T133" s="11" t="str">
        <f t="shared" si="56"/>
        <v xml:space="preserve"> </v>
      </c>
      <c r="U133" s="14" t="str">
        <f t="shared" si="60"/>
        <v xml:space="preserve"> </v>
      </c>
      <c r="V133" s="12" t="str">
        <f t="shared" si="57"/>
        <v xml:space="preserve"> </v>
      </c>
      <c r="W133" s="53" t="str">
        <f t="shared" si="61"/>
        <v xml:space="preserve"> </v>
      </c>
      <c r="X133" s="12" t="str">
        <f t="shared" si="58"/>
        <v xml:space="preserve"> </v>
      </c>
      <c r="Y133" s="12" t="str">
        <f ca="1">IFERROR(IF(TEXT($H$4,"DDMMAAAA")=TEXT($K132,"DDMMAAAA"),SUM($Y$2:INDIRECT(ADDRESS(ROW(Y132),COLUMN(Y132)))),$H$8/M133*U133)," ")</f>
        <v xml:space="preserve"> </v>
      </c>
      <c r="Z133" s="51" t="str">
        <f ca="1">IFERROR(IF(TEXT($H$4,"DDMMAAAA")=TEXT($K132,"DDMMAAAA"),SUM($Y$2:INDIRECT(ADDRESS(ROW(Z132),COLUMN(Z132)))),$H$8/M133*R133)," ")</f>
        <v xml:space="preserve"> </v>
      </c>
      <c r="AA133" s="12" t="str">
        <f ca="1">IFERROR(IF(TEXT($H$4,"DDMMAAAA")=TEXT($K132,"DDMMAAAA"),SUM($AA$2:INDIRECT(ADDRESS(ROW(AA132),COLUMN(AA132)))),$H$8/M133*S133)," ")</f>
        <v xml:space="preserve"> </v>
      </c>
      <c r="AB133" s="12" t="str">
        <f ca="1">IFERROR(IF(TEXT($H$4,"DDMMAAAA")=TEXT($K132,"DDMMAAAA"),SUM($AB$2:INDIRECT(ADDRESS(ROW(AB132),COLUMN(AB132)))),$H$8/M133*V133)," ")</f>
        <v xml:space="preserve"> </v>
      </c>
      <c r="AC133" s="12" t="str">
        <f ca="1">IFERROR(IF(TEXT($H$4,"DDMMAAAA")=TEXT($K132,"DDMMAAAA"),SUM($AC$2:INDIRECT(ADDRESS(ROW(AC132),COLUMN(AC132)))),IF(SUM(Y133:AB133)=0,"",SUM(Y133:AB133)))," ")</f>
        <v/>
      </c>
      <c r="AE133">
        <v>201304</v>
      </c>
      <c r="AF133">
        <v>2.02</v>
      </c>
    </row>
    <row r="134" spans="10:32" hidden="1" x14ac:dyDescent="0.4">
      <c r="J134" s="19" t="str">
        <f t="shared" si="59"/>
        <v/>
      </c>
      <c r="K134" s="19" t="str">
        <f t="shared" si="51"/>
        <v xml:space="preserve"> </v>
      </c>
      <c r="L134" s="13" t="str">
        <f t="shared" si="38"/>
        <v xml:space="preserve"> </v>
      </c>
      <c r="M134" s="9" t="str">
        <f t="shared" si="50"/>
        <v xml:space="preserve"> </v>
      </c>
      <c r="N134" s="46" t="str">
        <f t="shared" si="52"/>
        <v xml:space="preserve"> </v>
      </c>
      <c r="O134" s="46" t="str">
        <f t="shared" si="53"/>
        <v xml:space="preserve"> </v>
      </c>
      <c r="P134" s="14" t="str">
        <f>IFERROR(IF(VLOOKUP(INT(TEXT(K134,"AAAA")),Tabla3[[AÑO]:[SALARIO 
MENSUAL]],2,0)*2&lt;$H$2,0,IFERROR(VLOOKUP(INT(TEXT(K134,"AAAA")),Tabla3[[AÑO]:[SALARIO 
MENSUAL]],2,0)," "))/30*L134," ")</f>
        <v xml:space="preserve"> </v>
      </c>
      <c r="Q134" s="14" t="str">
        <f>IFERROR(IF(VLOOKUP(INT(TEXT(K134,"AAAA")),Tabla3[[AÑO]:[SALARIO 
MENSUAL]],4,0)*2&lt;$H$2,$H$2,VLOOKUP(INT(TEXT(K134,"AAAA")),Tabla3[[AÑO]:[SALARIO 
MENSUAL]],4,0))/30*L134+$H$14+P134," ")</f>
        <v xml:space="preserve"> </v>
      </c>
      <c r="R134" s="12" t="str">
        <f t="shared" si="54"/>
        <v xml:space="preserve"> </v>
      </c>
      <c r="S134" s="12" t="str">
        <f t="shared" si="55"/>
        <v xml:space="preserve"> </v>
      </c>
      <c r="T134" s="11" t="str">
        <f t="shared" si="56"/>
        <v xml:space="preserve"> </v>
      </c>
      <c r="U134" s="14" t="str">
        <f t="shared" si="60"/>
        <v xml:space="preserve"> </v>
      </c>
      <c r="V134" s="12" t="str">
        <f t="shared" si="57"/>
        <v xml:space="preserve"> </v>
      </c>
      <c r="W134" s="53" t="str">
        <f t="shared" si="61"/>
        <v xml:space="preserve"> </v>
      </c>
      <c r="X134" s="12" t="str">
        <f t="shared" si="58"/>
        <v xml:space="preserve"> </v>
      </c>
      <c r="Y134" s="12" t="str">
        <f ca="1">IFERROR(IF(TEXT($H$4,"DDMMAAAA")=TEXT($K133,"DDMMAAAA"),SUM($Y$2:INDIRECT(ADDRESS(ROW(Y133),COLUMN(Y133)))),$H$8/M134*U134)," ")</f>
        <v xml:space="preserve"> </v>
      </c>
      <c r="Z134" s="51" t="str">
        <f ca="1">IFERROR(IF(TEXT($H$4,"DDMMAAAA")=TEXT($K133,"DDMMAAAA"),SUM($Y$2:INDIRECT(ADDRESS(ROW(Z133),COLUMN(Z133)))),$H$8/M134*R134)," ")</f>
        <v xml:space="preserve"> </v>
      </c>
      <c r="AA134" s="12" t="str">
        <f ca="1">IFERROR(IF(TEXT($H$4,"DDMMAAAA")=TEXT($K133,"DDMMAAAA"),SUM($AA$2:INDIRECT(ADDRESS(ROW(AA133),COLUMN(AA133)))),$H$8/M134*S134)," ")</f>
        <v xml:space="preserve"> </v>
      </c>
      <c r="AB134" s="12" t="str">
        <f ca="1">IFERROR(IF(TEXT($H$4,"DDMMAAAA")=TEXT($K133,"DDMMAAAA"),SUM($AB$2:INDIRECT(ADDRESS(ROW(AB133),COLUMN(AB133)))),$H$8/M134*V134)," ")</f>
        <v xml:space="preserve"> </v>
      </c>
      <c r="AC134" s="12" t="str">
        <f ca="1">IFERROR(IF(TEXT($H$4,"DDMMAAAA")=TEXT($K133,"DDMMAAAA"),SUM($AC$2:INDIRECT(ADDRESS(ROW(AC133),COLUMN(AC133)))),IF(SUM(Y134:AB134)=0,"",SUM(Y134:AB134)))," ")</f>
        <v/>
      </c>
      <c r="AE134">
        <v>201303</v>
      </c>
      <c r="AF134">
        <v>1.91</v>
      </c>
    </row>
    <row r="135" spans="10:32" hidden="1" x14ac:dyDescent="0.4">
      <c r="J135" s="19" t="str">
        <f t="shared" si="59"/>
        <v/>
      </c>
      <c r="K135" s="19" t="str">
        <f t="shared" si="51"/>
        <v xml:space="preserve"> </v>
      </c>
      <c r="L135" s="13" t="str">
        <f t="shared" si="38"/>
        <v xml:space="preserve"> </v>
      </c>
      <c r="M135" s="9" t="str">
        <f t="shared" si="50"/>
        <v xml:space="preserve"> </v>
      </c>
      <c r="N135" s="46" t="str">
        <f t="shared" si="52"/>
        <v xml:space="preserve"> </v>
      </c>
      <c r="O135" s="46" t="str">
        <f t="shared" si="53"/>
        <v xml:space="preserve"> </v>
      </c>
      <c r="P135" s="14" t="str">
        <f>IFERROR(IF(VLOOKUP(INT(TEXT(K135,"AAAA")),Tabla3[[AÑO]:[SALARIO 
MENSUAL]],2,0)*2&lt;$H$2,0,IFERROR(VLOOKUP(INT(TEXT(K135,"AAAA")),Tabla3[[AÑO]:[SALARIO 
MENSUAL]],2,0)," "))/30*L135," ")</f>
        <v xml:space="preserve"> </v>
      </c>
      <c r="Q135" s="14" t="str">
        <f>IFERROR(IF(VLOOKUP(INT(TEXT(K135,"AAAA")),Tabla3[[AÑO]:[SALARIO 
MENSUAL]],4,0)*2&lt;$H$2,$H$2,VLOOKUP(INT(TEXT(K135,"AAAA")),Tabla3[[AÑO]:[SALARIO 
MENSUAL]],4,0))/30*L135+$H$14+P135," ")</f>
        <v xml:space="preserve"> </v>
      </c>
      <c r="R135" s="12" t="str">
        <f t="shared" si="54"/>
        <v xml:space="preserve"> </v>
      </c>
      <c r="S135" s="12" t="str">
        <f t="shared" si="55"/>
        <v xml:space="preserve"> </v>
      </c>
      <c r="T135" s="11" t="str">
        <f t="shared" si="56"/>
        <v xml:space="preserve"> </v>
      </c>
      <c r="U135" s="14" t="str">
        <f t="shared" si="60"/>
        <v xml:space="preserve"> </v>
      </c>
      <c r="V135" s="12" t="str">
        <f t="shared" si="57"/>
        <v xml:space="preserve"> </v>
      </c>
      <c r="W135" s="53" t="str">
        <f t="shared" si="61"/>
        <v xml:space="preserve"> </v>
      </c>
      <c r="X135" s="12" t="str">
        <f t="shared" si="58"/>
        <v xml:space="preserve"> </v>
      </c>
      <c r="Y135" s="12" t="str">
        <f ca="1">IFERROR(IF(TEXT($H$4,"DDMMAAAA")=TEXT($K134,"DDMMAAAA"),SUM($Y$2:INDIRECT(ADDRESS(ROW(Y134),COLUMN(Y134)))),$H$8/M135*U135)," ")</f>
        <v xml:space="preserve"> </v>
      </c>
      <c r="Z135" s="51" t="str">
        <f ca="1">IFERROR(IF(TEXT($H$4,"DDMMAAAA")=TEXT($K134,"DDMMAAAA"),SUM($Y$2:INDIRECT(ADDRESS(ROW(Z134),COLUMN(Z134)))),$H$8/M135*R135)," ")</f>
        <v xml:space="preserve"> </v>
      </c>
      <c r="AA135" s="12" t="str">
        <f ca="1">IFERROR(IF(TEXT($H$4,"DDMMAAAA")=TEXT($K134,"DDMMAAAA"),SUM($AA$2:INDIRECT(ADDRESS(ROW(AA134),COLUMN(AA134)))),$H$8/M135*S135)," ")</f>
        <v xml:space="preserve"> </v>
      </c>
      <c r="AB135" s="12" t="str">
        <f ca="1">IFERROR(IF(TEXT($H$4,"DDMMAAAA")=TEXT($K134,"DDMMAAAA"),SUM($AB$2:INDIRECT(ADDRESS(ROW(AB134),COLUMN(AB134)))),$H$8/M135*V135)," ")</f>
        <v xml:space="preserve"> </v>
      </c>
      <c r="AC135" s="12" t="str">
        <f ca="1">IFERROR(IF(TEXT($H$4,"DDMMAAAA")=TEXT($K134,"DDMMAAAA"),SUM($AC$2:INDIRECT(ADDRESS(ROW(AC134),COLUMN(AC134)))),IF(SUM(Y135:AB135)=0,"",SUM(Y135:AB135)))," ")</f>
        <v/>
      </c>
      <c r="AE135">
        <v>201302</v>
      </c>
      <c r="AF135">
        <v>1.83</v>
      </c>
    </row>
    <row r="136" spans="10:32" hidden="1" x14ac:dyDescent="0.4">
      <c r="J136" s="19" t="str">
        <f t="shared" si="59"/>
        <v/>
      </c>
      <c r="K136" s="19" t="str">
        <f t="shared" si="51"/>
        <v xml:space="preserve"> </v>
      </c>
      <c r="L136" s="13" t="str">
        <f t="shared" si="38"/>
        <v xml:space="preserve"> </v>
      </c>
      <c r="M136" s="9" t="str">
        <f t="shared" si="50"/>
        <v xml:space="preserve"> </v>
      </c>
      <c r="N136" s="46" t="str">
        <f t="shared" si="52"/>
        <v xml:space="preserve"> </v>
      </c>
      <c r="O136" s="46" t="str">
        <f t="shared" si="53"/>
        <v xml:space="preserve"> </v>
      </c>
      <c r="P136" s="14" t="str">
        <f>IFERROR(IF(VLOOKUP(INT(TEXT(K136,"AAAA")),Tabla3[[AÑO]:[SALARIO 
MENSUAL]],2,0)*2&lt;$H$2,0,IFERROR(VLOOKUP(INT(TEXT(K136,"AAAA")),Tabla3[[AÑO]:[SALARIO 
MENSUAL]],2,0)," "))/30*L136," ")</f>
        <v xml:space="preserve"> </v>
      </c>
      <c r="Q136" s="14" t="str">
        <f>IFERROR(IF(VLOOKUP(INT(TEXT(K136,"AAAA")),Tabla3[[AÑO]:[SALARIO 
MENSUAL]],4,0)*2&lt;$H$2,$H$2,VLOOKUP(INT(TEXT(K136,"AAAA")),Tabla3[[AÑO]:[SALARIO 
MENSUAL]],4,0))/30*L136+$H$14+P136," ")</f>
        <v xml:space="preserve"> </v>
      </c>
      <c r="R136" s="12" t="str">
        <f t="shared" si="54"/>
        <v xml:space="preserve"> </v>
      </c>
      <c r="S136" s="12" t="str">
        <f t="shared" si="55"/>
        <v xml:space="preserve"> </v>
      </c>
      <c r="T136" s="11" t="str">
        <f t="shared" si="56"/>
        <v xml:space="preserve"> </v>
      </c>
      <c r="U136" s="14" t="str">
        <f t="shared" si="60"/>
        <v xml:space="preserve"> </v>
      </c>
      <c r="V136" s="12" t="str">
        <f t="shared" si="57"/>
        <v xml:space="preserve"> </v>
      </c>
      <c r="W136" s="53" t="str">
        <f t="shared" si="61"/>
        <v xml:space="preserve"> </v>
      </c>
      <c r="X136" s="12" t="str">
        <f t="shared" si="58"/>
        <v xml:space="preserve"> </v>
      </c>
      <c r="Y136" s="12" t="str">
        <f ca="1">IFERROR(IF(TEXT($H$4,"DDMMAAAA")=TEXT($K135,"DDMMAAAA"),SUM($Y$2:INDIRECT(ADDRESS(ROW(Y135),COLUMN(Y135)))),$H$8/M136*U136)," ")</f>
        <v xml:space="preserve"> </v>
      </c>
      <c r="Z136" s="51" t="str">
        <f ca="1">IFERROR(IF(TEXT($H$4,"DDMMAAAA")=TEXT($K135,"DDMMAAAA"),SUM($Y$2:INDIRECT(ADDRESS(ROW(Z135),COLUMN(Z135)))),$H$8/M136*R136)," ")</f>
        <v xml:space="preserve"> </v>
      </c>
      <c r="AA136" s="12" t="str">
        <f ca="1">IFERROR(IF(TEXT($H$4,"DDMMAAAA")=TEXT($K135,"DDMMAAAA"),SUM($AA$2:INDIRECT(ADDRESS(ROW(AA135),COLUMN(AA135)))),$H$8/M136*S136)," ")</f>
        <v xml:space="preserve"> </v>
      </c>
      <c r="AB136" s="12" t="str">
        <f ca="1">IFERROR(IF(TEXT($H$4,"DDMMAAAA")=TEXT($K135,"DDMMAAAA"),SUM($AB$2:INDIRECT(ADDRESS(ROW(AB135),COLUMN(AB135)))),$H$8/M136*V136)," ")</f>
        <v xml:space="preserve"> </v>
      </c>
      <c r="AC136" s="12" t="str">
        <f ca="1">IFERROR(IF(TEXT($H$4,"DDMMAAAA")=TEXT($K135,"DDMMAAAA"),SUM($AC$2:INDIRECT(ADDRESS(ROW(AC135),COLUMN(AC135)))),IF(SUM(Y136:AB136)=0,"",SUM(Y136:AB136)))," ")</f>
        <v/>
      </c>
      <c r="AE136">
        <v>201301</v>
      </c>
      <c r="AF136">
        <v>2</v>
      </c>
    </row>
    <row r="137" spans="10:32" hidden="1" x14ac:dyDescent="0.4">
      <c r="J137" s="19" t="str">
        <f t="shared" si="59"/>
        <v/>
      </c>
      <c r="K137" s="19" t="str">
        <f t="shared" si="51"/>
        <v xml:space="preserve"> </v>
      </c>
      <c r="L137" s="13" t="str">
        <f t="shared" ref="L137:L199" si="62">IFERROR(IF(AND(TEXT(J137,"D")="1",TEXT(K137,"DD")=TEXT(EOMONTH(J137,0),"D")),30,K137-J137)," ")</f>
        <v xml:space="preserve"> </v>
      </c>
      <c r="M137" s="9" t="str">
        <f t="shared" si="50"/>
        <v xml:space="preserve"> </v>
      </c>
      <c r="N137" s="46" t="str">
        <f t="shared" si="52"/>
        <v xml:space="preserve"> </v>
      </c>
      <c r="O137" s="46" t="str">
        <f t="shared" si="53"/>
        <v xml:space="preserve"> </v>
      </c>
      <c r="P137" s="14" t="str">
        <f>IFERROR(IF(VLOOKUP(INT(TEXT(K137,"AAAA")),Tabla3[[AÑO]:[SALARIO 
MENSUAL]],2,0)*2&lt;$H$2,0,IFERROR(VLOOKUP(INT(TEXT(K137,"AAAA")),Tabla3[[AÑO]:[SALARIO 
MENSUAL]],2,0)," "))/30*L137," ")</f>
        <v xml:space="preserve"> </v>
      </c>
      <c r="Q137" s="14" t="str">
        <f>IFERROR(IF(VLOOKUP(INT(TEXT(K137,"AAAA")),Tabla3[[AÑO]:[SALARIO 
MENSUAL]],4,0)*2&lt;$H$2,$H$2,VLOOKUP(INT(TEXT(K137,"AAAA")),Tabla3[[AÑO]:[SALARIO 
MENSUAL]],4,0))/30*L137+$H$14+P137," ")</f>
        <v xml:space="preserve"> </v>
      </c>
      <c r="R137" s="12" t="str">
        <f t="shared" si="54"/>
        <v xml:space="preserve"> </v>
      </c>
      <c r="S137" s="12" t="str">
        <f t="shared" si="55"/>
        <v xml:space="preserve"> </v>
      </c>
      <c r="T137" s="11" t="str">
        <f t="shared" si="56"/>
        <v xml:space="preserve"> </v>
      </c>
      <c r="U137" s="14" t="str">
        <f t="shared" si="60"/>
        <v xml:space="preserve"> </v>
      </c>
      <c r="V137" s="12" t="str">
        <f t="shared" si="57"/>
        <v xml:space="preserve"> </v>
      </c>
      <c r="W137" s="53" t="str">
        <f t="shared" si="61"/>
        <v xml:space="preserve"> </v>
      </c>
      <c r="X137" s="12" t="str">
        <f t="shared" si="58"/>
        <v xml:space="preserve"> </v>
      </c>
      <c r="Y137" s="12" t="str">
        <f ca="1">IFERROR(IF(TEXT($H$4,"DDMMAAAA")=TEXT($K136,"DDMMAAAA"),SUM($Y$2:INDIRECT(ADDRESS(ROW(Y136),COLUMN(Y136)))),$H$8/M137*U137)," ")</f>
        <v xml:space="preserve"> </v>
      </c>
      <c r="Z137" s="51" t="str">
        <f ca="1">IFERROR(IF(TEXT($H$4,"DDMMAAAA")=TEXT($K136,"DDMMAAAA"),SUM($Y$2:INDIRECT(ADDRESS(ROW(Z136),COLUMN(Z136)))),$H$8/M137*R137)," ")</f>
        <v xml:space="preserve"> </v>
      </c>
      <c r="AA137" s="12" t="str">
        <f ca="1">IFERROR(IF(TEXT($H$4,"DDMMAAAA")=TEXT($K136,"DDMMAAAA"),SUM($AA$2:INDIRECT(ADDRESS(ROW(AA136),COLUMN(AA136)))),$H$8/M137*S137)," ")</f>
        <v xml:space="preserve"> </v>
      </c>
      <c r="AB137" s="12" t="str">
        <f ca="1">IFERROR(IF(TEXT($H$4,"DDMMAAAA")=TEXT($K136,"DDMMAAAA"),SUM($AB$2:INDIRECT(ADDRESS(ROW(AB136),COLUMN(AB136)))),$H$8/M137*V137)," ")</f>
        <v xml:space="preserve"> </v>
      </c>
      <c r="AC137" s="12" t="str">
        <f ca="1">IFERROR(IF(TEXT($H$4,"DDMMAAAA")=TEXT($K136,"DDMMAAAA"),SUM($AC$2:INDIRECT(ADDRESS(ROW(AC136),COLUMN(AC136)))),IF(SUM(Y137:AB137)=0,"",SUM(Y137:AB137)))," ")</f>
        <v/>
      </c>
      <c r="AE137">
        <v>201212</v>
      </c>
      <c r="AF137">
        <v>2.44</v>
      </c>
    </row>
    <row r="138" spans="10:32" hidden="1" x14ac:dyDescent="0.4">
      <c r="J138" s="19" t="str">
        <f t="shared" si="59"/>
        <v/>
      </c>
      <c r="K138" s="19" t="str">
        <f t="shared" si="51"/>
        <v xml:space="preserve"> </v>
      </c>
      <c r="L138" s="13" t="str">
        <f t="shared" si="62"/>
        <v xml:space="preserve"> </v>
      </c>
      <c r="M138" s="9" t="str">
        <f t="shared" si="50"/>
        <v xml:space="preserve"> </v>
      </c>
      <c r="N138" s="46" t="str">
        <f t="shared" si="52"/>
        <v xml:space="preserve"> </v>
      </c>
      <c r="O138" s="46" t="str">
        <f t="shared" si="53"/>
        <v xml:space="preserve"> </v>
      </c>
      <c r="P138" s="14" t="str">
        <f>IFERROR(IF(VLOOKUP(INT(TEXT(K138,"AAAA")),Tabla3[[AÑO]:[SALARIO 
MENSUAL]],2,0)*2&lt;$H$2,0,IFERROR(VLOOKUP(INT(TEXT(K138,"AAAA")),Tabla3[[AÑO]:[SALARIO 
MENSUAL]],2,0)," "))/30*L138," ")</f>
        <v xml:space="preserve"> </v>
      </c>
      <c r="Q138" s="14" t="str">
        <f>IFERROR(IF(VLOOKUP(INT(TEXT(K138,"AAAA")),Tabla3[[AÑO]:[SALARIO 
MENSUAL]],4,0)*2&lt;$H$2,$H$2,VLOOKUP(INT(TEXT(K138,"AAAA")),Tabla3[[AÑO]:[SALARIO 
MENSUAL]],4,0))/30*L138+$H$14+P138," ")</f>
        <v xml:space="preserve"> </v>
      </c>
      <c r="R138" s="12" t="str">
        <f t="shared" si="54"/>
        <v xml:space="preserve"> </v>
      </c>
      <c r="S138" s="12" t="str">
        <f t="shared" si="55"/>
        <v xml:space="preserve"> </v>
      </c>
      <c r="T138" s="11" t="str">
        <f t="shared" si="56"/>
        <v xml:space="preserve"> </v>
      </c>
      <c r="U138" s="14" t="str">
        <f t="shared" si="60"/>
        <v xml:space="preserve"> </v>
      </c>
      <c r="V138" s="12" t="str">
        <f t="shared" si="57"/>
        <v xml:space="preserve"> </v>
      </c>
      <c r="W138" s="53" t="str">
        <f t="shared" si="61"/>
        <v xml:space="preserve"> </v>
      </c>
      <c r="X138" s="12" t="str">
        <f t="shared" si="58"/>
        <v xml:space="preserve"> </v>
      </c>
      <c r="Y138" s="12" t="str">
        <f ca="1">IFERROR(IF(TEXT($H$4,"DDMMAAAA")=TEXT($K137,"DDMMAAAA"),SUM($Y$2:INDIRECT(ADDRESS(ROW(Y137),COLUMN(Y137)))),$H$8/M138*U138)," ")</f>
        <v xml:space="preserve"> </v>
      </c>
      <c r="Z138" s="51" t="str">
        <f ca="1">IFERROR(IF(TEXT($H$4,"DDMMAAAA")=TEXT($K137,"DDMMAAAA"),SUM($Y$2:INDIRECT(ADDRESS(ROW(Z137),COLUMN(Z137)))),$H$8/M138*R138)," ")</f>
        <v xml:space="preserve"> </v>
      </c>
      <c r="AA138" s="12" t="str">
        <f ca="1">IFERROR(IF(TEXT($H$4,"DDMMAAAA")=TEXT($K137,"DDMMAAAA"),SUM($AA$2:INDIRECT(ADDRESS(ROW(AA137),COLUMN(AA137)))),$H$8/M138*S138)," ")</f>
        <v xml:space="preserve"> </v>
      </c>
      <c r="AB138" s="12" t="str">
        <f ca="1">IFERROR(IF(TEXT($H$4,"DDMMAAAA")=TEXT($K137,"DDMMAAAA"),SUM($AB$2:INDIRECT(ADDRESS(ROW(AB137),COLUMN(AB137)))),$H$8/M138*V138)," ")</f>
        <v xml:space="preserve"> </v>
      </c>
      <c r="AC138" s="12" t="str">
        <f ca="1">IFERROR(IF(TEXT($H$4,"DDMMAAAA")=TEXT($K137,"DDMMAAAA"),SUM($AC$2:INDIRECT(ADDRESS(ROW(AC137),COLUMN(AC137)))),IF(SUM(Y138:AB138)=0,"",SUM(Y138:AB138)))," ")</f>
        <v/>
      </c>
      <c r="AE138">
        <v>201211</v>
      </c>
      <c r="AF138">
        <v>2.77</v>
      </c>
    </row>
    <row r="139" spans="10:32" hidden="1" x14ac:dyDescent="0.4">
      <c r="J139" s="19" t="str">
        <f t="shared" si="59"/>
        <v/>
      </c>
      <c r="K139" s="19" t="str">
        <f t="shared" si="51"/>
        <v xml:space="preserve"> </v>
      </c>
      <c r="L139" s="13" t="str">
        <f t="shared" si="62"/>
        <v xml:space="preserve"> </v>
      </c>
      <c r="M139" s="9" t="str">
        <f t="shared" si="50"/>
        <v xml:space="preserve"> </v>
      </c>
      <c r="N139" s="46" t="str">
        <f t="shared" si="52"/>
        <v xml:space="preserve"> </v>
      </c>
      <c r="O139" s="46" t="str">
        <f t="shared" si="53"/>
        <v xml:space="preserve"> </v>
      </c>
      <c r="P139" s="14" t="str">
        <f>IFERROR(IF(VLOOKUP(INT(TEXT(K139,"AAAA")),Tabla3[[AÑO]:[SALARIO 
MENSUAL]],2,0)*2&lt;$H$2,0,IFERROR(VLOOKUP(INT(TEXT(K139,"AAAA")),Tabla3[[AÑO]:[SALARIO 
MENSUAL]],2,0)," "))/30*L139," ")</f>
        <v xml:space="preserve"> </v>
      </c>
      <c r="Q139" s="14" t="str">
        <f>IFERROR(IF(VLOOKUP(INT(TEXT(K139,"AAAA")),Tabla3[[AÑO]:[SALARIO 
MENSUAL]],4,0)*2&lt;$H$2,$H$2,VLOOKUP(INT(TEXT(K139,"AAAA")),Tabla3[[AÑO]:[SALARIO 
MENSUAL]],4,0))/30*L139+$H$14+P139," ")</f>
        <v xml:space="preserve"> </v>
      </c>
      <c r="R139" s="12" t="str">
        <f t="shared" si="54"/>
        <v xml:space="preserve"> </v>
      </c>
      <c r="S139" s="12" t="str">
        <f t="shared" si="55"/>
        <v xml:space="preserve"> </v>
      </c>
      <c r="T139" s="11" t="str">
        <f t="shared" si="56"/>
        <v xml:space="preserve"> </v>
      </c>
      <c r="U139" s="14" t="str">
        <f t="shared" si="60"/>
        <v xml:space="preserve"> </v>
      </c>
      <c r="V139" s="12" t="str">
        <f t="shared" si="57"/>
        <v xml:space="preserve"> </v>
      </c>
      <c r="W139" s="53" t="str">
        <f t="shared" si="61"/>
        <v xml:space="preserve"> </v>
      </c>
      <c r="X139" s="12" t="str">
        <f t="shared" si="58"/>
        <v xml:space="preserve"> </v>
      </c>
      <c r="Y139" s="12" t="str">
        <f ca="1">IFERROR(IF(TEXT($H$4,"DDMMAAAA")=TEXT($K138,"DDMMAAAA"),SUM($Y$2:INDIRECT(ADDRESS(ROW(Y138),COLUMN(Y138)))),$H$8/M139*U139)," ")</f>
        <v xml:space="preserve"> </v>
      </c>
      <c r="Z139" s="51" t="str">
        <f ca="1">IFERROR(IF(TEXT($H$4,"DDMMAAAA")=TEXT($K138,"DDMMAAAA"),SUM($Y$2:INDIRECT(ADDRESS(ROW(Z138),COLUMN(Z138)))),$H$8/M139*R139)," ")</f>
        <v xml:space="preserve"> </v>
      </c>
      <c r="AA139" s="12" t="str">
        <f ca="1">IFERROR(IF(TEXT($H$4,"DDMMAAAA")=TEXT($K138,"DDMMAAAA"),SUM($AA$2:INDIRECT(ADDRESS(ROW(AA138),COLUMN(AA138)))),$H$8/M139*S139)," ")</f>
        <v xml:space="preserve"> </v>
      </c>
      <c r="AB139" s="12" t="str">
        <f ca="1">IFERROR(IF(TEXT($H$4,"DDMMAAAA")=TEXT($K138,"DDMMAAAA"),SUM($AB$2:INDIRECT(ADDRESS(ROW(AB138),COLUMN(AB138)))),$H$8/M139*V139)," ")</f>
        <v xml:space="preserve"> </v>
      </c>
      <c r="AC139" s="12" t="str">
        <f ca="1">IFERROR(IF(TEXT($H$4,"DDMMAAAA")=TEXT($K138,"DDMMAAAA"),SUM($AC$2:INDIRECT(ADDRESS(ROW(AC138),COLUMN(AC138)))),IF(SUM(Y139:AB139)=0,"",SUM(Y139:AB139)))," ")</f>
        <v/>
      </c>
      <c r="AE139">
        <v>201210</v>
      </c>
      <c r="AF139">
        <v>3.06</v>
      </c>
    </row>
    <row r="140" spans="10:32" hidden="1" x14ac:dyDescent="0.4">
      <c r="J140" s="19" t="str">
        <f t="shared" si="59"/>
        <v/>
      </c>
      <c r="K140" s="19" t="str">
        <f t="shared" si="51"/>
        <v xml:space="preserve"> </v>
      </c>
      <c r="L140" s="13" t="str">
        <f t="shared" si="62"/>
        <v xml:space="preserve"> </v>
      </c>
      <c r="M140" s="9" t="str">
        <f t="shared" si="50"/>
        <v xml:space="preserve"> </v>
      </c>
      <c r="N140" s="46" t="str">
        <f t="shared" si="52"/>
        <v xml:space="preserve"> </v>
      </c>
      <c r="O140" s="46" t="str">
        <f t="shared" si="53"/>
        <v xml:space="preserve"> </v>
      </c>
      <c r="P140" s="14" t="str">
        <f>IFERROR(IF(VLOOKUP(INT(TEXT(K140,"AAAA")),Tabla3[[AÑO]:[SALARIO 
MENSUAL]],2,0)*2&lt;$H$2,0,IFERROR(VLOOKUP(INT(TEXT(K140,"AAAA")),Tabla3[[AÑO]:[SALARIO 
MENSUAL]],2,0)," "))/30*L140," ")</f>
        <v xml:space="preserve"> </v>
      </c>
      <c r="Q140" s="14" t="str">
        <f>IFERROR(IF(VLOOKUP(INT(TEXT(K140,"AAAA")),Tabla3[[AÑO]:[SALARIO 
MENSUAL]],4,0)*2&lt;$H$2,$H$2,VLOOKUP(INT(TEXT(K140,"AAAA")),Tabla3[[AÑO]:[SALARIO 
MENSUAL]],4,0))/30*L140+$H$14+P140," ")</f>
        <v xml:space="preserve"> </v>
      </c>
      <c r="R140" s="12" t="str">
        <f t="shared" si="54"/>
        <v xml:space="preserve"> </v>
      </c>
      <c r="S140" s="12" t="str">
        <f t="shared" si="55"/>
        <v xml:space="preserve"> </v>
      </c>
      <c r="T140" s="11" t="str">
        <f t="shared" si="56"/>
        <v xml:space="preserve"> </v>
      </c>
      <c r="U140" s="14" t="str">
        <f t="shared" si="60"/>
        <v xml:space="preserve"> </v>
      </c>
      <c r="V140" s="12" t="str">
        <f t="shared" si="57"/>
        <v xml:space="preserve"> </v>
      </c>
      <c r="W140" s="53" t="str">
        <f t="shared" si="61"/>
        <v xml:space="preserve"> </v>
      </c>
      <c r="X140" s="12" t="str">
        <f t="shared" si="58"/>
        <v xml:space="preserve"> </v>
      </c>
      <c r="Y140" s="12" t="str">
        <f ca="1">IFERROR(IF(TEXT($H$4,"DDMMAAAA")=TEXT($K139,"DDMMAAAA"),SUM($Y$2:INDIRECT(ADDRESS(ROW(Y139),COLUMN(Y139)))),$H$8/M140*U140)," ")</f>
        <v xml:space="preserve"> </v>
      </c>
      <c r="Z140" s="51" t="str">
        <f ca="1">IFERROR(IF(TEXT($H$4,"DDMMAAAA")=TEXT($K139,"DDMMAAAA"),SUM($Y$2:INDIRECT(ADDRESS(ROW(Z139),COLUMN(Z139)))),$H$8/M140*R140)," ")</f>
        <v xml:space="preserve"> </v>
      </c>
      <c r="AA140" s="12" t="str">
        <f ca="1">IFERROR(IF(TEXT($H$4,"DDMMAAAA")=TEXT($K139,"DDMMAAAA"),SUM($AA$2:INDIRECT(ADDRESS(ROW(AA139),COLUMN(AA139)))),$H$8/M140*S140)," ")</f>
        <v xml:space="preserve"> </v>
      </c>
      <c r="AB140" s="12" t="str">
        <f ca="1">IFERROR(IF(TEXT($H$4,"DDMMAAAA")=TEXT($K139,"DDMMAAAA"),SUM($AB$2:INDIRECT(ADDRESS(ROW(AB139),COLUMN(AB139)))),$H$8/M140*V140)," ")</f>
        <v xml:space="preserve"> </v>
      </c>
      <c r="AC140" s="12" t="str">
        <f ca="1">IFERROR(IF(TEXT($H$4,"DDMMAAAA")=TEXT($K139,"DDMMAAAA"),SUM($AC$2:INDIRECT(ADDRESS(ROW(AC139),COLUMN(AC139)))),IF(SUM(Y140:AB140)=0,"",SUM(Y140:AB140)))," ")</f>
        <v/>
      </c>
      <c r="AE140">
        <v>201209</v>
      </c>
      <c r="AF140">
        <v>3.08</v>
      </c>
    </row>
    <row r="141" spans="10:32" hidden="1" x14ac:dyDescent="0.4">
      <c r="J141" s="19" t="str">
        <f t="shared" si="59"/>
        <v/>
      </c>
      <c r="K141" s="19" t="str">
        <f t="shared" si="51"/>
        <v xml:space="preserve"> </v>
      </c>
      <c r="L141" s="13" t="str">
        <f t="shared" si="62"/>
        <v xml:space="preserve"> </v>
      </c>
      <c r="M141" s="9" t="str">
        <f t="shared" si="50"/>
        <v xml:space="preserve"> </v>
      </c>
      <c r="N141" s="46" t="str">
        <f t="shared" si="52"/>
        <v xml:space="preserve"> </v>
      </c>
      <c r="O141" s="46" t="str">
        <f t="shared" si="53"/>
        <v xml:space="preserve"> </v>
      </c>
      <c r="P141" s="14" t="str">
        <f>IFERROR(IF(VLOOKUP(INT(TEXT(K141,"AAAA")),Tabla3[[AÑO]:[SALARIO 
MENSUAL]],2,0)*2&lt;$H$2,0,IFERROR(VLOOKUP(INT(TEXT(K141,"AAAA")),Tabla3[[AÑO]:[SALARIO 
MENSUAL]],2,0)," "))/30*L141," ")</f>
        <v xml:space="preserve"> </v>
      </c>
      <c r="Q141" s="14" t="str">
        <f>IFERROR(IF(VLOOKUP(INT(TEXT(K141,"AAAA")),Tabla3[[AÑO]:[SALARIO 
MENSUAL]],4,0)*2&lt;$H$2,$H$2,VLOOKUP(INT(TEXT(K141,"AAAA")),Tabla3[[AÑO]:[SALARIO 
MENSUAL]],4,0))/30*L141+$H$14+P141," ")</f>
        <v xml:space="preserve"> </v>
      </c>
      <c r="R141" s="12" t="str">
        <f t="shared" si="54"/>
        <v xml:space="preserve"> </v>
      </c>
      <c r="S141" s="12" t="str">
        <f t="shared" si="55"/>
        <v xml:space="preserve"> </v>
      </c>
      <c r="T141" s="11" t="str">
        <f t="shared" si="56"/>
        <v xml:space="preserve"> </v>
      </c>
      <c r="U141" s="14" t="str">
        <f t="shared" si="60"/>
        <v xml:space="preserve"> </v>
      </c>
      <c r="V141" s="12" t="str">
        <f t="shared" si="57"/>
        <v xml:space="preserve"> </v>
      </c>
      <c r="W141" s="53" t="str">
        <f t="shared" si="61"/>
        <v xml:space="preserve"> </v>
      </c>
      <c r="X141" s="12" t="str">
        <f t="shared" si="58"/>
        <v xml:space="preserve"> </v>
      </c>
      <c r="Y141" s="12" t="str">
        <f ca="1">IFERROR(IF(TEXT($H$4,"DDMMAAAA")=TEXT($K140,"DDMMAAAA"),SUM($Y$2:INDIRECT(ADDRESS(ROW(Y140),COLUMN(Y140)))),$H$8/M141*U141)," ")</f>
        <v xml:space="preserve"> </v>
      </c>
      <c r="Z141" s="51" t="str">
        <f ca="1">IFERROR(IF(TEXT($H$4,"DDMMAAAA")=TEXT($K140,"DDMMAAAA"),SUM($Y$2:INDIRECT(ADDRESS(ROW(Z140),COLUMN(Z140)))),$H$8/M141*R141)," ")</f>
        <v xml:space="preserve"> </v>
      </c>
      <c r="AA141" s="12" t="str">
        <f ca="1">IFERROR(IF(TEXT($H$4,"DDMMAAAA")=TEXT($K140,"DDMMAAAA"),SUM($AA$2:INDIRECT(ADDRESS(ROW(AA140),COLUMN(AA140)))),$H$8/M141*S141)," ")</f>
        <v xml:space="preserve"> </v>
      </c>
      <c r="AB141" s="12" t="str">
        <f ca="1">IFERROR(IF(TEXT($H$4,"DDMMAAAA")=TEXT($K140,"DDMMAAAA"),SUM($AB$2:INDIRECT(ADDRESS(ROW(AB140),COLUMN(AB140)))),$H$8/M141*V141)," ")</f>
        <v xml:space="preserve"> </v>
      </c>
      <c r="AC141" s="12" t="str">
        <f ca="1">IFERROR(IF(TEXT($H$4,"DDMMAAAA")=TEXT($K140,"DDMMAAAA"),SUM($AC$2:INDIRECT(ADDRESS(ROW(AC140),COLUMN(AC140)))),IF(SUM(Y141:AB141)=0,"",SUM(Y141:AB141)))," ")</f>
        <v/>
      </c>
      <c r="AE141">
        <v>201208</v>
      </c>
      <c r="AF141">
        <v>3.11</v>
      </c>
    </row>
    <row r="142" spans="10:32" hidden="1" x14ac:dyDescent="0.4">
      <c r="J142" s="19" t="str">
        <f t="shared" si="59"/>
        <v/>
      </c>
      <c r="K142" s="19" t="str">
        <f t="shared" si="51"/>
        <v xml:space="preserve"> </v>
      </c>
      <c r="L142" s="13" t="str">
        <f t="shared" si="62"/>
        <v xml:space="preserve"> </v>
      </c>
      <c r="M142" s="9" t="str">
        <f t="shared" si="50"/>
        <v xml:space="preserve"> </v>
      </c>
      <c r="N142" s="46" t="str">
        <f t="shared" si="52"/>
        <v xml:space="preserve"> </v>
      </c>
      <c r="O142" s="46" t="str">
        <f t="shared" si="53"/>
        <v xml:space="preserve"> </v>
      </c>
      <c r="P142" s="14" t="str">
        <f>IFERROR(IF(VLOOKUP(INT(TEXT(K142,"AAAA")),Tabla3[[AÑO]:[SALARIO 
MENSUAL]],2,0)*2&lt;$H$2,0,IFERROR(VLOOKUP(INT(TEXT(K142,"AAAA")),Tabla3[[AÑO]:[SALARIO 
MENSUAL]],2,0)," "))/30*L142," ")</f>
        <v xml:space="preserve"> </v>
      </c>
      <c r="Q142" s="14" t="str">
        <f>IFERROR(IF(VLOOKUP(INT(TEXT(K142,"AAAA")),Tabla3[[AÑO]:[SALARIO 
MENSUAL]],4,0)*2&lt;$H$2,$H$2,VLOOKUP(INT(TEXT(K142,"AAAA")),Tabla3[[AÑO]:[SALARIO 
MENSUAL]],4,0))/30*L142+$H$14+P142," ")</f>
        <v xml:space="preserve"> </v>
      </c>
      <c r="R142" s="12" t="str">
        <f t="shared" si="54"/>
        <v xml:space="preserve"> </v>
      </c>
      <c r="S142" s="12" t="str">
        <f t="shared" si="55"/>
        <v xml:space="preserve"> </v>
      </c>
      <c r="T142" s="11" t="str">
        <f t="shared" si="56"/>
        <v xml:space="preserve"> </v>
      </c>
      <c r="U142" s="14" t="str">
        <f t="shared" si="60"/>
        <v xml:space="preserve"> </v>
      </c>
      <c r="V142" s="12" t="str">
        <f t="shared" si="57"/>
        <v xml:space="preserve"> </v>
      </c>
      <c r="W142" s="53" t="str">
        <f t="shared" si="61"/>
        <v xml:space="preserve"> </v>
      </c>
      <c r="X142" s="12" t="str">
        <f t="shared" si="58"/>
        <v xml:space="preserve"> </v>
      </c>
      <c r="Y142" s="12" t="str">
        <f ca="1">IFERROR(IF(TEXT($H$4,"DDMMAAAA")=TEXT($K141,"DDMMAAAA"),SUM($Y$2:INDIRECT(ADDRESS(ROW(Y141),COLUMN(Y141)))),$H$8/M142*U142)," ")</f>
        <v xml:space="preserve"> </v>
      </c>
      <c r="Z142" s="51" t="str">
        <f ca="1">IFERROR(IF(TEXT($H$4,"DDMMAAAA")=TEXT($K141,"DDMMAAAA"),SUM($Y$2:INDIRECT(ADDRESS(ROW(Z141),COLUMN(Z141)))),$H$8/M142*R142)," ")</f>
        <v xml:space="preserve"> </v>
      </c>
      <c r="AA142" s="12" t="str">
        <f ca="1">IFERROR(IF(TEXT($H$4,"DDMMAAAA")=TEXT($K141,"DDMMAAAA"),SUM($AA$2:INDIRECT(ADDRESS(ROW(AA141),COLUMN(AA141)))),$H$8/M142*S142)," ")</f>
        <v xml:space="preserve"> </v>
      </c>
      <c r="AB142" s="12" t="str">
        <f ca="1">IFERROR(IF(TEXT($H$4,"DDMMAAAA")=TEXT($K141,"DDMMAAAA"),SUM($AB$2:INDIRECT(ADDRESS(ROW(AB141),COLUMN(AB141)))),$H$8/M142*V142)," ")</f>
        <v xml:space="preserve"> </v>
      </c>
      <c r="AC142" s="12" t="str">
        <f ca="1">IFERROR(IF(TEXT($H$4,"DDMMAAAA")=TEXT($K141,"DDMMAAAA"),SUM($AC$2:INDIRECT(ADDRESS(ROW(AC141),COLUMN(AC141)))),IF(SUM(Y142:AB142)=0,"",SUM(Y142:AB142)))," ")</f>
        <v/>
      </c>
      <c r="AE142">
        <v>201207</v>
      </c>
      <c r="AF142">
        <v>3.03</v>
      </c>
    </row>
    <row r="143" spans="10:32" hidden="1" x14ac:dyDescent="0.4">
      <c r="J143" s="19" t="str">
        <f t="shared" si="59"/>
        <v/>
      </c>
      <c r="K143" s="19" t="str">
        <f t="shared" si="51"/>
        <v xml:space="preserve"> </v>
      </c>
      <c r="L143" s="13" t="str">
        <f t="shared" si="62"/>
        <v xml:space="preserve"> </v>
      </c>
      <c r="M143" s="9" t="str">
        <f t="shared" si="50"/>
        <v xml:space="preserve"> </v>
      </c>
      <c r="N143" s="46" t="str">
        <f t="shared" si="52"/>
        <v xml:space="preserve"> </v>
      </c>
      <c r="O143" s="46" t="str">
        <f t="shared" si="53"/>
        <v xml:space="preserve"> </v>
      </c>
      <c r="P143" s="14" t="str">
        <f>IFERROR(IF(VLOOKUP(INT(TEXT(K143,"AAAA")),Tabla3[[AÑO]:[SALARIO 
MENSUAL]],2,0)*2&lt;$H$2,0,IFERROR(VLOOKUP(INT(TEXT(K143,"AAAA")),Tabla3[[AÑO]:[SALARIO 
MENSUAL]],2,0)," "))/30*L143," ")</f>
        <v xml:space="preserve"> </v>
      </c>
      <c r="Q143" s="14" t="str">
        <f>IFERROR(IF(VLOOKUP(INT(TEXT(K143,"AAAA")),Tabla3[[AÑO]:[SALARIO 
MENSUAL]],4,0)*2&lt;$H$2,$H$2,VLOOKUP(INT(TEXT(K143,"AAAA")),Tabla3[[AÑO]:[SALARIO 
MENSUAL]],4,0))/30*L143+$H$14+P143," ")</f>
        <v xml:space="preserve"> </v>
      </c>
      <c r="R143" s="12" t="str">
        <f t="shared" si="54"/>
        <v xml:space="preserve"> </v>
      </c>
      <c r="S143" s="12" t="str">
        <f t="shared" si="55"/>
        <v xml:space="preserve"> </v>
      </c>
      <c r="T143" s="11" t="str">
        <f t="shared" si="56"/>
        <v xml:space="preserve"> </v>
      </c>
      <c r="U143" s="14" t="str">
        <f t="shared" si="60"/>
        <v xml:space="preserve"> </v>
      </c>
      <c r="V143" s="12" t="str">
        <f t="shared" si="57"/>
        <v xml:space="preserve"> </v>
      </c>
      <c r="W143" s="53" t="str">
        <f t="shared" si="61"/>
        <v xml:space="preserve"> </v>
      </c>
      <c r="X143" s="12" t="str">
        <f t="shared" si="58"/>
        <v xml:space="preserve"> </v>
      </c>
      <c r="Y143" s="12" t="str">
        <f ca="1">IFERROR(IF(TEXT($H$4,"DDMMAAAA")=TEXT($K142,"DDMMAAAA"),SUM($Y$2:INDIRECT(ADDRESS(ROW(Y142),COLUMN(Y142)))),$H$8/M143*U143)," ")</f>
        <v xml:space="preserve"> </v>
      </c>
      <c r="Z143" s="51" t="str">
        <f ca="1">IFERROR(IF(TEXT($H$4,"DDMMAAAA")=TEXT($K142,"DDMMAAAA"),SUM($Y$2:INDIRECT(ADDRESS(ROW(Z142),COLUMN(Z142)))),$H$8/M143*R143)," ")</f>
        <v xml:space="preserve"> </v>
      </c>
      <c r="AA143" s="12" t="str">
        <f ca="1">IFERROR(IF(TEXT($H$4,"DDMMAAAA")=TEXT($K142,"DDMMAAAA"),SUM($AA$2:INDIRECT(ADDRESS(ROW(AA142),COLUMN(AA142)))),$H$8/M143*S143)," ")</f>
        <v xml:space="preserve"> </v>
      </c>
      <c r="AB143" s="12" t="str">
        <f ca="1">IFERROR(IF(TEXT($H$4,"DDMMAAAA")=TEXT($K142,"DDMMAAAA"),SUM($AB$2:INDIRECT(ADDRESS(ROW(AB142),COLUMN(AB142)))),$H$8/M143*V143)," ")</f>
        <v xml:space="preserve"> </v>
      </c>
      <c r="AC143" s="12" t="str">
        <f ca="1">IFERROR(IF(TEXT($H$4,"DDMMAAAA")=TEXT($K142,"DDMMAAAA"),SUM($AC$2:INDIRECT(ADDRESS(ROW(AC142),COLUMN(AC142)))),IF(SUM(Y143:AB143)=0,"",SUM(Y143:AB143)))," ")</f>
        <v/>
      </c>
      <c r="AE143">
        <v>201206</v>
      </c>
      <c r="AF143">
        <v>3.2</v>
      </c>
    </row>
    <row r="144" spans="10:32" hidden="1" x14ac:dyDescent="0.4">
      <c r="J144" s="19" t="str">
        <f t="shared" si="59"/>
        <v/>
      </c>
      <c r="K144" s="19" t="str">
        <f t="shared" si="51"/>
        <v xml:space="preserve"> </v>
      </c>
      <c r="L144" s="13" t="str">
        <f t="shared" si="62"/>
        <v xml:space="preserve"> </v>
      </c>
      <c r="M144" s="9" t="str">
        <f t="shared" si="50"/>
        <v xml:space="preserve"> </v>
      </c>
      <c r="N144" s="46" t="str">
        <f t="shared" si="52"/>
        <v xml:space="preserve"> </v>
      </c>
      <c r="O144" s="46" t="str">
        <f t="shared" si="53"/>
        <v xml:space="preserve"> </v>
      </c>
      <c r="P144" s="14" t="str">
        <f>IFERROR(IF(VLOOKUP(INT(TEXT(K144,"AAAA")),Tabla3[[AÑO]:[SALARIO 
MENSUAL]],2,0)*2&lt;$H$2,0,IFERROR(VLOOKUP(INT(TEXT(K144,"AAAA")),Tabla3[[AÑO]:[SALARIO 
MENSUAL]],2,0)," "))/30*L144," ")</f>
        <v xml:space="preserve"> </v>
      </c>
      <c r="Q144" s="14" t="str">
        <f>IFERROR(IF(VLOOKUP(INT(TEXT(K144,"AAAA")),Tabla3[[AÑO]:[SALARIO 
MENSUAL]],4,0)*2&lt;$H$2,$H$2,VLOOKUP(INT(TEXT(K144,"AAAA")),Tabla3[[AÑO]:[SALARIO 
MENSUAL]],4,0))/30*L144+$H$14+P144," ")</f>
        <v xml:space="preserve"> </v>
      </c>
      <c r="R144" s="12" t="str">
        <f t="shared" si="54"/>
        <v xml:space="preserve"> </v>
      </c>
      <c r="S144" s="12" t="str">
        <f t="shared" si="55"/>
        <v xml:space="preserve"> </v>
      </c>
      <c r="T144" s="11" t="str">
        <f t="shared" si="56"/>
        <v xml:space="preserve"> </v>
      </c>
      <c r="U144" s="14" t="str">
        <f t="shared" si="60"/>
        <v xml:space="preserve"> </v>
      </c>
      <c r="V144" s="12" t="str">
        <f t="shared" si="57"/>
        <v xml:space="preserve"> </v>
      </c>
      <c r="W144" s="53" t="str">
        <f t="shared" si="61"/>
        <v xml:space="preserve"> </v>
      </c>
      <c r="X144" s="12" t="str">
        <f t="shared" si="58"/>
        <v xml:space="preserve"> </v>
      </c>
      <c r="Y144" s="12" t="str">
        <f ca="1">IFERROR(IF(TEXT($H$4,"DDMMAAAA")=TEXT($K143,"DDMMAAAA"),SUM($Y$2:INDIRECT(ADDRESS(ROW(Y143),COLUMN(Y143)))),$H$8/M144*U144)," ")</f>
        <v xml:space="preserve"> </v>
      </c>
      <c r="Z144" s="51" t="str">
        <f ca="1">IFERROR(IF(TEXT($H$4,"DDMMAAAA")=TEXT($K143,"DDMMAAAA"),SUM($Y$2:INDIRECT(ADDRESS(ROW(Z143),COLUMN(Z143)))),$H$8/M144*R144)," ")</f>
        <v xml:space="preserve"> </v>
      </c>
      <c r="AA144" s="12" t="str">
        <f ca="1">IFERROR(IF(TEXT($H$4,"DDMMAAAA")=TEXT($K143,"DDMMAAAA"),SUM($AA$2:INDIRECT(ADDRESS(ROW(AA143),COLUMN(AA143)))),$H$8/M144*S144)," ")</f>
        <v xml:space="preserve"> </v>
      </c>
      <c r="AB144" s="12" t="str">
        <f ca="1">IFERROR(IF(TEXT($H$4,"DDMMAAAA")=TEXT($K143,"DDMMAAAA"),SUM($AB$2:INDIRECT(ADDRESS(ROW(AB143),COLUMN(AB143)))),$H$8/M144*V144)," ")</f>
        <v xml:space="preserve"> </v>
      </c>
      <c r="AC144" s="12" t="str">
        <f ca="1">IFERROR(IF(TEXT($H$4,"DDMMAAAA")=TEXT($K143,"DDMMAAAA"),SUM($AC$2:INDIRECT(ADDRESS(ROW(AC143),COLUMN(AC143)))),IF(SUM(Y144:AB144)=0,"",SUM(Y144:AB144)))," ")</f>
        <v/>
      </c>
      <c r="AE144">
        <v>201205</v>
      </c>
      <c r="AF144">
        <v>3.44</v>
      </c>
    </row>
    <row r="145" spans="10:32" hidden="1" x14ac:dyDescent="0.4">
      <c r="J145" s="19" t="str">
        <f t="shared" si="59"/>
        <v/>
      </c>
      <c r="K145" s="19" t="str">
        <f t="shared" si="51"/>
        <v xml:space="preserve"> </v>
      </c>
      <c r="L145" s="13" t="str">
        <f t="shared" si="62"/>
        <v xml:space="preserve"> </v>
      </c>
      <c r="M145" s="9" t="str">
        <f t="shared" si="50"/>
        <v xml:space="preserve"> </v>
      </c>
      <c r="N145" s="46" t="str">
        <f t="shared" si="52"/>
        <v xml:space="preserve"> </v>
      </c>
      <c r="O145" s="46" t="str">
        <f t="shared" si="53"/>
        <v xml:space="preserve"> </v>
      </c>
      <c r="P145" s="14" t="str">
        <f>IFERROR(IF(VLOOKUP(INT(TEXT(K145,"AAAA")),Tabla3[[AÑO]:[SALARIO 
MENSUAL]],2,0)*2&lt;$H$2,0,IFERROR(VLOOKUP(INT(TEXT(K145,"AAAA")),Tabla3[[AÑO]:[SALARIO 
MENSUAL]],2,0)," "))/30*L145," ")</f>
        <v xml:space="preserve"> </v>
      </c>
      <c r="Q145" s="14" t="str">
        <f>IFERROR(IF(VLOOKUP(INT(TEXT(K145,"AAAA")),Tabla3[[AÑO]:[SALARIO 
MENSUAL]],4,0)*2&lt;$H$2,$H$2,VLOOKUP(INT(TEXT(K145,"AAAA")),Tabla3[[AÑO]:[SALARIO 
MENSUAL]],4,0))/30*L145+$H$14+P145," ")</f>
        <v xml:space="preserve"> </v>
      </c>
      <c r="R145" s="12" t="str">
        <f t="shared" si="54"/>
        <v xml:space="preserve"> </v>
      </c>
      <c r="S145" s="12" t="str">
        <f t="shared" si="55"/>
        <v xml:space="preserve"> </v>
      </c>
      <c r="T145" s="11" t="str">
        <f t="shared" si="56"/>
        <v xml:space="preserve"> </v>
      </c>
      <c r="U145" s="14" t="str">
        <f t="shared" si="60"/>
        <v xml:space="preserve"> </v>
      </c>
      <c r="V145" s="12" t="str">
        <f t="shared" si="57"/>
        <v xml:space="preserve"> </v>
      </c>
      <c r="W145" s="53" t="str">
        <f t="shared" si="61"/>
        <v xml:space="preserve"> </v>
      </c>
      <c r="X145" s="12" t="str">
        <f t="shared" si="58"/>
        <v xml:space="preserve"> </v>
      </c>
      <c r="Y145" s="12" t="str">
        <f ca="1">IFERROR(IF(TEXT($H$4,"DDMMAAAA")=TEXT($K144,"DDMMAAAA"),SUM($Y$2:INDIRECT(ADDRESS(ROW(Y144),COLUMN(Y144)))),$H$8/M145*U145)," ")</f>
        <v xml:space="preserve"> </v>
      </c>
      <c r="Z145" s="51" t="str">
        <f ca="1">IFERROR(IF(TEXT($H$4,"DDMMAAAA")=TEXT($K144,"DDMMAAAA"),SUM($Y$2:INDIRECT(ADDRESS(ROW(Z144),COLUMN(Z144)))),$H$8/M145*R145)," ")</f>
        <v xml:space="preserve"> </v>
      </c>
      <c r="AA145" s="12" t="str">
        <f ca="1">IFERROR(IF(TEXT($H$4,"DDMMAAAA")=TEXT($K144,"DDMMAAAA"),SUM($AA$2:INDIRECT(ADDRESS(ROW(AA144),COLUMN(AA144)))),$H$8/M145*S145)," ")</f>
        <v xml:space="preserve"> </v>
      </c>
      <c r="AB145" s="12" t="str">
        <f ca="1">IFERROR(IF(TEXT($H$4,"DDMMAAAA")=TEXT($K144,"DDMMAAAA"),SUM($AB$2:INDIRECT(ADDRESS(ROW(AB144),COLUMN(AB144)))),$H$8/M145*V145)," ")</f>
        <v xml:space="preserve"> </v>
      </c>
      <c r="AC145" s="12" t="str">
        <f ca="1">IFERROR(IF(TEXT($H$4,"DDMMAAAA")=TEXT($K144,"DDMMAAAA"),SUM($AC$2:INDIRECT(ADDRESS(ROW(AC144),COLUMN(AC144)))),IF(SUM(Y145:AB145)=0,"",SUM(Y145:AB145)))," ")</f>
        <v/>
      </c>
      <c r="AE145">
        <v>201204</v>
      </c>
      <c r="AF145">
        <v>3.43</v>
      </c>
    </row>
    <row r="146" spans="10:32" hidden="1" x14ac:dyDescent="0.4">
      <c r="J146" s="19" t="str">
        <f t="shared" si="59"/>
        <v/>
      </c>
      <c r="K146" s="19" t="str">
        <f t="shared" si="51"/>
        <v xml:space="preserve"> </v>
      </c>
      <c r="L146" s="13" t="str">
        <f t="shared" si="62"/>
        <v xml:space="preserve"> </v>
      </c>
      <c r="M146" s="9" t="str">
        <f t="shared" si="50"/>
        <v xml:space="preserve"> </v>
      </c>
      <c r="N146" s="46" t="str">
        <f t="shared" si="52"/>
        <v xml:space="preserve"> </v>
      </c>
      <c r="O146" s="46" t="str">
        <f t="shared" si="53"/>
        <v xml:space="preserve"> </v>
      </c>
      <c r="P146" s="14" t="str">
        <f>IFERROR(IF(VLOOKUP(INT(TEXT(K146,"AAAA")),Tabla3[[AÑO]:[SALARIO 
MENSUAL]],2,0)*2&lt;$H$2,0,IFERROR(VLOOKUP(INT(TEXT(K146,"AAAA")),Tabla3[[AÑO]:[SALARIO 
MENSUAL]],2,0)," "))/30*L146," ")</f>
        <v xml:space="preserve"> </v>
      </c>
      <c r="Q146" s="14" t="str">
        <f>IFERROR(IF(VLOOKUP(INT(TEXT(K146,"AAAA")),Tabla3[[AÑO]:[SALARIO 
MENSUAL]],4,0)*2&lt;$H$2,$H$2,VLOOKUP(INT(TEXT(K146,"AAAA")),Tabla3[[AÑO]:[SALARIO 
MENSUAL]],4,0))/30*L146+$H$14+P146," ")</f>
        <v xml:space="preserve"> </v>
      </c>
      <c r="R146" s="12" t="str">
        <f t="shared" si="54"/>
        <v xml:space="preserve"> </v>
      </c>
      <c r="S146" s="12" t="str">
        <f t="shared" si="55"/>
        <v xml:space="preserve"> </v>
      </c>
      <c r="T146" s="11" t="str">
        <f t="shared" si="56"/>
        <v xml:space="preserve"> </v>
      </c>
      <c r="U146" s="14" t="str">
        <f t="shared" si="60"/>
        <v xml:space="preserve"> </v>
      </c>
      <c r="V146" s="12" t="str">
        <f t="shared" si="57"/>
        <v xml:space="preserve"> </v>
      </c>
      <c r="W146" s="53" t="str">
        <f t="shared" si="61"/>
        <v xml:space="preserve"> </v>
      </c>
      <c r="X146" s="12" t="str">
        <f t="shared" si="58"/>
        <v xml:space="preserve"> </v>
      </c>
      <c r="Y146" s="12" t="str">
        <f ca="1">IFERROR(IF(TEXT($H$4,"DDMMAAAA")=TEXT($K145,"DDMMAAAA"),SUM($Y$2:INDIRECT(ADDRESS(ROW(Y145),COLUMN(Y145)))),$H$8/M146*U146)," ")</f>
        <v xml:space="preserve"> </v>
      </c>
      <c r="Z146" s="51" t="str">
        <f ca="1">IFERROR(IF(TEXT($H$4,"DDMMAAAA")=TEXT($K145,"DDMMAAAA"),SUM($Y$2:INDIRECT(ADDRESS(ROW(Z145),COLUMN(Z145)))),$H$8/M146*R146)," ")</f>
        <v xml:space="preserve"> </v>
      </c>
      <c r="AA146" s="12" t="str">
        <f ca="1">IFERROR(IF(TEXT($H$4,"DDMMAAAA")=TEXT($K145,"DDMMAAAA"),SUM($AA$2:INDIRECT(ADDRESS(ROW(AA145),COLUMN(AA145)))),$H$8/M146*S146)," ")</f>
        <v xml:space="preserve"> </v>
      </c>
      <c r="AB146" s="12" t="str">
        <f ca="1">IFERROR(IF(TEXT($H$4,"DDMMAAAA")=TEXT($K145,"DDMMAAAA"),SUM($AB$2:INDIRECT(ADDRESS(ROW(AB145),COLUMN(AB145)))),$H$8/M146*V146)," ")</f>
        <v xml:space="preserve"> </v>
      </c>
      <c r="AC146" s="12" t="str">
        <f ca="1">IFERROR(IF(TEXT($H$4,"DDMMAAAA")=TEXT($K145,"DDMMAAAA"),SUM($AC$2:INDIRECT(ADDRESS(ROW(AC145),COLUMN(AC145)))),IF(SUM(Y146:AB146)=0,"",SUM(Y146:AB146)))," ")</f>
        <v/>
      </c>
      <c r="AE146">
        <v>201203</v>
      </c>
      <c r="AF146">
        <v>3.4</v>
      </c>
    </row>
    <row r="147" spans="10:32" hidden="1" x14ac:dyDescent="0.4">
      <c r="J147" s="19" t="str">
        <f t="shared" si="59"/>
        <v/>
      </c>
      <c r="K147" s="19" t="str">
        <f t="shared" si="51"/>
        <v xml:space="preserve"> </v>
      </c>
      <c r="L147" s="13" t="str">
        <f t="shared" si="62"/>
        <v xml:space="preserve"> </v>
      </c>
      <c r="M147" s="9" t="str">
        <f t="shared" ref="M147:M178" si="63">IFERROR(VLOOKUP(INT(TEXT(K147,"AAAAMM")),$AE$1:$AF$376,2,0)," ")</f>
        <v xml:space="preserve"> </v>
      </c>
      <c r="N147" s="46" t="str">
        <f t="shared" si="52"/>
        <v xml:space="preserve"> </v>
      </c>
      <c r="O147" s="46" t="str">
        <f t="shared" si="53"/>
        <v xml:space="preserve"> </v>
      </c>
      <c r="P147" s="14" t="str">
        <f>IFERROR(IF(VLOOKUP(INT(TEXT(K147,"AAAA")),Tabla3[[AÑO]:[SALARIO 
MENSUAL]],2,0)*2&lt;$H$2,0,IFERROR(VLOOKUP(INT(TEXT(K147,"AAAA")),Tabla3[[AÑO]:[SALARIO 
MENSUAL]],2,0)," "))/30*L147," ")</f>
        <v xml:space="preserve"> </v>
      </c>
      <c r="Q147" s="14" t="str">
        <f>IFERROR(IF(VLOOKUP(INT(TEXT(K147,"AAAA")),Tabla3[[AÑO]:[SALARIO 
MENSUAL]],4,0)*2&lt;$H$2,$H$2,VLOOKUP(INT(TEXT(K147,"AAAA")),Tabla3[[AÑO]:[SALARIO 
MENSUAL]],4,0))/30*L147+$H$14+P147," ")</f>
        <v xml:space="preserve"> </v>
      </c>
      <c r="R147" s="12" t="str">
        <f t="shared" si="54"/>
        <v xml:space="preserve"> </v>
      </c>
      <c r="S147" s="12" t="str">
        <f t="shared" si="55"/>
        <v xml:space="preserve"> </v>
      </c>
      <c r="T147" s="11" t="str">
        <f t="shared" si="56"/>
        <v xml:space="preserve"> </v>
      </c>
      <c r="U147" s="14" t="str">
        <f t="shared" si="60"/>
        <v xml:space="preserve"> </v>
      </c>
      <c r="V147" s="12" t="str">
        <f t="shared" si="57"/>
        <v xml:space="preserve"> </v>
      </c>
      <c r="W147" s="53" t="str">
        <f t="shared" si="61"/>
        <v xml:space="preserve"> </v>
      </c>
      <c r="X147" s="12" t="str">
        <f t="shared" si="58"/>
        <v xml:space="preserve"> </v>
      </c>
      <c r="Y147" s="12" t="str">
        <f ca="1">IFERROR(IF(TEXT($H$4,"DDMMAAAA")=TEXT($K146,"DDMMAAAA"),SUM($Y$2:INDIRECT(ADDRESS(ROW(Y146),COLUMN(Y146)))),$H$8/M147*U147)," ")</f>
        <v xml:space="preserve"> </v>
      </c>
      <c r="Z147" s="51" t="str">
        <f ca="1">IFERROR(IF(TEXT($H$4,"DDMMAAAA")=TEXT($K146,"DDMMAAAA"),SUM($Y$2:INDIRECT(ADDRESS(ROW(Z146),COLUMN(Z146)))),$H$8/M147*R147)," ")</f>
        <v xml:space="preserve"> </v>
      </c>
      <c r="AA147" s="12" t="str">
        <f ca="1">IFERROR(IF(TEXT($H$4,"DDMMAAAA")=TEXT($K146,"DDMMAAAA"),SUM($AA$2:INDIRECT(ADDRESS(ROW(AA146),COLUMN(AA146)))),$H$8/M147*S147)," ")</f>
        <v xml:space="preserve"> </v>
      </c>
      <c r="AB147" s="12" t="str">
        <f ca="1">IFERROR(IF(TEXT($H$4,"DDMMAAAA")=TEXT($K146,"DDMMAAAA"),SUM($AB$2:INDIRECT(ADDRESS(ROW(AB146),COLUMN(AB146)))),$H$8/M147*V147)," ")</f>
        <v xml:space="preserve"> </v>
      </c>
      <c r="AC147" s="12" t="str">
        <f ca="1">IFERROR(IF(TEXT($H$4,"DDMMAAAA")=TEXT($K146,"DDMMAAAA"),SUM($AC$2:INDIRECT(ADDRESS(ROW(AC146),COLUMN(AC146)))),IF(SUM(Y147:AB147)=0,"",SUM(Y147:AB147)))," ")</f>
        <v/>
      </c>
      <c r="AE147">
        <v>201202</v>
      </c>
      <c r="AF147">
        <v>3.55</v>
      </c>
    </row>
    <row r="148" spans="10:32" hidden="1" x14ac:dyDescent="0.4">
      <c r="J148" s="19" t="str">
        <f t="shared" si="59"/>
        <v/>
      </c>
      <c r="K148" s="19" t="str">
        <f t="shared" si="51"/>
        <v xml:space="preserve"> </v>
      </c>
      <c r="L148" s="13" t="str">
        <f t="shared" si="62"/>
        <v xml:space="preserve"> </v>
      </c>
      <c r="M148" s="9" t="str">
        <f t="shared" si="63"/>
        <v xml:space="preserve"> </v>
      </c>
      <c r="N148" s="46" t="str">
        <f t="shared" si="52"/>
        <v xml:space="preserve"> </v>
      </c>
      <c r="O148" s="46" t="str">
        <f t="shared" si="53"/>
        <v xml:space="preserve"> </v>
      </c>
      <c r="P148" s="14" t="str">
        <f>IFERROR(IF(VLOOKUP(INT(TEXT(K148,"AAAA")),Tabla3[[AÑO]:[SALARIO 
MENSUAL]],2,0)*2&lt;$H$2,0,IFERROR(VLOOKUP(INT(TEXT(K148,"AAAA")),Tabla3[[AÑO]:[SALARIO 
MENSUAL]],2,0)," "))/30*L148," ")</f>
        <v xml:space="preserve"> </v>
      </c>
      <c r="Q148" s="14" t="str">
        <f>IFERROR(IF(VLOOKUP(INT(TEXT(K148,"AAAA")),Tabla3[[AÑO]:[SALARIO 
MENSUAL]],4,0)*2&lt;$H$2,$H$2,VLOOKUP(INT(TEXT(K148,"AAAA")),Tabla3[[AÑO]:[SALARIO 
MENSUAL]],4,0))/30*L148+$H$14+P148," ")</f>
        <v xml:space="preserve"> </v>
      </c>
      <c r="R148" s="12" t="str">
        <f t="shared" si="54"/>
        <v xml:space="preserve"> </v>
      </c>
      <c r="S148" s="12" t="str">
        <f t="shared" si="55"/>
        <v xml:space="preserve"> </v>
      </c>
      <c r="T148" s="11" t="str">
        <f t="shared" si="56"/>
        <v xml:space="preserve"> </v>
      </c>
      <c r="U148" s="14" t="str">
        <f t="shared" si="60"/>
        <v xml:space="preserve"> </v>
      </c>
      <c r="V148" s="12" t="str">
        <f t="shared" si="57"/>
        <v xml:space="preserve"> </v>
      </c>
      <c r="W148" s="53" t="str">
        <f t="shared" si="61"/>
        <v xml:space="preserve"> </v>
      </c>
      <c r="X148" s="12" t="str">
        <f t="shared" si="58"/>
        <v xml:space="preserve"> </v>
      </c>
      <c r="Y148" s="12" t="str">
        <f ca="1">IFERROR(IF(TEXT($H$4,"DDMMAAAA")=TEXT($K147,"DDMMAAAA"),SUM($Y$2:INDIRECT(ADDRESS(ROW(Y147),COLUMN(Y147)))),$H$8/M148*U148)," ")</f>
        <v xml:space="preserve"> </v>
      </c>
      <c r="Z148" s="51" t="str">
        <f ca="1">IFERROR(IF(TEXT($H$4,"DDMMAAAA")=TEXT($K147,"DDMMAAAA"),SUM($Y$2:INDIRECT(ADDRESS(ROW(Z147),COLUMN(Z147)))),$H$8/M148*R148)," ")</f>
        <v xml:space="preserve"> </v>
      </c>
      <c r="AA148" s="12" t="str">
        <f ca="1">IFERROR(IF(TEXT($H$4,"DDMMAAAA")=TEXT($K147,"DDMMAAAA"),SUM($AA$2:INDIRECT(ADDRESS(ROW(AA147),COLUMN(AA147)))),$H$8/M148*S148)," ")</f>
        <v xml:space="preserve"> </v>
      </c>
      <c r="AB148" s="12" t="str">
        <f ca="1">IFERROR(IF(TEXT($H$4,"DDMMAAAA")=TEXT($K147,"DDMMAAAA"),SUM($AB$2:INDIRECT(ADDRESS(ROW(AB147),COLUMN(AB147)))),$H$8/M148*V148)," ")</f>
        <v xml:space="preserve"> </v>
      </c>
      <c r="AC148" s="12" t="str">
        <f ca="1">IFERROR(IF(TEXT($H$4,"DDMMAAAA")=TEXT($K147,"DDMMAAAA"),SUM($AC$2:INDIRECT(ADDRESS(ROW(AC147),COLUMN(AC147)))),IF(SUM(Y148:AB148)=0,"",SUM(Y148:AB148)))," ")</f>
        <v/>
      </c>
      <c r="AE148">
        <v>201201</v>
      </c>
      <c r="AF148">
        <v>3.54</v>
      </c>
    </row>
    <row r="149" spans="10:32" hidden="1" x14ac:dyDescent="0.4">
      <c r="J149" s="19" t="str">
        <f t="shared" si="59"/>
        <v/>
      </c>
      <c r="K149" s="19" t="str">
        <f t="shared" si="51"/>
        <v xml:space="preserve"> </v>
      </c>
      <c r="L149" s="13" t="str">
        <f t="shared" si="62"/>
        <v xml:space="preserve"> </v>
      </c>
      <c r="M149" s="9" t="str">
        <f t="shared" si="63"/>
        <v xml:space="preserve"> </v>
      </c>
      <c r="N149" s="46" t="str">
        <f t="shared" si="52"/>
        <v xml:space="preserve"> </v>
      </c>
      <c r="O149" s="46" t="str">
        <f t="shared" si="53"/>
        <v xml:space="preserve"> </v>
      </c>
      <c r="P149" s="14" t="str">
        <f>IFERROR(IF(VLOOKUP(INT(TEXT(K149,"AAAA")),Tabla3[[AÑO]:[SALARIO 
MENSUAL]],2,0)*2&lt;$H$2,0,IFERROR(VLOOKUP(INT(TEXT(K149,"AAAA")),Tabla3[[AÑO]:[SALARIO 
MENSUAL]],2,0)," "))/30*L149," ")</f>
        <v xml:space="preserve"> </v>
      </c>
      <c r="Q149" s="14" t="str">
        <f>IFERROR(IF(VLOOKUP(INT(TEXT(K149,"AAAA")),Tabla3[[AÑO]:[SALARIO 
MENSUAL]],4,0)*2&lt;$H$2,$H$2,VLOOKUP(INT(TEXT(K149,"AAAA")),Tabla3[[AÑO]:[SALARIO 
MENSUAL]],4,0))/30*L149+$H$14+P149," ")</f>
        <v xml:space="preserve"> </v>
      </c>
      <c r="R149" s="12" t="str">
        <f t="shared" si="54"/>
        <v xml:space="preserve"> </v>
      </c>
      <c r="S149" s="12" t="str">
        <f t="shared" si="55"/>
        <v xml:space="preserve"> </v>
      </c>
      <c r="T149" s="11" t="str">
        <f t="shared" si="56"/>
        <v xml:space="preserve"> </v>
      </c>
      <c r="U149" s="14" t="str">
        <f t="shared" si="60"/>
        <v xml:space="preserve"> </v>
      </c>
      <c r="V149" s="12" t="str">
        <f t="shared" si="57"/>
        <v xml:space="preserve"> </v>
      </c>
      <c r="W149" s="53" t="str">
        <f t="shared" si="61"/>
        <v xml:space="preserve"> </v>
      </c>
      <c r="X149" s="12" t="str">
        <f t="shared" si="58"/>
        <v xml:space="preserve"> </v>
      </c>
      <c r="Y149" s="12" t="str">
        <f ca="1">IFERROR(IF(TEXT($H$4,"DDMMAAAA")=TEXT($K148,"DDMMAAAA"),SUM($Y$2:INDIRECT(ADDRESS(ROW(Y148),COLUMN(Y148)))),$H$8/M149*U149)," ")</f>
        <v xml:space="preserve"> </v>
      </c>
      <c r="Z149" s="51" t="str">
        <f ca="1">IFERROR(IF(TEXT($H$4,"DDMMAAAA")=TEXT($K148,"DDMMAAAA"),SUM($Y$2:INDIRECT(ADDRESS(ROW(Z148),COLUMN(Z148)))),$H$8/M149*R149)," ")</f>
        <v xml:space="preserve"> </v>
      </c>
      <c r="AA149" s="12" t="str">
        <f ca="1">IFERROR(IF(TEXT($H$4,"DDMMAAAA")=TEXT($K148,"DDMMAAAA"),SUM($AA$2:INDIRECT(ADDRESS(ROW(AA148),COLUMN(AA148)))),$H$8/M149*S149)," ")</f>
        <v xml:space="preserve"> </v>
      </c>
      <c r="AB149" s="12" t="str">
        <f ca="1">IFERROR(IF(TEXT($H$4,"DDMMAAAA")=TEXT($K148,"DDMMAAAA"),SUM($AB$2:INDIRECT(ADDRESS(ROW(AB148),COLUMN(AB148)))),$H$8/M149*V149)," ")</f>
        <v xml:space="preserve"> </v>
      </c>
      <c r="AC149" s="12" t="str">
        <f ca="1">IFERROR(IF(TEXT($H$4,"DDMMAAAA")=TEXT($K148,"DDMMAAAA"),SUM($AC$2:INDIRECT(ADDRESS(ROW(AC148),COLUMN(AC148)))),IF(SUM(Y149:AB149)=0,"",SUM(Y149:AB149)))," ")</f>
        <v/>
      </c>
      <c r="AE149">
        <v>201112</v>
      </c>
      <c r="AF149">
        <v>3.73</v>
      </c>
    </row>
    <row r="150" spans="10:32" hidden="1" x14ac:dyDescent="0.4">
      <c r="J150" s="19" t="str">
        <f t="shared" si="59"/>
        <v/>
      </c>
      <c r="K150" s="19" t="str">
        <f t="shared" si="51"/>
        <v xml:space="preserve"> </v>
      </c>
      <c r="L150" s="13" t="str">
        <f t="shared" si="62"/>
        <v xml:space="preserve"> </v>
      </c>
      <c r="M150" s="9" t="str">
        <f t="shared" si="63"/>
        <v xml:space="preserve"> </v>
      </c>
      <c r="N150" s="46" t="str">
        <f t="shared" si="52"/>
        <v xml:space="preserve"> </v>
      </c>
      <c r="O150" s="46" t="str">
        <f t="shared" si="53"/>
        <v xml:space="preserve"> </v>
      </c>
      <c r="P150" s="14" t="str">
        <f>IFERROR(IF(VLOOKUP(INT(TEXT(K150,"AAAA")),Tabla3[[AÑO]:[SALARIO 
MENSUAL]],2,0)*2&lt;$H$2,0,IFERROR(VLOOKUP(INT(TEXT(K150,"AAAA")),Tabla3[[AÑO]:[SALARIO 
MENSUAL]],2,0)," "))/30*L150," ")</f>
        <v xml:space="preserve"> </v>
      </c>
      <c r="Q150" s="14" t="str">
        <f>IFERROR(IF(VLOOKUP(INT(TEXT(K150,"AAAA")),Tabla3[[AÑO]:[SALARIO 
MENSUAL]],4,0)*2&lt;$H$2,$H$2,VLOOKUP(INT(TEXT(K150,"AAAA")),Tabla3[[AÑO]:[SALARIO 
MENSUAL]],4,0))/30*L150+$H$14+P150," ")</f>
        <v xml:space="preserve"> </v>
      </c>
      <c r="R150" s="12" t="str">
        <f t="shared" si="54"/>
        <v xml:space="preserve"> </v>
      </c>
      <c r="S150" s="12" t="str">
        <f t="shared" si="55"/>
        <v xml:space="preserve"> </v>
      </c>
      <c r="T150" s="11" t="str">
        <f t="shared" si="56"/>
        <v xml:space="preserve"> </v>
      </c>
      <c r="U150" s="14" t="str">
        <f t="shared" si="60"/>
        <v xml:space="preserve"> </v>
      </c>
      <c r="V150" s="12" t="str">
        <f t="shared" si="57"/>
        <v xml:space="preserve"> </v>
      </c>
      <c r="W150" s="53" t="str">
        <f t="shared" si="61"/>
        <v xml:space="preserve"> </v>
      </c>
      <c r="X150" s="12" t="str">
        <f t="shared" si="58"/>
        <v xml:space="preserve"> </v>
      </c>
      <c r="Y150" s="12" t="str">
        <f ca="1">IFERROR(IF(TEXT($H$4,"DDMMAAAA")=TEXT($K149,"DDMMAAAA"),SUM($Y$2:INDIRECT(ADDRESS(ROW(Y149),COLUMN(Y149)))),$H$8/M150*U150)," ")</f>
        <v xml:space="preserve"> </v>
      </c>
      <c r="Z150" s="51" t="str">
        <f ca="1">IFERROR(IF(TEXT($H$4,"DDMMAAAA")=TEXT($K149,"DDMMAAAA"),SUM($Y$2:INDIRECT(ADDRESS(ROW(Z149),COLUMN(Z149)))),$H$8/M150*R150)," ")</f>
        <v xml:space="preserve"> </v>
      </c>
      <c r="AA150" s="12" t="str">
        <f ca="1">IFERROR(IF(TEXT($H$4,"DDMMAAAA")=TEXT($K149,"DDMMAAAA"),SUM($AA$2:INDIRECT(ADDRESS(ROW(AA149),COLUMN(AA149)))),$H$8/M150*S150)," ")</f>
        <v xml:space="preserve"> </v>
      </c>
      <c r="AB150" s="12" t="str">
        <f ca="1">IFERROR(IF(TEXT($H$4,"DDMMAAAA")=TEXT($K149,"DDMMAAAA"),SUM($AB$2:INDIRECT(ADDRESS(ROW(AB149),COLUMN(AB149)))),$H$8/M150*V150)," ")</f>
        <v xml:space="preserve"> </v>
      </c>
      <c r="AC150" s="12" t="str">
        <f ca="1">IFERROR(IF(TEXT($H$4,"DDMMAAAA")=TEXT($K149,"DDMMAAAA"),SUM($AC$2:INDIRECT(ADDRESS(ROW(AC149),COLUMN(AC149)))),IF(SUM(Y150:AB150)=0,"",SUM(Y150:AB150)))," ")</f>
        <v/>
      </c>
      <c r="AE150">
        <v>201111</v>
      </c>
      <c r="AF150">
        <v>3.96</v>
      </c>
    </row>
    <row r="151" spans="10:32" hidden="1" x14ac:dyDescent="0.4">
      <c r="J151" s="19" t="str">
        <f t="shared" si="59"/>
        <v/>
      </c>
      <c r="K151" s="19" t="str">
        <f t="shared" si="51"/>
        <v xml:space="preserve"> </v>
      </c>
      <c r="L151" s="13" t="str">
        <f t="shared" si="62"/>
        <v xml:space="preserve"> </v>
      </c>
      <c r="M151" s="9" t="str">
        <f t="shared" si="63"/>
        <v xml:space="preserve"> </v>
      </c>
      <c r="N151" s="46" t="str">
        <f t="shared" si="52"/>
        <v xml:space="preserve"> </v>
      </c>
      <c r="O151" s="46" t="str">
        <f t="shared" si="53"/>
        <v xml:space="preserve"> </v>
      </c>
      <c r="P151" s="14" t="str">
        <f>IFERROR(IF(VLOOKUP(INT(TEXT(K151,"AAAA")),Tabla3[[AÑO]:[SALARIO 
MENSUAL]],2,0)*2&lt;$H$2,0,IFERROR(VLOOKUP(INT(TEXT(K151,"AAAA")),Tabla3[[AÑO]:[SALARIO 
MENSUAL]],2,0)," "))/30*L151," ")</f>
        <v xml:space="preserve"> </v>
      </c>
      <c r="Q151" s="14" t="str">
        <f>IFERROR(IF(VLOOKUP(INT(TEXT(K151,"AAAA")),Tabla3[[AÑO]:[SALARIO 
MENSUAL]],4,0)*2&lt;$H$2,$H$2,VLOOKUP(INT(TEXT(K151,"AAAA")),Tabla3[[AÑO]:[SALARIO 
MENSUAL]],4,0))/30*L151+$H$14+P151," ")</f>
        <v xml:space="preserve"> </v>
      </c>
      <c r="R151" s="12" t="str">
        <f t="shared" si="54"/>
        <v xml:space="preserve"> </v>
      </c>
      <c r="S151" s="12" t="str">
        <f t="shared" si="55"/>
        <v xml:space="preserve"> </v>
      </c>
      <c r="T151" s="11" t="str">
        <f t="shared" si="56"/>
        <v xml:space="preserve"> </v>
      </c>
      <c r="U151" s="14" t="str">
        <f t="shared" si="60"/>
        <v xml:space="preserve"> </v>
      </c>
      <c r="V151" s="12" t="str">
        <f t="shared" si="57"/>
        <v xml:space="preserve"> </v>
      </c>
      <c r="W151" s="53" t="str">
        <f t="shared" si="61"/>
        <v xml:space="preserve"> </v>
      </c>
      <c r="X151" s="12" t="str">
        <f t="shared" si="58"/>
        <v xml:space="preserve"> </v>
      </c>
      <c r="Y151" s="12" t="str">
        <f ca="1">IFERROR(IF(TEXT($H$4,"DDMMAAAA")=TEXT($K150,"DDMMAAAA"),SUM($Y$2:INDIRECT(ADDRESS(ROW(Y150),COLUMN(Y150)))),$H$8/M151*U151)," ")</f>
        <v xml:space="preserve"> </v>
      </c>
      <c r="Z151" s="51" t="str">
        <f ca="1">IFERROR(IF(TEXT($H$4,"DDMMAAAA")=TEXT($K150,"DDMMAAAA"),SUM($Y$2:INDIRECT(ADDRESS(ROW(Z150),COLUMN(Z150)))),$H$8/M151*R151)," ")</f>
        <v xml:space="preserve"> </v>
      </c>
      <c r="AA151" s="12" t="str">
        <f ca="1">IFERROR(IF(TEXT($H$4,"DDMMAAAA")=TEXT($K150,"DDMMAAAA"),SUM($AA$2:INDIRECT(ADDRESS(ROW(AA150),COLUMN(AA150)))),$H$8/M151*S151)," ")</f>
        <v xml:space="preserve"> </v>
      </c>
      <c r="AB151" s="12" t="str">
        <f ca="1">IFERROR(IF(TEXT($H$4,"DDMMAAAA")=TEXT($K150,"DDMMAAAA"),SUM($AB$2:INDIRECT(ADDRESS(ROW(AB150),COLUMN(AB150)))),$H$8/M151*V151)," ")</f>
        <v xml:space="preserve"> </v>
      </c>
      <c r="AC151" s="12" t="str">
        <f ca="1">IFERROR(IF(TEXT($H$4,"DDMMAAAA")=TEXT($K150,"DDMMAAAA"),SUM($AC$2:INDIRECT(ADDRESS(ROW(AC150),COLUMN(AC150)))),IF(SUM(Y151:AB151)=0,"",SUM(Y151:AB151)))," ")</f>
        <v/>
      </c>
      <c r="AE151">
        <v>201110</v>
      </c>
      <c r="AF151">
        <v>4.0199999999999996</v>
      </c>
    </row>
    <row r="152" spans="10:32" hidden="1" x14ac:dyDescent="0.4">
      <c r="J152" s="19" t="str">
        <f t="shared" si="59"/>
        <v/>
      </c>
      <c r="K152" s="19" t="str">
        <f t="shared" si="51"/>
        <v xml:space="preserve"> </v>
      </c>
      <c r="L152" s="13" t="str">
        <f t="shared" si="62"/>
        <v xml:space="preserve"> </v>
      </c>
      <c r="M152" s="9" t="str">
        <f t="shared" si="63"/>
        <v xml:space="preserve"> </v>
      </c>
      <c r="N152" s="46" t="str">
        <f t="shared" si="52"/>
        <v xml:space="preserve"> </v>
      </c>
      <c r="O152" s="46" t="str">
        <f t="shared" si="53"/>
        <v xml:space="preserve"> </v>
      </c>
      <c r="P152" s="14" t="str">
        <f>IFERROR(IF(VLOOKUP(INT(TEXT(K152,"AAAA")),Tabla3[[AÑO]:[SALARIO 
MENSUAL]],2,0)*2&lt;$H$2,0,IFERROR(VLOOKUP(INT(TEXT(K152,"AAAA")),Tabla3[[AÑO]:[SALARIO 
MENSUAL]],2,0)," "))/30*L152," ")</f>
        <v xml:space="preserve"> </v>
      </c>
      <c r="Q152" s="14" t="str">
        <f>IFERROR(IF(VLOOKUP(INT(TEXT(K152,"AAAA")),Tabla3[[AÑO]:[SALARIO 
MENSUAL]],4,0)*2&lt;$H$2,$H$2,VLOOKUP(INT(TEXT(K152,"AAAA")),Tabla3[[AÑO]:[SALARIO 
MENSUAL]],4,0))/30*L152+$H$14+P152," ")</f>
        <v xml:space="preserve"> </v>
      </c>
      <c r="R152" s="12" t="str">
        <f t="shared" si="54"/>
        <v xml:space="preserve"> </v>
      </c>
      <c r="S152" s="12" t="str">
        <f t="shared" si="55"/>
        <v xml:space="preserve"> </v>
      </c>
      <c r="T152" s="11" t="str">
        <f t="shared" si="56"/>
        <v xml:space="preserve"> </v>
      </c>
      <c r="U152" s="14" t="str">
        <f t="shared" si="60"/>
        <v xml:space="preserve"> </v>
      </c>
      <c r="V152" s="12" t="str">
        <f t="shared" si="57"/>
        <v xml:space="preserve"> </v>
      </c>
      <c r="W152" s="53" t="str">
        <f t="shared" si="61"/>
        <v xml:space="preserve"> </v>
      </c>
      <c r="X152" s="12" t="str">
        <f t="shared" si="58"/>
        <v xml:space="preserve"> </v>
      </c>
      <c r="Y152" s="12" t="str">
        <f ca="1">IFERROR(IF(TEXT($H$4,"DDMMAAAA")=TEXT($K151,"DDMMAAAA"),SUM($Y$2:INDIRECT(ADDRESS(ROW(Y151),COLUMN(Y151)))),$H$8/M152*U152)," ")</f>
        <v xml:space="preserve"> </v>
      </c>
      <c r="Z152" s="51" t="str">
        <f ca="1">IFERROR(IF(TEXT($H$4,"DDMMAAAA")=TEXT($K151,"DDMMAAAA"),SUM($Y$2:INDIRECT(ADDRESS(ROW(Z151),COLUMN(Z151)))),$H$8/M152*R152)," ")</f>
        <v xml:space="preserve"> </v>
      </c>
      <c r="AA152" s="12" t="str">
        <f ca="1">IFERROR(IF(TEXT($H$4,"DDMMAAAA")=TEXT($K151,"DDMMAAAA"),SUM($AA$2:INDIRECT(ADDRESS(ROW(AA151),COLUMN(AA151)))),$H$8/M152*S152)," ")</f>
        <v xml:space="preserve"> </v>
      </c>
      <c r="AB152" s="12" t="str">
        <f ca="1">IFERROR(IF(TEXT($H$4,"DDMMAAAA")=TEXT($K151,"DDMMAAAA"),SUM($AB$2:INDIRECT(ADDRESS(ROW(AB151),COLUMN(AB151)))),$H$8/M152*V152)," ")</f>
        <v xml:space="preserve"> </v>
      </c>
      <c r="AC152" s="12" t="str">
        <f ca="1">IFERROR(IF(TEXT($H$4,"DDMMAAAA")=TEXT($K151,"DDMMAAAA"),SUM($AC$2:INDIRECT(ADDRESS(ROW(AC151),COLUMN(AC151)))),IF(SUM(Y152:AB152)=0,"",SUM(Y152:AB152)))," ")</f>
        <v/>
      </c>
      <c r="AE152">
        <v>201109</v>
      </c>
      <c r="AF152">
        <v>3.73</v>
      </c>
    </row>
    <row r="153" spans="10:32" hidden="1" x14ac:dyDescent="0.4">
      <c r="J153" s="19" t="str">
        <f t="shared" si="59"/>
        <v/>
      </c>
      <c r="K153" s="19" t="str">
        <f t="shared" si="51"/>
        <v xml:space="preserve"> </v>
      </c>
      <c r="L153" s="13" t="str">
        <f t="shared" si="62"/>
        <v xml:space="preserve"> </v>
      </c>
      <c r="M153" s="9" t="str">
        <f t="shared" si="63"/>
        <v xml:space="preserve"> </v>
      </c>
      <c r="N153" s="46" t="str">
        <f t="shared" si="52"/>
        <v xml:space="preserve"> </v>
      </c>
      <c r="O153" s="46" t="str">
        <f t="shared" si="53"/>
        <v xml:space="preserve"> </v>
      </c>
      <c r="P153" s="14" t="str">
        <f>IFERROR(IF(VLOOKUP(INT(TEXT(K153,"AAAA")),Tabla3[[AÑO]:[SALARIO 
MENSUAL]],2,0)*2&lt;$H$2,0,IFERROR(VLOOKUP(INT(TEXT(K153,"AAAA")),Tabla3[[AÑO]:[SALARIO 
MENSUAL]],2,0)," "))/30*L153," ")</f>
        <v xml:space="preserve"> </v>
      </c>
      <c r="Q153" s="14" t="str">
        <f>IFERROR(IF(VLOOKUP(INT(TEXT(K153,"AAAA")),Tabla3[[AÑO]:[SALARIO 
MENSUAL]],4,0)*2&lt;$H$2,$H$2,VLOOKUP(INT(TEXT(K153,"AAAA")),Tabla3[[AÑO]:[SALARIO 
MENSUAL]],4,0))/30*L153+$H$14+P153," ")</f>
        <v xml:space="preserve"> </v>
      </c>
      <c r="R153" s="12" t="str">
        <f t="shared" si="54"/>
        <v xml:space="preserve"> </v>
      </c>
      <c r="S153" s="12" t="str">
        <f t="shared" si="55"/>
        <v xml:space="preserve"> </v>
      </c>
      <c r="T153" s="11" t="str">
        <f t="shared" si="56"/>
        <v xml:space="preserve"> </v>
      </c>
      <c r="U153" s="14" t="str">
        <f t="shared" si="60"/>
        <v xml:space="preserve"> </v>
      </c>
      <c r="V153" s="12" t="str">
        <f t="shared" si="57"/>
        <v xml:space="preserve"> </v>
      </c>
      <c r="W153" s="53" t="str">
        <f t="shared" si="61"/>
        <v xml:space="preserve"> </v>
      </c>
      <c r="X153" s="12" t="str">
        <f t="shared" si="58"/>
        <v xml:space="preserve"> </v>
      </c>
      <c r="Y153" s="12" t="str">
        <f ca="1">IFERROR(IF(TEXT($H$4,"DDMMAAAA")=TEXT($K152,"DDMMAAAA"),SUM($Y$2:INDIRECT(ADDRESS(ROW(Y152),COLUMN(Y152)))),$H$8/M153*U153)," ")</f>
        <v xml:space="preserve"> </v>
      </c>
      <c r="Z153" s="51" t="str">
        <f ca="1">IFERROR(IF(TEXT($H$4,"DDMMAAAA")=TEXT($K152,"DDMMAAAA"),SUM($Y$2:INDIRECT(ADDRESS(ROW(Z152),COLUMN(Z152)))),$H$8/M153*R153)," ")</f>
        <v xml:space="preserve"> </v>
      </c>
      <c r="AA153" s="12" t="str">
        <f ca="1">IFERROR(IF(TEXT($H$4,"DDMMAAAA")=TEXT($K152,"DDMMAAAA"),SUM($AA$2:INDIRECT(ADDRESS(ROW(AA152),COLUMN(AA152)))),$H$8/M153*S153)," ")</f>
        <v xml:space="preserve"> </v>
      </c>
      <c r="AB153" s="12" t="str">
        <f ca="1">IFERROR(IF(TEXT($H$4,"DDMMAAAA")=TEXT($K152,"DDMMAAAA"),SUM($AB$2:INDIRECT(ADDRESS(ROW(AB152),COLUMN(AB152)))),$H$8/M153*V153)," ")</f>
        <v xml:space="preserve"> </v>
      </c>
      <c r="AC153" s="12" t="str">
        <f ca="1">IFERROR(IF(TEXT($H$4,"DDMMAAAA")=TEXT($K152,"DDMMAAAA"),SUM($AC$2:INDIRECT(ADDRESS(ROW(AC152),COLUMN(AC152)))),IF(SUM(Y153:AB153)=0,"",SUM(Y153:AB153)))," ")</f>
        <v/>
      </c>
      <c r="AE153">
        <v>201108</v>
      </c>
      <c r="AF153">
        <v>3.27</v>
      </c>
    </row>
    <row r="154" spans="10:32" hidden="1" x14ac:dyDescent="0.4">
      <c r="J154" s="19" t="str">
        <f t="shared" si="59"/>
        <v/>
      </c>
      <c r="K154" s="19" t="str">
        <f t="shared" si="51"/>
        <v xml:space="preserve"> </v>
      </c>
      <c r="L154" s="13" t="str">
        <f t="shared" si="62"/>
        <v xml:space="preserve"> </v>
      </c>
      <c r="M154" s="9" t="str">
        <f t="shared" si="63"/>
        <v xml:space="preserve"> </v>
      </c>
      <c r="N154" s="46" t="str">
        <f t="shared" si="52"/>
        <v xml:space="preserve"> </v>
      </c>
      <c r="O154" s="46" t="str">
        <f t="shared" si="53"/>
        <v xml:space="preserve"> </v>
      </c>
      <c r="P154" s="14" t="str">
        <f>IFERROR(IF(VLOOKUP(INT(TEXT(K154,"AAAA")),Tabla3[[AÑO]:[SALARIO 
MENSUAL]],2,0)*2&lt;$H$2,0,IFERROR(VLOOKUP(INT(TEXT(K154,"AAAA")),Tabla3[[AÑO]:[SALARIO 
MENSUAL]],2,0)," "))/30*L154," ")</f>
        <v xml:space="preserve"> </v>
      </c>
      <c r="Q154" s="14" t="str">
        <f>IFERROR(IF(VLOOKUP(INT(TEXT(K154,"AAAA")),Tabla3[[AÑO]:[SALARIO 
MENSUAL]],4,0)*2&lt;$H$2,$H$2,VLOOKUP(INT(TEXT(K154,"AAAA")),Tabla3[[AÑO]:[SALARIO 
MENSUAL]],4,0))/30*L154+$H$14+P154," ")</f>
        <v xml:space="preserve"> </v>
      </c>
      <c r="R154" s="12" t="str">
        <f t="shared" si="54"/>
        <v xml:space="preserve"> </v>
      </c>
      <c r="S154" s="12" t="str">
        <f t="shared" si="55"/>
        <v xml:space="preserve"> </v>
      </c>
      <c r="T154" s="11" t="str">
        <f t="shared" si="56"/>
        <v xml:space="preserve"> </v>
      </c>
      <c r="U154" s="14" t="str">
        <f t="shared" si="60"/>
        <v xml:space="preserve"> </v>
      </c>
      <c r="V154" s="12" t="str">
        <f t="shared" si="57"/>
        <v xml:space="preserve"> </v>
      </c>
      <c r="W154" s="53" t="str">
        <f t="shared" si="61"/>
        <v xml:space="preserve"> </v>
      </c>
      <c r="X154" s="12" t="str">
        <f t="shared" si="58"/>
        <v xml:space="preserve"> </v>
      </c>
      <c r="Y154" s="12" t="str">
        <f ca="1">IFERROR(IF(TEXT($H$4,"DDMMAAAA")=TEXT($K153,"DDMMAAAA"),SUM($Y$2:INDIRECT(ADDRESS(ROW(Y153),COLUMN(Y153)))),$H$8/M154*U154)," ")</f>
        <v xml:space="preserve"> </v>
      </c>
      <c r="Z154" s="51" t="str">
        <f ca="1">IFERROR(IF(TEXT($H$4,"DDMMAAAA")=TEXT($K153,"DDMMAAAA"),SUM($Y$2:INDIRECT(ADDRESS(ROW(Z153),COLUMN(Z153)))),$H$8/M154*R154)," ")</f>
        <v xml:space="preserve"> </v>
      </c>
      <c r="AA154" s="12" t="str">
        <f ca="1">IFERROR(IF(TEXT($H$4,"DDMMAAAA")=TEXT($K153,"DDMMAAAA"),SUM($AA$2:INDIRECT(ADDRESS(ROW(AA153),COLUMN(AA153)))),$H$8/M154*S154)," ")</f>
        <v xml:space="preserve"> </v>
      </c>
      <c r="AB154" s="12" t="str">
        <f ca="1">IFERROR(IF(TEXT($H$4,"DDMMAAAA")=TEXT($K153,"DDMMAAAA"),SUM($AB$2:INDIRECT(ADDRESS(ROW(AB153),COLUMN(AB153)))),$H$8/M154*V154)," ")</f>
        <v xml:space="preserve"> </v>
      </c>
      <c r="AC154" s="12" t="str">
        <f ca="1">IFERROR(IF(TEXT($H$4,"DDMMAAAA")=TEXT($K153,"DDMMAAAA"),SUM($AC$2:INDIRECT(ADDRESS(ROW(AC153),COLUMN(AC153)))),IF(SUM(Y154:AB154)=0,"",SUM(Y154:AB154)))," ")</f>
        <v/>
      </c>
      <c r="AE154">
        <v>201107</v>
      </c>
      <c r="AF154">
        <v>3.42</v>
      </c>
    </row>
    <row r="155" spans="10:32" hidden="1" x14ac:dyDescent="0.4">
      <c r="J155" s="19" t="str">
        <f t="shared" si="59"/>
        <v/>
      </c>
      <c r="K155" s="19" t="str">
        <f t="shared" si="51"/>
        <v xml:space="preserve"> </v>
      </c>
      <c r="L155" s="13" t="str">
        <f t="shared" si="62"/>
        <v xml:space="preserve"> </v>
      </c>
      <c r="M155" s="9" t="str">
        <f t="shared" si="63"/>
        <v xml:space="preserve"> </v>
      </c>
      <c r="N155" s="46" t="str">
        <f t="shared" si="52"/>
        <v xml:space="preserve"> </v>
      </c>
      <c r="O155" s="46" t="str">
        <f t="shared" si="53"/>
        <v xml:space="preserve"> </v>
      </c>
      <c r="P155" s="14" t="str">
        <f>IFERROR(IF(VLOOKUP(INT(TEXT(K155,"AAAA")),Tabla3[[AÑO]:[SALARIO 
MENSUAL]],2,0)*2&lt;$H$2,0,IFERROR(VLOOKUP(INT(TEXT(K155,"AAAA")),Tabla3[[AÑO]:[SALARIO 
MENSUAL]],2,0)," "))/30*L155," ")</f>
        <v xml:space="preserve"> </v>
      </c>
      <c r="Q155" s="14" t="str">
        <f>IFERROR(IF(VLOOKUP(INT(TEXT(K155,"AAAA")),Tabla3[[AÑO]:[SALARIO 
MENSUAL]],4,0)*2&lt;$H$2,$H$2,VLOOKUP(INT(TEXT(K155,"AAAA")),Tabla3[[AÑO]:[SALARIO 
MENSUAL]],4,0))/30*L155+$H$14+P155," ")</f>
        <v xml:space="preserve"> </v>
      </c>
      <c r="R155" s="12" t="str">
        <f t="shared" si="54"/>
        <v xml:space="preserve"> </v>
      </c>
      <c r="S155" s="12" t="str">
        <f t="shared" si="55"/>
        <v xml:space="preserve"> </v>
      </c>
      <c r="T155" s="11" t="str">
        <f t="shared" si="56"/>
        <v xml:space="preserve"> </v>
      </c>
      <c r="U155" s="14" t="str">
        <f t="shared" si="60"/>
        <v xml:space="preserve"> </v>
      </c>
      <c r="V155" s="12" t="str">
        <f t="shared" si="57"/>
        <v xml:space="preserve"> </v>
      </c>
      <c r="W155" s="53" t="str">
        <f t="shared" si="61"/>
        <v xml:space="preserve"> </v>
      </c>
      <c r="X155" s="12" t="str">
        <f t="shared" si="58"/>
        <v xml:space="preserve"> </v>
      </c>
      <c r="Y155" s="12" t="str">
        <f ca="1">IFERROR(IF(TEXT($H$4,"DDMMAAAA")=TEXT($K154,"DDMMAAAA"),SUM($Y$2:INDIRECT(ADDRESS(ROW(Y154),COLUMN(Y154)))),$H$8/M155*U155)," ")</f>
        <v xml:space="preserve"> </v>
      </c>
      <c r="Z155" s="51" t="str">
        <f ca="1">IFERROR(IF(TEXT($H$4,"DDMMAAAA")=TEXT($K154,"DDMMAAAA"),SUM($Y$2:INDIRECT(ADDRESS(ROW(Z154),COLUMN(Z154)))),$H$8/M155*R155)," ")</f>
        <v xml:space="preserve"> </v>
      </c>
      <c r="AA155" s="12" t="str">
        <f ca="1">IFERROR(IF(TEXT($H$4,"DDMMAAAA")=TEXT($K154,"DDMMAAAA"),SUM($AA$2:INDIRECT(ADDRESS(ROW(AA154),COLUMN(AA154)))),$H$8/M155*S155)," ")</f>
        <v xml:space="preserve"> </v>
      </c>
      <c r="AB155" s="12" t="str">
        <f ca="1">IFERROR(IF(TEXT($H$4,"DDMMAAAA")=TEXT($K154,"DDMMAAAA"),SUM($AB$2:INDIRECT(ADDRESS(ROW(AB154),COLUMN(AB154)))),$H$8/M155*V155)," ")</f>
        <v xml:space="preserve"> </v>
      </c>
      <c r="AC155" s="12" t="str">
        <f ca="1">IFERROR(IF(TEXT($H$4,"DDMMAAAA")=TEXT($K154,"DDMMAAAA"),SUM($AC$2:INDIRECT(ADDRESS(ROW(AC154),COLUMN(AC154)))),IF(SUM(Y155:AB155)=0,"",SUM(Y155:AB155)))," ")</f>
        <v/>
      </c>
      <c r="AE155">
        <v>201106</v>
      </c>
      <c r="AF155">
        <v>3.23</v>
      </c>
    </row>
    <row r="156" spans="10:32" hidden="1" x14ac:dyDescent="0.4">
      <c r="J156" s="19" t="str">
        <f t="shared" si="59"/>
        <v/>
      </c>
      <c r="K156" s="19" t="str">
        <f t="shared" si="51"/>
        <v xml:space="preserve"> </v>
      </c>
      <c r="L156" s="13" t="str">
        <f t="shared" si="62"/>
        <v xml:space="preserve"> </v>
      </c>
      <c r="M156" s="9" t="str">
        <f t="shared" si="63"/>
        <v xml:space="preserve"> </v>
      </c>
      <c r="N156" s="46" t="str">
        <f t="shared" si="52"/>
        <v xml:space="preserve"> </v>
      </c>
      <c r="O156" s="46" t="str">
        <f t="shared" si="53"/>
        <v xml:space="preserve"> </v>
      </c>
      <c r="P156" s="14" t="str">
        <f>IFERROR(IF(VLOOKUP(INT(TEXT(K156,"AAAA")),Tabla3[[AÑO]:[SALARIO 
MENSUAL]],2,0)*2&lt;$H$2,0,IFERROR(VLOOKUP(INT(TEXT(K156,"AAAA")),Tabla3[[AÑO]:[SALARIO 
MENSUAL]],2,0)," "))/30*L156," ")</f>
        <v xml:space="preserve"> </v>
      </c>
      <c r="Q156" s="14" t="str">
        <f>IFERROR(IF(VLOOKUP(INT(TEXT(K156,"AAAA")),Tabla3[[AÑO]:[SALARIO 
MENSUAL]],4,0)*2&lt;$H$2,$H$2,VLOOKUP(INT(TEXT(K156,"AAAA")),Tabla3[[AÑO]:[SALARIO 
MENSUAL]],4,0))/30*L156+$H$14+P156," ")</f>
        <v xml:space="preserve"> </v>
      </c>
      <c r="R156" s="12" t="str">
        <f t="shared" si="54"/>
        <v xml:space="preserve"> </v>
      </c>
      <c r="S156" s="12" t="str">
        <f t="shared" si="55"/>
        <v xml:space="preserve"> </v>
      </c>
      <c r="T156" s="11" t="str">
        <f t="shared" si="56"/>
        <v xml:space="preserve"> </v>
      </c>
      <c r="U156" s="14" t="str">
        <f t="shared" si="60"/>
        <v xml:space="preserve"> </v>
      </c>
      <c r="V156" s="12" t="str">
        <f t="shared" si="57"/>
        <v xml:space="preserve"> </v>
      </c>
      <c r="W156" s="53" t="str">
        <f t="shared" si="61"/>
        <v xml:space="preserve"> </v>
      </c>
      <c r="X156" s="12" t="str">
        <f t="shared" si="58"/>
        <v xml:space="preserve"> </v>
      </c>
      <c r="Y156" s="12" t="str">
        <f ca="1">IFERROR(IF(TEXT($H$4,"DDMMAAAA")=TEXT($K155,"DDMMAAAA"),SUM($Y$2:INDIRECT(ADDRESS(ROW(Y155),COLUMN(Y155)))),$H$8/M156*U156)," ")</f>
        <v xml:space="preserve"> </v>
      </c>
      <c r="Z156" s="51" t="str">
        <f ca="1">IFERROR(IF(TEXT($H$4,"DDMMAAAA")=TEXT($K155,"DDMMAAAA"),SUM($Y$2:INDIRECT(ADDRESS(ROW(Z155),COLUMN(Z155)))),$H$8/M156*R156)," ")</f>
        <v xml:space="preserve"> </v>
      </c>
      <c r="AA156" s="12" t="str">
        <f ca="1">IFERROR(IF(TEXT($H$4,"DDMMAAAA")=TEXT($K155,"DDMMAAAA"),SUM($AA$2:INDIRECT(ADDRESS(ROW(AA155),COLUMN(AA155)))),$H$8/M156*S156)," ")</f>
        <v xml:space="preserve"> </v>
      </c>
      <c r="AB156" s="12" t="str">
        <f ca="1">IFERROR(IF(TEXT($H$4,"DDMMAAAA")=TEXT($K155,"DDMMAAAA"),SUM($AB$2:INDIRECT(ADDRESS(ROW(AB155),COLUMN(AB155)))),$H$8/M156*V156)," ")</f>
        <v xml:space="preserve"> </v>
      </c>
      <c r="AC156" s="12" t="str">
        <f ca="1">IFERROR(IF(TEXT($H$4,"DDMMAAAA")=TEXT($K155,"DDMMAAAA"),SUM($AC$2:INDIRECT(ADDRESS(ROW(AC155),COLUMN(AC155)))),IF(SUM(Y156:AB156)=0,"",SUM(Y156:AB156)))," ")</f>
        <v/>
      </c>
      <c r="AE156">
        <v>201105</v>
      </c>
      <c r="AF156">
        <v>3.02</v>
      </c>
    </row>
    <row r="157" spans="10:32" hidden="1" x14ac:dyDescent="0.4">
      <c r="J157" s="19" t="str">
        <f t="shared" si="59"/>
        <v/>
      </c>
      <c r="K157" s="19" t="str">
        <f t="shared" si="51"/>
        <v xml:space="preserve"> </v>
      </c>
      <c r="L157" s="13" t="str">
        <f t="shared" si="62"/>
        <v xml:space="preserve"> </v>
      </c>
      <c r="M157" s="9" t="str">
        <f t="shared" si="63"/>
        <v xml:space="preserve"> </v>
      </c>
      <c r="N157" s="46" t="str">
        <f t="shared" si="52"/>
        <v xml:space="preserve"> </v>
      </c>
      <c r="O157" s="46" t="str">
        <f t="shared" si="53"/>
        <v xml:space="preserve"> </v>
      </c>
      <c r="P157" s="14" t="str">
        <f>IFERROR(IF(VLOOKUP(INT(TEXT(K157,"AAAA")),Tabla3[[AÑO]:[SALARIO 
MENSUAL]],2,0)*2&lt;$H$2,0,IFERROR(VLOOKUP(INT(TEXT(K157,"AAAA")),Tabla3[[AÑO]:[SALARIO 
MENSUAL]],2,0)," "))/30*L157," ")</f>
        <v xml:space="preserve"> </v>
      </c>
      <c r="Q157" s="14" t="str">
        <f>IFERROR(IF(VLOOKUP(INT(TEXT(K157,"AAAA")),Tabla3[[AÑO]:[SALARIO 
MENSUAL]],4,0)*2&lt;$H$2,$H$2,VLOOKUP(INT(TEXT(K157,"AAAA")),Tabla3[[AÑO]:[SALARIO 
MENSUAL]],4,0))/30*L157+$H$14+P157," ")</f>
        <v xml:space="preserve"> </v>
      </c>
      <c r="R157" s="12" t="str">
        <f t="shared" si="54"/>
        <v xml:space="preserve"> </v>
      </c>
      <c r="S157" s="12" t="str">
        <f t="shared" si="55"/>
        <v xml:space="preserve"> </v>
      </c>
      <c r="T157" s="11" t="str">
        <f t="shared" si="56"/>
        <v xml:space="preserve"> </v>
      </c>
      <c r="U157" s="14" t="str">
        <f t="shared" si="60"/>
        <v xml:space="preserve"> </v>
      </c>
      <c r="V157" s="12" t="str">
        <f t="shared" si="57"/>
        <v xml:space="preserve"> </v>
      </c>
      <c r="W157" s="53" t="str">
        <f t="shared" si="61"/>
        <v xml:space="preserve"> </v>
      </c>
      <c r="X157" s="12" t="str">
        <f t="shared" si="58"/>
        <v xml:space="preserve"> </v>
      </c>
      <c r="Y157" s="12" t="str">
        <f ca="1">IFERROR(IF(TEXT($H$4,"DDMMAAAA")=TEXT($K156,"DDMMAAAA"),SUM($Y$2:INDIRECT(ADDRESS(ROW(Y156),COLUMN(Y156)))),$H$8/M157*U157)," ")</f>
        <v xml:space="preserve"> </v>
      </c>
      <c r="Z157" s="51" t="str">
        <f ca="1">IFERROR(IF(TEXT($H$4,"DDMMAAAA")=TEXT($K156,"DDMMAAAA"),SUM($Y$2:INDIRECT(ADDRESS(ROW(Z156),COLUMN(Z156)))),$H$8/M157*R157)," ")</f>
        <v xml:space="preserve"> </v>
      </c>
      <c r="AA157" s="12" t="str">
        <f ca="1">IFERROR(IF(TEXT($H$4,"DDMMAAAA")=TEXT($K156,"DDMMAAAA"),SUM($AA$2:INDIRECT(ADDRESS(ROW(AA156),COLUMN(AA156)))),$H$8/M157*S157)," ")</f>
        <v xml:space="preserve"> </v>
      </c>
      <c r="AB157" s="12" t="str">
        <f ca="1">IFERROR(IF(TEXT($H$4,"DDMMAAAA")=TEXT($K156,"DDMMAAAA"),SUM($AB$2:INDIRECT(ADDRESS(ROW(AB156),COLUMN(AB156)))),$H$8/M157*V157)," ")</f>
        <v xml:space="preserve"> </v>
      </c>
      <c r="AC157" s="12" t="str">
        <f ca="1">IFERROR(IF(TEXT($H$4,"DDMMAAAA")=TEXT($K156,"DDMMAAAA"),SUM($AC$2:INDIRECT(ADDRESS(ROW(AC156),COLUMN(AC156)))),IF(SUM(Y157:AB157)=0,"",SUM(Y157:AB157)))," ")</f>
        <v/>
      </c>
      <c r="AE157">
        <v>201104</v>
      </c>
      <c r="AF157">
        <v>2.84</v>
      </c>
    </row>
    <row r="158" spans="10:32" hidden="1" x14ac:dyDescent="0.4">
      <c r="J158" s="19" t="str">
        <f t="shared" si="59"/>
        <v/>
      </c>
      <c r="K158" s="19" t="str">
        <f t="shared" si="51"/>
        <v xml:space="preserve"> </v>
      </c>
      <c r="L158" s="13" t="str">
        <f t="shared" si="62"/>
        <v xml:space="preserve"> </v>
      </c>
      <c r="M158" s="9" t="str">
        <f t="shared" si="63"/>
        <v xml:space="preserve"> </v>
      </c>
      <c r="N158" s="46" t="str">
        <f t="shared" si="52"/>
        <v xml:space="preserve"> </v>
      </c>
      <c r="O158" s="46" t="str">
        <f t="shared" si="53"/>
        <v xml:space="preserve"> </v>
      </c>
      <c r="P158" s="14" t="str">
        <f>IFERROR(IF(VLOOKUP(INT(TEXT(K158,"AAAA")),Tabla3[[AÑO]:[SALARIO 
MENSUAL]],2,0)*2&lt;$H$2,0,IFERROR(VLOOKUP(INT(TEXT(K158,"AAAA")),Tabla3[[AÑO]:[SALARIO 
MENSUAL]],2,0)," "))/30*L158," ")</f>
        <v xml:space="preserve"> </v>
      </c>
      <c r="Q158" s="14" t="str">
        <f>IFERROR(IF(VLOOKUP(INT(TEXT(K158,"AAAA")),Tabla3[[AÑO]:[SALARIO 
MENSUAL]],4,0)*2&lt;$H$2,$H$2,VLOOKUP(INT(TEXT(K158,"AAAA")),Tabla3[[AÑO]:[SALARIO 
MENSUAL]],4,0))/30*L158+$H$14+P158," ")</f>
        <v xml:space="preserve"> </v>
      </c>
      <c r="R158" s="12" t="str">
        <f t="shared" si="54"/>
        <v xml:space="preserve"> </v>
      </c>
      <c r="S158" s="12" t="str">
        <f t="shared" si="55"/>
        <v xml:space="preserve"> </v>
      </c>
      <c r="T158" s="11" t="str">
        <f t="shared" si="56"/>
        <v xml:space="preserve"> </v>
      </c>
      <c r="U158" s="14" t="str">
        <f t="shared" si="60"/>
        <v xml:space="preserve"> </v>
      </c>
      <c r="V158" s="12" t="str">
        <f t="shared" si="57"/>
        <v xml:space="preserve"> </v>
      </c>
      <c r="W158" s="53" t="str">
        <f t="shared" si="61"/>
        <v xml:space="preserve"> </v>
      </c>
      <c r="X158" s="12" t="str">
        <f t="shared" si="58"/>
        <v xml:space="preserve"> </v>
      </c>
      <c r="Y158" s="12" t="str">
        <f ca="1">IFERROR(IF(TEXT($H$4,"DDMMAAAA")=TEXT($K157,"DDMMAAAA"),SUM($Y$2:INDIRECT(ADDRESS(ROW(Y157),COLUMN(Y157)))),$H$8/M158*U158)," ")</f>
        <v xml:space="preserve"> </v>
      </c>
      <c r="Z158" s="51" t="str">
        <f ca="1">IFERROR(IF(TEXT($H$4,"DDMMAAAA")=TEXT($K157,"DDMMAAAA"),SUM($Y$2:INDIRECT(ADDRESS(ROW(Z157),COLUMN(Z157)))),$H$8/M158*R158)," ")</f>
        <v xml:space="preserve"> </v>
      </c>
      <c r="AA158" s="12" t="str">
        <f ca="1">IFERROR(IF(TEXT($H$4,"DDMMAAAA")=TEXT($K157,"DDMMAAAA"),SUM($AA$2:INDIRECT(ADDRESS(ROW(AA157),COLUMN(AA157)))),$H$8/M158*S158)," ")</f>
        <v xml:space="preserve"> </v>
      </c>
      <c r="AB158" s="12" t="str">
        <f ca="1">IFERROR(IF(TEXT($H$4,"DDMMAAAA")=TEXT($K157,"DDMMAAAA"),SUM($AB$2:INDIRECT(ADDRESS(ROW(AB157),COLUMN(AB157)))),$H$8/M158*V158)," ")</f>
        <v xml:space="preserve"> </v>
      </c>
      <c r="AC158" s="12" t="str">
        <f ca="1">IFERROR(IF(TEXT($H$4,"DDMMAAAA")=TEXT($K157,"DDMMAAAA"),SUM($AC$2:INDIRECT(ADDRESS(ROW(AC157),COLUMN(AC157)))),IF(SUM(Y158:AB158)=0,"",SUM(Y158:AB158)))," ")</f>
        <v/>
      </c>
      <c r="AE158">
        <v>201103</v>
      </c>
      <c r="AF158">
        <v>3.19</v>
      </c>
    </row>
    <row r="159" spans="10:32" hidden="1" x14ac:dyDescent="0.4">
      <c r="J159" s="19" t="str">
        <f t="shared" si="59"/>
        <v/>
      </c>
      <c r="K159" s="19" t="str">
        <f t="shared" si="51"/>
        <v xml:space="preserve"> </v>
      </c>
      <c r="L159" s="13" t="str">
        <f t="shared" si="62"/>
        <v xml:space="preserve"> </v>
      </c>
      <c r="M159" s="9" t="str">
        <f t="shared" si="63"/>
        <v xml:space="preserve"> </v>
      </c>
      <c r="N159" s="46" t="str">
        <f t="shared" si="52"/>
        <v xml:space="preserve"> </v>
      </c>
      <c r="O159" s="46" t="str">
        <f t="shared" si="53"/>
        <v xml:space="preserve"> </v>
      </c>
      <c r="P159" s="14" t="str">
        <f>IFERROR(IF(VLOOKUP(INT(TEXT(K159,"AAAA")),Tabla3[[AÑO]:[SALARIO 
MENSUAL]],2,0)*2&lt;$H$2,0,IFERROR(VLOOKUP(INT(TEXT(K159,"AAAA")),Tabla3[[AÑO]:[SALARIO 
MENSUAL]],2,0)," "))/30*L159," ")</f>
        <v xml:space="preserve"> </v>
      </c>
      <c r="Q159" s="14" t="str">
        <f>IFERROR(IF(VLOOKUP(INT(TEXT(K159,"AAAA")),Tabla3[[AÑO]:[SALARIO 
MENSUAL]],4,0)*2&lt;$H$2,$H$2,VLOOKUP(INT(TEXT(K159,"AAAA")),Tabla3[[AÑO]:[SALARIO 
MENSUAL]],4,0))/30*L159+$H$14+P159," ")</f>
        <v xml:space="preserve"> </v>
      </c>
      <c r="R159" s="12" t="str">
        <f t="shared" si="54"/>
        <v xml:space="preserve"> </v>
      </c>
      <c r="S159" s="12" t="str">
        <f t="shared" si="55"/>
        <v xml:space="preserve"> </v>
      </c>
      <c r="T159" s="11" t="str">
        <f t="shared" si="56"/>
        <v xml:space="preserve"> </v>
      </c>
      <c r="U159" s="14" t="str">
        <f t="shared" si="60"/>
        <v xml:space="preserve"> </v>
      </c>
      <c r="V159" s="12" t="str">
        <f t="shared" si="57"/>
        <v xml:space="preserve"> </v>
      </c>
      <c r="W159" s="53" t="str">
        <f t="shared" si="61"/>
        <v xml:space="preserve"> </v>
      </c>
      <c r="X159" s="12" t="str">
        <f t="shared" si="58"/>
        <v xml:space="preserve"> </v>
      </c>
      <c r="Y159" s="12" t="str">
        <f ca="1">IFERROR(IF(TEXT($H$4,"DDMMAAAA")=TEXT($K158,"DDMMAAAA"),SUM($Y$2:INDIRECT(ADDRESS(ROW(Y158),COLUMN(Y158)))),$H$8/M159*U159)," ")</f>
        <v xml:space="preserve"> </v>
      </c>
      <c r="Z159" s="51" t="str">
        <f ca="1">IFERROR(IF(TEXT($H$4,"DDMMAAAA")=TEXT($K158,"DDMMAAAA"),SUM($Y$2:INDIRECT(ADDRESS(ROW(Z158),COLUMN(Z158)))),$H$8/M159*R159)," ")</f>
        <v xml:space="preserve"> </v>
      </c>
      <c r="AA159" s="12" t="str">
        <f ca="1">IFERROR(IF(TEXT($H$4,"DDMMAAAA")=TEXT($K158,"DDMMAAAA"),SUM($AA$2:INDIRECT(ADDRESS(ROW(AA158),COLUMN(AA158)))),$H$8/M159*S159)," ")</f>
        <v xml:space="preserve"> </v>
      </c>
      <c r="AB159" s="12" t="str">
        <f ca="1">IFERROR(IF(TEXT($H$4,"DDMMAAAA")=TEXT($K158,"DDMMAAAA"),SUM($AB$2:INDIRECT(ADDRESS(ROW(AB158),COLUMN(AB158)))),$H$8/M159*V159)," ")</f>
        <v xml:space="preserve"> </v>
      </c>
      <c r="AC159" s="12" t="str">
        <f ca="1">IFERROR(IF(TEXT($H$4,"DDMMAAAA")=TEXT($K158,"DDMMAAAA"),SUM($AC$2:INDIRECT(ADDRESS(ROW(AC158),COLUMN(AC158)))),IF(SUM(Y159:AB159)=0,"",SUM(Y159:AB159)))," ")</f>
        <v/>
      </c>
      <c r="AE159">
        <v>201102</v>
      </c>
      <c r="AF159">
        <v>3.17</v>
      </c>
    </row>
    <row r="160" spans="10:32" hidden="1" x14ac:dyDescent="0.4">
      <c r="J160" s="19" t="str">
        <f t="shared" si="59"/>
        <v/>
      </c>
      <c r="K160" s="19" t="str">
        <f t="shared" si="51"/>
        <v xml:space="preserve"> </v>
      </c>
      <c r="L160" s="13" t="str">
        <f t="shared" si="62"/>
        <v xml:space="preserve"> </v>
      </c>
      <c r="M160" s="9" t="str">
        <f t="shared" si="63"/>
        <v xml:space="preserve"> </v>
      </c>
      <c r="N160" s="46" t="str">
        <f t="shared" si="52"/>
        <v xml:space="preserve"> </v>
      </c>
      <c r="O160" s="46" t="str">
        <f t="shared" si="53"/>
        <v xml:space="preserve"> </v>
      </c>
      <c r="P160" s="14" t="str">
        <f>IFERROR(IF(VLOOKUP(INT(TEXT(K160,"AAAA")),Tabla3[[AÑO]:[SALARIO 
MENSUAL]],2,0)*2&lt;$H$2,0,IFERROR(VLOOKUP(INT(TEXT(K160,"AAAA")),Tabla3[[AÑO]:[SALARIO 
MENSUAL]],2,0)," "))/30*L160," ")</f>
        <v xml:space="preserve"> </v>
      </c>
      <c r="Q160" s="14" t="str">
        <f>IFERROR(IF(VLOOKUP(INT(TEXT(K160,"AAAA")),Tabla3[[AÑO]:[SALARIO 
MENSUAL]],4,0)*2&lt;$H$2,$H$2,VLOOKUP(INT(TEXT(K160,"AAAA")),Tabla3[[AÑO]:[SALARIO 
MENSUAL]],4,0))/30*L160+$H$14+P160," ")</f>
        <v xml:space="preserve"> </v>
      </c>
      <c r="R160" s="12" t="str">
        <f t="shared" si="54"/>
        <v xml:space="preserve"> </v>
      </c>
      <c r="S160" s="12" t="str">
        <f t="shared" si="55"/>
        <v xml:space="preserve"> </v>
      </c>
      <c r="T160" s="11" t="str">
        <f t="shared" si="56"/>
        <v xml:space="preserve"> </v>
      </c>
      <c r="U160" s="14" t="str">
        <f t="shared" si="60"/>
        <v xml:space="preserve"> </v>
      </c>
      <c r="V160" s="12" t="str">
        <f t="shared" si="57"/>
        <v xml:space="preserve"> </v>
      </c>
      <c r="W160" s="53" t="str">
        <f t="shared" si="61"/>
        <v xml:space="preserve"> </v>
      </c>
      <c r="X160" s="12" t="str">
        <f t="shared" si="58"/>
        <v xml:space="preserve"> </v>
      </c>
      <c r="Y160" s="12" t="str">
        <f ca="1">IFERROR(IF(TEXT($H$4,"DDMMAAAA")=TEXT($K159,"DDMMAAAA"),SUM($Y$2:INDIRECT(ADDRESS(ROW(Y159),COLUMN(Y159)))),$H$8/M160*U160)," ")</f>
        <v xml:space="preserve"> </v>
      </c>
      <c r="Z160" s="51" t="str">
        <f ca="1">IFERROR(IF(TEXT($H$4,"DDMMAAAA")=TEXT($K159,"DDMMAAAA"),SUM($Y$2:INDIRECT(ADDRESS(ROW(Z159),COLUMN(Z159)))),$H$8/M160*R160)," ")</f>
        <v xml:space="preserve"> </v>
      </c>
      <c r="AA160" s="12" t="str">
        <f ca="1">IFERROR(IF(TEXT($H$4,"DDMMAAAA")=TEXT($K159,"DDMMAAAA"),SUM($AA$2:INDIRECT(ADDRESS(ROW(AA159),COLUMN(AA159)))),$H$8/M160*S160)," ")</f>
        <v xml:space="preserve"> </v>
      </c>
      <c r="AB160" s="12" t="str">
        <f ca="1">IFERROR(IF(TEXT($H$4,"DDMMAAAA")=TEXT($K159,"DDMMAAAA"),SUM($AB$2:INDIRECT(ADDRESS(ROW(AB159),COLUMN(AB159)))),$H$8/M160*V160)," ")</f>
        <v xml:space="preserve"> </v>
      </c>
      <c r="AC160" s="12" t="str">
        <f ca="1">IFERROR(IF(TEXT($H$4,"DDMMAAAA")=TEXT($K159,"DDMMAAAA"),SUM($AC$2:INDIRECT(ADDRESS(ROW(AC159),COLUMN(AC159)))),IF(SUM(Y160:AB160)=0,"",SUM(Y160:AB160)))," ")</f>
        <v/>
      </c>
      <c r="AE160">
        <v>201101</v>
      </c>
      <c r="AF160">
        <v>3.4</v>
      </c>
    </row>
    <row r="161" spans="10:32" hidden="1" x14ac:dyDescent="0.4">
      <c r="J161" s="19" t="str">
        <f t="shared" si="59"/>
        <v/>
      </c>
      <c r="K161" s="19" t="str">
        <f t="shared" si="51"/>
        <v xml:space="preserve"> </v>
      </c>
      <c r="L161" s="13" t="str">
        <f t="shared" si="62"/>
        <v xml:space="preserve"> </v>
      </c>
      <c r="M161" s="9" t="str">
        <f t="shared" si="63"/>
        <v xml:space="preserve"> </v>
      </c>
      <c r="N161" s="46" t="str">
        <f t="shared" si="52"/>
        <v xml:space="preserve"> </v>
      </c>
      <c r="O161" s="46" t="str">
        <f t="shared" si="53"/>
        <v xml:space="preserve"> </v>
      </c>
      <c r="P161" s="14" t="str">
        <f>IFERROR(IF(VLOOKUP(INT(TEXT(K161,"AAAA")),Tabla3[[AÑO]:[SALARIO 
MENSUAL]],2,0)*2&lt;$H$2,0,IFERROR(VLOOKUP(INT(TEXT(K161,"AAAA")),Tabla3[[AÑO]:[SALARIO 
MENSUAL]],2,0)," "))/30*L161," ")</f>
        <v xml:space="preserve"> </v>
      </c>
      <c r="Q161" s="14" t="str">
        <f>IFERROR(IF(VLOOKUP(INT(TEXT(K161,"AAAA")),Tabla3[[AÑO]:[SALARIO 
MENSUAL]],4,0)*2&lt;$H$2,$H$2,VLOOKUP(INT(TEXT(K161,"AAAA")),Tabla3[[AÑO]:[SALARIO 
MENSUAL]],4,0))/30*L161+$H$14+P161," ")</f>
        <v xml:space="preserve"> </v>
      </c>
      <c r="R161" s="12" t="str">
        <f t="shared" si="54"/>
        <v xml:space="preserve"> </v>
      </c>
      <c r="S161" s="12" t="str">
        <f t="shared" si="55"/>
        <v xml:space="preserve"> </v>
      </c>
      <c r="T161" s="11" t="str">
        <f t="shared" si="56"/>
        <v xml:space="preserve"> </v>
      </c>
      <c r="U161" s="14" t="str">
        <f t="shared" si="60"/>
        <v xml:space="preserve"> </v>
      </c>
      <c r="V161" s="12" t="str">
        <f t="shared" si="57"/>
        <v xml:space="preserve"> </v>
      </c>
      <c r="W161" s="53" t="str">
        <f t="shared" si="61"/>
        <v xml:space="preserve"> </v>
      </c>
      <c r="X161" s="12" t="str">
        <f t="shared" si="58"/>
        <v xml:space="preserve"> </v>
      </c>
      <c r="Y161" s="12" t="str">
        <f ca="1">IFERROR(IF(TEXT($H$4,"DDMMAAAA")=TEXT($K160,"DDMMAAAA"),SUM($Y$2:INDIRECT(ADDRESS(ROW(Y160),COLUMN(Y160)))),$H$8/M161*U161)," ")</f>
        <v xml:space="preserve"> </v>
      </c>
      <c r="Z161" s="51" t="str">
        <f ca="1">IFERROR(IF(TEXT($H$4,"DDMMAAAA")=TEXT($K160,"DDMMAAAA"),SUM($Y$2:INDIRECT(ADDRESS(ROW(Z160),COLUMN(Z160)))),$H$8/M161*R161)," ")</f>
        <v xml:space="preserve"> </v>
      </c>
      <c r="AA161" s="12" t="str">
        <f ca="1">IFERROR(IF(TEXT($H$4,"DDMMAAAA")=TEXT($K160,"DDMMAAAA"),SUM($AA$2:INDIRECT(ADDRESS(ROW(AA160),COLUMN(AA160)))),$H$8/M161*S161)," ")</f>
        <v xml:space="preserve"> </v>
      </c>
      <c r="AB161" s="12" t="str">
        <f ca="1">IFERROR(IF(TEXT($H$4,"DDMMAAAA")=TEXT($K160,"DDMMAAAA"),SUM($AB$2:INDIRECT(ADDRESS(ROW(AB160),COLUMN(AB160)))),$H$8/M161*V161)," ")</f>
        <v xml:space="preserve"> </v>
      </c>
      <c r="AC161" s="12" t="str">
        <f ca="1">IFERROR(IF(TEXT($H$4,"DDMMAAAA")=TEXT($K160,"DDMMAAAA"),SUM($AC$2:INDIRECT(ADDRESS(ROW(AC160),COLUMN(AC160)))),IF(SUM(Y161:AB161)=0,"",SUM(Y161:AB161)))," ")</f>
        <v/>
      </c>
      <c r="AE161">
        <v>201012</v>
      </c>
      <c r="AF161">
        <v>3.17</v>
      </c>
    </row>
    <row r="162" spans="10:32" hidden="1" x14ac:dyDescent="0.4">
      <c r="J162" s="19" t="str">
        <f t="shared" si="59"/>
        <v/>
      </c>
      <c r="K162" s="19" t="str">
        <f t="shared" ref="K162:K193" si="64">IFERROR(IF(TEXT(J162,"MMAAA")=TEXT($H$4,"MMAAAA"),$H$4,EOMONTH(J162,0))," ")</f>
        <v xml:space="preserve"> </v>
      </c>
      <c r="L162" s="13" t="str">
        <f t="shared" si="62"/>
        <v xml:space="preserve"> </v>
      </c>
      <c r="M162" s="9" t="str">
        <f t="shared" si="63"/>
        <v xml:space="preserve"> </v>
      </c>
      <c r="N162" s="46" t="str">
        <f t="shared" ref="N162:N193" si="65">IFERROR(Q162+$H$14-Q162," ")</f>
        <v xml:space="preserve"> </v>
      </c>
      <c r="O162" s="46" t="str">
        <f t="shared" ref="O162:O193" si="66">IFERROR(Q162-N162-P162," ")</f>
        <v xml:space="preserve"> </v>
      </c>
      <c r="P162" s="14" t="str">
        <f>IFERROR(IF(VLOOKUP(INT(TEXT(K162,"AAAA")),Tabla3[[AÑO]:[SALARIO 
MENSUAL]],2,0)*2&lt;$H$2,0,IFERROR(VLOOKUP(INT(TEXT(K162,"AAAA")),Tabla3[[AÑO]:[SALARIO 
MENSUAL]],2,0)," "))/30*L162," ")</f>
        <v xml:space="preserve"> </v>
      </c>
      <c r="Q162" s="14" t="str">
        <f>IFERROR(IF(VLOOKUP(INT(TEXT(K162,"AAAA")),Tabla3[[AÑO]:[SALARIO 
MENSUAL]],4,0)*2&lt;$H$2,$H$2,VLOOKUP(INT(TEXT(K162,"AAAA")),Tabla3[[AÑO]:[SALARIO 
MENSUAL]],4,0))/30*L162+$H$14+P162," ")</f>
        <v xml:space="preserve"> </v>
      </c>
      <c r="R162" s="12" t="str">
        <f t="shared" ref="R162:R193" si="67">IFERROR(Q162/360*L162," ")</f>
        <v xml:space="preserve"> </v>
      </c>
      <c r="S162" s="12" t="str">
        <f t="shared" ref="S162:S193" si="68">IFERROR(Q162/360*L162," ")</f>
        <v xml:space="preserve"> </v>
      </c>
      <c r="T162" s="11" t="str">
        <f t="shared" ref="T162:T193" si="69">IFERROR(L162/24," ")</f>
        <v xml:space="preserve"> </v>
      </c>
      <c r="U162" s="14" t="str">
        <f t="shared" si="60"/>
        <v xml:space="preserve"> </v>
      </c>
      <c r="V162" s="12" t="str">
        <f t="shared" ref="V162:V193" si="70">IFERROR(360*Q162*0.12/360/12," ")</f>
        <v xml:space="preserve"> </v>
      </c>
      <c r="W162" s="53" t="str">
        <f t="shared" si="61"/>
        <v xml:space="preserve"> </v>
      </c>
      <c r="X162" s="12" t="str">
        <f t="shared" ref="X162:X193" si="71">IFERROR(IF(TEXT($H$4,"DDMMAAAA")=TEXT($K161,"DDMMAAAA"),"Sub Total",$H$8/M162*Q162)," ")</f>
        <v xml:space="preserve"> </v>
      </c>
      <c r="Y162" s="12" t="str">
        <f ca="1">IFERROR(IF(TEXT($H$4,"DDMMAAAA")=TEXT($K161,"DDMMAAAA"),SUM($Y$2:INDIRECT(ADDRESS(ROW(Y161),COLUMN(Y161)))),$H$8/M162*U162)," ")</f>
        <v xml:space="preserve"> </v>
      </c>
      <c r="Z162" s="51" t="str">
        <f ca="1">IFERROR(IF(TEXT($H$4,"DDMMAAAA")=TEXT($K161,"DDMMAAAA"),SUM($Y$2:INDIRECT(ADDRESS(ROW(Z161),COLUMN(Z161)))),$H$8/M162*R162)," ")</f>
        <v xml:space="preserve"> </v>
      </c>
      <c r="AA162" s="12" t="str">
        <f ca="1">IFERROR(IF(TEXT($H$4,"DDMMAAAA")=TEXT($K161,"DDMMAAAA"),SUM($AA$2:INDIRECT(ADDRESS(ROW(AA161),COLUMN(AA161)))),$H$8/M162*S162)," ")</f>
        <v xml:space="preserve"> </v>
      </c>
      <c r="AB162" s="12" t="str">
        <f ca="1">IFERROR(IF(TEXT($H$4,"DDMMAAAA")=TEXT($K161,"DDMMAAAA"),SUM($AB$2:INDIRECT(ADDRESS(ROW(AB161),COLUMN(AB161)))),$H$8/M162*V162)," ")</f>
        <v xml:space="preserve"> </v>
      </c>
      <c r="AC162" s="12" t="str">
        <f ca="1">IFERROR(IF(TEXT($H$4,"DDMMAAAA")=TEXT($K161,"DDMMAAAA"),SUM($AC$2:INDIRECT(ADDRESS(ROW(AC161),COLUMN(AC161)))),IF(SUM(Y162:AB162)=0,"",SUM(Y162:AB162)))," ")</f>
        <v/>
      </c>
      <c r="AE162">
        <v>201011</v>
      </c>
      <c r="AF162">
        <v>2.59</v>
      </c>
    </row>
    <row r="163" spans="10:32" hidden="1" x14ac:dyDescent="0.4">
      <c r="J163" s="19" t="str">
        <f t="shared" ref="J163:J199" si="72">IF(EDATE($K$2,ROW()-3)&lt;=$H$4,EDATE($K$2+1,ROW()-3),"")</f>
        <v/>
      </c>
      <c r="K163" s="19" t="str">
        <f t="shared" si="64"/>
        <v xml:space="preserve"> </v>
      </c>
      <c r="L163" s="13" t="str">
        <f t="shared" si="62"/>
        <v xml:space="preserve"> </v>
      </c>
      <c r="M163" s="9" t="str">
        <f t="shared" si="63"/>
        <v xml:space="preserve"> </v>
      </c>
      <c r="N163" s="46" t="str">
        <f t="shared" si="65"/>
        <v xml:space="preserve"> </v>
      </c>
      <c r="O163" s="46" t="str">
        <f t="shared" si="66"/>
        <v xml:space="preserve"> </v>
      </c>
      <c r="P163" s="14" t="str">
        <f>IFERROR(IF(VLOOKUP(INT(TEXT(K163,"AAAA")),Tabla3[[AÑO]:[SALARIO 
MENSUAL]],2,0)*2&lt;$H$2,0,IFERROR(VLOOKUP(INT(TEXT(K163,"AAAA")),Tabla3[[AÑO]:[SALARIO 
MENSUAL]],2,0)," "))/30*L163," ")</f>
        <v xml:space="preserve"> </v>
      </c>
      <c r="Q163" s="14" t="str">
        <f>IFERROR(IF(VLOOKUP(INT(TEXT(K163,"AAAA")),Tabla3[[AÑO]:[SALARIO 
MENSUAL]],4,0)*2&lt;$H$2,$H$2,VLOOKUP(INT(TEXT(K163,"AAAA")),Tabla3[[AÑO]:[SALARIO 
MENSUAL]],4,0))/30*L163+$H$14+P163," ")</f>
        <v xml:space="preserve"> </v>
      </c>
      <c r="R163" s="12" t="str">
        <f t="shared" si="67"/>
        <v xml:space="preserve"> </v>
      </c>
      <c r="S163" s="12" t="str">
        <f t="shared" si="68"/>
        <v xml:space="preserve"> </v>
      </c>
      <c r="T163" s="11" t="str">
        <f t="shared" si="69"/>
        <v xml:space="preserve"> </v>
      </c>
      <c r="U163" s="14" t="str">
        <f t="shared" ref="U163:U194" si="73">IFERROR(Q163/30*T163," ")</f>
        <v xml:space="preserve"> </v>
      </c>
      <c r="V163" s="12" t="str">
        <f t="shared" si="70"/>
        <v xml:space="preserve"> </v>
      </c>
      <c r="W163" s="53" t="str">
        <f t="shared" si="61"/>
        <v xml:space="preserve"> </v>
      </c>
      <c r="X163" s="12" t="str">
        <f t="shared" si="71"/>
        <v xml:space="preserve"> </v>
      </c>
      <c r="Y163" s="12" t="str">
        <f ca="1">IFERROR(IF(TEXT($H$4,"DDMMAAAA")=TEXT($K162,"DDMMAAAA"),SUM($Y$2:INDIRECT(ADDRESS(ROW(Y162),COLUMN(Y162)))),$H$8/M163*U163)," ")</f>
        <v xml:space="preserve"> </v>
      </c>
      <c r="Z163" s="51" t="str">
        <f ca="1">IFERROR(IF(TEXT($H$4,"DDMMAAAA")=TEXT($K162,"DDMMAAAA"),SUM($Y$2:INDIRECT(ADDRESS(ROW(Z162),COLUMN(Z162)))),$H$8/M163*R163)," ")</f>
        <v xml:space="preserve"> </v>
      </c>
      <c r="AA163" s="12" t="str">
        <f ca="1">IFERROR(IF(TEXT($H$4,"DDMMAAAA")=TEXT($K162,"DDMMAAAA"),SUM($AA$2:INDIRECT(ADDRESS(ROW(AA162),COLUMN(AA162)))),$H$8/M163*S163)," ")</f>
        <v xml:space="preserve"> </v>
      </c>
      <c r="AB163" s="12" t="str">
        <f ca="1">IFERROR(IF(TEXT($H$4,"DDMMAAAA")=TEXT($K162,"DDMMAAAA"),SUM($AB$2:INDIRECT(ADDRESS(ROW(AB162),COLUMN(AB162)))),$H$8/M163*V163)," ")</f>
        <v xml:space="preserve"> </v>
      </c>
      <c r="AC163" s="12" t="str">
        <f ca="1">IFERROR(IF(TEXT($H$4,"DDMMAAAA")=TEXT($K162,"DDMMAAAA"),SUM($AC$2:INDIRECT(ADDRESS(ROW(AC162),COLUMN(AC162)))),IF(SUM(Y163:AB163)=0,"",SUM(Y163:AB163)))," ")</f>
        <v/>
      </c>
      <c r="AE163">
        <v>201010</v>
      </c>
      <c r="AF163">
        <v>2.33</v>
      </c>
    </row>
    <row r="164" spans="10:32" hidden="1" x14ac:dyDescent="0.4">
      <c r="J164" s="19" t="str">
        <f t="shared" si="72"/>
        <v/>
      </c>
      <c r="K164" s="19" t="str">
        <f t="shared" si="64"/>
        <v xml:space="preserve"> </v>
      </c>
      <c r="L164" s="13" t="str">
        <f t="shared" si="62"/>
        <v xml:space="preserve"> </v>
      </c>
      <c r="M164" s="9" t="str">
        <f t="shared" si="63"/>
        <v xml:space="preserve"> </v>
      </c>
      <c r="N164" s="46" t="str">
        <f t="shared" si="65"/>
        <v xml:space="preserve"> </v>
      </c>
      <c r="O164" s="46" t="str">
        <f t="shared" si="66"/>
        <v xml:space="preserve"> </v>
      </c>
      <c r="P164" s="14" t="str">
        <f>IFERROR(IF(VLOOKUP(INT(TEXT(K164,"AAAA")),Tabla3[[AÑO]:[SALARIO 
MENSUAL]],2,0)*2&lt;$H$2,0,IFERROR(VLOOKUP(INT(TEXT(K164,"AAAA")),Tabla3[[AÑO]:[SALARIO 
MENSUAL]],2,0)," "))/30*L164," ")</f>
        <v xml:space="preserve"> </v>
      </c>
      <c r="Q164" s="14" t="str">
        <f>IFERROR(IF(VLOOKUP(INT(TEXT(K164,"AAAA")),Tabla3[[AÑO]:[SALARIO 
MENSUAL]],4,0)*2&lt;$H$2,$H$2,VLOOKUP(INT(TEXT(K164,"AAAA")),Tabla3[[AÑO]:[SALARIO 
MENSUAL]],4,0))/30*L164+$H$14+P164," ")</f>
        <v xml:space="preserve"> </v>
      </c>
      <c r="R164" s="12" t="str">
        <f t="shared" si="67"/>
        <v xml:space="preserve"> </v>
      </c>
      <c r="S164" s="12" t="str">
        <f t="shared" si="68"/>
        <v xml:space="preserve"> </v>
      </c>
      <c r="T164" s="11" t="str">
        <f t="shared" si="69"/>
        <v xml:space="preserve"> </v>
      </c>
      <c r="U164" s="14" t="str">
        <f t="shared" si="73"/>
        <v xml:space="preserve"> </v>
      </c>
      <c r="V164" s="12" t="str">
        <f t="shared" si="70"/>
        <v xml:space="preserve"> </v>
      </c>
      <c r="W164" s="53" t="str">
        <f t="shared" si="61"/>
        <v xml:space="preserve"> </v>
      </c>
      <c r="X164" s="12" t="str">
        <f t="shared" si="71"/>
        <v xml:space="preserve"> </v>
      </c>
      <c r="Y164" s="12" t="str">
        <f ca="1">IFERROR(IF(TEXT($H$4,"DDMMAAAA")=TEXT($K163,"DDMMAAAA"),SUM($Y$2:INDIRECT(ADDRESS(ROW(Y163),COLUMN(Y163)))),$H$8/M164*U164)," ")</f>
        <v xml:space="preserve"> </v>
      </c>
      <c r="Z164" s="51" t="str">
        <f ca="1">IFERROR(IF(TEXT($H$4,"DDMMAAAA")=TEXT($K163,"DDMMAAAA"),SUM($Y$2:INDIRECT(ADDRESS(ROW(Z163),COLUMN(Z163)))),$H$8/M164*R164)," ")</f>
        <v xml:space="preserve"> </v>
      </c>
      <c r="AA164" s="12" t="str">
        <f ca="1">IFERROR(IF(TEXT($H$4,"DDMMAAAA")=TEXT($K163,"DDMMAAAA"),SUM($AA$2:INDIRECT(ADDRESS(ROW(AA163),COLUMN(AA163)))),$H$8/M164*S164)," ")</f>
        <v xml:space="preserve"> </v>
      </c>
      <c r="AB164" s="12" t="str">
        <f ca="1">IFERROR(IF(TEXT($H$4,"DDMMAAAA")=TEXT($K163,"DDMMAAAA"),SUM($AB$2:INDIRECT(ADDRESS(ROW(AB163),COLUMN(AB163)))),$H$8/M164*V164)," ")</f>
        <v xml:space="preserve"> </v>
      </c>
      <c r="AC164" s="12" t="str">
        <f ca="1">IFERROR(IF(TEXT($H$4,"DDMMAAAA")=TEXT($K163,"DDMMAAAA"),SUM($AC$2:INDIRECT(ADDRESS(ROW(AC163),COLUMN(AC163)))),IF(SUM(Y164:AB164)=0,"",SUM(Y164:AB164)))," ")</f>
        <v/>
      </c>
      <c r="AE164">
        <v>201009</v>
      </c>
      <c r="AF164">
        <v>2.2799999999999998</v>
      </c>
    </row>
    <row r="165" spans="10:32" hidden="1" x14ac:dyDescent="0.4">
      <c r="J165" s="19" t="str">
        <f t="shared" si="72"/>
        <v/>
      </c>
      <c r="K165" s="19" t="str">
        <f t="shared" si="64"/>
        <v xml:space="preserve"> </v>
      </c>
      <c r="L165" s="13" t="str">
        <f t="shared" si="62"/>
        <v xml:space="preserve"> </v>
      </c>
      <c r="M165" s="9" t="str">
        <f t="shared" si="63"/>
        <v xml:space="preserve"> </v>
      </c>
      <c r="N165" s="46" t="str">
        <f t="shared" si="65"/>
        <v xml:space="preserve"> </v>
      </c>
      <c r="O165" s="46" t="str">
        <f t="shared" si="66"/>
        <v xml:space="preserve"> </v>
      </c>
      <c r="P165" s="14" t="str">
        <f>IFERROR(IF(VLOOKUP(INT(TEXT(K165,"AAAA")),Tabla3[[AÑO]:[SALARIO 
MENSUAL]],2,0)*2&lt;$H$2,0,IFERROR(VLOOKUP(INT(TEXT(K165,"AAAA")),Tabla3[[AÑO]:[SALARIO 
MENSUAL]],2,0)," "))/30*L165," ")</f>
        <v xml:space="preserve"> </v>
      </c>
      <c r="Q165" s="14" t="str">
        <f>IFERROR(IF(VLOOKUP(INT(TEXT(K165,"AAAA")),Tabla3[[AÑO]:[SALARIO 
MENSUAL]],4,0)*2&lt;$H$2,$H$2,VLOOKUP(INT(TEXT(K165,"AAAA")),Tabla3[[AÑO]:[SALARIO 
MENSUAL]],4,0))/30*L165+$H$14+P165," ")</f>
        <v xml:space="preserve"> </v>
      </c>
      <c r="R165" s="12" t="str">
        <f t="shared" si="67"/>
        <v xml:space="preserve"> </v>
      </c>
      <c r="S165" s="12" t="str">
        <f t="shared" si="68"/>
        <v xml:space="preserve"> </v>
      </c>
      <c r="T165" s="11" t="str">
        <f t="shared" si="69"/>
        <v xml:space="preserve"> </v>
      </c>
      <c r="U165" s="14" t="str">
        <f t="shared" si="73"/>
        <v xml:space="preserve"> </v>
      </c>
      <c r="V165" s="12" t="str">
        <f t="shared" si="70"/>
        <v xml:space="preserve"> </v>
      </c>
      <c r="W165" s="53" t="str">
        <f t="shared" si="61"/>
        <v xml:space="preserve"> </v>
      </c>
      <c r="X165" s="12" t="str">
        <f t="shared" si="71"/>
        <v xml:space="preserve"> </v>
      </c>
      <c r="Y165" s="12" t="str">
        <f ca="1">IFERROR(IF(TEXT($H$4,"DDMMAAAA")=TEXT($K164,"DDMMAAAA"),SUM($Y$2:INDIRECT(ADDRESS(ROW(Y164),COLUMN(Y164)))),$H$8/M165*U165)," ")</f>
        <v xml:space="preserve"> </v>
      </c>
      <c r="Z165" s="51" t="str">
        <f ca="1">IFERROR(IF(TEXT($H$4,"DDMMAAAA")=TEXT($K164,"DDMMAAAA"),SUM($Y$2:INDIRECT(ADDRESS(ROW(Z164),COLUMN(Z164)))),$H$8/M165*R165)," ")</f>
        <v xml:space="preserve"> </v>
      </c>
      <c r="AA165" s="12" t="str">
        <f ca="1">IFERROR(IF(TEXT($H$4,"DDMMAAAA")=TEXT($K164,"DDMMAAAA"),SUM($AA$2:INDIRECT(ADDRESS(ROW(AA164),COLUMN(AA164)))),$H$8/M165*S165)," ")</f>
        <v xml:space="preserve"> </v>
      </c>
      <c r="AB165" s="12" t="str">
        <f ca="1">IFERROR(IF(TEXT($H$4,"DDMMAAAA")=TEXT($K164,"DDMMAAAA"),SUM($AB$2:INDIRECT(ADDRESS(ROW(AB164),COLUMN(AB164)))),$H$8/M165*V165)," ")</f>
        <v xml:space="preserve"> </v>
      </c>
      <c r="AC165" s="12" t="str">
        <f ca="1">IFERROR(IF(TEXT($H$4,"DDMMAAAA")=TEXT($K164,"DDMMAAAA"),SUM($AC$2:INDIRECT(ADDRESS(ROW(AC164),COLUMN(AC164)))),IF(SUM(Y165:AB165)=0,"",SUM(Y165:AB165)))," ")</f>
        <v/>
      </c>
      <c r="AE165">
        <v>201008</v>
      </c>
      <c r="AF165">
        <v>2.31</v>
      </c>
    </row>
    <row r="166" spans="10:32" hidden="1" x14ac:dyDescent="0.4">
      <c r="J166" s="19" t="str">
        <f t="shared" si="72"/>
        <v/>
      </c>
      <c r="K166" s="19" t="str">
        <f t="shared" si="64"/>
        <v xml:space="preserve"> </v>
      </c>
      <c r="L166" s="13" t="str">
        <f t="shared" si="62"/>
        <v xml:space="preserve"> </v>
      </c>
      <c r="M166" s="9" t="str">
        <f t="shared" si="63"/>
        <v xml:space="preserve"> </v>
      </c>
      <c r="N166" s="46" t="str">
        <f t="shared" si="65"/>
        <v xml:space="preserve"> </v>
      </c>
      <c r="O166" s="46" t="str">
        <f t="shared" si="66"/>
        <v xml:space="preserve"> </v>
      </c>
      <c r="P166" s="14" t="str">
        <f>IFERROR(IF(VLOOKUP(INT(TEXT(K166,"AAAA")),Tabla3[[AÑO]:[SALARIO 
MENSUAL]],2,0)*2&lt;$H$2,0,IFERROR(VLOOKUP(INT(TEXT(K166,"AAAA")),Tabla3[[AÑO]:[SALARIO 
MENSUAL]],2,0)," "))/30*L166," ")</f>
        <v xml:space="preserve"> </v>
      </c>
      <c r="Q166" s="14" t="str">
        <f>IFERROR(IF(VLOOKUP(INT(TEXT(K166,"AAAA")),Tabla3[[AÑO]:[SALARIO 
MENSUAL]],4,0)*2&lt;$H$2,$H$2,VLOOKUP(INT(TEXT(K166,"AAAA")),Tabla3[[AÑO]:[SALARIO 
MENSUAL]],4,0))/30*L166+$H$14+P166," ")</f>
        <v xml:space="preserve"> </v>
      </c>
      <c r="R166" s="12" t="str">
        <f t="shared" si="67"/>
        <v xml:space="preserve"> </v>
      </c>
      <c r="S166" s="12" t="str">
        <f t="shared" si="68"/>
        <v xml:space="preserve"> </v>
      </c>
      <c r="T166" s="11" t="str">
        <f t="shared" si="69"/>
        <v xml:space="preserve"> </v>
      </c>
      <c r="U166" s="14" t="str">
        <f t="shared" si="73"/>
        <v xml:space="preserve"> </v>
      </c>
      <c r="V166" s="12" t="str">
        <f t="shared" si="70"/>
        <v xml:space="preserve"> </v>
      </c>
      <c r="W166" s="53" t="str">
        <f t="shared" si="61"/>
        <v xml:space="preserve"> </v>
      </c>
      <c r="X166" s="12" t="str">
        <f t="shared" si="71"/>
        <v xml:space="preserve"> </v>
      </c>
      <c r="Y166" s="12" t="str">
        <f ca="1">IFERROR(IF(TEXT($H$4,"DDMMAAAA")=TEXT($K165,"DDMMAAAA"),SUM($Y$2:INDIRECT(ADDRESS(ROW(Y165),COLUMN(Y165)))),$H$8/M166*U166)," ")</f>
        <v xml:space="preserve"> </v>
      </c>
      <c r="Z166" s="51" t="str">
        <f ca="1">IFERROR(IF(TEXT($H$4,"DDMMAAAA")=TEXT($K165,"DDMMAAAA"),SUM($Y$2:INDIRECT(ADDRESS(ROW(Z165),COLUMN(Z165)))),$H$8/M166*R166)," ")</f>
        <v xml:space="preserve"> </v>
      </c>
      <c r="AA166" s="12" t="str">
        <f ca="1">IFERROR(IF(TEXT($H$4,"DDMMAAAA")=TEXT($K165,"DDMMAAAA"),SUM($AA$2:INDIRECT(ADDRESS(ROW(AA165),COLUMN(AA165)))),$H$8/M166*S166)," ")</f>
        <v xml:space="preserve"> </v>
      </c>
      <c r="AB166" s="12" t="str">
        <f ca="1">IFERROR(IF(TEXT($H$4,"DDMMAAAA")=TEXT($K165,"DDMMAAAA"),SUM($AB$2:INDIRECT(ADDRESS(ROW(AB165),COLUMN(AB165)))),$H$8/M166*V166)," ")</f>
        <v xml:space="preserve"> </v>
      </c>
      <c r="AC166" s="12" t="str">
        <f ca="1">IFERROR(IF(TEXT($H$4,"DDMMAAAA")=TEXT($K165,"DDMMAAAA"),SUM($AC$2:INDIRECT(ADDRESS(ROW(AC165),COLUMN(AC165)))),IF(SUM(Y166:AB166)=0,"",SUM(Y166:AB166)))," ")</f>
        <v/>
      </c>
      <c r="AE166">
        <v>201007</v>
      </c>
      <c r="AF166">
        <v>2.2400000000000002</v>
      </c>
    </row>
    <row r="167" spans="10:32" hidden="1" x14ac:dyDescent="0.4">
      <c r="J167" s="19" t="str">
        <f t="shared" si="72"/>
        <v/>
      </c>
      <c r="K167" s="19" t="str">
        <f t="shared" si="64"/>
        <v xml:space="preserve"> </v>
      </c>
      <c r="L167" s="13" t="str">
        <f t="shared" si="62"/>
        <v xml:space="preserve"> </v>
      </c>
      <c r="M167" s="9" t="str">
        <f t="shared" si="63"/>
        <v xml:space="preserve"> </v>
      </c>
      <c r="N167" s="46" t="str">
        <f t="shared" si="65"/>
        <v xml:space="preserve"> </v>
      </c>
      <c r="O167" s="46" t="str">
        <f t="shared" si="66"/>
        <v xml:space="preserve"> </v>
      </c>
      <c r="P167" s="14" t="str">
        <f>IFERROR(IF(VLOOKUP(INT(TEXT(K167,"AAAA")),Tabla3[[AÑO]:[SALARIO 
MENSUAL]],2,0)*2&lt;$H$2,0,IFERROR(VLOOKUP(INT(TEXT(K167,"AAAA")),Tabla3[[AÑO]:[SALARIO 
MENSUAL]],2,0)," "))/30*L167," ")</f>
        <v xml:space="preserve"> </v>
      </c>
      <c r="Q167" s="14" t="str">
        <f>IFERROR(IF(VLOOKUP(INT(TEXT(K167,"AAAA")),Tabla3[[AÑO]:[SALARIO 
MENSUAL]],4,0)*2&lt;$H$2,$H$2,VLOOKUP(INT(TEXT(K167,"AAAA")),Tabla3[[AÑO]:[SALARIO 
MENSUAL]],4,0))/30*L167+$H$14+P167," ")</f>
        <v xml:space="preserve"> </v>
      </c>
      <c r="R167" s="12" t="str">
        <f t="shared" si="67"/>
        <v xml:space="preserve"> </v>
      </c>
      <c r="S167" s="12" t="str">
        <f t="shared" si="68"/>
        <v xml:space="preserve"> </v>
      </c>
      <c r="T167" s="11" t="str">
        <f t="shared" si="69"/>
        <v xml:space="preserve"> </v>
      </c>
      <c r="U167" s="14" t="str">
        <f t="shared" si="73"/>
        <v xml:space="preserve"> </v>
      </c>
      <c r="V167" s="12" t="str">
        <f t="shared" si="70"/>
        <v xml:space="preserve"> </v>
      </c>
      <c r="W167" s="53" t="str">
        <f t="shared" si="61"/>
        <v xml:space="preserve"> </v>
      </c>
      <c r="X167" s="12" t="str">
        <f t="shared" si="71"/>
        <v xml:space="preserve"> </v>
      </c>
      <c r="Y167" s="12" t="str">
        <f ca="1">IFERROR(IF(TEXT($H$4,"DDMMAAAA")=TEXT($K166,"DDMMAAAA"),SUM($Y$2:INDIRECT(ADDRESS(ROW(Y166),COLUMN(Y166)))),$H$8/M167*U167)," ")</f>
        <v xml:space="preserve"> </v>
      </c>
      <c r="Z167" s="51" t="str">
        <f ca="1">IFERROR(IF(TEXT($H$4,"DDMMAAAA")=TEXT($K166,"DDMMAAAA"),SUM($Y$2:INDIRECT(ADDRESS(ROW(Z166),COLUMN(Z166)))),$H$8/M167*R167)," ")</f>
        <v xml:space="preserve"> </v>
      </c>
      <c r="AA167" s="12" t="str">
        <f ca="1">IFERROR(IF(TEXT($H$4,"DDMMAAAA")=TEXT($K166,"DDMMAAAA"),SUM($AA$2:INDIRECT(ADDRESS(ROW(AA166),COLUMN(AA166)))),$H$8/M167*S167)," ")</f>
        <v xml:space="preserve"> </v>
      </c>
      <c r="AB167" s="12" t="str">
        <f ca="1">IFERROR(IF(TEXT($H$4,"DDMMAAAA")=TEXT($K166,"DDMMAAAA"),SUM($AB$2:INDIRECT(ADDRESS(ROW(AB166),COLUMN(AB166)))),$H$8/M167*V167)," ")</f>
        <v xml:space="preserve"> </v>
      </c>
      <c r="AC167" s="12" t="str">
        <f ca="1">IFERROR(IF(TEXT($H$4,"DDMMAAAA")=TEXT($K166,"DDMMAAAA"),SUM($AC$2:INDIRECT(ADDRESS(ROW(AC166),COLUMN(AC166)))),IF(SUM(Y167:AB167)=0,"",SUM(Y167:AB167)))," ")</f>
        <v/>
      </c>
      <c r="AE167">
        <v>201006</v>
      </c>
      <c r="AF167">
        <v>2.25</v>
      </c>
    </row>
    <row r="168" spans="10:32" hidden="1" x14ac:dyDescent="0.4">
      <c r="J168" s="19" t="str">
        <f t="shared" si="72"/>
        <v/>
      </c>
      <c r="K168" s="19" t="str">
        <f t="shared" si="64"/>
        <v xml:space="preserve"> </v>
      </c>
      <c r="L168" s="13" t="str">
        <f t="shared" si="62"/>
        <v xml:space="preserve"> </v>
      </c>
      <c r="M168" s="9" t="str">
        <f t="shared" si="63"/>
        <v xml:space="preserve"> </v>
      </c>
      <c r="N168" s="46" t="str">
        <f t="shared" si="65"/>
        <v xml:space="preserve"> </v>
      </c>
      <c r="O168" s="46" t="str">
        <f t="shared" si="66"/>
        <v xml:space="preserve"> </v>
      </c>
      <c r="P168" s="14" t="str">
        <f>IFERROR(IF(VLOOKUP(INT(TEXT(K168,"AAAA")),Tabla3[[AÑO]:[SALARIO 
MENSUAL]],2,0)*2&lt;$H$2,0,IFERROR(VLOOKUP(INT(TEXT(K168,"AAAA")),Tabla3[[AÑO]:[SALARIO 
MENSUAL]],2,0)," "))/30*L168," ")</f>
        <v xml:space="preserve"> </v>
      </c>
      <c r="Q168" s="14" t="str">
        <f>IFERROR(IF(VLOOKUP(INT(TEXT(K168,"AAAA")),Tabla3[[AÑO]:[SALARIO 
MENSUAL]],4,0)*2&lt;$H$2,$H$2,VLOOKUP(INT(TEXT(K168,"AAAA")),Tabla3[[AÑO]:[SALARIO 
MENSUAL]],4,0))/30*L168+$H$14+P168," ")</f>
        <v xml:space="preserve"> </v>
      </c>
      <c r="R168" s="12" t="str">
        <f t="shared" si="67"/>
        <v xml:space="preserve"> </v>
      </c>
      <c r="S168" s="12" t="str">
        <f t="shared" si="68"/>
        <v xml:space="preserve"> </v>
      </c>
      <c r="T168" s="11" t="str">
        <f t="shared" si="69"/>
        <v xml:space="preserve"> </v>
      </c>
      <c r="U168" s="14" t="str">
        <f t="shared" si="73"/>
        <v xml:space="preserve"> </v>
      </c>
      <c r="V168" s="12" t="str">
        <f t="shared" si="70"/>
        <v xml:space="preserve"> </v>
      </c>
      <c r="W168" s="53" t="str">
        <f t="shared" si="61"/>
        <v xml:space="preserve"> </v>
      </c>
      <c r="X168" s="12" t="str">
        <f t="shared" si="71"/>
        <v xml:space="preserve"> </v>
      </c>
      <c r="Y168" s="12" t="str">
        <f ca="1">IFERROR(IF(TEXT($H$4,"DDMMAAAA")=TEXT($K167,"DDMMAAAA"),SUM($Y$2:INDIRECT(ADDRESS(ROW(Y167),COLUMN(Y167)))),$H$8/M168*U168)," ")</f>
        <v xml:space="preserve"> </v>
      </c>
      <c r="Z168" s="51" t="str">
        <f ca="1">IFERROR(IF(TEXT($H$4,"DDMMAAAA")=TEXT($K167,"DDMMAAAA"),SUM($Y$2:INDIRECT(ADDRESS(ROW(Z167),COLUMN(Z167)))),$H$8/M168*R168)," ")</f>
        <v xml:space="preserve"> </v>
      </c>
      <c r="AA168" s="12" t="str">
        <f ca="1">IFERROR(IF(TEXT($H$4,"DDMMAAAA")=TEXT($K167,"DDMMAAAA"),SUM($AA$2:INDIRECT(ADDRESS(ROW(AA167),COLUMN(AA167)))),$H$8/M168*S168)," ")</f>
        <v xml:space="preserve"> </v>
      </c>
      <c r="AB168" s="12" t="str">
        <f ca="1">IFERROR(IF(TEXT($H$4,"DDMMAAAA")=TEXT($K167,"DDMMAAAA"),SUM($AB$2:INDIRECT(ADDRESS(ROW(AB167),COLUMN(AB167)))),$H$8/M168*V168)," ")</f>
        <v xml:space="preserve"> </v>
      </c>
      <c r="AC168" s="12" t="str">
        <f ca="1">IFERROR(IF(TEXT($H$4,"DDMMAAAA")=TEXT($K167,"DDMMAAAA"),SUM($AC$2:INDIRECT(ADDRESS(ROW(AC167),COLUMN(AC167)))),IF(SUM(Y168:AB168)=0,"",SUM(Y168:AB168)))," ")</f>
        <v/>
      </c>
      <c r="AE168">
        <v>201005</v>
      </c>
      <c r="AF168">
        <v>2.0699999999999998</v>
      </c>
    </row>
    <row r="169" spans="10:32" hidden="1" x14ac:dyDescent="0.4">
      <c r="J169" s="19" t="str">
        <f t="shared" si="72"/>
        <v/>
      </c>
      <c r="K169" s="19" t="str">
        <f t="shared" si="64"/>
        <v xml:space="preserve"> </v>
      </c>
      <c r="L169" s="13" t="str">
        <f t="shared" si="62"/>
        <v xml:space="preserve"> </v>
      </c>
      <c r="M169" s="9" t="str">
        <f t="shared" si="63"/>
        <v xml:space="preserve"> </v>
      </c>
      <c r="N169" s="46" t="str">
        <f t="shared" si="65"/>
        <v xml:space="preserve"> </v>
      </c>
      <c r="O169" s="46" t="str">
        <f t="shared" si="66"/>
        <v xml:space="preserve"> </v>
      </c>
      <c r="P169" s="14" t="str">
        <f>IFERROR(IF(VLOOKUP(INT(TEXT(K169,"AAAA")),Tabla3[[AÑO]:[SALARIO 
MENSUAL]],2,0)*2&lt;$H$2,0,IFERROR(VLOOKUP(INT(TEXT(K169,"AAAA")),Tabla3[[AÑO]:[SALARIO 
MENSUAL]],2,0)," "))/30*L169," ")</f>
        <v xml:space="preserve"> </v>
      </c>
      <c r="Q169" s="14" t="str">
        <f>IFERROR(IF(VLOOKUP(INT(TEXT(K169,"AAAA")),Tabla3[[AÑO]:[SALARIO 
MENSUAL]],4,0)*2&lt;$H$2,$H$2,VLOOKUP(INT(TEXT(K169,"AAAA")),Tabla3[[AÑO]:[SALARIO 
MENSUAL]],4,0))/30*L169+$H$14+P169," ")</f>
        <v xml:space="preserve"> </v>
      </c>
      <c r="R169" s="12" t="str">
        <f t="shared" si="67"/>
        <v xml:space="preserve"> </v>
      </c>
      <c r="S169" s="12" t="str">
        <f t="shared" si="68"/>
        <v xml:space="preserve"> </v>
      </c>
      <c r="T169" s="11" t="str">
        <f t="shared" si="69"/>
        <v xml:space="preserve"> </v>
      </c>
      <c r="U169" s="14" t="str">
        <f t="shared" si="73"/>
        <v xml:space="preserve"> </v>
      </c>
      <c r="V169" s="12" t="str">
        <f t="shared" si="70"/>
        <v xml:space="preserve"> </v>
      </c>
      <c r="W169" s="53" t="str">
        <f t="shared" si="61"/>
        <v xml:space="preserve"> </v>
      </c>
      <c r="X169" s="12" t="str">
        <f t="shared" si="71"/>
        <v xml:space="preserve"> </v>
      </c>
      <c r="Y169" s="12" t="str">
        <f ca="1">IFERROR(IF(TEXT($H$4,"DDMMAAAA")=TEXT($K168,"DDMMAAAA"),SUM($Y$2:INDIRECT(ADDRESS(ROW(Y168),COLUMN(Y168)))),$H$8/M169*U169)," ")</f>
        <v xml:space="preserve"> </v>
      </c>
      <c r="Z169" s="51" t="str">
        <f ca="1">IFERROR(IF(TEXT($H$4,"DDMMAAAA")=TEXT($K168,"DDMMAAAA"),SUM($Y$2:INDIRECT(ADDRESS(ROW(Z168),COLUMN(Z168)))),$H$8/M169*R169)," ")</f>
        <v xml:space="preserve"> </v>
      </c>
      <c r="AA169" s="12" t="str">
        <f ca="1">IFERROR(IF(TEXT($H$4,"DDMMAAAA")=TEXT($K168,"DDMMAAAA"),SUM($AA$2:INDIRECT(ADDRESS(ROW(AA168),COLUMN(AA168)))),$H$8/M169*S169)," ")</f>
        <v xml:space="preserve"> </v>
      </c>
      <c r="AB169" s="12" t="str">
        <f ca="1">IFERROR(IF(TEXT($H$4,"DDMMAAAA")=TEXT($K168,"DDMMAAAA"),SUM($AB$2:INDIRECT(ADDRESS(ROW(AB168),COLUMN(AB168)))),$H$8/M169*V169)," ")</f>
        <v xml:space="preserve"> </v>
      </c>
      <c r="AC169" s="12" t="str">
        <f ca="1">IFERROR(IF(TEXT($H$4,"DDMMAAAA")=TEXT($K168,"DDMMAAAA"),SUM($AC$2:INDIRECT(ADDRESS(ROW(AC168),COLUMN(AC168)))),IF(SUM(Y169:AB169)=0,"",SUM(Y169:AB169)))," ")</f>
        <v/>
      </c>
      <c r="AE169">
        <v>201004</v>
      </c>
      <c r="AF169">
        <v>1.98</v>
      </c>
    </row>
    <row r="170" spans="10:32" hidden="1" x14ac:dyDescent="0.4">
      <c r="J170" s="19" t="str">
        <f t="shared" si="72"/>
        <v/>
      </c>
      <c r="K170" s="19" t="str">
        <f t="shared" si="64"/>
        <v xml:space="preserve"> </v>
      </c>
      <c r="L170" s="13" t="str">
        <f t="shared" si="62"/>
        <v xml:space="preserve"> </v>
      </c>
      <c r="M170" s="9" t="str">
        <f t="shared" si="63"/>
        <v xml:space="preserve"> </v>
      </c>
      <c r="N170" s="46" t="str">
        <f t="shared" si="65"/>
        <v xml:space="preserve"> </v>
      </c>
      <c r="O170" s="46" t="str">
        <f t="shared" si="66"/>
        <v xml:space="preserve"> </v>
      </c>
      <c r="P170" s="14" t="str">
        <f>IFERROR(IF(VLOOKUP(INT(TEXT(K170,"AAAA")),Tabla3[[AÑO]:[SALARIO 
MENSUAL]],2,0)*2&lt;$H$2,0,IFERROR(VLOOKUP(INT(TEXT(K170,"AAAA")),Tabla3[[AÑO]:[SALARIO 
MENSUAL]],2,0)," "))/30*L170," ")</f>
        <v xml:space="preserve"> </v>
      </c>
      <c r="Q170" s="14" t="str">
        <f>IFERROR(IF(VLOOKUP(INT(TEXT(K170,"AAAA")),Tabla3[[AÑO]:[SALARIO 
MENSUAL]],4,0)*2&lt;$H$2,$H$2,VLOOKUP(INT(TEXT(K170,"AAAA")),Tabla3[[AÑO]:[SALARIO 
MENSUAL]],4,0))/30*L170+$H$14+P170," ")</f>
        <v xml:space="preserve"> </v>
      </c>
      <c r="R170" s="12" t="str">
        <f t="shared" si="67"/>
        <v xml:space="preserve"> </v>
      </c>
      <c r="S170" s="12" t="str">
        <f t="shared" si="68"/>
        <v xml:space="preserve"> </v>
      </c>
      <c r="T170" s="11" t="str">
        <f t="shared" si="69"/>
        <v xml:space="preserve"> </v>
      </c>
      <c r="U170" s="14" t="str">
        <f t="shared" si="73"/>
        <v xml:space="preserve"> </v>
      </c>
      <c r="V170" s="12" t="str">
        <f t="shared" si="70"/>
        <v xml:space="preserve"> </v>
      </c>
      <c r="W170" s="53" t="str">
        <f t="shared" si="61"/>
        <v xml:space="preserve"> </v>
      </c>
      <c r="X170" s="12" t="str">
        <f t="shared" si="71"/>
        <v xml:space="preserve"> </v>
      </c>
      <c r="Y170" s="12" t="str">
        <f ca="1">IFERROR(IF(TEXT($H$4,"DDMMAAAA")=TEXT($K169,"DDMMAAAA"),SUM($Y$2:INDIRECT(ADDRESS(ROW(Y169),COLUMN(Y169)))),$H$8/M170*U170)," ")</f>
        <v xml:space="preserve"> </v>
      </c>
      <c r="Z170" s="51" t="str">
        <f ca="1">IFERROR(IF(TEXT($H$4,"DDMMAAAA")=TEXT($K169,"DDMMAAAA"),SUM($Y$2:INDIRECT(ADDRESS(ROW(Z169),COLUMN(Z169)))),$H$8/M170*R170)," ")</f>
        <v xml:space="preserve"> </v>
      </c>
      <c r="AA170" s="12" t="str">
        <f ca="1">IFERROR(IF(TEXT($H$4,"DDMMAAAA")=TEXT($K169,"DDMMAAAA"),SUM($AA$2:INDIRECT(ADDRESS(ROW(AA169),COLUMN(AA169)))),$H$8/M170*S170)," ")</f>
        <v xml:space="preserve"> </v>
      </c>
      <c r="AB170" s="12" t="str">
        <f ca="1">IFERROR(IF(TEXT($H$4,"DDMMAAAA")=TEXT($K169,"DDMMAAAA"),SUM($AB$2:INDIRECT(ADDRESS(ROW(AB169),COLUMN(AB169)))),$H$8/M170*V170)," ")</f>
        <v xml:space="preserve"> </v>
      </c>
      <c r="AC170" s="12" t="str">
        <f ca="1">IFERROR(IF(TEXT($H$4,"DDMMAAAA")=TEXT($K169,"DDMMAAAA"),SUM($AC$2:INDIRECT(ADDRESS(ROW(AC169),COLUMN(AC169)))),IF(SUM(Y170:AB170)=0,"",SUM(Y170:AB170)))," ")</f>
        <v/>
      </c>
      <c r="AE170">
        <v>201003</v>
      </c>
      <c r="AF170">
        <v>1.84</v>
      </c>
    </row>
    <row r="171" spans="10:32" hidden="1" x14ac:dyDescent="0.4">
      <c r="J171" s="19" t="str">
        <f t="shared" si="72"/>
        <v/>
      </c>
      <c r="K171" s="19" t="str">
        <f t="shared" si="64"/>
        <v xml:space="preserve"> </v>
      </c>
      <c r="L171" s="13" t="str">
        <f t="shared" si="62"/>
        <v xml:space="preserve"> </v>
      </c>
      <c r="M171" s="9" t="str">
        <f t="shared" si="63"/>
        <v xml:space="preserve"> </v>
      </c>
      <c r="N171" s="46" t="str">
        <f t="shared" si="65"/>
        <v xml:space="preserve"> </v>
      </c>
      <c r="O171" s="46" t="str">
        <f t="shared" si="66"/>
        <v xml:space="preserve"> </v>
      </c>
      <c r="P171" s="14" t="str">
        <f>IFERROR(IF(VLOOKUP(INT(TEXT(K171,"AAAA")),Tabla3[[AÑO]:[SALARIO 
MENSUAL]],2,0)*2&lt;$H$2,0,IFERROR(VLOOKUP(INT(TEXT(K171,"AAAA")),Tabla3[[AÑO]:[SALARIO 
MENSUAL]],2,0)," "))/30*L171," ")</f>
        <v xml:space="preserve"> </v>
      </c>
      <c r="Q171" s="14" t="str">
        <f>IFERROR(IF(VLOOKUP(INT(TEXT(K171,"AAAA")),Tabla3[[AÑO]:[SALARIO 
MENSUAL]],4,0)*2&lt;$H$2,$H$2,VLOOKUP(INT(TEXT(K171,"AAAA")),Tabla3[[AÑO]:[SALARIO 
MENSUAL]],4,0))/30*L171+$H$14+P171," ")</f>
        <v xml:space="preserve"> </v>
      </c>
      <c r="R171" s="12" t="str">
        <f t="shared" si="67"/>
        <v xml:space="preserve"> </v>
      </c>
      <c r="S171" s="12" t="str">
        <f t="shared" si="68"/>
        <v xml:space="preserve"> </v>
      </c>
      <c r="T171" s="11" t="str">
        <f t="shared" si="69"/>
        <v xml:space="preserve"> </v>
      </c>
      <c r="U171" s="14" t="str">
        <f t="shared" si="73"/>
        <v xml:space="preserve"> </v>
      </c>
      <c r="V171" s="12" t="str">
        <f t="shared" si="70"/>
        <v xml:space="preserve"> </v>
      </c>
      <c r="W171" s="53" t="str">
        <f t="shared" si="61"/>
        <v xml:space="preserve"> </v>
      </c>
      <c r="X171" s="12" t="str">
        <f t="shared" si="71"/>
        <v xml:space="preserve"> </v>
      </c>
      <c r="Y171" s="12" t="str">
        <f ca="1">IFERROR(IF(TEXT($H$4,"DDMMAAAA")=TEXT($K170,"DDMMAAAA"),SUM($Y$2:INDIRECT(ADDRESS(ROW(Y170),COLUMN(Y170)))),$H$8/M171*U171)," ")</f>
        <v xml:space="preserve"> </v>
      </c>
      <c r="Z171" s="51" t="str">
        <f ca="1">IFERROR(IF(TEXT($H$4,"DDMMAAAA")=TEXT($K170,"DDMMAAAA"),SUM($Y$2:INDIRECT(ADDRESS(ROW(Z170),COLUMN(Z170)))),$H$8/M171*R171)," ")</f>
        <v xml:space="preserve"> </v>
      </c>
      <c r="AA171" s="12" t="str">
        <f ca="1">IFERROR(IF(TEXT($H$4,"DDMMAAAA")=TEXT($K170,"DDMMAAAA"),SUM($AA$2:INDIRECT(ADDRESS(ROW(AA170),COLUMN(AA170)))),$H$8/M171*S171)," ")</f>
        <v xml:space="preserve"> </v>
      </c>
      <c r="AB171" s="12" t="str">
        <f ca="1">IFERROR(IF(TEXT($H$4,"DDMMAAAA")=TEXT($K170,"DDMMAAAA"),SUM($AB$2:INDIRECT(ADDRESS(ROW(AB170),COLUMN(AB170)))),$H$8/M171*V171)," ")</f>
        <v xml:space="preserve"> </v>
      </c>
      <c r="AC171" s="12" t="str">
        <f ca="1">IFERROR(IF(TEXT($H$4,"DDMMAAAA")=TEXT($K170,"DDMMAAAA"),SUM($AC$2:INDIRECT(ADDRESS(ROW(AC170),COLUMN(AC170)))),IF(SUM(Y171:AB171)=0,"",SUM(Y171:AB171)))," ")</f>
        <v/>
      </c>
      <c r="AE171">
        <v>201002</v>
      </c>
      <c r="AF171">
        <v>2.09</v>
      </c>
    </row>
    <row r="172" spans="10:32" hidden="1" x14ac:dyDescent="0.4">
      <c r="J172" s="19" t="str">
        <f t="shared" si="72"/>
        <v/>
      </c>
      <c r="K172" s="19" t="str">
        <f t="shared" si="64"/>
        <v xml:space="preserve"> </v>
      </c>
      <c r="L172" s="13" t="str">
        <f t="shared" si="62"/>
        <v xml:space="preserve"> </v>
      </c>
      <c r="M172" s="9" t="str">
        <f t="shared" si="63"/>
        <v xml:space="preserve"> </v>
      </c>
      <c r="N172" s="46" t="str">
        <f t="shared" si="65"/>
        <v xml:space="preserve"> </v>
      </c>
      <c r="O172" s="46" t="str">
        <f t="shared" si="66"/>
        <v xml:space="preserve"> </v>
      </c>
      <c r="P172" s="14" t="str">
        <f>IFERROR(IF(VLOOKUP(INT(TEXT(K172,"AAAA")),Tabla3[[AÑO]:[SALARIO 
MENSUAL]],2,0)*2&lt;$H$2,0,IFERROR(VLOOKUP(INT(TEXT(K172,"AAAA")),Tabla3[[AÑO]:[SALARIO 
MENSUAL]],2,0)," "))/30*L172," ")</f>
        <v xml:space="preserve"> </v>
      </c>
      <c r="Q172" s="14" t="str">
        <f>IFERROR(IF(VLOOKUP(INT(TEXT(K172,"AAAA")),Tabla3[[AÑO]:[SALARIO 
MENSUAL]],4,0)*2&lt;$H$2,$H$2,VLOOKUP(INT(TEXT(K172,"AAAA")),Tabla3[[AÑO]:[SALARIO 
MENSUAL]],4,0))/30*L172+$H$14+P172," ")</f>
        <v xml:space="preserve"> </v>
      </c>
      <c r="R172" s="12" t="str">
        <f t="shared" si="67"/>
        <v xml:space="preserve"> </v>
      </c>
      <c r="S172" s="12" t="str">
        <f t="shared" si="68"/>
        <v xml:space="preserve"> </v>
      </c>
      <c r="T172" s="11" t="str">
        <f t="shared" si="69"/>
        <v xml:space="preserve"> </v>
      </c>
      <c r="U172" s="14" t="str">
        <f t="shared" si="73"/>
        <v xml:space="preserve"> </v>
      </c>
      <c r="V172" s="12" t="str">
        <f t="shared" si="70"/>
        <v xml:space="preserve"> </v>
      </c>
      <c r="W172" s="53" t="str">
        <f t="shared" si="61"/>
        <v xml:space="preserve"> </v>
      </c>
      <c r="X172" s="12" t="str">
        <f t="shared" si="71"/>
        <v xml:space="preserve"> </v>
      </c>
      <c r="Y172" s="12" t="str">
        <f ca="1">IFERROR(IF(TEXT($H$4,"DDMMAAAA")=TEXT($K171,"DDMMAAAA"),SUM($Y$2:INDIRECT(ADDRESS(ROW(Y171),COLUMN(Y171)))),$H$8/M172*U172)," ")</f>
        <v xml:space="preserve"> </v>
      </c>
      <c r="Z172" s="51" t="str">
        <f ca="1">IFERROR(IF(TEXT($H$4,"DDMMAAAA")=TEXT($K171,"DDMMAAAA"),SUM($Y$2:INDIRECT(ADDRESS(ROW(Z171),COLUMN(Z171)))),$H$8/M172*R172)," ")</f>
        <v xml:space="preserve"> </v>
      </c>
      <c r="AA172" s="12" t="str">
        <f ca="1">IFERROR(IF(TEXT($H$4,"DDMMAAAA")=TEXT($K171,"DDMMAAAA"),SUM($AA$2:INDIRECT(ADDRESS(ROW(AA171),COLUMN(AA171)))),$H$8/M172*S172)," ")</f>
        <v xml:space="preserve"> </v>
      </c>
      <c r="AB172" s="12" t="str">
        <f ca="1">IFERROR(IF(TEXT($H$4,"DDMMAAAA")=TEXT($K171,"DDMMAAAA"),SUM($AB$2:INDIRECT(ADDRESS(ROW(AB171),COLUMN(AB171)))),$H$8/M172*V172)," ")</f>
        <v xml:space="preserve"> </v>
      </c>
      <c r="AC172" s="12" t="str">
        <f ca="1">IFERROR(IF(TEXT($H$4,"DDMMAAAA")=TEXT($K171,"DDMMAAAA"),SUM($AC$2:INDIRECT(ADDRESS(ROW(AC171),COLUMN(AC171)))),IF(SUM(Y172:AB172)=0,"",SUM(Y172:AB172)))," ")</f>
        <v/>
      </c>
      <c r="AE172">
        <v>201001</v>
      </c>
      <c r="AF172">
        <v>2.1</v>
      </c>
    </row>
    <row r="173" spans="10:32" hidden="1" x14ac:dyDescent="0.4">
      <c r="J173" s="19" t="str">
        <f t="shared" si="72"/>
        <v/>
      </c>
      <c r="K173" s="19" t="str">
        <f t="shared" si="64"/>
        <v xml:space="preserve"> </v>
      </c>
      <c r="L173" s="13" t="str">
        <f t="shared" si="62"/>
        <v xml:space="preserve"> </v>
      </c>
      <c r="M173" s="9" t="str">
        <f t="shared" si="63"/>
        <v xml:space="preserve"> </v>
      </c>
      <c r="N173" s="46" t="str">
        <f t="shared" si="65"/>
        <v xml:space="preserve"> </v>
      </c>
      <c r="O173" s="46" t="str">
        <f t="shared" si="66"/>
        <v xml:space="preserve"> </v>
      </c>
      <c r="P173" s="14" t="str">
        <f>IFERROR(IF(VLOOKUP(INT(TEXT(K173,"AAAA")),Tabla3[[AÑO]:[SALARIO 
MENSUAL]],2,0)*2&lt;$H$2,0,IFERROR(VLOOKUP(INT(TEXT(K173,"AAAA")),Tabla3[[AÑO]:[SALARIO 
MENSUAL]],2,0)," "))/30*L173," ")</f>
        <v xml:space="preserve"> </v>
      </c>
      <c r="Q173" s="14" t="str">
        <f>IFERROR(IF(VLOOKUP(INT(TEXT(K173,"AAAA")),Tabla3[[AÑO]:[SALARIO 
MENSUAL]],4,0)*2&lt;$H$2,$H$2,VLOOKUP(INT(TEXT(K173,"AAAA")),Tabla3[[AÑO]:[SALARIO 
MENSUAL]],4,0))/30*L173+$H$14+P173," ")</f>
        <v xml:space="preserve"> </v>
      </c>
      <c r="R173" s="12" t="str">
        <f t="shared" si="67"/>
        <v xml:space="preserve"> </v>
      </c>
      <c r="S173" s="12" t="str">
        <f t="shared" si="68"/>
        <v xml:space="preserve"> </v>
      </c>
      <c r="T173" s="11" t="str">
        <f t="shared" si="69"/>
        <v xml:space="preserve"> </v>
      </c>
      <c r="U173" s="14" t="str">
        <f t="shared" si="73"/>
        <v xml:space="preserve"> </v>
      </c>
      <c r="V173" s="12" t="str">
        <f t="shared" si="70"/>
        <v xml:space="preserve"> </v>
      </c>
      <c r="W173" s="53" t="str">
        <f t="shared" si="61"/>
        <v xml:space="preserve"> </v>
      </c>
      <c r="X173" s="12" t="str">
        <f t="shared" si="71"/>
        <v xml:space="preserve"> </v>
      </c>
      <c r="Y173" s="12" t="str">
        <f ca="1">IFERROR(IF(TEXT($H$4,"DDMMAAAA")=TEXT($K172,"DDMMAAAA"),SUM($Y$2:INDIRECT(ADDRESS(ROW(Y172),COLUMN(Y172)))),$H$8/M173*U173)," ")</f>
        <v xml:space="preserve"> </v>
      </c>
      <c r="Z173" s="51" t="str">
        <f ca="1">IFERROR(IF(TEXT($H$4,"DDMMAAAA")=TEXT($K172,"DDMMAAAA"),SUM($Y$2:INDIRECT(ADDRESS(ROW(Z172),COLUMN(Z172)))),$H$8/M173*R173)," ")</f>
        <v xml:space="preserve"> </v>
      </c>
      <c r="AA173" s="12" t="str">
        <f ca="1">IFERROR(IF(TEXT($H$4,"DDMMAAAA")=TEXT($K172,"DDMMAAAA"),SUM($AA$2:INDIRECT(ADDRESS(ROW(AA172),COLUMN(AA172)))),$H$8/M173*S173)," ")</f>
        <v xml:space="preserve"> </v>
      </c>
      <c r="AB173" s="12" t="str">
        <f ca="1">IFERROR(IF(TEXT($H$4,"DDMMAAAA")=TEXT($K172,"DDMMAAAA"),SUM($AB$2:INDIRECT(ADDRESS(ROW(AB172),COLUMN(AB172)))),$H$8/M173*V173)," ")</f>
        <v xml:space="preserve"> </v>
      </c>
      <c r="AC173" s="12" t="str">
        <f ca="1">IFERROR(IF(TEXT($H$4,"DDMMAAAA")=TEXT($K172,"DDMMAAAA"),SUM($AC$2:INDIRECT(ADDRESS(ROW(AC172),COLUMN(AC172)))),IF(SUM(Y173:AB173)=0,"",SUM(Y173:AB173)))," ")</f>
        <v/>
      </c>
      <c r="AE173">
        <v>200912</v>
      </c>
      <c r="AF173">
        <v>2</v>
      </c>
    </row>
    <row r="174" spans="10:32" hidden="1" x14ac:dyDescent="0.4">
      <c r="J174" s="19" t="str">
        <f t="shared" si="72"/>
        <v/>
      </c>
      <c r="K174" s="19" t="str">
        <f t="shared" si="64"/>
        <v xml:space="preserve"> </v>
      </c>
      <c r="L174" s="13" t="str">
        <f t="shared" si="62"/>
        <v xml:space="preserve"> </v>
      </c>
      <c r="M174" s="9" t="str">
        <f t="shared" si="63"/>
        <v xml:space="preserve"> </v>
      </c>
      <c r="N174" s="46" t="str">
        <f t="shared" si="65"/>
        <v xml:space="preserve"> </v>
      </c>
      <c r="O174" s="46" t="str">
        <f t="shared" si="66"/>
        <v xml:space="preserve"> </v>
      </c>
      <c r="P174" s="14" t="str">
        <f>IFERROR(IF(VLOOKUP(INT(TEXT(K174,"AAAA")),Tabla3[[AÑO]:[SALARIO 
MENSUAL]],2,0)*2&lt;$H$2,0,IFERROR(VLOOKUP(INT(TEXT(K174,"AAAA")),Tabla3[[AÑO]:[SALARIO 
MENSUAL]],2,0)," "))/30*L174," ")</f>
        <v xml:space="preserve"> </v>
      </c>
      <c r="Q174" s="14" t="str">
        <f>IFERROR(IF(VLOOKUP(INT(TEXT(K174,"AAAA")),Tabla3[[AÑO]:[SALARIO 
MENSUAL]],4,0)*2&lt;$H$2,$H$2,VLOOKUP(INT(TEXT(K174,"AAAA")),Tabla3[[AÑO]:[SALARIO 
MENSUAL]],4,0))/30*L174+$H$14+P174," ")</f>
        <v xml:space="preserve"> </v>
      </c>
      <c r="R174" s="12" t="str">
        <f t="shared" si="67"/>
        <v xml:space="preserve"> </v>
      </c>
      <c r="S174" s="12" t="str">
        <f t="shared" si="68"/>
        <v xml:space="preserve"> </v>
      </c>
      <c r="T174" s="11" t="str">
        <f t="shared" si="69"/>
        <v xml:space="preserve"> </v>
      </c>
      <c r="U174" s="14" t="str">
        <f t="shared" si="73"/>
        <v xml:space="preserve"> </v>
      </c>
      <c r="V174" s="12" t="str">
        <f t="shared" si="70"/>
        <v xml:space="preserve"> </v>
      </c>
      <c r="W174" s="53" t="str">
        <f t="shared" si="61"/>
        <v xml:space="preserve"> </v>
      </c>
      <c r="X174" s="12" t="str">
        <f t="shared" si="71"/>
        <v xml:space="preserve"> </v>
      </c>
      <c r="Y174" s="12" t="str">
        <f ca="1">IFERROR(IF(TEXT($H$4,"DDMMAAAA")=TEXT($K173,"DDMMAAAA"),SUM($Y$2:INDIRECT(ADDRESS(ROW(Y173),COLUMN(Y173)))),$H$8/M174*U174)," ")</f>
        <v xml:space="preserve"> </v>
      </c>
      <c r="Z174" s="51" t="str">
        <f ca="1">IFERROR(IF(TEXT($H$4,"DDMMAAAA")=TEXT($K173,"DDMMAAAA"),SUM($Y$2:INDIRECT(ADDRESS(ROW(Z173),COLUMN(Z173)))),$H$8/M174*R174)," ")</f>
        <v xml:space="preserve"> </v>
      </c>
      <c r="AA174" s="12" t="str">
        <f ca="1">IFERROR(IF(TEXT($H$4,"DDMMAAAA")=TEXT($K173,"DDMMAAAA"),SUM($AA$2:INDIRECT(ADDRESS(ROW(AA173),COLUMN(AA173)))),$H$8/M174*S174)," ")</f>
        <v xml:space="preserve"> </v>
      </c>
      <c r="AB174" s="12" t="str">
        <f ca="1">IFERROR(IF(TEXT($H$4,"DDMMAAAA")=TEXT($K173,"DDMMAAAA"),SUM($AB$2:INDIRECT(ADDRESS(ROW(AB173),COLUMN(AB173)))),$H$8/M174*V174)," ")</f>
        <v xml:space="preserve"> </v>
      </c>
      <c r="AC174" s="12" t="str">
        <f ca="1">IFERROR(IF(TEXT($H$4,"DDMMAAAA")=TEXT($K173,"DDMMAAAA"),SUM($AC$2:INDIRECT(ADDRESS(ROW(AC173),COLUMN(AC173)))),IF(SUM(Y174:AB174)=0,"",SUM(Y174:AB174)))," ")</f>
        <v/>
      </c>
      <c r="AE174">
        <v>200911</v>
      </c>
      <c r="AF174">
        <v>2.37</v>
      </c>
    </row>
    <row r="175" spans="10:32" hidden="1" x14ac:dyDescent="0.4">
      <c r="J175" s="19" t="str">
        <f t="shared" si="72"/>
        <v/>
      </c>
      <c r="K175" s="19" t="str">
        <f t="shared" si="64"/>
        <v xml:space="preserve"> </v>
      </c>
      <c r="L175" s="13" t="str">
        <f t="shared" si="62"/>
        <v xml:space="preserve"> </v>
      </c>
      <c r="M175" s="9" t="str">
        <f t="shared" si="63"/>
        <v xml:space="preserve"> </v>
      </c>
      <c r="N175" s="46" t="str">
        <f t="shared" si="65"/>
        <v xml:space="preserve"> </v>
      </c>
      <c r="O175" s="46" t="str">
        <f t="shared" si="66"/>
        <v xml:space="preserve"> </v>
      </c>
      <c r="P175" s="14" t="str">
        <f>IFERROR(IF(VLOOKUP(INT(TEXT(K175,"AAAA")),Tabla3[[AÑO]:[SALARIO 
MENSUAL]],2,0)*2&lt;$H$2,0,IFERROR(VLOOKUP(INT(TEXT(K175,"AAAA")),Tabla3[[AÑO]:[SALARIO 
MENSUAL]],2,0)," "))/30*L175," ")</f>
        <v xml:space="preserve"> </v>
      </c>
      <c r="Q175" s="14" t="str">
        <f>IFERROR(IF(VLOOKUP(INT(TEXT(K175,"AAAA")),Tabla3[[AÑO]:[SALARIO 
MENSUAL]],4,0)*2&lt;$H$2,$H$2,VLOOKUP(INT(TEXT(K175,"AAAA")),Tabla3[[AÑO]:[SALARIO 
MENSUAL]],4,0))/30*L175+$H$14+P175," ")</f>
        <v xml:space="preserve"> </v>
      </c>
      <c r="R175" s="12" t="str">
        <f t="shared" si="67"/>
        <v xml:space="preserve"> </v>
      </c>
      <c r="S175" s="12" t="str">
        <f t="shared" si="68"/>
        <v xml:space="preserve"> </v>
      </c>
      <c r="T175" s="11" t="str">
        <f t="shared" si="69"/>
        <v xml:space="preserve"> </v>
      </c>
      <c r="U175" s="14" t="str">
        <f t="shared" si="73"/>
        <v xml:space="preserve"> </v>
      </c>
      <c r="V175" s="12" t="str">
        <f t="shared" si="70"/>
        <v xml:space="preserve"> </v>
      </c>
      <c r="W175" s="53" t="str">
        <f t="shared" si="61"/>
        <v xml:space="preserve"> </v>
      </c>
      <c r="X175" s="12" t="str">
        <f t="shared" si="71"/>
        <v xml:space="preserve"> </v>
      </c>
      <c r="Y175" s="12" t="str">
        <f ca="1">IFERROR(IF(TEXT($H$4,"DDMMAAAA")=TEXT($K174,"DDMMAAAA"),SUM($Y$2:INDIRECT(ADDRESS(ROW(Y174),COLUMN(Y174)))),$H$8/M175*U175)," ")</f>
        <v xml:space="preserve"> </v>
      </c>
      <c r="Z175" s="51" t="str">
        <f ca="1">IFERROR(IF(TEXT($H$4,"DDMMAAAA")=TEXT($K174,"DDMMAAAA"),SUM($Y$2:INDIRECT(ADDRESS(ROW(Z174),COLUMN(Z174)))),$H$8/M175*R175)," ")</f>
        <v xml:space="preserve"> </v>
      </c>
      <c r="AA175" s="12" t="str">
        <f ca="1">IFERROR(IF(TEXT($H$4,"DDMMAAAA")=TEXT($K174,"DDMMAAAA"),SUM($AA$2:INDIRECT(ADDRESS(ROW(AA174),COLUMN(AA174)))),$H$8/M175*S175)," ")</f>
        <v xml:space="preserve"> </v>
      </c>
      <c r="AB175" s="12" t="str">
        <f ca="1">IFERROR(IF(TEXT($H$4,"DDMMAAAA")=TEXT($K174,"DDMMAAAA"),SUM($AB$2:INDIRECT(ADDRESS(ROW(AB174),COLUMN(AB174)))),$H$8/M175*V175)," ")</f>
        <v xml:space="preserve"> </v>
      </c>
      <c r="AC175" s="12" t="str">
        <f ca="1">IFERROR(IF(TEXT($H$4,"DDMMAAAA")=TEXT($K174,"DDMMAAAA"),SUM($AC$2:INDIRECT(ADDRESS(ROW(AC174),COLUMN(AC174)))),IF(SUM(Y175:AB175)=0,"",SUM(Y175:AB175)))," ")</f>
        <v/>
      </c>
      <c r="AE175">
        <v>200910</v>
      </c>
      <c r="AF175">
        <v>2.72</v>
      </c>
    </row>
    <row r="176" spans="10:32" hidden="1" x14ac:dyDescent="0.4">
      <c r="J176" s="19" t="str">
        <f t="shared" si="72"/>
        <v/>
      </c>
      <c r="K176" s="19" t="str">
        <f t="shared" si="64"/>
        <v xml:space="preserve"> </v>
      </c>
      <c r="L176" s="13" t="str">
        <f t="shared" si="62"/>
        <v xml:space="preserve"> </v>
      </c>
      <c r="M176" s="9" t="str">
        <f t="shared" si="63"/>
        <v xml:space="preserve"> </v>
      </c>
      <c r="N176" s="46" t="str">
        <f t="shared" si="65"/>
        <v xml:space="preserve"> </v>
      </c>
      <c r="O176" s="46" t="str">
        <f t="shared" si="66"/>
        <v xml:space="preserve"> </v>
      </c>
      <c r="P176" s="14" t="str">
        <f>IFERROR(IF(VLOOKUP(INT(TEXT(K176,"AAAA")),Tabla3[[AÑO]:[SALARIO 
MENSUAL]],2,0)*2&lt;$H$2,0,IFERROR(VLOOKUP(INT(TEXT(K176,"AAAA")),Tabla3[[AÑO]:[SALARIO 
MENSUAL]],2,0)," "))/30*L176," ")</f>
        <v xml:space="preserve"> </v>
      </c>
      <c r="Q176" s="14" t="str">
        <f>IFERROR(IF(VLOOKUP(INT(TEXT(K176,"AAAA")),Tabla3[[AÑO]:[SALARIO 
MENSUAL]],4,0)*2&lt;$H$2,$H$2,VLOOKUP(INT(TEXT(K176,"AAAA")),Tabla3[[AÑO]:[SALARIO 
MENSUAL]],4,0))/30*L176+$H$14+P176," ")</f>
        <v xml:space="preserve"> </v>
      </c>
      <c r="R176" s="12" t="str">
        <f t="shared" si="67"/>
        <v xml:space="preserve"> </v>
      </c>
      <c r="S176" s="12" t="str">
        <f t="shared" si="68"/>
        <v xml:space="preserve"> </v>
      </c>
      <c r="T176" s="11" t="str">
        <f t="shared" si="69"/>
        <v xml:space="preserve"> </v>
      </c>
      <c r="U176" s="14" t="str">
        <f t="shared" si="73"/>
        <v xml:space="preserve"> </v>
      </c>
      <c r="V176" s="12" t="str">
        <f t="shared" si="70"/>
        <v xml:space="preserve"> </v>
      </c>
      <c r="W176" s="53" t="str">
        <f t="shared" si="61"/>
        <v xml:space="preserve"> </v>
      </c>
      <c r="X176" s="12" t="str">
        <f t="shared" si="71"/>
        <v xml:space="preserve"> </v>
      </c>
      <c r="Y176" s="12" t="str">
        <f ca="1">IFERROR(IF(TEXT($H$4,"DDMMAAAA")=TEXT($K175,"DDMMAAAA"),SUM($Y$2:INDIRECT(ADDRESS(ROW(Y175),COLUMN(Y175)))),$H$8/M176*U176)," ")</f>
        <v xml:space="preserve"> </v>
      </c>
      <c r="Z176" s="51" t="str">
        <f ca="1">IFERROR(IF(TEXT($H$4,"DDMMAAAA")=TEXT($K175,"DDMMAAAA"),SUM($Y$2:INDIRECT(ADDRESS(ROW(Z175),COLUMN(Z175)))),$H$8/M176*R176)," ")</f>
        <v xml:space="preserve"> </v>
      </c>
      <c r="AA176" s="12" t="str">
        <f ca="1">IFERROR(IF(TEXT($H$4,"DDMMAAAA")=TEXT($K175,"DDMMAAAA"),SUM($AA$2:INDIRECT(ADDRESS(ROW(AA175),COLUMN(AA175)))),$H$8/M176*S176)," ")</f>
        <v xml:space="preserve"> </v>
      </c>
      <c r="AB176" s="12" t="str">
        <f ca="1">IFERROR(IF(TEXT($H$4,"DDMMAAAA")=TEXT($K175,"DDMMAAAA"),SUM($AB$2:INDIRECT(ADDRESS(ROW(AB175),COLUMN(AB175)))),$H$8/M176*V176)," ")</f>
        <v xml:space="preserve"> </v>
      </c>
      <c r="AC176" s="12" t="str">
        <f ca="1">IFERROR(IF(TEXT($H$4,"DDMMAAAA")=TEXT($K175,"DDMMAAAA"),SUM($AC$2:INDIRECT(ADDRESS(ROW(AC175),COLUMN(AC175)))),IF(SUM(Y176:AB176)=0,"",SUM(Y176:AB176)))," ")</f>
        <v/>
      </c>
      <c r="AE176">
        <v>200909</v>
      </c>
      <c r="AF176">
        <v>3.21</v>
      </c>
    </row>
    <row r="177" spans="10:32" hidden="1" x14ac:dyDescent="0.4">
      <c r="J177" s="19" t="str">
        <f t="shared" si="72"/>
        <v/>
      </c>
      <c r="K177" s="19" t="str">
        <f t="shared" si="64"/>
        <v xml:space="preserve"> </v>
      </c>
      <c r="L177" s="13" t="str">
        <f t="shared" si="62"/>
        <v xml:space="preserve"> </v>
      </c>
      <c r="M177" s="9" t="str">
        <f t="shared" si="63"/>
        <v xml:space="preserve"> </v>
      </c>
      <c r="N177" s="46" t="str">
        <f t="shared" si="65"/>
        <v xml:space="preserve"> </v>
      </c>
      <c r="O177" s="46" t="str">
        <f t="shared" si="66"/>
        <v xml:space="preserve"> </v>
      </c>
      <c r="P177" s="14" t="str">
        <f>IFERROR(IF(VLOOKUP(INT(TEXT(K177,"AAAA")),Tabla3[[AÑO]:[SALARIO 
MENSUAL]],2,0)*2&lt;$H$2,0,IFERROR(VLOOKUP(INT(TEXT(K177,"AAAA")),Tabla3[[AÑO]:[SALARIO 
MENSUAL]],2,0)," "))/30*L177," ")</f>
        <v xml:space="preserve"> </v>
      </c>
      <c r="Q177" s="14" t="str">
        <f>IFERROR(IF(VLOOKUP(INT(TEXT(K177,"AAAA")),Tabla3[[AÑO]:[SALARIO 
MENSUAL]],4,0)*2&lt;$H$2,$H$2,VLOOKUP(INT(TEXT(K177,"AAAA")),Tabla3[[AÑO]:[SALARIO 
MENSUAL]],4,0))/30*L177+$H$14+P177," ")</f>
        <v xml:space="preserve"> </v>
      </c>
      <c r="R177" s="12" t="str">
        <f t="shared" si="67"/>
        <v xml:space="preserve"> </v>
      </c>
      <c r="S177" s="12" t="str">
        <f t="shared" si="68"/>
        <v xml:space="preserve"> </v>
      </c>
      <c r="T177" s="11" t="str">
        <f t="shared" si="69"/>
        <v xml:space="preserve"> </v>
      </c>
      <c r="U177" s="14" t="str">
        <f t="shared" si="73"/>
        <v xml:space="preserve"> </v>
      </c>
      <c r="V177" s="12" t="str">
        <f t="shared" si="70"/>
        <v xml:space="preserve"> </v>
      </c>
      <c r="W177" s="53" t="str">
        <f t="shared" si="61"/>
        <v xml:space="preserve"> </v>
      </c>
      <c r="X177" s="12" t="str">
        <f t="shared" si="71"/>
        <v xml:space="preserve"> </v>
      </c>
      <c r="Y177" s="12" t="str">
        <f ca="1">IFERROR(IF(TEXT($H$4,"DDMMAAAA")=TEXT($K176,"DDMMAAAA"),SUM($Y$2:INDIRECT(ADDRESS(ROW(Y176),COLUMN(Y176)))),$H$8/M177*U177)," ")</f>
        <v xml:space="preserve"> </v>
      </c>
      <c r="Z177" s="51" t="str">
        <f ca="1">IFERROR(IF(TEXT($H$4,"DDMMAAAA")=TEXT($K176,"DDMMAAAA"),SUM($Y$2:INDIRECT(ADDRESS(ROW(Z176),COLUMN(Z176)))),$H$8/M177*R177)," ")</f>
        <v xml:space="preserve"> </v>
      </c>
      <c r="AA177" s="12" t="str">
        <f ca="1">IFERROR(IF(TEXT($H$4,"DDMMAAAA")=TEXT($K176,"DDMMAAAA"),SUM($AA$2:INDIRECT(ADDRESS(ROW(AA176),COLUMN(AA176)))),$H$8/M177*S177)," ")</f>
        <v xml:space="preserve"> </v>
      </c>
      <c r="AB177" s="12" t="str">
        <f ca="1">IFERROR(IF(TEXT($H$4,"DDMMAAAA")=TEXT($K176,"DDMMAAAA"),SUM($AB$2:INDIRECT(ADDRESS(ROW(AB176),COLUMN(AB176)))),$H$8/M177*V177)," ")</f>
        <v xml:space="preserve"> </v>
      </c>
      <c r="AC177" s="12" t="str">
        <f ca="1">IFERROR(IF(TEXT($H$4,"DDMMAAAA")=TEXT($K176,"DDMMAAAA"),SUM($AC$2:INDIRECT(ADDRESS(ROW(AC176),COLUMN(AC176)))),IF(SUM(Y177:AB177)=0,"",SUM(Y177:AB177)))," ")</f>
        <v/>
      </c>
      <c r="AE177">
        <v>200908</v>
      </c>
      <c r="AF177">
        <v>3.13</v>
      </c>
    </row>
    <row r="178" spans="10:32" hidden="1" x14ac:dyDescent="0.4">
      <c r="J178" s="19" t="str">
        <f t="shared" si="72"/>
        <v/>
      </c>
      <c r="K178" s="19" t="str">
        <f t="shared" si="64"/>
        <v xml:space="preserve"> </v>
      </c>
      <c r="L178" s="13" t="str">
        <f t="shared" si="62"/>
        <v xml:space="preserve"> </v>
      </c>
      <c r="M178" s="9" t="str">
        <f t="shared" si="63"/>
        <v xml:space="preserve"> </v>
      </c>
      <c r="N178" s="46" t="str">
        <f t="shared" si="65"/>
        <v xml:space="preserve"> </v>
      </c>
      <c r="O178" s="46" t="str">
        <f t="shared" si="66"/>
        <v xml:space="preserve"> </v>
      </c>
      <c r="P178" s="14" t="str">
        <f>IFERROR(IF(VLOOKUP(INT(TEXT(K178,"AAAA")),Tabla3[[AÑO]:[SALARIO 
MENSUAL]],2,0)*2&lt;$H$2,0,IFERROR(VLOOKUP(INT(TEXT(K178,"AAAA")),Tabla3[[AÑO]:[SALARIO 
MENSUAL]],2,0)," "))/30*L178," ")</f>
        <v xml:space="preserve"> </v>
      </c>
      <c r="Q178" s="14" t="str">
        <f>IFERROR(IF(VLOOKUP(INT(TEXT(K178,"AAAA")),Tabla3[[AÑO]:[SALARIO 
MENSUAL]],4,0)*2&lt;$H$2,$H$2,VLOOKUP(INT(TEXT(K178,"AAAA")),Tabla3[[AÑO]:[SALARIO 
MENSUAL]],4,0))/30*L178+$H$14+P178," ")</f>
        <v xml:space="preserve"> </v>
      </c>
      <c r="R178" s="12" t="str">
        <f t="shared" si="67"/>
        <v xml:space="preserve"> </v>
      </c>
      <c r="S178" s="12" t="str">
        <f t="shared" si="68"/>
        <v xml:space="preserve"> </v>
      </c>
      <c r="T178" s="11" t="str">
        <f t="shared" si="69"/>
        <v xml:space="preserve"> </v>
      </c>
      <c r="U178" s="14" t="str">
        <f t="shared" si="73"/>
        <v xml:space="preserve"> </v>
      </c>
      <c r="V178" s="12" t="str">
        <f t="shared" si="70"/>
        <v xml:space="preserve"> </v>
      </c>
      <c r="W178" s="53" t="str">
        <f t="shared" si="61"/>
        <v xml:space="preserve"> </v>
      </c>
      <c r="X178" s="12" t="str">
        <f t="shared" si="71"/>
        <v xml:space="preserve"> </v>
      </c>
      <c r="Y178" s="12" t="str">
        <f ca="1">IFERROR(IF(TEXT($H$4,"DDMMAAAA")=TEXT($K177,"DDMMAAAA"),SUM($Y$2:INDIRECT(ADDRESS(ROW(Y177),COLUMN(Y177)))),$H$8/M178*U178)," ")</f>
        <v xml:space="preserve"> </v>
      </c>
      <c r="Z178" s="51" t="str">
        <f ca="1">IFERROR(IF(TEXT($H$4,"DDMMAAAA")=TEXT($K177,"DDMMAAAA"),SUM($Y$2:INDIRECT(ADDRESS(ROW(Z177),COLUMN(Z177)))),$H$8/M178*R178)," ")</f>
        <v xml:space="preserve"> </v>
      </c>
      <c r="AA178" s="12" t="str">
        <f ca="1">IFERROR(IF(TEXT($H$4,"DDMMAAAA")=TEXT($K177,"DDMMAAAA"),SUM($AA$2:INDIRECT(ADDRESS(ROW(AA177),COLUMN(AA177)))),$H$8/M178*S178)," ")</f>
        <v xml:space="preserve"> </v>
      </c>
      <c r="AB178" s="12" t="str">
        <f ca="1">IFERROR(IF(TEXT($H$4,"DDMMAAAA")=TEXT($K177,"DDMMAAAA"),SUM($AB$2:INDIRECT(ADDRESS(ROW(AB177),COLUMN(AB177)))),$H$8/M178*V178)," ")</f>
        <v xml:space="preserve"> </v>
      </c>
      <c r="AC178" s="12" t="str">
        <f ca="1">IFERROR(IF(TEXT($H$4,"DDMMAAAA")=TEXT($K177,"DDMMAAAA"),SUM($AC$2:INDIRECT(ADDRESS(ROW(AC177),COLUMN(AC177)))),IF(SUM(Y178:AB178)=0,"",SUM(Y178:AB178)))," ")</f>
        <v/>
      </c>
      <c r="AE178">
        <v>200907</v>
      </c>
      <c r="AF178">
        <v>3.28</v>
      </c>
    </row>
    <row r="179" spans="10:32" hidden="1" x14ac:dyDescent="0.4">
      <c r="J179" s="19" t="str">
        <f t="shared" si="72"/>
        <v/>
      </c>
      <c r="K179" s="19" t="str">
        <f t="shared" si="64"/>
        <v xml:space="preserve"> </v>
      </c>
      <c r="L179" s="13" t="str">
        <f t="shared" si="62"/>
        <v xml:space="preserve"> </v>
      </c>
      <c r="M179" s="9" t="str">
        <f t="shared" ref="M179:M199" si="74">IFERROR(VLOOKUP(INT(TEXT(K179,"AAAAMM")),$AE$1:$AF$376,2,0)," ")</f>
        <v xml:space="preserve"> </v>
      </c>
      <c r="N179" s="46" t="str">
        <f t="shared" si="65"/>
        <v xml:space="preserve"> </v>
      </c>
      <c r="O179" s="46" t="str">
        <f t="shared" si="66"/>
        <v xml:space="preserve"> </v>
      </c>
      <c r="P179" s="14" t="str">
        <f>IFERROR(IF(VLOOKUP(INT(TEXT(K179,"AAAA")),Tabla3[[AÑO]:[SALARIO 
MENSUAL]],2,0)*2&lt;$H$2,0,IFERROR(VLOOKUP(INT(TEXT(K179,"AAAA")),Tabla3[[AÑO]:[SALARIO 
MENSUAL]],2,0)," "))/30*L179," ")</f>
        <v xml:space="preserve"> </v>
      </c>
      <c r="Q179" s="14" t="str">
        <f>IFERROR(IF(VLOOKUP(INT(TEXT(K179,"AAAA")),Tabla3[[AÑO]:[SALARIO 
MENSUAL]],4,0)*2&lt;$H$2,$H$2,VLOOKUP(INT(TEXT(K179,"AAAA")),Tabla3[[AÑO]:[SALARIO 
MENSUAL]],4,0))/30*L179+$H$14+P179," ")</f>
        <v xml:space="preserve"> </v>
      </c>
      <c r="R179" s="12" t="str">
        <f t="shared" si="67"/>
        <v xml:space="preserve"> </v>
      </c>
      <c r="S179" s="12" t="str">
        <f t="shared" si="68"/>
        <v xml:space="preserve"> </v>
      </c>
      <c r="T179" s="11" t="str">
        <f t="shared" si="69"/>
        <v xml:space="preserve"> </v>
      </c>
      <c r="U179" s="14" t="str">
        <f t="shared" si="73"/>
        <v xml:space="preserve"> </v>
      </c>
      <c r="V179" s="12" t="str">
        <f t="shared" si="70"/>
        <v xml:space="preserve"> </v>
      </c>
      <c r="W179" s="53" t="str">
        <f t="shared" si="61"/>
        <v xml:space="preserve"> </v>
      </c>
      <c r="X179" s="12" t="str">
        <f t="shared" si="71"/>
        <v xml:space="preserve"> </v>
      </c>
      <c r="Y179" s="12" t="str">
        <f ca="1">IFERROR(IF(TEXT($H$4,"DDMMAAAA")=TEXT($K178,"DDMMAAAA"),SUM($Y$2:INDIRECT(ADDRESS(ROW(Y178),COLUMN(Y178)))),$H$8/M179*U179)," ")</f>
        <v xml:space="preserve"> </v>
      </c>
      <c r="Z179" s="51" t="str">
        <f ca="1">IFERROR(IF(TEXT($H$4,"DDMMAAAA")=TEXT($K178,"DDMMAAAA"),SUM($Y$2:INDIRECT(ADDRESS(ROW(Z178),COLUMN(Z178)))),$H$8/M179*R179)," ")</f>
        <v xml:space="preserve"> </v>
      </c>
      <c r="AA179" s="12" t="str">
        <f ca="1">IFERROR(IF(TEXT($H$4,"DDMMAAAA")=TEXT($K178,"DDMMAAAA"),SUM($AA$2:INDIRECT(ADDRESS(ROW(AA178),COLUMN(AA178)))),$H$8/M179*S179)," ")</f>
        <v xml:space="preserve"> </v>
      </c>
      <c r="AB179" s="12" t="str">
        <f ca="1">IFERROR(IF(TEXT($H$4,"DDMMAAAA")=TEXT($K178,"DDMMAAAA"),SUM($AB$2:INDIRECT(ADDRESS(ROW(AB178),COLUMN(AB178)))),$H$8/M179*V179)," ")</f>
        <v xml:space="preserve"> </v>
      </c>
      <c r="AC179" s="12" t="str">
        <f ca="1">IFERROR(IF(TEXT($H$4,"DDMMAAAA")=TEXT($K178,"DDMMAAAA"),SUM($AC$2:INDIRECT(ADDRESS(ROW(AC178),COLUMN(AC178)))),IF(SUM(Y179:AB179)=0,"",SUM(Y179:AB179)))," ")</f>
        <v/>
      </c>
      <c r="AE179">
        <v>200906</v>
      </c>
      <c r="AF179">
        <v>3.81</v>
      </c>
    </row>
    <row r="180" spans="10:32" hidden="1" x14ac:dyDescent="0.4">
      <c r="J180" s="19" t="str">
        <f t="shared" si="72"/>
        <v/>
      </c>
      <c r="K180" s="19" t="str">
        <f t="shared" si="64"/>
        <v xml:space="preserve"> </v>
      </c>
      <c r="L180" s="13" t="str">
        <f t="shared" si="62"/>
        <v xml:space="preserve"> </v>
      </c>
      <c r="M180" s="9" t="str">
        <f t="shared" si="74"/>
        <v xml:space="preserve"> </v>
      </c>
      <c r="N180" s="46" t="str">
        <f t="shared" si="65"/>
        <v xml:space="preserve"> </v>
      </c>
      <c r="O180" s="46" t="str">
        <f t="shared" si="66"/>
        <v xml:space="preserve"> </v>
      </c>
      <c r="P180" s="14" t="str">
        <f>IFERROR(IF(VLOOKUP(INT(TEXT(K180,"AAAA")),Tabla3[[AÑO]:[SALARIO 
MENSUAL]],2,0)*2&lt;$H$2,0,IFERROR(VLOOKUP(INT(TEXT(K180,"AAAA")),Tabla3[[AÑO]:[SALARIO 
MENSUAL]],2,0)," "))/30*L180," ")</f>
        <v xml:space="preserve"> </v>
      </c>
      <c r="Q180" s="14" t="str">
        <f>IFERROR(IF(VLOOKUP(INT(TEXT(K180,"AAAA")),Tabla3[[AÑO]:[SALARIO 
MENSUAL]],4,0)*2&lt;$H$2,$H$2,VLOOKUP(INT(TEXT(K180,"AAAA")),Tabla3[[AÑO]:[SALARIO 
MENSUAL]],4,0))/30*L180+$H$14+P180," ")</f>
        <v xml:space="preserve"> </v>
      </c>
      <c r="R180" s="12" t="str">
        <f t="shared" si="67"/>
        <v xml:space="preserve"> </v>
      </c>
      <c r="S180" s="12" t="str">
        <f t="shared" si="68"/>
        <v xml:space="preserve"> </v>
      </c>
      <c r="T180" s="11" t="str">
        <f t="shared" si="69"/>
        <v xml:space="preserve"> </v>
      </c>
      <c r="U180" s="14" t="str">
        <f t="shared" si="73"/>
        <v xml:space="preserve"> </v>
      </c>
      <c r="V180" s="12" t="str">
        <f t="shared" si="70"/>
        <v xml:space="preserve"> </v>
      </c>
      <c r="W180" s="53" t="str">
        <f t="shared" si="61"/>
        <v xml:space="preserve"> </v>
      </c>
      <c r="X180" s="12" t="str">
        <f t="shared" si="71"/>
        <v xml:space="preserve"> </v>
      </c>
      <c r="Y180" s="12" t="str">
        <f ca="1">IFERROR(IF(TEXT($H$4,"DDMMAAAA")=TEXT($K179,"DDMMAAAA"),SUM($Y$2:INDIRECT(ADDRESS(ROW(Y179),COLUMN(Y179)))),$H$8/M180*U180)," ")</f>
        <v xml:space="preserve"> </v>
      </c>
      <c r="Z180" s="51" t="str">
        <f ca="1">IFERROR(IF(TEXT($H$4,"DDMMAAAA")=TEXT($K179,"DDMMAAAA"),SUM($Y$2:INDIRECT(ADDRESS(ROW(Z179),COLUMN(Z179)))),$H$8/M180*R180)," ")</f>
        <v xml:space="preserve"> </v>
      </c>
      <c r="AA180" s="12" t="str">
        <f ca="1">IFERROR(IF(TEXT($H$4,"DDMMAAAA")=TEXT($K179,"DDMMAAAA"),SUM($AA$2:INDIRECT(ADDRESS(ROW(AA179),COLUMN(AA179)))),$H$8/M180*S180)," ")</f>
        <v xml:space="preserve"> </v>
      </c>
      <c r="AB180" s="12" t="str">
        <f ca="1">IFERROR(IF(TEXT($H$4,"DDMMAAAA")=TEXT($K179,"DDMMAAAA"),SUM($AB$2:INDIRECT(ADDRESS(ROW(AB179),COLUMN(AB179)))),$H$8/M180*V180)," ")</f>
        <v xml:space="preserve"> </v>
      </c>
      <c r="AC180" s="12" t="str">
        <f ca="1">IFERROR(IF(TEXT($H$4,"DDMMAAAA")=TEXT($K179,"DDMMAAAA"),SUM($AC$2:INDIRECT(ADDRESS(ROW(AC179),COLUMN(AC179)))),IF(SUM(Y180:AB180)=0,"",SUM(Y180:AB180)))," ")</f>
        <v/>
      </c>
      <c r="AE180">
        <v>200905</v>
      </c>
      <c r="AF180">
        <v>4.7699999999999996</v>
      </c>
    </row>
    <row r="181" spans="10:32" hidden="1" x14ac:dyDescent="0.4">
      <c r="J181" s="19" t="str">
        <f t="shared" si="72"/>
        <v/>
      </c>
      <c r="K181" s="19" t="str">
        <f t="shared" si="64"/>
        <v xml:space="preserve"> </v>
      </c>
      <c r="L181" s="13" t="str">
        <f t="shared" si="62"/>
        <v xml:space="preserve"> </v>
      </c>
      <c r="M181" s="9" t="str">
        <f t="shared" si="74"/>
        <v xml:space="preserve"> </v>
      </c>
      <c r="N181" s="46" t="str">
        <f t="shared" si="65"/>
        <v xml:space="preserve"> </v>
      </c>
      <c r="O181" s="46" t="str">
        <f t="shared" si="66"/>
        <v xml:space="preserve"> </v>
      </c>
      <c r="P181" s="14" t="str">
        <f>IFERROR(IF(VLOOKUP(INT(TEXT(K181,"AAAA")),Tabla3[[AÑO]:[SALARIO 
MENSUAL]],2,0)*2&lt;$H$2,0,IFERROR(VLOOKUP(INT(TEXT(K181,"AAAA")),Tabla3[[AÑO]:[SALARIO 
MENSUAL]],2,0)," "))/30*L181," ")</f>
        <v xml:space="preserve"> </v>
      </c>
      <c r="Q181" s="14" t="str">
        <f>IFERROR(IF(VLOOKUP(INT(TEXT(K181,"AAAA")),Tabla3[[AÑO]:[SALARIO 
MENSUAL]],4,0)*2&lt;$H$2,$H$2,VLOOKUP(INT(TEXT(K181,"AAAA")),Tabla3[[AÑO]:[SALARIO 
MENSUAL]],4,0))/30*L181+$H$14+P181," ")</f>
        <v xml:space="preserve"> </v>
      </c>
      <c r="R181" s="12" t="str">
        <f t="shared" si="67"/>
        <v xml:space="preserve"> </v>
      </c>
      <c r="S181" s="12" t="str">
        <f t="shared" si="68"/>
        <v xml:space="preserve"> </v>
      </c>
      <c r="T181" s="11" t="str">
        <f t="shared" si="69"/>
        <v xml:space="preserve"> </v>
      </c>
      <c r="U181" s="14" t="str">
        <f t="shared" si="73"/>
        <v xml:space="preserve"> </v>
      </c>
      <c r="V181" s="12" t="str">
        <f t="shared" si="70"/>
        <v xml:space="preserve"> </v>
      </c>
      <c r="W181" s="53" t="str">
        <f t="shared" si="61"/>
        <v xml:space="preserve"> </v>
      </c>
      <c r="X181" s="12" t="str">
        <f t="shared" si="71"/>
        <v xml:space="preserve"> </v>
      </c>
      <c r="Y181" s="12" t="str">
        <f ca="1">IFERROR(IF(TEXT($H$4,"DDMMAAAA")=TEXT($K180,"DDMMAAAA"),SUM($Y$2:INDIRECT(ADDRESS(ROW(Y180),COLUMN(Y180)))),$H$8/M181*U181)," ")</f>
        <v xml:space="preserve"> </v>
      </c>
      <c r="Z181" s="51" t="str">
        <f ca="1">IFERROR(IF(TEXT($H$4,"DDMMAAAA")=TEXT($K180,"DDMMAAAA"),SUM($Y$2:INDIRECT(ADDRESS(ROW(Z180),COLUMN(Z180)))),$H$8/M181*R181)," ")</f>
        <v xml:space="preserve"> </v>
      </c>
      <c r="AA181" s="12" t="str">
        <f ca="1">IFERROR(IF(TEXT($H$4,"DDMMAAAA")=TEXT($K180,"DDMMAAAA"),SUM($AA$2:INDIRECT(ADDRESS(ROW(AA180),COLUMN(AA180)))),$H$8/M181*S181)," ")</f>
        <v xml:space="preserve"> </v>
      </c>
      <c r="AB181" s="12" t="str">
        <f ca="1">IFERROR(IF(TEXT($H$4,"DDMMAAAA")=TEXT($K180,"DDMMAAAA"),SUM($AB$2:INDIRECT(ADDRESS(ROW(AB180),COLUMN(AB180)))),$H$8/M181*V181)," ")</f>
        <v xml:space="preserve"> </v>
      </c>
      <c r="AC181" s="12" t="str">
        <f ca="1">IFERROR(IF(TEXT($H$4,"DDMMAAAA")=TEXT($K180,"DDMMAAAA"),SUM($AC$2:INDIRECT(ADDRESS(ROW(AC180),COLUMN(AC180)))),IF(SUM(Y181:AB181)=0,"",SUM(Y181:AB181)))," ")</f>
        <v/>
      </c>
      <c r="AE181">
        <v>200904</v>
      </c>
      <c r="AF181">
        <v>5.73</v>
      </c>
    </row>
    <row r="182" spans="10:32" hidden="1" x14ac:dyDescent="0.4">
      <c r="J182" s="19" t="str">
        <f t="shared" si="72"/>
        <v/>
      </c>
      <c r="K182" s="19" t="str">
        <f t="shared" si="64"/>
        <v xml:space="preserve"> </v>
      </c>
      <c r="L182" s="13" t="str">
        <f t="shared" si="62"/>
        <v xml:space="preserve"> </v>
      </c>
      <c r="M182" s="9" t="str">
        <f t="shared" si="74"/>
        <v xml:space="preserve"> </v>
      </c>
      <c r="N182" s="46" t="str">
        <f t="shared" si="65"/>
        <v xml:space="preserve"> </v>
      </c>
      <c r="O182" s="46" t="str">
        <f t="shared" si="66"/>
        <v xml:space="preserve"> </v>
      </c>
      <c r="P182" s="14" t="str">
        <f>IFERROR(IF(VLOOKUP(INT(TEXT(K182,"AAAA")),Tabla3[[AÑO]:[SALARIO 
MENSUAL]],2,0)*2&lt;$H$2,0,IFERROR(VLOOKUP(INT(TEXT(K182,"AAAA")),Tabla3[[AÑO]:[SALARIO 
MENSUAL]],2,0)," "))/30*L182," ")</f>
        <v xml:space="preserve"> </v>
      </c>
      <c r="Q182" s="14" t="str">
        <f>IFERROR(IF(VLOOKUP(INT(TEXT(K182,"AAAA")),Tabla3[[AÑO]:[SALARIO 
MENSUAL]],4,0)*2&lt;$H$2,$H$2,VLOOKUP(INT(TEXT(K182,"AAAA")),Tabla3[[AÑO]:[SALARIO 
MENSUAL]],4,0))/30*L182+$H$14+P182," ")</f>
        <v xml:space="preserve"> </v>
      </c>
      <c r="R182" s="12" t="str">
        <f t="shared" si="67"/>
        <v xml:space="preserve"> </v>
      </c>
      <c r="S182" s="12" t="str">
        <f t="shared" si="68"/>
        <v xml:space="preserve"> </v>
      </c>
      <c r="T182" s="11" t="str">
        <f t="shared" si="69"/>
        <v xml:space="preserve"> </v>
      </c>
      <c r="U182" s="14" t="str">
        <f t="shared" si="73"/>
        <v xml:space="preserve"> </v>
      </c>
      <c r="V182" s="12" t="str">
        <f t="shared" si="70"/>
        <v xml:space="preserve"> </v>
      </c>
      <c r="W182" s="53" t="str">
        <f t="shared" si="61"/>
        <v xml:space="preserve"> </v>
      </c>
      <c r="X182" s="12" t="str">
        <f t="shared" si="71"/>
        <v xml:space="preserve"> </v>
      </c>
      <c r="Y182" s="12" t="str">
        <f ca="1">IFERROR(IF(TEXT($H$4,"DDMMAAAA")=TEXT($K181,"DDMMAAAA"),SUM($Y$2:INDIRECT(ADDRESS(ROW(Y181),COLUMN(Y181)))),$H$8/M182*U182)," ")</f>
        <v xml:space="preserve"> </v>
      </c>
      <c r="Z182" s="51" t="str">
        <f ca="1">IFERROR(IF(TEXT($H$4,"DDMMAAAA")=TEXT($K181,"DDMMAAAA"),SUM($Y$2:INDIRECT(ADDRESS(ROW(Z181),COLUMN(Z181)))),$H$8/M182*R182)," ")</f>
        <v xml:space="preserve"> </v>
      </c>
      <c r="AA182" s="12" t="str">
        <f ca="1">IFERROR(IF(TEXT($H$4,"DDMMAAAA")=TEXT($K181,"DDMMAAAA"),SUM($AA$2:INDIRECT(ADDRESS(ROW(AA181),COLUMN(AA181)))),$H$8/M182*S182)," ")</f>
        <v xml:space="preserve"> </v>
      </c>
      <c r="AB182" s="12" t="str">
        <f ca="1">IFERROR(IF(TEXT($H$4,"DDMMAAAA")=TEXT($K181,"DDMMAAAA"),SUM($AB$2:INDIRECT(ADDRESS(ROW(AB181),COLUMN(AB181)))),$H$8/M182*V182)," ")</f>
        <v xml:space="preserve"> </v>
      </c>
      <c r="AC182" s="12" t="str">
        <f ca="1">IFERROR(IF(TEXT($H$4,"DDMMAAAA")=TEXT($K181,"DDMMAAAA"),SUM($AC$2:INDIRECT(ADDRESS(ROW(AC181),COLUMN(AC181)))),IF(SUM(Y182:AB182)=0,"",SUM(Y182:AB182)))," ")</f>
        <v/>
      </c>
      <c r="AE182">
        <v>200903</v>
      </c>
      <c r="AF182">
        <v>6.14</v>
      </c>
    </row>
    <row r="183" spans="10:32" hidden="1" x14ac:dyDescent="0.4">
      <c r="J183" s="19" t="str">
        <f t="shared" si="72"/>
        <v/>
      </c>
      <c r="K183" s="19" t="str">
        <f t="shared" si="64"/>
        <v xml:space="preserve"> </v>
      </c>
      <c r="L183" s="13" t="str">
        <f t="shared" si="62"/>
        <v xml:space="preserve"> </v>
      </c>
      <c r="M183" s="9" t="str">
        <f t="shared" si="74"/>
        <v xml:space="preserve"> </v>
      </c>
      <c r="N183" s="46" t="str">
        <f t="shared" si="65"/>
        <v xml:space="preserve"> </v>
      </c>
      <c r="O183" s="46" t="str">
        <f t="shared" si="66"/>
        <v xml:space="preserve"> </v>
      </c>
      <c r="P183" s="14" t="str">
        <f>IFERROR(IF(VLOOKUP(INT(TEXT(K183,"AAAA")),Tabla3[[AÑO]:[SALARIO 
MENSUAL]],2,0)*2&lt;$H$2,0,IFERROR(VLOOKUP(INT(TEXT(K183,"AAAA")),Tabla3[[AÑO]:[SALARIO 
MENSUAL]],2,0)," "))/30*L183," ")</f>
        <v xml:space="preserve"> </v>
      </c>
      <c r="Q183" s="14" t="str">
        <f>IFERROR(IF(VLOOKUP(INT(TEXT(K183,"AAAA")),Tabla3[[AÑO]:[SALARIO 
MENSUAL]],4,0)*2&lt;$H$2,$H$2,VLOOKUP(INT(TEXT(K183,"AAAA")),Tabla3[[AÑO]:[SALARIO 
MENSUAL]],4,0))/30*L183+$H$14+P183," ")</f>
        <v xml:space="preserve"> </v>
      </c>
      <c r="R183" s="12" t="str">
        <f t="shared" si="67"/>
        <v xml:space="preserve"> </v>
      </c>
      <c r="S183" s="12" t="str">
        <f t="shared" si="68"/>
        <v xml:space="preserve"> </v>
      </c>
      <c r="T183" s="11" t="str">
        <f t="shared" si="69"/>
        <v xml:space="preserve"> </v>
      </c>
      <c r="U183" s="14" t="str">
        <f t="shared" si="73"/>
        <v xml:space="preserve"> </v>
      </c>
      <c r="V183" s="12" t="str">
        <f t="shared" si="70"/>
        <v xml:space="preserve"> </v>
      </c>
      <c r="W183" s="53" t="str">
        <f t="shared" si="61"/>
        <v xml:space="preserve"> </v>
      </c>
      <c r="X183" s="12" t="str">
        <f t="shared" si="71"/>
        <v xml:space="preserve"> </v>
      </c>
      <c r="Y183" s="12" t="str">
        <f ca="1">IFERROR(IF(TEXT($H$4,"DDMMAAAA")=TEXT($K182,"DDMMAAAA"),SUM($Y$2:INDIRECT(ADDRESS(ROW(Y182),COLUMN(Y182)))),$H$8/M183*U183)," ")</f>
        <v xml:space="preserve"> </v>
      </c>
      <c r="Z183" s="51" t="str">
        <f ca="1">IFERROR(IF(TEXT($H$4,"DDMMAAAA")=TEXT($K182,"DDMMAAAA"),SUM($Y$2:INDIRECT(ADDRESS(ROW(Z182),COLUMN(Z182)))),$H$8/M183*R183)," ")</f>
        <v xml:space="preserve"> </v>
      </c>
      <c r="AA183" s="12" t="str">
        <f ca="1">IFERROR(IF(TEXT($H$4,"DDMMAAAA")=TEXT($K182,"DDMMAAAA"),SUM($AA$2:INDIRECT(ADDRESS(ROW(AA182),COLUMN(AA182)))),$H$8/M183*S183)," ")</f>
        <v xml:space="preserve"> </v>
      </c>
      <c r="AB183" s="12" t="str">
        <f ca="1">IFERROR(IF(TEXT($H$4,"DDMMAAAA")=TEXT($K182,"DDMMAAAA"),SUM($AB$2:INDIRECT(ADDRESS(ROW(AB182),COLUMN(AB182)))),$H$8/M183*V183)," ")</f>
        <v xml:space="preserve"> </v>
      </c>
      <c r="AC183" s="12" t="str">
        <f ca="1">IFERROR(IF(TEXT($H$4,"DDMMAAAA")=TEXT($K182,"DDMMAAAA"),SUM($AC$2:INDIRECT(ADDRESS(ROW(AC182),COLUMN(AC182)))),IF(SUM(Y183:AB183)=0,"",SUM(Y183:AB183)))," ")</f>
        <v/>
      </c>
      <c r="AE183">
        <v>200902</v>
      </c>
      <c r="AF183">
        <v>6.47</v>
      </c>
    </row>
    <row r="184" spans="10:32" hidden="1" x14ac:dyDescent="0.4">
      <c r="J184" s="19" t="str">
        <f t="shared" si="72"/>
        <v/>
      </c>
      <c r="K184" s="19" t="str">
        <f t="shared" si="64"/>
        <v xml:space="preserve"> </v>
      </c>
      <c r="L184" s="13" t="str">
        <f t="shared" si="62"/>
        <v xml:space="preserve"> </v>
      </c>
      <c r="M184" s="9" t="str">
        <f t="shared" si="74"/>
        <v xml:space="preserve"> </v>
      </c>
      <c r="N184" s="46" t="str">
        <f t="shared" si="65"/>
        <v xml:space="preserve"> </v>
      </c>
      <c r="O184" s="46" t="str">
        <f t="shared" si="66"/>
        <v xml:space="preserve"> </v>
      </c>
      <c r="P184" s="14" t="str">
        <f>IFERROR(IF(VLOOKUP(INT(TEXT(K184,"AAAA")),Tabla3[[AÑO]:[SALARIO 
MENSUAL]],2,0)*2&lt;$H$2,0,IFERROR(VLOOKUP(INT(TEXT(K184,"AAAA")),Tabla3[[AÑO]:[SALARIO 
MENSUAL]],2,0)," "))/30*L184," ")</f>
        <v xml:space="preserve"> </v>
      </c>
      <c r="Q184" s="14" t="str">
        <f>IFERROR(IF(VLOOKUP(INT(TEXT(K184,"AAAA")),Tabla3[[AÑO]:[SALARIO 
MENSUAL]],4,0)*2&lt;$H$2,$H$2,VLOOKUP(INT(TEXT(K184,"AAAA")),Tabla3[[AÑO]:[SALARIO 
MENSUAL]],4,0))/30*L184+$H$14+P184," ")</f>
        <v xml:space="preserve"> </v>
      </c>
      <c r="R184" s="12" t="str">
        <f t="shared" si="67"/>
        <v xml:space="preserve"> </v>
      </c>
      <c r="S184" s="12" t="str">
        <f t="shared" si="68"/>
        <v xml:space="preserve"> </v>
      </c>
      <c r="T184" s="11" t="str">
        <f t="shared" si="69"/>
        <v xml:space="preserve"> </v>
      </c>
      <c r="U184" s="14" t="str">
        <f t="shared" si="73"/>
        <v xml:space="preserve"> </v>
      </c>
      <c r="V184" s="12" t="str">
        <f t="shared" si="70"/>
        <v xml:space="preserve"> </v>
      </c>
      <c r="W184" s="53" t="str">
        <f t="shared" si="61"/>
        <v xml:space="preserve"> </v>
      </c>
      <c r="X184" s="12" t="str">
        <f t="shared" si="71"/>
        <v xml:space="preserve"> </v>
      </c>
      <c r="Y184" s="12" t="str">
        <f ca="1">IFERROR(IF(TEXT($H$4,"DDMMAAAA")=TEXT($K183,"DDMMAAAA"),SUM($Y$2:INDIRECT(ADDRESS(ROW(Y183),COLUMN(Y183)))),$H$8/M184*U184)," ")</f>
        <v xml:space="preserve"> </v>
      </c>
      <c r="Z184" s="51" t="str">
        <f ca="1">IFERROR(IF(TEXT($H$4,"DDMMAAAA")=TEXT($K183,"DDMMAAAA"),SUM($Y$2:INDIRECT(ADDRESS(ROW(Z183),COLUMN(Z183)))),$H$8/M184*R184)," ")</f>
        <v xml:space="preserve"> </v>
      </c>
      <c r="AA184" s="12" t="str">
        <f ca="1">IFERROR(IF(TEXT($H$4,"DDMMAAAA")=TEXT($K183,"DDMMAAAA"),SUM($AA$2:INDIRECT(ADDRESS(ROW(AA183),COLUMN(AA183)))),$H$8/M184*S184)," ")</f>
        <v xml:space="preserve"> </v>
      </c>
      <c r="AB184" s="12" t="str">
        <f ca="1">IFERROR(IF(TEXT($H$4,"DDMMAAAA")=TEXT($K183,"DDMMAAAA"),SUM($AB$2:INDIRECT(ADDRESS(ROW(AB183),COLUMN(AB183)))),$H$8/M184*V184)," ")</f>
        <v xml:space="preserve"> </v>
      </c>
      <c r="AC184" s="12" t="str">
        <f ca="1">IFERROR(IF(TEXT($H$4,"DDMMAAAA")=TEXT($K183,"DDMMAAAA"),SUM($AC$2:INDIRECT(ADDRESS(ROW(AC183),COLUMN(AC183)))),IF(SUM(Y184:AB184)=0,"",SUM(Y184:AB184)))," ")</f>
        <v/>
      </c>
      <c r="AE184">
        <v>200901</v>
      </c>
      <c r="AF184">
        <v>7.18</v>
      </c>
    </row>
    <row r="185" spans="10:32" hidden="1" x14ac:dyDescent="0.4">
      <c r="J185" s="19" t="str">
        <f t="shared" si="72"/>
        <v/>
      </c>
      <c r="K185" s="19" t="str">
        <f t="shared" si="64"/>
        <v xml:space="preserve"> </v>
      </c>
      <c r="L185" s="13" t="str">
        <f t="shared" si="62"/>
        <v xml:space="preserve"> </v>
      </c>
      <c r="M185" s="9" t="str">
        <f t="shared" si="74"/>
        <v xml:space="preserve"> </v>
      </c>
      <c r="N185" s="46" t="str">
        <f t="shared" si="65"/>
        <v xml:space="preserve"> </v>
      </c>
      <c r="O185" s="46" t="str">
        <f t="shared" si="66"/>
        <v xml:space="preserve"> </v>
      </c>
      <c r="P185" s="14" t="str">
        <f>IFERROR(IF(VLOOKUP(INT(TEXT(K185,"AAAA")),Tabla3[[AÑO]:[SALARIO 
MENSUAL]],2,0)*2&lt;$H$2,0,IFERROR(VLOOKUP(INT(TEXT(K185,"AAAA")),Tabla3[[AÑO]:[SALARIO 
MENSUAL]],2,0)," "))/30*L185," ")</f>
        <v xml:space="preserve"> </v>
      </c>
      <c r="Q185" s="14" t="str">
        <f>IFERROR(IF(VLOOKUP(INT(TEXT(K185,"AAAA")),Tabla3[[AÑO]:[SALARIO 
MENSUAL]],4,0)*2&lt;$H$2,$H$2,VLOOKUP(INT(TEXT(K185,"AAAA")),Tabla3[[AÑO]:[SALARIO 
MENSUAL]],4,0))/30*L185+$H$14+P185," ")</f>
        <v xml:space="preserve"> </v>
      </c>
      <c r="R185" s="12" t="str">
        <f t="shared" si="67"/>
        <v xml:space="preserve"> </v>
      </c>
      <c r="S185" s="12" t="str">
        <f t="shared" si="68"/>
        <v xml:space="preserve"> </v>
      </c>
      <c r="T185" s="11" t="str">
        <f t="shared" si="69"/>
        <v xml:space="preserve"> </v>
      </c>
      <c r="U185" s="14" t="str">
        <f t="shared" si="73"/>
        <v xml:space="preserve"> </v>
      </c>
      <c r="V185" s="12" t="str">
        <f t="shared" si="70"/>
        <v xml:space="preserve"> </v>
      </c>
      <c r="W185" s="53" t="str">
        <f t="shared" si="61"/>
        <v xml:space="preserve"> </v>
      </c>
      <c r="X185" s="12" t="str">
        <f t="shared" si="71"/>
        <v xml:space="preserve"> </v>
      </c>
      <c r="Y185" s="12" t="str">
        <f ca="1">IFERROR(IF(TEXT($H$4,"DDMMAAAA")=TEXT($K184,"DDMMAAAA"),SUM($Y$2:INDIRECT(ADDRESS(ROW(Y184),COLUMN(Y184)))),$H$8/M185*U185)," ")</f>
        <v xml:space="preserve"> </v>
      </c>
      <c r="Z185" s="51" t="str">
        <f ca="1">IFERROR(IF(TEXT($H$4,"DDMMAAAA")=TEXT($K184,"DDMMAAAA"),SUM($Y$2:INDIRECT(ADDRESS(ROW(Z184),COLUMN(Z184)))),$H$8/M185*R185)," ")</f>
        <v xml:space="preserve"> </v>
      </c>
      <c r="AA185" s="12" t="str">
        <f ca="1">IFERROR(IF(TEXT($H$4,"DDMMAAAA")=TEXT($K184,"DDMMAAAA"),SUM($AA$2:INDIRECT(ADDRESS(ROW(AA184),COLUMN(AA184)))),$H$8/M185*S185)," ")</f>
        <v xml:space="preserve"> </v>
      </c>
      <c r="AB185" s="12" t="str">
        <f ca="1">IFERROR(IF(TEXT($H$4,"DDMMAAAA")=TEXT($K184,"DDMMAAAA"),SUM($AB$2:INDIRECT(ADDRESS(ROW(AB184),COLUMN(AB184)))),$H$8/M185*V185)," ")</f>
        <v xml:space="preserve"> </v>
      </c>
      <c r="AC185" s="12" t="str">
        <f ca="1">IFERROR(IF(TEXT($H$4,"DDMMAAAA")=TEXT($K184,"DDMMAAAA"),SUM($AC$2:INDIRECT(ADDRESS(ROW(AC184),COLUMN(AC184)))),IF(SUM(Y185:AB185)=0,"",SUM(Y185:AB185)))," ")</f>
        <v/>
      </c>
      <c r="AE185">
        <v>200812</v>
      </c>
      <c r="AF185">
        <v>7.67</v>
      </c>
    </row>
    <row r="186" spans="10:32" hidden="1" x14ac:dyDescent="0.4">
      <c r="J186" s="19" t="str">
        <f t="shared" si="72"/>
        <v/>
      </c>
      <c r="K186" s="19" t="str">
        <f t="shared" si="64"/>
        <v xml:space="preserve"> </v>
      </c>
      <c r="L186" s="13" t="str">
        <f t="shared" si="62"/>
        <v xml:space="preserve"> </v>
      </c>
      <c r="M186" s="9" t="str">
        <f t="shared" si="74"/>
        <v xml:space="preserve"> </v>
      </c>
      <c r="N186" s="46" t="str">
        <f t="shared" si="65"/>
        <v xml:space="preserve"> </v>
      </c>
      <c r="O186" s="46" t="str">
        <f t="shared" si="66"/>
        <v xml:space="preserve"> </v>
      </c>
      <c r="P186" s="14" t="str">
        <f>IFERROR(IF(VLOOKUP(INT(TEXT(K186,"AAAA")),Tabla3[[AÑO]:[SALARIO 
MENSUAL]],2,0)*2&lt;$H$2,0,IFERROR(VLOOKUP(INT(TEXT(K186,"AAAA")),Tabla3[[AÑO]:[SALARIO 
MENSUAL]],2,0)," "))/30*L186," ")</f>
        <v xml:space="preserve"> </v>
      </c>
      <c r="Q186" s="14" t="str">
        <f>IFERROR(IF(VLOOKUP(INT(TEXT(K186,"AAAA")),Tabla3[[AÑO]:[SALARIO 
MENSUAL]],4,0)*2&lt;$H$2,$H$2,VLOOKUP(INT(TEXT(K186,"AAAA")),Tabla3[[AÑO]:[SALARIO 
MENSUAL]],4,0))/30*L186+$H$14+P186," ")</f>
        <v xml:space="preserve"> </v>
      </c>
      <c r="R186" s="12" t="str">
        <f t="shared" si="67"/>
        <v xml:space="preserve"> </v>
      </c>
      <c r="S186" s="12" t="str">
        <f t="shared" si="68"/>
        <v xml:space="preserve"> </v>
      </c>
      <c r="T186" s="11" t="str">
        <f t="shared" si="69"/>
        <v xml:space="preserve"> </v>
      </c>
      <c r="U186" s="14" t="str">
        <f t="shared" si="73"/>
        <v xml:space="preserve"> </v>
      </c>
      <c r="V186" s="12" t="str">
        <f t="shared" si="70"/>
        <v xml:space="preserve"> </v>
      </c>
      <c r="W186" s="53" t="str">
        <f t="shared" si="61"/>
        <v xml:space="preserve"> </v>
      </c>
      <c r="X186" s="12" t="str">
        <f t="shared" si="71"/>
        <v xml:space="preserve"> </v>
      </c>
      <c r="Y186" s="12" t="str">
        <f ca="1">IFERROR(IF(TEXT($H$4,"DDMMAAAA")=TEXT($K185,"DDMMAAAA"),SUM($Y$2:INDIRECT(ADDRESS(ROW(Y185),COLUMN(Y185)))),$H$8/M186*U186)," ")</f>
        <v xml:space="preserve"> </v>
      </c>
      <c r="Z186" s="51" t="str">
        <f ca="1">IFERROR(IF(TEXT($H$4,"DDMMAAAA")=TEXT($K185,"DDMMAAAA"),SUM($Y$2:INDIRECT(ADDRESS(ROW(Z185),COLUMN(Z185)))),$H$8/M186*R186)," ")</f>
        <v xml:space="preserve"> </v>
      </c>
      <c r="AA186" s="12" t="str">
        <f ca="1">IFERROR(IF(TEXT($H$4,"DDMMAAAA")=TEXT($K185,"DDMMAAAA"),SUM($AA$2:INDIRECT(ADDRESS(ROW(AA185),COLUMN(AA185)))),$H$8/M186*S186)," ")</f>
        <v xml:space="preserve"> </v>
      </c>
      <c r="AB186" s="12" t="str">
        <f ca="1">IFERROR(IF(TEXT($H$4,"DDMMAAAA")=TEXT($K185,"DDMMAAAA"),SUM($AB$2:INDIRECT(ADDRESS(ROW(AB185),COLUMN(AB185)))),$H$8/M186*V186)," ")</f>
        <v xml:space="preserve"> </v>
      </c>
      <c r="AC186" s="12" t="str">
        <f ca="1">IFERROR(IF(TEXT($H$4,"DDMMAAAA")=TEXT($K185,"DDMMAAAA"),SUM($AC$2:INDIRECT(ADDRESS(ROW(AC185),COLUMN(AC185)))),IF(SUM(Y186:AB186)=0,"",SUM(Y186:AB186)))," ")</f>
        <v/>
      </c>
      <c r="AE186">
        <v>200811</v>
      </c>
      <c r="AF186">
        <v>7.73</v>
      </c>
    </row>
    <row r="187" spans="10:32" hidden="1" x14ac:dyDescent="0.4">
      <c r="J187" s="19" t="str">
        <f t="shared" si="72"/>
        <v/>
      </c>
      <c r="K187" s="19" t="str">
        <f t="shared" si="64"/>
        <v xml:space="preserve"> </v>
      </c>
      <c r="L187" s="13" t="str">
        <f t="shared" si="62"/>
        <v xml:space="preserve"> </v>
      </c>
      <c r="M187" s="9" t="str">
        <f t="shared" si="74"/>
        <v xml:space="preserve"> </v>
      </c>
      <c r="N187" s="46" t="str">
        <f t="shared" si="65"/>
        <v xml:space="preserve"> </v>
      </c>
      <c r="O187" s="46" t="str">
        <f t="shared" si="66"/>
        <v xml:space="preserve"> </v>
      </c>
      <c r="P187" s="14" t="str">
        <f>IFERROR(IF(VLOOKUP(INT(TEXT(K187,"AAAA")),Tabla3[[AÑO]:[SALARIO 
MENSUAL]],2,0)*2&lt;$H$2,0,IFERROR(VLOOKUP(INT(TEXT(K187,"AAAA")),Tabla3[[AÑO]:[SALARIO 
MENSUAL]],2,0)," "))/30*L187," ")</f>
        <v xml:space="preserve"> </v>
      </c>
      <c r="Q187" s="14" t="str">
        <f>IFERROR(IF(VLOOKUP(INT(TEXT(K187,"AAAA")),Tabla3[[AÑO]:[SALARIO 
MENSUAL]],4,0)*2&lt;$H$2,$H$2,VLOOKUP(INT(TEXT(K187,"AAAA")),Tabla3[[AÑO]:[SALARIO 
MENSUAL]],4,0))/30*L187+$H$14+P187," ")</f>
        <v xml:space="preserve"> </v>
      </c>
      <c r="R187" s="12" t="str">
        <f t="shared" si="67"/>
        <v xml:space="preserve"> </v>
      </c>
      <c r="S187" s="12" t="str">
        <f t="shared" si="68"/>
        <v xml:space="preserve"> </v>
      </c>
      <c r="T187" s="11" t="str">
        <f t="shared" si="69"/>
        <v xml:space="preserve"> </v>
      </c>
      <c r="U187" s="14" t="str">
        <f t="shared" si="73"/>
        <v xml:space="preserve"> </v>
      </c>
      <c r="V187" s="12" t="str">
        <f t="shared" si="70"/>
        <v xml:space="preserve"> </v>
      </c>
      <c r="W187" s="53" t="str">
        <f t="shared" si="61"/>
        <v xml:space="preserve"> </v>
      </c>
      <c r="X187" s="12" t="str">
        <f t="shared" si="71"/>
        <v xml:space="preserve"> </v>
      </c>
      <c r="Y187" s="12" t="str">
        <f ca="1">IFERROR(IF(TEXT($H$4,"DDMMAAAA")=TEXT($K186,"DDMMAAAA"),SUM($Y$2:INDIRECT(ADDRESS(ROW(Y186),COLUMN(Y186)))),$H$8/M187*U187)," ")</f>
        <v xml:space="preserve"> </v>
      </c>
      <c r="Z187" s="51" t="str">
        <f ca="1">IFERROR(IF(TEXT($H$4,"DDMMAAAA")=TEXT($K186,"DDMMAAAA"),SUM($Y$2:INDIRECT(ADDRESS(ROW(Z186),COLUMN(Z186)))),$H$8/M187*R187)," ")</f>
        <v xml:space="preserve"> </v>
      </c>
      <c r="AA187" s="12" t="str">
        <f ca="1">IFERROR(IF(TEXT($H$4,"DDMMAAAA")=TEXT($K186,"DDMMAAAA"),SUM($AA$2:INDIRECT(ADDRESS(ROW(AA186),COLUMN(AA186)))),$H$8/M187*S187)," ")</f>
        <v xml:space="preserve"> </v>
      </c>
      <c r="AB187" s="12" t="str">
        <f ca="1">IFERROR(IF(TEXT($H$4,"DDMMAAAA")=TEXT($K186,"DDMMAAAA"),SUM($AB$2:INDIRECT(ADDRESS(ROW(AB186),COLUMN(AB186)))),$H$8/M187*V187)," ")</f>
        <v xml:space="preserve"> </v>
      </c>
      <c r="AC187" s="12" t="str">
        <f ca="1">IFERROR(IF(TEXT($H$4,"DDMMAAAA")=TEXT($K186,"DDMMAAAA"),SUM($AC$2:INDIRECT(ADDRESS(ROW(AC186),COLUMN(AC186)))),IF(SUM(Y187:AB187)=0,"",SUM(Y187:AB187)))," ")</f>
        <v/>
      </c>
      <c r="AE187">
        <v>200810</v>
      </c>
      <c r="AF187">
        <v>7.94</v>
      </c>
    </row>
    <row r="188" spans="10:32" hidden="1" x14ac:dyDescent="0.4">
      <c r="J188" s="19" t="str">
        <f t="shared" si="72"/>
        <v/>
      </c>
      <c r="K188" s="19" t="str">
        <f t="shared" si="64"/>
        <v xml:space="preserve"> </v>
      </c>
      <c r="L188" s="13" t="str">
        <f t="shared" si="62"/>
        <v xml:space="preserve"> </v>
      </c>
      <c r="M188" s="9" t="str">
        <f t="shared" si="74"/>
        <v xml:space="preserve"> </v>
      </c>
      <c r="N188" s="46" t="str">
        <f t="shared" si="65"/>
        <v xml:space="preserve"> </v>
      </c>
      <c r="O188" s="46" t="str">
        <f t="shared" si="66"/>
        <v xml:space="preserve"> </v>
      </c>
      <c r="P188" s="14" t="str">
        <f>IFERROR(IF(VLOOKUP(INT(TEXT(K188,"AAAA")),Tabla3[[AÑO]:[SALARIO 
MENSUAL]],2,0)*2&lt;$H$2,0,IFERROR(VLOOKUP(INT(TEXT(K188,"AAAA")),Tabla3[[AÑO]:[SALARIO 
MENSUAL]],2,0)," "))/30*L188," ")</f>
        <v xml:space="preserve"> </v>
      </c>
      <c r="Q188" s="14" t="str">
        <f>IFERROR(IF(VLOOKUP(INT(TEXT(K188,"AAAA")),Tabla3[[AÑO]:[SALARIO 
MENSUAL]],4,0)*2&lt;$H$2,$H$2,VLOOKUP(INT(TEXT(K188,"AAAA")),Tabla3[[AÑO]:[SALARIO 
MENSUAL]],4,0))/30*L188+$H$14+P188," ")</f>
        <v xml:space="preserve"> </v>
      </c>
      <c r="R188" s="12" t="str">
        <f t="shared" si="67"/>
        <v xml:space="preserve"> </v>
      </c>
      <c r="S188" s="12" t="str">
        <f t="shared" si="68"/>
        <v xml:space="preserve"> </v>
      </c>
      <c r="T188" s="11" t="str">
        <f t="shared" si="69"/>
        <v xml:space="preserve"> </v>
      </c>
      <c r="U188" s="14" t="str">
        <f t="shared" si="73"/>
        <v xml:space="preserve"> </v>
      </c>
      <c r="V188" s="12" t="str">
        <f t="shared" si="70"/>
        <v xml:space="preserve"> </v>
      </c>
      <c r="W188" s="53" t="str">
        <f t="shared" si="61"/>
        <v xml:space="preserve"> </v>
      </c>
      <c r="X188" s="12" t="str">
        <f t="shared" si="71"/>
        <v xml:space="preserve"> </v>
      </c>
      <c r="Y188" s="12" t="str">
        <f ca="1">IFERROR(IF(TEXT($H$4,"DDMMAAAA")=TEXT($K187,"DDMMAAAA"),SUM($Y$2:INDIRECT(ADDRESS(ROW(Y187),COLUMN(Y187)))),$H$8/M188*U188)," ")</f>
        <v xml:space="preserve"> </v>
      </c>
      <c r="Z188" s="51" t="str">
        <f ca="1">IFERROR(IF(TEXT($H$4,"DDMMAAAA")=TEXT($K187,"DDMMAAAA"),SUM($Y$2:INDIRECT(ADDRESS(ROW(Z187),COLUMN(Z187)))),$H$8/M188*R188)," ")</f>
        <v xml:space="preserve"> </v>
      </c>
      <c r="AA188" s="12" t="str">
        <f ca="1">IFERROR(IF(TEXT($H$4,"DDMMAAAA")=TEXT($K187,"DDMMAAAA"),SUM($AA$2:INDIRECT(ADDRESS(ROW(AA187),COLUMN(AA187)))),$H$8/M188*S188)," ")</f>
        <v xml:space="preserve"> </v>
      </c>
      <c r="AB188" s="12" t="str">
        <f ca="1">IFERROR(IF(TEXT($H$4,"DDMMAAAA")=TEXT($K187,"DDMMAAAA"),SUM($AB$2:INDIRECT(ADDRESS(ROW(AB187),COLUMN(AB187)))),$H$8/M188*V188)," ")</f>
        <v xml:space="preserve"> </v>
      </c>
      <c r="AC188" s="12" t="str">
        <f ca="1">IFERROR(IF(TEXT($H$4,"DDMMAAAA")=TEXT($K187,"DDMMAAAA"),SUM($AC$2:INDIRECT(ADDRESS(ROW(AC187),COLUMN(AC187)))),IF(SUM(Y188:AB188)=0,"",SUM(Y188:AB188)))," ")</f>
        <v/>
      </c>
      <c r="AE188">
        <v>200809</v>
      </c>
      <c r="AF188">
        <v>7.57</v>
      </c>
    </row>
    <row r="189" spans="10:32" hidden="1" x14ac:dyDescent="0.4">
      <c r="J189" s="19" t="str">
        <f t="shared" si="72"/>
        <v/>
      </c>
      <c r="K189" s="19" t="str">
        <f t="shared" si="64"/>
        <v xml:space="preserve"> </v>
      </c>
      <c r="L189" s="13" t="str">
        <f t="shared" si="62"/>
        <v xml:space="preserve"> </v>
      </c>
      <c r="M189" s="9" t="str">
        <f t="shared" si="74"/>
        <v xml:space="preserve"> </v>
      </c>
      <c r="N189" s="46" t="str">
        <f t="shared" si="65"/>
        <v xml:space="preserve"> </v>
      </c>
      <c r="O189" s="46" t="str">
        <f t="shared" si="66"/>
        <v xml:space="preserve"> </v>
      </c>
      <c r="P189" s="14" t="str">
        <f>IFERROR(IF(VLOOKUP(INT(TEXT(K189,"AAAA")),Tabla3[[AÑO]:[SALARIO 
MENSUAL]],2,0)*2&lt;$H$2,0,IFERROR(VLOOKUP(INT(TEXT(K189,"AAAA")),Tabla3[[AÑO]:[SALARIO 
MENSUAL]],2,0)," "))/30*L189," ")</f>
        <v xml:space="preserve"> </v>
      </c>
      <c r="Q189" s="14" t="str">
        <f>IFERROR(IF(VLOOKUP(INT(TEXT(K189,"AAAA")),Tabla3[[AÑO]:[SALARIO 
MENSUAL]],4,0)*2&lt;$H$2,$H$2,VLOOKUP(INT(TEXT(K189,"AAAA")),Tabla3[[AÑO]:[SALARIO 
MENSUAL]],4,0))/30*L189+$H$14+P189," ")</f>
        <v xml:space="preserve"> </v>
      </c>
      <c r="R189" s="12" t="str">
        <f t="shared" si="67"/>
        <v xml:space="preserve"> </v>
      </c>
      <c r="S189" s="12" t="str">
        <f t="shared" si="68"/>
        <v xml:space="preserve"> </v>
      </c>
      <c r="T189" s="11" t="str">
        <f t="shared" si="69"/>
        <v xml:space="preserve"> </v>
      </c>
      <c r="U189" s="14" t="str">
        <f t="shared" si="73"/>
        <v xml:space="preserve"> </v>
      </c>
      <c r="V189" s="12" t="str">
        <f t="shared" si="70"/>
        <v xml:space="preserve"> </v>
      </c>
      <c r="W189" s="53" t="str">
        <f t="shared" si="61"/>
        <v xml:space="preserve"> </v>
      </c>
      <c r="X189" s="12" t="str">
        <f t="shared" si="71"/>
        <v xml:space="preserve"> </v>
      </c>
      <c r="Y189" s="12" t="str">
        <f ca="1">IFERROR(IF(TEXT($H$4,"DDMMAAAA")=TEXT($K188,"DDMMAAAA"),SUM($Y$2:INDIRECT(ADDRESS(ROW(Y188),COLUMN(Y188)))),$H$8/M189*U189)," ")</f>
        <v xml:space="preserve"> </v>
      </c>
      <c r="Z189" s="51" t="str">
        <f ca="1">IFERROR(IF(TEXT($H$4,"DDMMAAAA")=TEXT($K188,"DDMMAAAA"),SUM($Y$2:INDIRECT(ADDRESS(ROW(Z188),COLUMN(Z188)))),$H$8/M189*R189)," ")</f>
        <v xml:space="preserve"> </v>
      </c>
      <c r="AA189" s="12" t="str">
        <f ca="1">IFERROR(IF(TEXT($H$4,"DDMMAAAA")=TEXT($K188,"DDMMAAAA"),SUM($AA$2:INDIRECT(ADDRESS(ROW(AA188),COLUMN(AA188)))),$H$8/M189*S189)," ")</f>
        <v xml:space="preserve"> </v>
      </c>
      <c r="AB189" s="12" t="str">
        <f ca="1">IFERROR(IF(TEXT($H$4,"DDMMAAAA")=TEXT($K188,"DDMMAAAA"),SUM($AB$2:INDIRECT(ADDRESS(ROW(AB188),COLUMN(AB188)))),$H$8/M189*V189)," ")</f>
        <v xml:space="preserve"> </v>
      </c>
      <c r="AC189" s="12" t="str">
        <f ca="1">IFERROR(IF(TEXT($H$4,"DDMMAAAA")=TEXT($K188,"DDMMAAAA"),SUM($AC$2:INDIRECT(ADDRESS(ROW(AC188),COLUMN(AC188)))),IF(SUM(Y189:AB189)=0,"",SUM(Y189:AB189)))," ")</f>
        <v/>
      </c>
      <c r="AE189">
        <v>200808</v>
      </c>
      <c r="AF189">
        <v>7.87</v>
      </c>
    </row>
    <row r="190" spans="10:32" hidden="1" x14ac:dyDescent="0.4">
      <c r="J190" s="19" t="str">
        <f t="shared" si="72"/>
        <v/>
      </c>
      <c r="K190" s="19" t="str">
        <f t="shared" si="64"/>
        <v xml:space="preserve"> </v>
      </c>
      <c r="L190" s="13" t="str">
        <f t="shared" si="62"/>
        <v xml:space="preserve"> </v>
      </c>
      <c r="M190" s="9" t="str">
        <f t="shared" si="74"/>
        <v xml:space="preserve"> </v>
      </c>
      <c r="N190" s="46" t="str">
        <f t="shared" si="65"/>
        <v xml:space="preserve"> </v>
      </c>
      <c r="O190" s="46" t="str">
        <f t="shared" si="66"/>
        <v xml:space="preserve"> </v>
      </c>
      <c r="P190" s="14" t="str">
        <f>IFERROR(IF(VLOOKUP(INT(TEXT(K190,"AAAA")),Tabla3[[AÑO]:[SALARIO 
MENSUAL]],2,0)*2&lt;$H$2,0,IFERROR(VLOOKUP(INT(TEXT(K190,"AAAA")),Tabla3[[AÑO]:[SALARIO 
MENSUAL]],2,0)," "))/30*L190," ")</f>
        <v xml:space="preserve"> </v>
      </c>
      <c r="Q190" s="14" t="str">
        <f>IFERROR(IF(VLOOKUP(INT(TEXT(K190,"AAAA")),Tabla3[[AÑO]:[SALARIO 
MENSUAL]],4,0)*2&lt;$H$2,$H$2,VLOOKUP(INT(TEXT(K190,"AAAA")),Tabla3[[AÑO]:[SALARIO 
MENSUAL]],4,0))/30*L190+$H$14+P190," ")</f>
        <v xml:space="preserve"> </v>
      </c>
      <c r="R190" s="12" t="str">
        <f t="shared" si="67"/>
        <v xml:space="preserve"> </v>
      </c>
      <c r="S190" s="12" t="str">
        <f t="shared" si="68"/>
        <v xml:space="preserve"> </v>
      </c>
      <c r="T190" s="11" t="str">
        <f t="shared" si="69"/>
        <v xml:space="preserve"> </v>
      </c>
      <c r="U190" s="14" t="str">
        <f t="shared" si="73"/>
        <v xml:space="preserve"> </v>
      </c>
      <c r="V190" s="12" t="str">
        <f t="shared" si="70"/>
        <v xml:space="preserve"> </v>
      </c>
      <c r="W190" s="53" t="str">
        <f t="shared" si="61"/>
        <v xml:space="preserve"> </v>
      </c>
      <c r="X190" s="12" t="str">
        <f t="shared" si="71"/>
        <v xml:space="preserve"> </v>
      </c>
      <c r="Y190" s="12" t="str">
        <f ca="1">IFERROR(IF(TEXT($H$4,"DDMMAAAA")=TEXT($K189,"DDMMAAAA"),SUM($Y$2:INDIRECT(ADDRESS(ROW(Y189),COLUMN(Y189)))),$H$8/M190*U190)," ")</f>
        <v xml:space="preserve"> </v>
      </c>
      <c r="Z190" s="51" t="str">
        <f ca="1">IFERROR(IF(TEXT($H$4,"DDMMAAAA")=TEXT($K189,"DDMMAAAA"),SUM($Y$2:INDIRECT(ADDRESS(ROW(Z189),COLUMN(Z189)))),$H$8/M190*R190)," ")</f>
        <v xml:space="preserve"> </v>
      </c>
      <c r="AA190" s="12" t="str">
        <f ca="1">IFERROR(IF(TEXT($H$4,"DDMMAAAA")=TEXT($K189,"DDMMAAAA"),SUM($AA$2:INDIRECT(ADDRESS(ROW(AA189),COLUMN(AA189)))),$H$8/M190*S190)," ")</f>
        <v xml:space="preserve"> </v>
      </c>
      <c r="AB190" s="12" t="str">
        <f ca="1">IFERROR(IF(TEXT($H$4,"DDMMAAAA")=TEXT($K189,"DDMMAAAA"),SUM($AB$2:INDIRECT(ADDRESS(ROW(AB189),COLUMN(AB189)))),$H$8/M190*V190)," ")</f>
        <v xml:space="preserve"> </v>
      </c>
      <c r="AC190" s="12" t="str">
        <f ca="1">IFERROR(IF(TEXT($H$4,"DDMMAAAA")=TEXT($K189,"DDMMAAAA"),SUM($AC$2:INDIRECT(ADDRESS(ROW(AC189),COLUMN(AC189)))),IF(SUM(Y190:AB190)=0,"",SUM(Y190:AB190)))," ")</f>
        <v/>
      </c>
      <c r="AE190">
        <v>200807</v>
      </c>
      <c r="AF190">
        <v>7.52</v>
      </c>
    </row>
    <row r="191" spans="10:32" hidden="1" x14ac:dyDescent="0.4">
      <c r="J191" s="19" t="str">
        <f t="shared" si="72"/>
        <v/>
      </c>
      <c r="K191" s="19" t="str">
        <f t="shared" si="64"/>
        <v xml:space="preserve"> </v>
      </c>
      <c r="L191" s="13" t="str">
        <f t="shared" si="62"/>
        <v xml:space="preserve"> </v>
      </c>
      <c r="M191" s="9" t="str">
        <f t="shared" si="74"/>
        <v xml:space="preserve"> </v>
      </c>
      <c r="N191" s="46" t="str">
        <f t="shared" si="65"/>
        <v xml:space="preserve"> </v>
      </c>
      <c r="O191" s="46" t="str">
        <f t="shared" si="66"/>
        <v xml:space="preserve"> </v>
      </c>
      <c r="P191" s="14" t="str">
        <f>IFERROR(IF(VLOOKUP(INT(TEXT(K191,"AAAA")),Tabla3[[AÑO]:[SALARIO 
MENSUAL]],2,0)*2&lt;$H$2,0,IFERROR(VLOOKUP(INT(TEXT(K191,"AAAA")),Tabla3[[AÑO]:[SALARIO 
MENSUAL]],2,0)," "))/30*L191," ")</f>
        <v xml:space="preserve"> </v>
      </c>
      <c r="Q191" s="14" t="str">
        <f>IFERROR(IF(VLOOKUP(INT(TEXT(K191,"AAAA")),Tabla3[[AÑO]:[SALARIO 
MENSUAL]],4,0)*2&lt;$H$2,$H$2,VLOOKUP(INT(TEXT(K191,"AAAA")),Tabla3[[AÑO]:[SALARIO 
MENSUAL]],4,0))/30*L191+$H$14+P191," ")</f>
        <v xml:space="preserve"> </v>
      </c>
      <c r="R191" s="12" t="str">
        <f t="shared" si="67"/>
        <v xml:space="preserve"> </v>
      </c>
      <c r="S191" s="12" t="str">
        <f t="shared" si="68"/>
        <v xml:space="preserve"> </v>
      </c>
      <c r="T191" s="11" t="str">
        <f t="shared" si="69"/>
        <v xml:space="preserve"> </v>
      </c>
      <c r="U191" s="14" t="str">
        <f t="shared" si="73"/>
        <v xml:space="preserve"> </v>
      </c>
      <c r="V191" s="12" t="str">
        <f t="shared" si="70"/>
        <v xml:space="preserve"> </v>
      </c>
      <c r="W191" s="53" t="str">
        <f t="shared" si="61"/>
        <v xml:space="preserve"> </v>
      </c>
      <c r="X191" s="12" t="str">
        <f t="shared" si="71"/>
        <v xml:space="preserve"> </v>
      </c>
      <c r="Y191" s="12" t="str">
        <f ca="1">IFERROR(IF(TEXT($H$4,"DDMMAAAA")=TEXT($K190,"DDMMAAAA"),SUM($Y$2:INDIRECT(ADDRESS(ROW(Y190),COLUMN(Y190)))),$H$8/M191*U191)," ")</f>
        <v xml:space="preserve"> </v>
      </c>
      <c r="Z191" s="51" t="str">
        <f ca="1">IFERROR(IF(TEXT($H$4,"DDMMAAAA")=TEXT($K190,"DDMMAAAA"),SUM($Y$2:INDIRECT(ADDRESS(ROW(Z190),COLUMN(Z190)))),$H$8/M191*R191)," ")</f>
        <v xml:space="preserve"> </v>
      </c>
      <c r="AA191" s="12" t="str">
        <f ca="1">IFERROR(IF(TEXT($H$4,"DDMMAAAA")=TEXT($K190,"DDMMAAAA"),SUM($AA$2:INDIRECT(ADDRESS(ROW(AA190),COLUMN(AA190)))),$H$8/M191*S191)," ")</f>
        <v xml:space="preserve"> </v>
      </c>
      <c r="AB191" s="12" t="str">
        <f ca="1">IFERROR(IF(TEXT($H$4,"DDMMAAAA")=TEXT($K190,"DDMMAAAA"),SUM($AB$2:INDIRECT(ADDRESS(ROW(AB190),COLUMN(AB190)))),$H$8/M191*V191)," ")</f>
        <v xml:space="preserve"> </v>
      </c>
      <c r="AC191" s="12" t="str">
        <f ca="1">IFERROR(IF(TEXT($H$4,"DDMMAAAA")=TEXT($K190,"DDMMAAAA"),SUM($AC$2:INDIRECT(ADDRESS(ROW(AC190),COLUMN(AC190)))),IF(SUM(Y191:AB191)=0,"",SUM(Y191:AB191)))," ")</f>
        <v/>
      </c>
      <c r="AE191">
        <v>200806</v>
      </c>
      <c r="AF191">
        <v>7.18</v>
      </c>
    </row>
    <row r="192" spans="10:32" hidden="1" x14ac:dyDescent="0.4">
      <c r="J192" s="19" t="str">
        <f t="shared" si="72"/>
        <v/>
      </c>
      <c r="K192" s="19" t="str">
        <f t="shared" si="64"/>
        <v xml:space="preserve"> </v>
      </c>
      <c r="L192" s="13" t="str">
        <f t="shared" si="62"/>
        <v xml:space="preserve"> </v>
      </c>
      <c r="M192" s="9" t="str">
        <f t="shared" si="74"/>
        <v xml:space="preserve"> </v>
      </c>
      <c r="N192" s="46" t="str">
        <f t="shared" si="65"/>
        <v xml:space="preserve"> </v>
      </c>
      <c r="O192" s="46" t="str">
        <f t="shared" si="66"/>
        <v xml:space="preserve"> </v>
      </c>
      <c r="P192" s="14" t="str">
        <f>IFERROR(IF(VLOOKUP(INT(TEXT(K192,"AAAA")),Tabla3[[AÑO]:[SALARIO 
MENSUAL]],2,0)*2&lt;$H$2,0,IFERROR(VLOOKUP(INT(TEXT(K192,"AAAA")),Tabla3[[AÑO]:[SALARIO 
MENSUAL]],2,0)," "))/30*L192," ")</f>
        <v xml:space="preserve"> </v>
      </c>
      <c r="Q192" s="14" t="str">
        <f>IFERROR(IF(VLOOKUP(INT(TEXT(K192,"AAAA")),Tabla3[[AÑO]:[SALARIO 
MENSUAL]],4,0)*2&lt;$H$2,$H$2,VLOOKUP(INT(TEXT(K192,"AAAA")),Tabla3[[AÑO]:[SALARIO 
MENSUAL]],4,0))/30*L192+$H$14+P192," ")</f>
        <v xml:space="preserve"> </v>
      </c>
      <c r="R192" s="12" t="str">
        <f t="shared" si="67"/>
        <v xml:space="preserve"> </v>
      </c>
      <c r="S192" s="12" t="str">
        <f t="shared" si="68"/>
        <v xml:space="preserve"> </v>
      </c>
      <c r="T192" s="11" t="str">
        <f t="shared" si="69"/>
        <v xml:space="preserve"> </v>
      </c>
      <c r="U192" s="14" t="str">
        <f t="shared" si="73"/>
        <v xml:space="preserve"> </v>
      </c>
      <c r="V192" s="12" t="str">
        <f t="shared" si="70"/>
        <v xml:space="preserve"> </v>
      </c>
      <c r="W192" s="53" t="str">
        <f t="shared" si="61"/>
        <v xml:space="preserve"> </v>
      </c>
      <c r="X192" s="12" t="str">
        <f t="shared" si="71"/>
        <v xml:space="preserve"> </v>
      </c>
      <c r="Y192" s="12" t="str">
        <f ca="1">IFERROR(IF(TEXT($H$4,"DDMMAAAA")=TEXT($K191,"DDMMAAAA"),SUM($Y$2:INDIRECT(ADDRESS(ROW(Y191),COLUMN(Y191)))),$H$8/M192*U192)," ")</f>
        <v xml:space="preserve"> </v>
      </c>
      <c r="Z192" s="51" t="str">
        <f ca="1">IFERROR(IF(TEXT($H$4,"DDMMAAAA")=TEXT($K191,"DDMMAAAA"),SUM($Y$2:INDIRECT(ADDRESS(ROW(Z191),COLUMN(Z191)))),$H$8/M192*R192)," ")</f>
        <v xml:space="preserve"> </v>
      </c>
      <c r="AA192" s="12" t="str">
        <f ca="1">IFERROR(IF(TEXT($H$4,"DDMMAAAA")=TEXT($K191,"DDMMAAAA"),SUM($AA$2:INDIRECT(ADDRESS(ROW(AA191),COLUMN(AA191)))),$H$8/M192*S192)," ")</f>
        <v xml:space="preserve"> </v>
      </c>
      <c r="AB192" s="12" t="str">
        <f ca="1">IFERROR(IF(TEXT($H$4,"DDMMAAAA")=TEXT($K191,"DDMMAAAA"),SUM($AB$2:INDIRECT(ADDRESS(ROW(AB191),COLUMN(AB191)))),$H$8/M192*V192)," ")</f>
        <v xml:space="preserve"> </v>
      </c>
      <c r="AC192" s="12" t="str">
        <f ca="1">IFERROR(IF(TEXT($H$4,"DDMMAAAA")=TEXT($K191,"DDMMAAAA"),SUM($AC$2:INDIRECT(ADDRESS(ROW(AC191),COLUMN(AC191)))),IF(SUM(Y192:AB192)=0,"",SUM(Y192:AB192)))," ")</f>
        <v/>
      </c>
      <c r="AE192">
        <v>200805</v>
      </c>
      <c r="AF192">
        <v>6.39</v>
      </c>
    </row>
    <row r="193" spans="10:32" hidden="1" x14ac:dyDescent="0.4">
      <c r="J193" s="19" t="str">
        <f t="shared" si="72"/>
        <v/>
      </c>
      <c r="K193" s="19" t="str">
        <f t="shared" si="64"/>
        <v xml:space="preserve"> </v>
      </c>
      <c r="L193" s="13" t="str">
        <f t="shared" si="62"/>
        <v xml:space="preserve"> </v>
      </c>
      <c r="M193" s="9" t="str">
        <f t="shared" si="74"/>
        <v xml:space="preserve"> </v>
      </c>
      <c r="N193" s="46" t="str">
        <f t="shared" si="65"/>
        <v xml:space="preserve"> </v>
      </c>
      <c r="O193" s="46" t="str">
        <f t="shared" si="66"/>
        <v xml:space="preserve"> </v>
      </c>
      <c r="P193" s="14" t="str">
        <f>IFERROR(IF(VLOOKUP(INT(TEXT(K193,"AAAA")),Tabla3[[AÑO]:[SALARIO 
MENSUAL]],2,0)*2&lt;$H$2,0,IFERROR(VLOOKUP(INT(TEXT(K193,"AAAA")),Tabla3[[AÑO]:[SALARIO 
MENSUAL]],2,0)," "))/30*L193," ")</f>
        <v xml:space="preserve"> </v>
      </c>
      <c r="Q193" s="14" t="str">
        <f>IFERROR(IF(VLOOKUP(INT(TEXT(K193,"AAAA")),Tabla3[[AÑO]:[SALARIO 
MENSUAL]],4,0)*2&lt;$H$2,$H$2,VLOOKUP(INT(TEXT(K193,"AAAA")),Tabla3[[AÑO]:[SALARIO 
MENSUAL]],4,0))/30*L193+$H$14+P193," ")</f>
        <v xml:space="preserve"> </v>
      </c>
      <c r="R193" s="12" t="str">
        <f t="shared" si="67"/>
        <v xml:space="preserve"> </v>
      </c>
      <c r="S193" s="12" t="str">
        <f t="shared" si="68"/>
        <v xml:space="preserve"> </v>
      </c>
      <c r="T193" s="11" t="str">
        <f t="shared" si="69"/>
        <v xml:space="preserve"> </v>
      </c>
      <c r="U193" s="14" t="str">
        <f t="shared" si="73"/>
        <v xml:space="preserve"> </v>
      </c>
      <c r="V193" s="12" t="str">
        <f t="shared" si="70"/>
        <v xml:space="preserve"> </v>
      </c>
      <c r="W193" s="53" t="str">
        <f t="shared" si="61"/>
        <v xml:space="preserve"> </v>
      </c>
      <c r="X193" s="12" t="str">
        <f t="shared" si="71"/>
        <v xml:space="preserve"> </v>
      </c>
      <c r="Y193" s="12" t="str">
        <f ca="1">IFERROR(IF(TEXT($H$4,"DDMMAAAA")=TEXT($K192,"DDMMAAAA"),SUM($Y$2:INDIRECT(ADDRESS(ROW(Y192),COLUMN(Y192)))),$H$8/M193*U193)," ")</f>
        <v xml:space="preserve"> </v>
      </c>
      <c r="Z193" s="51" t="str">
        <f ca="1">IFERROR(IF(TEXT($H$4,"DDMMAAAA")=TEXT($K192,"DDMMAAAA"),SUM($Y$2:INDIRECT(ADDRESS(ROW(Z192),COLUMN(Z192)))),$H$8/M193*R193)," ")</f>
        <v xml:space="preserve"> </v>
      </c>
      <c r="AA193" s="12" t="str">
        <f ca="1">IFERROR(IF(TEXT($H$4,"DDMMAAAA")=TEXT($K192,"DDMMAAAA"),SUM($AA$2:INDIRECT(ADDRESS(ROW(AA192),COLUMN(AA192)))),$H$8/M193*S193)," ")</f>
        <v xml:space="preserve"> </v>
      </c>
      <c r="AB193" s="12" t="str">
        <f ca="1">IFERROR(IF(TEXT($H$4,"DDMMAAAA")=TEXT($K192,"DDMMAAAA"),SUM($AB$2:INDIRECT(ADDRESS(ROW(AB192),COLUMN(AB192)))),$H$8/M193*V193)," ")</f>
        <v xml:space="preserve"> </v>
      </c>
      <c r="AC193" s="12" t="str">
        <f ca="1">IFERROR(IF(TEXT($H$4,"DDMMAAAA")=TEXT($K192,"DDMMAAAA"),SUM($AC$2:INDIRECT(ADDRESS(ROW(AC192),COLUMN(AC192)))),IF(SUM(Y193:AB193)=0,"",SUM(Y193:AB193)))," ")</f>
        <v/>
      </c>
      <c r="AE193">
        <v>200804</v>
      </c>
      <c r="AF193">
        <v>5.73</v>
      </c>
    </row>
    <row r="194" spans="10:32" hidden="1" x14ac:dyDescent="0.4">
      <c r="J194" s="19" t="str">
        <f t="shared" si="72"/>
        <v/>
      </c>
      <c r="K194" s="19" t="str">
        <f t="shared" ref="K194:K199" si="75">IFERROR(IF(TEXT(J194,"MMAAA")=TEXT($H$4,"MMAAAA"),$H$4,EOMONTH(J194,0))," ")</f>
        <v xml:space="preserve"> </v>
      </c>
      <c r="L194" s="13" t="str">
        <f t="shared" si="62"/>
        <v xml:space="preserve"> </v>
      </c>
      <c r="M194" s="9" t="str">
        <f t="shared" si="74"/>
        <v xml:space="preserve"> </v>
      </c>
      <c r="N194" s="46" t="str">
        <f t="shared" ref="N194:N199" si="76">IFERROR(Q194+$H$14-Q194," ")</f>
        <v xml:space="preserve"> </v>
      </c>
      <c r="O194" s="46" t="str">
        <f t="shared" ref="O194:O199" si="77">IFERROR(Q194-N194-P194," ")</f>
        <v xml:space="preserve"> </v>
      </c>
      <c r="P194" s="14" t="str">
        <f>IFERROR(IF(VLOOKUP(INT(TEXT(K194,"AAAA")),Tabla3[[AÑO]:[SALARIO 
MENSUAL]],2,0)*2&lt;$H$2,0,IFERROR(VLOOKUP(INT(TEXT(K194,"AAAA")),Tabla3[[AÑO]:[SALARIO 
MENSUAL]],2,0)," "))/30*L194," ")</f>
        <v xml:space="preserve"> </v>
      </c>
      <c r="Q194" s="14" t="str">
        <f>IFERROR(IF(VLOOKUP(INT(TEXT(K194,"AAAA")),Tabla3[[AÑO]:[SALARIO 
MENSUAL]],4,0)*2&lt;$H$2,$H$2,VLOOKUP(INT(TEXT(K194,"AAAA")),Tabla3[[AÑO]:[SALARIO 
MENSUAL]],4,0))/30*L194+$H$14+P194," ")</f>
        <v xml:space="preserve"> </v>
      </c>
      <c r="R194" s="12" t="str">
        <f t="shared" ref="R194:R199" si="78">IFERROR(Q194/360*L194," ")</f>
        <v xml:space="preserve"> </v>
      </c>
      <c r="S194" s="12" t="str">
        <f t="shared" ref="S194:S199" si="79">IFERROR(Q194/360*L194," ")</f>
        <v xml:space="preserve"> </v>
      </c>
      <c r="T194" s="11" t="str">
        <f t="shared" ref="T194:T199" si="80">IFERROR(L194/24," ")</f>
        <v xml:space="preserve"> </v>
      </c>
      <c r="U194" s="14" t="str">
        <f t="shared" si="73"/>
        <v xml:space="preserve"> </v>
      </c>
      <c r="V194" s="12" t="str">
        <f t="shared" ref="V194:V199" si="81">IFERROR(360*Q194*0.12/360/12," ")</f>
        <v xml:space="preserve"> </v>
      </c>
      <c r="W194" s="53" t="str">
        <f t="shared" si="61"/>
        <v xml:space="preserve"> </v>
      </c>
      <c r="X194" s="12" t="str">
        <f t="shared" ref="X194:X199" si="82">IFERROR(IF(TEXT($H$4,"DDMMAAAA")=TEXT($K193,"DDMMAAAA"),"Sub Total",$H$8/M194*Q194)," ")</f>
        <v xml:space="preserve"> </v>
      </c>
      <c r="Y194" s="12" t="str">
        <f ca="1">IFERROR(IF(TEXT($H$4,"DDMMAAAA")=TEXT($K193,"DDMMAAAA"),SUM($Y$2:INDIRECT(ADDRESS(ROW(Y193),COLUMN(Y193)))),$H$8/M194*U194)," ")</f>
        <v xml:space="preserve"> </v>
      </c>
      <c r="Z194" s="51" t="str">
        <f ca="1">IFERROR(IF(TEXT($H$4,"DDMMAAAA")=TEXT($K193,"DDMMAAAA"),SUM($Y$2:INDIRECT(ADDRESS(ROW(Z193),COLUMN(Z193)))),$H$8/M194*R194)," ")</f>
        <v xml:space="preserve"> </v>
      </c>
      <c r="AA194" s="12" t="str">
        <f ca="1">IFERROR(IF(TEXT($H$4,"DDMMAAAA")=TEXT($K193,"DDMMAAAA"),SUM($AA$2:INDIRECT(ADDRESS(ROW(AA193),COLUMN(AA193)))),$H$8/M194*S194)," ")</f>
        <v xml:space="preserve"> </v>
      </c>
      <c r="AB194" s="12" t="str">
        <f ca="1">IFERROR(IF(TEXT($H$4,"DDMMAAAA")=TEXT($K193,"DDMMAAAA"),SUM($AB$2:INDIRECT(ADDRESS(ROW(AB193),COLUMN(AB193)))),$H$8/M194*V194)," ")</f>
        <v xml:space="preserve"> </v>
      </c>
      <c r="AC194" s="12" t="str">
        <f ca="1">IFERROR(IF(TEXT($H$4,"DDMMAAAA")=TEXT($K193,"DDMMAAAA"),SUM($AC$2:INDIRECT(ADDRESS(ROW(AC193),COLUMN(AC193)))),IF(SUM(Y194:AB194)=0,"",SUM(Y194:AB194)))," ")</f>
        <v/>
      </c>
      <c r="AE194">
        <v>200803</v>
      </c>
      <c r="AF194">
        <v>5.93</v>
      </c>
    </row>
    <row r="195" spans="10:32" hidden="1" x14ac:dyDescent="0.4">
      <c r="J195" s="19" t="str">
        <f t="shared" si="72"/>
        <v/>
      </c>
      <c r="K195" s="19" t="str">
        <f t="shared" si="75"/>
        <v xml:space="preserve"> </v>
      </c>
      <c r="L195" s="13" t="str">
        <f t="shared" si="62"/>
        <v xml:space="preserve"> </v>
      </c>
      <c r="M195" s="9" t="str">
        <f t="shared" si="74"/>
        <v xml:space="preserve"> </v>
      </c>
      <c r="N195" s="46" t="str">
        <f t="shared" si="76"/>
        <v xml:space="preserve"> </v>
      </c>
      <c r="O195" s="46" t="str">
        <f t="shared" si="77"/>
        <v xml:space="preserve"> </v>
      </c>
      <c r="P195" s="14" t="str">
        <f>IFERROR(IF(VLOOKUP(INT(TEXT(K195,"AAAA")),Tabla3[[AÑO]:[SALARIO 
MENSUAL]],2,0)*2&lt;$H$2,0,IFERROR(VLOOKUP(INT(TEXT(K195,"AAAA")),Tabla3[[AÑO]:[SALARIO 
MENSUAL]],2,0)," "))/30*L195," ")</f>
        <v xml:space="preserve"> </v>
      </c>
      <c r="Q195" s="14" t="str">
        <f>IFERROR(IF(VLOOKUP(INT(TEXT(K195,"AAAA")),Tabla3[[AÑO]:[SALARIO 
MENSUAL]],4,0)*2&lt;$H$2,$H$2,VLOOKUP(INT(TEXT(K195,"AAAA")),Tabla3[[AÑO]:[SALARIO 
MENSUAL]],4,0))/30*L195+$H$14+P195," ")</f>
        <v xml:space="preserve"> </v>
      </c>
      <c r="R195" s="12" t="str">
        <f t="shared" si="78"/>
        <v xml:space="preserve"> </v>
      </c>
      <c r="S195" s="12" t="str">
        <f t="shared" si="79"/>
        <v xml:space="preserve"> </v>
      </c>
      <c r="T195" s="11" t="str">
        <f t="shared" si="80"/>
        <v xml:space="preserve"> </v>
      </c>
      <c r="U195" s="14" t="str">
        <f t="shared" ref="U195:U199" si="83">IFERROR(Q195/30*T195," ")</f>
        <v xml:space="preserve"> </v>
      </c>
      <c r="V195" s="12" t="str">
        <f t="shared" si="81"/>
        <v xml:space="preserve"> </v>
      </c>
      <c r="W195" s="53" t="str">
        <f t="shared" ref="W195:W199" si="84">IFERROR(IF(TEXT($H$4,"DDMMAAAA")=TEXT($K194,"DDMMAAAA")," ",$H$8/M195*P195)," ")</f>
        <v xml:space="preserve"> </v>
      </c>
      <c r="X195" s="12" t="str">
        <f t="shared" si="82"/>
        <v xml:space="preserve"> </v>
      </c>
      <c r="Y195" s="12" t="str">
        <f ca="1">IFERROR(IF(TEXT($H$4,"DDMMAAAA")=TEXT($K194,"DDMMAAAA"),SUM($Y$2:INDIRECT(ADDRESS(ROW(Y194),COLUMN(Y194)))),$H$8/M195*U195)," ")</f>
        <v xml:space="preserve"> </v>
      </c>
      <c r="Z195" s="51" t="str">
        <f ca="1">IFERROR(IF(TEXT($H$4,"DDMMAAAA")=TEXT($K194,"DDMMAAAA"),SUM($Y$2:INDIRECT(ADDRESS(ROW(Z194),COLUMN(Z194)))),$H$8/M195*R195)," ")</f>
        <v xml:space="preserve"> </v>
      </c>
      <c r="AA195" s="12" t="str">
        <f ca="1">IFERROR(IF(TEXT($H$4,"DDMMAAAA")=TEXT($K194,"DDMMAAAA"),SUM($AA$2:INDIRECT(ADDRESS(ROW(AA194),COLUMN(AA194)))),$H$8/M195*S195)," ")</f>
        <v xml:space="preserve"> </v>
      </c>
      <c r="AB195" s="12" t="str">
        <f ca="1">IFERROR(IF(TEXT($H$4,"DDMMAAAA")=TEXT($K194,"DDMMAAAA"),SUM($AB$2:INDIRECT(ADDRESS(ROW(AB194),COLUMN(AB194)))),$H$8/M195*V195)," ")</f>
        <v xml:space="preserve"> </v>
      </c>
      <c r="AC195" s="12" t="str">
        <f ca="1">IFERROR(IF(TEXT($H$4,"DDMMAAAA")=TEXT($K194,"DDMMAAAA"),SUM($AC$2:INDIRECT(ADDRESS(ROW(AC194),COLUMN(AC194)))),IF(SUM(Y195:AB195)=0,"",SUM(Y195:AB195)))," ")</f>
        <v/>
      </c>
      <c r="AE195">
        <v>200802</v>
      </c>
      <c r="AF195">
        <v>6.35</v>
      </c>
    </row>
    <row r="196" spans="10:32" hidden="1" x14ac:dyDescent="0.4">
      <c r="J196" s="19" t="str">
        <f t="shared" si="72"/>
        <v/>
      </c>
      <c r="K196" s="19" t="str">
        <f t="shared" si="75"/>
        <v xml:space="preserve"> </v>
      </c>
      <c r="L196" s="13" t="str">
        <f t="shared" si="62"/>
        <v xml:space="preserve"> </v>
      </c>
      <c r="M196" s="9" t="str">
        <f t="shared" si="74"/>
        <v xml:space="preserve"> </v>
      </c>
      <c r="N196" s="46" t="str">
        <f t="shared" si="76"/>
        <v xml:space="preserve"> </v>
      </c>
      <c r="O196" s="46" t="str">
        <f t="shared" si="77"/>
        <v xml:space="preserve"> </v>
      </c>
      <c r="P196" s="14" t="str">
        <f>IFERROR(IF(VLOOKUP(INT(TEXT(K196,"AAAA")),Tabla3[[AÑO]:[SALARIO 
MENSUAL]],2,0)*2&lt;$H$2,0,IFERROR(VLOOKUP(INT(TEXT(K196,"AAAA")),Tabla3[[AÑO]:[SALARIO 
MENSUAL]],2,0)," "))/30*L196," ")</f>
        <v xml:space="preserve"> </v>
      </c>
      <c r="Q196" s="14" t="str">
        <f>IFERROR(IF(VLOOKUP(INT(TEXT(K196,"AAAA")),Tabla3[[AÑO]:[SALARIO 
MENSUAL]],4,0)*2&lt;$H$2,$H$2,VLOOKUP(INT(TEXT(K196,"AAAA")),Tabla3[[AÑO]:[SALARIO 
MENSUAL]],4,0))/30*L196+$H$14+P196," ")</f>
        <v xml:space="preserve"> </v>
      </c>
      <c r="R196" s="12" t="str">
        <f t="shared" si="78"/>
        <v xml:space="preserve"> </v>
      </c>
      <c r="S196" s="12" t="str">
        <f t="shared" si="79"/>
        <v xml:space="preserve"> </v>
      </c>
      <c r="T196" s="11" t="str">
        <f t="shared" si="80"/>
        <v xml:space="preserve"> </v>
      </c>
      <c r="U196" s="14" t="str">
        <f t="shared" si="83"/>
        <v xml:space="preserve"> </v>
      </c>
      <c r="V196" s="12" t="str">
        <f t="shared" si="81"/>
        <v xml:space="preserve"> </v>
      </c>
      <c r="W196" s="53" t="str">
        <f t="shared" si="84"/>
        <v xml:space="preserve"> </v>
      </c>
      <c r="X196" s="12" t="str">
        <f t="shared" si="82"/>
        <v xml:space="preserve"> </v>
      </c>
      <c r="Y196" s="12" t="str">
        <f ca="1">IFERROR(IF(TEXT($H$4,"DDMMAAAA")=TEXT($K195,"DDMMAAAA"),SUM($Y$2:INDIRECT(ADDRESS(ROW(Y195),COLUMN(Y195)))),$H$8/M196*U196)," ")</f>
        <v xml:space="preserve"> </v>
      </c>
      <c r="Z196" s="51" t="str">
        <f ca="1">IFERROR(IF(TEXT($H$4,"DDMMAAAA")=TEXT($K195,"DDMMAAAA"),SUM($Y$2:INDIRECT(ADDRESS(ROW(Z195),COLUMN(Z195)))),$H$8/M196*R196)," ")</f>
        <v xml:space="preserve"> </v>
      </c>
      <c r="AA196" s="12" t="str">
        <f ca="1">IFERROR(IF(TEXT($H$4,"DDMMAAAA")=TEXT($K195,"DDMMAAAA"),SUM($AA$2:INDIRECT(ADDRESS(ROW(AA195),COLUMN(AA195)))),$H$8/M196*S196)," ")</f>
        <v xml:space="preserve"> </v>
      </c>
      <c r="AB196" s="12" t="str">
        <f ca="1">IFERROR(IF(TEXT($H$4,"DDMMAAAA")=TEXT($K195,"DDMMAAAA"),SUM($AB$2:INDIRECT(ADDRESS(ROW(AB195),COLUMN(AB195)))),$H$8/M196*V196)," ")</f>
        <v xml:space="preserve"> </v>
      </c>
      <c r="AC196" s="12" t="str">
        <f ca="1">IFERROR(IF(TEXT($H$4,"DDMMAAAA")=TEXT($K195,"DDMMAAAA"),SUM($AC$2:INDIRECT(ADDRESS(ROW(AC195),COLUMN(AC195)))),IF(SUM(Y196:AB196)=0,"",SUM(Y196:AB196)))," ")</f>
        <v/>
      </c>
      <c r="AE196">
        <v>200801</v>
      </c>
      <c r="AF196">
        <v>6</v>
      </c>
    </row>
    <row r="197" spans="10:32" hidden="1" x14ac:dyDescent="0.4">
      <c r="J197" s="19" t="str">
        <f t="shared" si="72"/>
        <v/>
      </c>
      <c r="K197" s="19" t="str">
        <f t="shared" si="75"/>
        <v xml:space="preserve"> </v>
      </c>
      <c r="L197" s="13" t="str">
        <f t="shared" si="62"/>
        <v xml:space="preserve"> </v>
      </c>
      <c r="M197" s="9" t="str">
        <f t="shared" si="74"/>
        <v xml:space="preserve"> </v>
      </c>
      <c r="N197" s="46" t="str">
        <f t="shared" si="76"/>
        <v xml:space="preserve"> </v>
      </c>
      <c r="O197" s="46" t="str">
        <f t="shared" si="77"/>
        <v xml:space="preserve"> </v>
      </c>
      <c r="P197" s="14" t="str">
        <f>IFERROR(IF(VLOOKUP(INT(TEXT(K197,"AAAA")),Tabla3[[AÑO]:[SALARIO 
MENSUAL]],2,0)*2&lt;$H$2,0,IFERROR(VLOOKUP(INT(TEXT(K197,"AAAA")),Tabla3[[AÑO]:[SALARIO 
MENSUAL]],2,0)," "))/30*L197," ")</f>
        <v xml:space="preserve"> </v>
      </c>
      <c r="Q197" s="14" t="str">
        <f>IFERROR(IF(VLOOKUP(INT(TEXT(K197,"AAAA")),Tabla3[[AÑO]:[SALARIO 
MENSUAL]],4,0)*2&lt;$H$2,$H$2,VLOOKUP(INT(TEXT(K197,"AAAA")),Tabla3[[AÑO]:[SALARIO 
MENSUAL]],4,0))/30*L197+$H$14+P197," ")</f>
        <v xml:space="preserve"> </v>
      </c>
      <c r="R197" s="12" t="str">
        <f t="shared" si="78"/>
        <v xml:space="preserve"> </v>
      </c>
      <c r="S197" s="12" t="str">
        <f t="shared" si="79"/>
        <v xml:space="preserve"> </v>
      </c>
      <c r="T197" s="11" t="str">
        <f t="shared" si="80"/>
        <v xml:space="preserve"> </v>
      </c>
      <c r="U197" s="14" t="str">
        <f t="shared" si="83"/>
        <v xml:space="preserve"> </v>
      </c>
      <c r="V197" s="12" t="str">
        <f t="shared" si="81"/>
        <v xml:space="preserve"> </v>
      </c>
      <c r="W197" s="53" t="str">
        <f t="shared" si="84"/>
        <v xml:space="preserve"> </v>
      </c>
      <c r="X197" s="12" t="str">
        <f t="shared" si="82"/>
        <v xml:space="preserve"> </v>
      </c>
      <c r="Y197" s="12" t="str">
        <f ca="1">IFERROR(IF(TEXT($H$4,"DDMMAAAA")=TEXT($K196,"DDMMAAAA"),SUM($Y$2:INDIRECT(ADDRESS(ROW(Y196),COLUMN(Y196)))),$H$8/M197*U197)," ")</f>
        <v xml:space="preserve"> </v>
      </c>
      <c r="Z197" s="51" t="str">
        <f ca="1">IFERROR(IF(TEXT($H$4,"DDMMAAAA")=TEXT($K196,"DDMMAAAA"),SUM($Y$2:INDIRECT(ADDRESS(ROW(Z196),COLUMN(Z196)))),$H$8/M197*R197)," ")</f>
        <v xml:space="preserve"> </v>
      </c>
      <c r="AA197" s="12" t="str">
        <f ca="1">IFERROR(IF(TEXT($H$4,"DDMMAAAA")=TEXT($K196,"DDMMAAAA"),SUM($AA$2:INDIRECT(ADDRESS(ROW(AA196),COLUMN(AA196)))),$H$8/M197*S197)," ")</f>
        <v xml:space="preserve"> </v>
      </c>
      <c r="AB197" s="12" t="str">
        <f ca="1">IFERROR(IF(TEXT($H$4,"DDMMAAAA")=TEXT($K196,"DDMMAAAA"),SUM($AB$2:INDIRECT(ADDRESS(ROW(AB196),COLUMN(AB196)))),$H$8/M197*V197)," ")</f>
        <v xml:space="preserve"> </v>
      </c>
      <c r="AC197" s="12" t="str">
        <f ca="1">IFERROR(IF(TEXT($H$4,"DDMMAAAA")=TEXT($K196,"DDMMAAAA"),SUM($AC$2:INDIRECT(ADDRESS(ROW(AC196),COLUMN(AC196)))),IF(SUM(Y197:AB197)=0,"",SUM(Y197:AB197)))," ")</f>
        <v/>
      </c>
      <c r="AE197">
        <v>200712</v>
      </c>
      <c r="AF197">
        <v>5.69</v>
      </c>
    </row>
    <row r="198" spans="10:32" hidden="1" x14ac:dyDescent="0.4">
      <c r="J198" s="19" t="str">
        <f t="shared" si="72"/>
        <v/>
      </c>
      <c r="K198" s="19" t="str">
        <f t="shared" si="75"/>
        <v xml:space="preserve"> </v>
      </c>
      <c r="L198" s="13" t="str">
        <f t="shared" si="62"/>
        <v xml:space="preserve"> </v>
      </c>
      <c r="M198" s="9" t="str">
        <f t="shared" si="74"/>
        <v xml:space="preserve"> </v>
      </c>
      <c r="N198" s="46" t="str">
        <f t="shared" si="76"/>
        <v xml:space="preserve"> </v>
      </c>
      <c r="O198" s="46" t="str">
        <f t="shared" si="77"/>
        <v xml:space="preserve"> </v>
      </c>
      <c r="P198" s="14" t="str">
        <f>IFERROR(IF(VLOOKUP(INT(TEXT(K198,"AAAA")),Tabla3[[AÑO]:[SALARIO 
MENSUAL]],2,0)*2&lt;$H$2,0,IFERROR(VLOOKUP(INT(TEXT(K198,"AAAA")),Tabla3[[AÑO]:[SALARIO 
MENSUAL]],2,0)," "))/30*L198," ")</f>
        <v xml:space="preserve"> </v>
      </c>
      <c r="Q198" s="14" t="str">
        <f>IFERROR(IF(VLOOKUP(INT(TEXT(K198,"AAAA")),Tabla3[[AÑO]:[SALARIO 
MENSUAL]],4,0)*2&lt;$H$2,$H$2,VLOOKUP(INT(TEXT(K198,"AAAA")),Tabla3[[AÑO]:[SALARIO 
MENSUAL]],4,0))/30*L198+$H$14+P198," ")</f>
        <v xml:space="preserve"> </v>
      </c>
      <c r="R198" s="12" t="str">
        <f t="shared" si="78"/>
        <v xml:space="preserve"> </v>
      </c>
      <c r="S198" s="12" t="str">
        <f t="shared" si="79"/>
        <v xml:space="preserve"> </v>
      </c>
      <c r="T198" s="11" t="str">
        <f t="shared" si="80"/>
        <v xml:space="preserve"> </v>
      </c>
      <c r="U198" s="14" t="str">
        <f t="shared" si="83"/>
        <v xml:space="preserve"> </v>
      </c>
      <c r="V198" s="12" t="str">
        <f t="shared" si="81"/>
        <v xml:space="preserve"> </v>
      </c>
      <c r="W198" s="53" t="str">
        <f t="shared" si="84"/>
        <v xml:space="preserve"> </v>
      </c>
      <c r="X198" s="12" t="str">
        <f t="shared" si="82"/>
        <v xml:space="preserve"> </v>
      </c>
      <c r="Y198" s="12" t="str">
        <f ca="1">IFERROR(IF(TEXT($H$4,"DDMMAAAA")=TEXT($K197,"DDMMAAAA"),SUM($Y$2:INDIRECT(ADDRESS(ROW(Y197),COLUMN(Y197)))),$H$8/M198*U198)," ")</f>
        <v xml:space="preserve"> </v>
      </c>
      <c r="Z198" s="51" t="str">
        <f ca="1">IFERROR(IF(TEXT($H$4,"DDMMAAAA")=TEXT($K197,"DDMMAAAA"),SUM($Y$2:INDIRECT(ADDRESS(ROW(Z197),COLUMN(Z197)))),$H$8/M198*R198)," ")</f>
        <v xml:space="preserve"> </v>
      </c>
      <c r="AA198" s="12" t="str">
        <f ca="1">IFERROR(IF(TEXT($H$4,"DDMMAAAA")=TEXT($K197,"DDMMAAAA"),SUM($AA$2:INDIRECT(ADDRESS(ROW(AA197),COLUMN(AA197)))),$H$8/M198*S198)," ")</f>
        <v xml:space="preserve"> </v>
      </c>
      <c r="AB198" s="12" t="str">
        <f ca="1">IFERROR(IF(TEXT($H$4,"DDMMAAAA")=TEXT($K197,"DDMMAAAA"),SUM($AB$2:INDIRECT(ADDRESS(ROW(AB197),COLUMN(AB197)))),$H$8/M198*V198)," ")</f>
        <v xml:space="preserve"> </v>
      </c>
      <c r="AC198" s="12" t="str">
        <f ca="1">IFERROR(IF(TEXT($H$4,"DDMMAAAA")=TEXT($K197,"DDMMAAAA"),SUM($AC$2:INDIRECT(ADDRESS(ROW(AC197),COLUMN(AC197)))),IF(SUM(Y198:AB198)=0,"",SUM(Y198:AB198)))," ")</f>
        <v/>
      </c>
      <c r="AE198">
        <v>200711</v>
      </c>
      <c r="AF198">
        <v>5.41</v>
      </c>
    </row>
    <row r="199" spans="10:32" hidden="1" x14ac:dyDescent="0.4">
      <c r="J199" s="19" t="str">
        <f t="shared" si="72"/>
        <v/>
      </c>
      <c r="K199" s="19" t="str">
        <f t="shared" si="75"/>
        <v xml:space="preserve"> </v>
      </c>
      <c r="L199" s="13" t="str">
        <f t="shared" si="62"/>
        <v xml:space="preserve"> </v>
      </c>
      <c r="M199" s="9" t="str">
        <f t="shared" si="74"/>
        <v xml:space="preserve"> </v>
      </c>
      <c r="N199" s="46" t="str">
        <f t="shared" si="76"/>
        <v xml:space="preserve"> </v>
      </c>
      <c r="O199" s="46" t="str">
        <f t="shared" si="77"/>
        <v xml:space="preserve"> </v>
      </c>
      <c r="P199" s="14" t="str">
        <f>IFERROR(IF(VLOOKUP(INT(TEXT(K199,"AAAA")),Tabla3[[AÑO]:[SALARIO 
MENSUAL]],2,0)*2&lt;$H$2,0,IFERROR(VLOOKUP(INT(TEXT(K199,"AAAA")),Tabla3[[AÑO]:[SALARIO 
MENSUAL]],2,0)," "))/30*L199," ")</f>
        <v xml:space="preserve"> </v>
      </c>
      <c r="Q199" s="14" t="str">
        <f>IFERROR(IF(VLOOKUP(INT(TEXT(K199,"AAAA")),Tabla3[[AÑO]:[SALARIO 
MENSUAL]],4,0)*2&lt;$H$2,$H$2,VLOOKUP(INT(TEXT(K199,"AAAA")),Tabla3[[AÑO]:[SALARIO 
MENSUAL]],4,0))/30*L199+$H$14+P199," ")</f>
        <v xml:space="preserve"> </v>
      </c>
      <c r="R199" s="12" t="str">
        <f t="shared" si="78"/>
        <v xml:space="preserve"> </v>
      </c>
      <c r="S199" s="12" t="str">
        <f t="shared" si="79"/>
        <v xml:space="preserve"> </v>
      </c>
      <c r="T199" s="11" t="str">
        <f t="shared" si="80"/>
        <v xml:space="preserve"> </v>
      </c>
      <c r="U199" s="14" t="str">
        <f t="shared" si="83"/>
        <v xml:space="preserve"> </v>
      </c>
      <c r="V199" s="12" t="str">
        <f t="shared" si="81"/>
        <v xml:space="preserve"> </v>
      </c>
      <c r="W199" s="53" t="str">
        <f t="shared" si="84"/>
        <v xml:space="preserve"> </v>
      </c>
      <c r="X199" s="12" t="str">
        <f t="shared" si="82"/>
        <v xml:space="preserve"> </v>
      </c>
      <c r="Y199" s="12" t="str">
        <f ca="1">IFERROR(IF(TEXT($H$4,"DDMMAAAA")=TEXT($K198,"DDMMAAAA"),SUM($Y$2:INDIRECT(ADDRESS(ROW(Y198),COLUMN(Y198)))),$H$8/M199*U199)," ")</f>
        <v xml:space="preserve"> </v>
      </c>
      <c r="Z199" s="51" t="str">
        <f ca="1">IFERROR(IF(TEXT($H$4,"DDMMAAAA")=TEXT($K198,"DDMMAAAA"),SUM($Y$2:INDIRECT(ADDRESS(ROW(Z198),COLUMN(Z198)))),$H$8/M199*R199)," ")</f>
        <v xml:space="preserve"> </v>
      </c>
      <c r="AA199" s="12" t="str">
        <f ca="1">IFERROR(IF(TEXT($H$4,"DDMMAAAA")=TEXT($K198,"DDMMAAAA"),SUM($AA$2:INDIRECT(ADDRESS(ROW(AA198),COLUMN(AA198)))),$H$8/M199*S199)," ")</f>
        <v xml:space="preserve"> </v>
      </c>
      <c r="AB199" s="12" t="str">
        <f ca="1">IFERROR(IF(TEXT($H$4,"DDMMAAAA")=TEXT($K198,"DDMMAAAA"),SUM($AB$2:INDIRECT(ADDRESS(ROW(AB198),COLUMN(AB198)))),$H$8/M199*V199)," ")</f>
        <v xml:space="preserve"> </v>
      </c>
      <c r="AC199" s="12" t="str">
        <f ca="1">IFERROR(IF(TEXT($H$4,"DDMMAAAA")=TEXT($K198,"DDMMAAAA"),SUM($AC$2:INDIRECT(ADDRESS(ROW(AC198),COLUMN(AC198)))),IF(SUM(Y199:AB199)=0,"",SUM(Y199:AB199)))," ")</f>
        <v/>
      </c>
      <c r="AE199">
        <v>200710</v>
      </c>
      <c r="AF199">
        <v>5.16</v>
      </c>
    </row>
    <row r="200" spans="10:32" hidden="1" x14ac:dyDescent="0.4">
      <c r="AE200">
        <v>200709</v>
      </c>
      <c r="AF200">
        <v>5.01</v>
      </c>
    </row>
    <row r="201" spans="10:32" hidden="1" x14ac:dyDescent="0.4">
      <c r="AE201">
        <v>200708</v>
      </c>
      <c r="AF201">
        <v>5.22</v>
      </c>
    </row>
    <row r="202" spans="10:32" hidden="1" x14ac:dyDescent="0.4">
      <c r="AE202">
        <v>200707</v>
      </c>
      <c r="AF202">
        <v>5.77</v>
      </c>
    </row>
    <row r="203" spans="10:32" hidden="1" x14ac:dyDescent="0.4">
      <c r="AE203">
        <v>200706</v>
      </c>
      <c r="AF203">
        <v>6.03</v>
      </c>
    </row>
    <row r="204" spans="10:32" hidden="1" x14ac:dyDescent="0.4">
      <c r="AE204">
        <v>200705</v>
      </c>
      <c r="AF204">
        <v>6.23</v>
      </c>
    </row>
    <row r="205" spans="10:32" hidden="1" x14ac:dyDescent="0.4">
      <c r="AE205">
        <v>200704</v>
      </c>
      <c r="AF205">
        <v>6.26</v>
      </c>
    </row>
    <row r="206" spans="10:32" hidden="1" x14ac:dyDescent="0.4">
      <c r="AE206">
        <v>200703</v>
      </c>
      <c r="AF206">
        <v>5.78</v>
      </c>
    </row>
    <row r="207" spans="10:32" hidden="1" x14ac:dyDescent="0.4">
      <c r="AE207">
        <v>200702</v>
      </c>
      <c r="AF207">
        <v>5.25</v>
      </c>
    </row>
    <row r="208" spans="10:32" hidden="1" x14ac:dyDescent="0.4">
      <c r="AE208">
        <v>200701</v>
      </c>
      <c r="AF208">
        <v>4.71</v>
      </c>
    </row>
    <row r="209" spans="31:32" hidden="1" x14ac:dyDescent="0.4">
      <c r="AE209">
        <v>200612</v>
      </c>
      <c r="AF209">
        <v>4.4800000000000004</v>
      </c>
    </row>
    <row r="210" spans="31:32" hidden="1" x14ac:dyDescent="0.4">
      <c r="AE210">
        <v>200611</v>
      </c>
      <c r="AF210">
        <v>4.3099999999999996</v>
      </c>
    </row>
    <row r="211" spans="31:32" hidden="1" x14ac:dyDescent="0.4">
      <c r="AE211">
        <v>200610</v>
      </c>
      <c r="AF211">
        <v>4.1900000000000004</v>
      </c>
    </row>
    <row r="212" spans="31:32" hidden="1" x14ac:dyDescent="0.4">
      <c r="AE212">
        <v>200609</v>
      </c>
      <c r="AF212">
        <v>4.58</v>
      </c>
    </row>
    <row r="213" spans="31:32" hidden="1" x14ac:dyDescent="0.4">
      <c r="AE213">
        <v>200608</v>
      </c>
      <c r="AF213">
        <v>4.72</v>
      </c>
    </row>
    <row r="214" spans="31:32" hidden="1" x14ac:dyDescent="0.4">
      <c r="AE214">
        <v>200607</v>
      </c>
      <c r="AF214">
        <v>4.32</v>
      </c>
    </row>
    <row r="215" spans="31:32" hidden="1" x14ac:dyDescent="0.4">
      <c r="AE215">
        <v>200606</v>
      </c>
      <c r="AF215">
        <v>3.94</v>
      </c>
    </row>
    <row r="216" spans="31:32" hidden="1" x14ac:dyDescent="0.4">
      <c r="AE216">
        <v>200605</v>
      </c>
      <c r="AF216">
        <v>4.04</v>
      </c>
    </row>
    <row r="217" spans="31:32" hidden="1" x14ac:dyDescent="0.4">
      <c r="AE217">
        <v>200604</v>
      </c>
      <c r="AF217">
        <v>4.12</v>
      </c>
    </row>
    <row r="218" spans="31:32" hidden="1" x14ac:dyDescent="0.4">
      <c r="AE218">
        <v>200603</v>
      </c>
      <c r="AF218">
        <v>4.1100000000000003</v>
      </c>
    </row>
    <row r="219" spans="31:32" hidden="1" x14ac:dyDescent="0.4">
      <c r="AE219">
        <v>200602</v>
      </c>
      <c r="AF219">
        <v>4.1900000000000004</v>
      </c>
    </row>
    <row r="220" spans="31:32" hidden="1" x14ac:dyDescent="0.4">
      <c r="AE220">
        <v>200601</v>
      </c>
      <c r="AF220">
        <v>4.5599999999999996</v>
      </c>
    </row>
    <row r="221" spans="31:32" hidden="1" x14ac:dyDescent="0.4">
      <c r="AE221">
        <v>200512</v>
      </c>
      <c r="AF221">
        <v>4.8499999999999996</v>
      </c>
    </row>
    <row r="222" spans="31:32" hidden="1" x14ac:dyDescent="0.4">
      <c r="AE222">
        <v>200511</v>
      </c>
      <c r="AF222">
        <v>5.0999999999999996</v>
      </c>
    </row>
    <row r="223" spans="31:32" hidden="1" x14ac:dyDescent="0.4">
      <c r="AE223">
        <v>200510</v>
      </c>
      <c r="AF223">
        <v>5.27</v>
      </c>
    </row>
    <row r="224" spans="31:32" hidden="1" x14ac:dyDescent="0.4">
      <c r="AE224">
        <v>200509</v>
      </c>
      <c r="AF224">
        <v>5.0199999999999996</v>
      </c>
    </row>
    <row r="225" spans="31:32" hidden="1" x14ac:dyDescent="0.4">
      <c r="AE225">
        <v>200508</v>
      </c>
      <c r="AF225">
        <v>4.88</v>
      </c>
    </row>
    <row r="226" spans="31:32" hidden="1" x14ac:dyDescent="0.4">
      <c r="AE226">
        <v>200507</v>
      </c>
      <c r="AF226">
        <v>4.91</v>
      </c>
    </row>
    <row r="227" spans="31:32" hidden="1" x14ac:dyDescent="0.4">
      <c r="AE227">
        <v>200506</v>
      </c>
      <c r="AF227">
        <v>4.83</v>
      </c>
    </row>
    <row r="228" spans="31:32" hidden="1" x14ac:dyDescent="0.4">
      <c r="AE228">
        <v>200505</v>
      </c>
      <c r="AF228">
        <v>5.04</v>
      </c>
    </row>
    <row r="229" spans="31:32" hidden="1" x14ac:dyDescent="0.4">
      <c r="AE229">
        <v>200504</v>
      </c>
      <c r="AF229">
        <v>5.01</v>
      </c>
    </row>
    <row r="230" spans="31:32" hidden="1" x14ac:dyDescent="0.4">
      <c r="AE230">
        <v>200503</v>
      </c>
      <c r="AF230">
        <v>5.03</v>
      </c>
    </row>
    <row r="231" spans="31:32" hidden="1" x14ac:dyDescent="0.4">
      <c r="AE231">
        <v>200502</v>
      </c>
      <c r="AF231">
        <v>5.25</v>
      </c>
    </row>
    <row r="232" spans="31:32" hidden="1" x14ac:dyDescent="0.4">
      <c r="AE232">
        <v>200501</v>
      </c>
      <c r="AF232">
        <v>5.43</v>
      </c>
    </row>
    <row r="233" spans="31:32" hidden="1" x14ac:dyDescent="0.4">
      <c r="AE233">
        <v>200412</v>
      </c>
      <c r="AF233">
        <v>5.5</v>
      </c>
    </row>
    <row r="234" spans="31:32" hidden="1" x14ac:dyDescent="0.4">
      <c r="AE234">
        <v>200411</v>
      </c>
      <c r="AF234">
        <v>5.82</v>
      </c>
    </row>
    <row r="235" spans="31:32" hidden="1" x14ac:dyDescent="0.4">
      <c r="AE235">
        <v>200410</v>
      </c>
      <c r="AF235">
        <v>5.9</v>
      </c>
    </row>
    <row r="236" spans="31:32" hidden="1" x14ac:dyDescent="0.4">
      <c r="AE236">
        <v>200409</v>
      </c>
      <c r="AF236">
        <v>5.97</v>
      </c>
    </row>
    <row r="237" spans="31:32" hidden="1" x14ac:dyDescent="0.4">
      <c r="AE237">
        <v>200408</v>
      </c>
      <c r="AF237">
        <v>5.89</v>
      </c>
    </row>
    <row r="238" spans="31:32" hidden="1" x14ac:dyDescent="0.4">
      <c r="AE238">
        <v>200407</v>
      </c>
      <c r="AF238">
        <v>6.19</v>
      </c>
    </row>
    <row r="239" spans="31:32" hidden="1" x14ac:dyDescent="0.4">
      <c r="AE239">
        <v>200406</v>
      </c>
      <c r="AF239">
        <v>6.07</v>
      </c>
    </row>
    <row r="240" spans="31:32" hidden="1" x14ac:dyDescent="0.4">
      <c r="AE240">
        <v>200405</v>
      </c>
      <c r="AF240">
        <v>5.37</v>
      </c>
    </row>
    <row r="241" spans="31:32" hidden="1" x14ac:dyDescent="0.4">
      <c r="AE241">
        <v>200404</v>
      </c>
      <c r="AF241">
        <v>5.49</v>
      </c>
    </row>
    <row r="242" spans="31:32" hidden="1" x14ac:dyDescent="0.4">
      <c r="AE242">
        <v>200403</v>
      </c>
      <c r="AF242">
        <v>6.21</v>
      </c>
    </row>
    <row r="243" spans="31:32" hidden="1" x14ac:dyDescent="0.4">
      <c r="AE243">
        <v>200402</v>
      </c>
      <c r="AF243">
        <v>6.28</v>
      </c>
    </row>
    <row r="244" spans="31:32" hidden="1" x14ac:dyDescent="0.4">
      <c r="AE244">
        <v>200401</v>
      </c>
      <c r="AF244">
        <v>6.19</v>
      </c>
    </row>
    <row r="245" spans="31:32" hidden="1" x14ac:dyDescent="0.4">
      <c r="AE245">
        <v>200312</v>
      </c>
      <c r="AF245">
        <v>6.49</v>
      </c>
    </row>
    <row r="246" spans="31:32" hidden="1" x14ac:dyDescent="0.4">
      <c r="AE246">
        <v>200311</v>
      </c>
      <c r="AF246">
        <v>6.13</v>
      </c>
    </row>
    <row r="247" spans="31:32" hidden="1" x14ac:dyDescent="0.4">
      <c r="AE247">
        <v>200310</v>
      </c>
      <c r="AF247">
        <v>6.58</v>
      </c>
    </row>
    <row r="248" spans="31:32" hidden="1" x14ac:dyDescent="0.4">
      <c r="AE248">
        <v>200309</v>
      </c>
      <c r="AF248">
        <v>7.11</v>
      </c>
    </row>
    <row r="249" spans="31:32" hidden="1" x14ac:dyDescent="0.4">
      <c r="AE249">
        <v>200308</v>
      </c>
      <c r="AF249">
        <v>7.26</v>
      </c>
    </row>
    <row r="250" spans="31:32" hidden="1" x14ac:dyDescent="0.4">
      <c r="AE250">
        <v>200307</v>
      </c>
      <c r="AF250">
        <v>7.04</v>
      </c>
    </row>
    <row r="251" spans="31:32" hidden="1" x14ac:dyDescent="0.4">
      <c r="AE251">
        <v>200306</v>
      </c>
      <c r="AF251">
        <v>7.21</v>
      </c>
    </row>
    <row r="252" spans="31:32" hidden="1" x14ac:dyDescent="0.4">
      <c r="AE252">
        <v>200305</v>
      </c>
      <c r="AF252">
        <v>7.73</v>
      </c>
    </row>
    <row r="253" spans="31:32" hidden="1" x14ac:dyDescent="0.4">
      <c r="AE253">
        <v>200304</v>
      </c>
      <c r="AF253">
        <v>7.85</v>
      </c>
    </row>
    <row r="254" spans="31:32" hidden="1" x14ac:dyDescent="0.4">
      <c r="AE254">
        <v>200303</v>
      </c>
      <c r="AF254">
        <v>7.6</v>
      </c>
    </row>
    <row r="255" spans="31:32" hidden="1" x14ac:dyDescent="0.4">
      <c r="AE255">
        <v>200302</v>
      </c>
      <c r="AF255">
        <v>7.24</v>
      </c>
    </row>
    <row r="256" spans="31:32" hidden="1" x14ac:dyDescent="0.4">
      <c r="AE256">
        <v>200301</v>
      </c>
      <c r="AF256">
        <v>7.39</v>
      </c>
    </row>
    <row r="257" spans="31:32" hidden="1" x14ac:dyDescent="0.4">
      <c r="AE257">
        <v>200212</v>
      </c>
      <c r="AF257">
        <v>6.99</v>
      </c>
    </row>
    <row r="258" spans="31:32" hidden="1" x14ac:dyDescent="0.4">
      <c r="AE258">
        <v>200211</v>
      </c>
      <c r="AF258">
        <v>7.07</v>
      </c>
    </row>
    <row r="259" spans="31:32" hidden="1" x14ac:dyDescent="0.4">
      <c r="AE259">
        <v>200210</v>
      </c>
      <c r="AF259">
        <v>6.37</v>
      </c>
    </row>
    <row r="260" spans="31:32" hidden="1" x14ac:dyDescent="0.4">
      <c r="AE260">
        <v>200209</v>
      </c>
      <c r="AF260">
        <v>5.97</v>
      </c>
    </row>
    <row r="261" spans="31:32" hidden="1" x14ac:dyDescent="0.4">
      <c r="AE261">
        <v>200208</v>
      </c>
      <c r="AF261">
        <v>5.98</v>
      </c>
    </row>
    <row r="262" spans="31:32" hidden="1" x14ac:dyDescent="0.4">
      <c r="AE262">
        <v>200207</v>
      </c>
      <c r="AF262">
        <v>6.16</v>
      </c>
    </row>
    <row r="263" spans="31:32" hidden="1" x14ac:dyDescent="0.4">
      <c r="AE263">
        <v>200206</v>
      </c>
      <c r="AF263">
        <v>6.25</v>
      </c>
    </row>
    <row r="264" spans="31:32" hidden="1" x14ac:dyDescent="0.4">
      <c r="AE264">
        <v>200205</v>
      </c>
      <c r="AF264">
        <v>5.84</v>
      </c>
    </row>
    <row r="265" spans="31:32" hidden="1" x14ac:dyDescent="0.4">
      <c r="AE265">
        <v>200204</v>
      </c>
      <c r="AF265">
        <v>5.65</v>
      </c>
    </row>
    <row r="266" spans="31:32" hidden="1" x14ac:dyDescent="0.4">
      <c r="AE266">
        <v>200203</v>
      </c>
      <c r="AF266">
        <v>5.89</v>
      </c>
    </row>
    <row r="267" spans="31:32" hidden="1" x14ac:dyDescent="0.4">
      <c r="AE267">
        <v>200202</v>
      </c>
      <c r="AF267">
        <v>6.7</v>
      </c>
    </row>
    <row r="268" spans="31:32" hidden="1" x14ac:dyDescent="0.4">
      <c r="AE268">
        <v>200201</v>
      </c>
      <c r="AF268">
        <v>7.37</v>
      </c>
    </row>
    <row r="269" spans="31:32" hidden="1" x14ac:dyDescent="0.4">
      <c r="AE269">
        <v>200112</v>
      </c>
      <c r="AF269">
        <v>7.65</v>
      </c>
    </row>
    <row r="270" spans="31:32" hidden="1" x14ac:dyDescent="0.4">
      <c r="AE270">
        <v>200111</v>
      </c>
      <c r="AF270">
        <v>7.78</v>
      </c>
    </row>
    <row r="271" spans="31:32" hidden="1" x14ac:dyDescent="0.4">
      <c r="AE271">
        <v>200110</v>
      </c>
      <c r="AF271">
        <v>8.01</v>
      </c>
    </row>
    <row r="272" spans="31:32" hidden="1" x14ac:dyDescent="0.4">
      <c r="AE272">
        <v>200109</v>
      </c>
      <c r="AF272">
        <v>7.97</v>
      </c>
    </row>
    <row r="273" spans="31:32" hidden="1" x14ac:dyDescent="0.4">
      <c r="AE273">
        <v>200108</v>
      </c>
      <c r="AF273">
        <v>8.0299999999999994</v>
      </c>
    </row>
    <row r="274" spans="31:32" hidden="1" x14ac:dyDescent="0.4">
      <c r="AE274">
        <v>200107</v>
      </c>
      <c r="AF274">
        <v>8.09</v>
      </c>
    </row>
    <row r="275" spans="31:32" hidden="1" x14ac:dyDescent="0.4">
      <c r="AE275">
        <v>200106</v>
      </c>
      <c r="AF275">
        <v>7.93</v>
      </c>
    </row>
    <row r="276" spans="31:32" hidden="1" x14ac:dyDescent="0.4">
      <c r="AE276">
        <v>200105</v>
      </c>
      <c r="AF276">
        <v>7.87</v>
      </c>
    </row>
    <row r="277" spans="31:32" hidden="1" x14ac:dyDescent="0.4">
      <c r="AE277">
        <v>200104</v>
      </c>
      <c r="AF277">
        <v>7.98</v>
      </c>
    </row>
    <row r="278" spans="31:32" hidden="1" x14ac:dyDescent="0.4">
      <c r="AE278">
        <v>200103</v>
      </c>
      <c r="AF278">
        <v>7.81</v>
      </c>
    </row>
    <row r="279" spans="31:32" hidden="1" x14ac:dyDescent="0.4">
      <c r="AE279">
        <v>200102</v>
      </c>
      <c r="AF279">
        <v>8.06</v>
      </c>
    </row>
    <row r="280" spans="31:32" hidden="1" x14ac:dyDescent="0.4">
      <c r="AE280">
        <v>200101</v>
      </c>
      <c r="AF280">
        <v>8.49</v>
      </c>
    </row>
    <row r="281" spans="31:32" hidden="1" x14ac:dyDescent="0.4">
      <c r="AE281">
        <v>200012</v>
      </c>
      <c r="AF281">
        <v>8.75</v>
      </c>
    </row>
    <row r="282" spans="31:32" hidden="1" x14ac:dyDescent="0.4">
      <c r="AE282">
        <v>200011</v>
      </c>
      <c r="AF282">
        <v>8.82</v>
      </c>
    </row>
    <row r="283" spans="31:32" hidden="1" x14ac:dyDescent="0.4">
      <c r="AE283">
        <v>200010</v>
      </c>
      <c r="AF283">
        <v>8.99</v>
      </c>
    </row>
    <row r="284" spans="31:32" hidden="1" x14ac:dyDescent="0.4">
      <c r="AE284">
        <v>200009</v>
      </c>
      <c r="AF284">
        <v>9.1999999999999993</v>
      </c>
    </row>
    <row r="285" spans="31:32" hidden="1" x14ac:dyDescent="0.4">
      <c r="AE285">
        <v>200008</v>
      </c>
      <c r="AF285">
        <v>9.1</v>
      </c>
    </row>
    <row r="286" spans="31:32" hidden="1" x14ac:dyDescent="0.4">
      <c r="AE286">
        <v>200007</v>
      </c>
      <c r="AF286">
        <v>9.2899999999999991</v>
      </c>
    </row>
    <row r="287" spans="31:32" hidden="1" x14ac:dyDescent="0.4">
      <c r="AE287">
        <v>200006</v>
      </c>
      <c r="AF287">
        <v>9.68</v>
      </c>
    </row>
    <row r="288" spans="31:32" hidden="1" x14ac:dyDescent="0.4">
      <c r="AE288">
        <v>200005</v>
      </c>
      <c r="AF288">
        <v>10</v>
      </c>
    </row>
    <row r="289" spans="10:32" hidden="1" x14ac:dyDescent="0.4">
      <c r="AE289">
        <v>200004</v>
      </c>
      <c r="AF289">
        <v>9.9600000000000009</v>
      </c>
    </row>
    <row r="290" spans="10:32" hidden="1" x14ac:dyDescent="0.4">
      <c r="AE290">
        <v>200003</v>
      </c>
      <c r="AF290">
        <v>9.73</v>
      </c>
    </row>
    <row r="291" spans="10:32" hidden="1" x14ac:dyDescent="0.4">
      <c r="AE291">
        <v>200002</v>
      </c>
      <c r="AF291">
        <v>8.89</v>
      </c>
    </row>
    <row r="292" spans="10:32" hidden="1" x14ac:dyDescent="0.4">
      <c r="AE292">
        <v>200001</v>
      </c>
      <c r="AF292">
        <v>8.25</v>
      </c>
    </row>
    <row r="293" spans="10:32" hidden="1" x14ac:dyDescent="0.4">
      <c r="AE293">
        <v>199912</v>
      </c>
      <c r="AF293">
        <v>9.23</v>
      </c>
    </row>
    <row r="294" spans="10:32" hidden="1" x14ac:dyDescent="0.4">
      <c r="AE294">
        <v>199911</v>
      </c>
      <c r="AF294">
        <v>9.65</v>
      </c>
    </row>
    <row r="295" spans="10:32" hidden="1" x14ac:dyDescent="0.4">
      <c r="AE295">
        <v>199910</v>
      </c>
      <c r="AF295">
        <v>9.32</v>
      </c>
    </row>
    <row r="296" spans="10:32" hidden="1" x14ac:dyDescent="0.4">
      <c r="AE296">
        <v>199909</v>
      </c>
      <c r="AF296">
        <v>9.33</v>
      </c>
    </row>
    <row r="297" spans="10:32" hidden="1" x14ac:dyDescent="0.4">
      <c r="AE297">
        <v>199908</v>
      </c>
      <c r="AF297">
        <v>9.2799999999999994</v>
      </c>
    </row>
    <row r="298" spans="10:32" hidden="1" x14ac:dyDescent="0.4">
      <c r="AE298">
        <v>199907</v>
      </c>
      <c r="AF298">
        <v>8.7799999999999994</v>
      </c>
    </row>
    <row r="299" spans="10:32" hidden="1" x14ac:dyDescent="0.4">
      <c r="J299" s="20"/>
      <c r="AE299">
        <v>199906</v>
      </c>
      <c r="AF299">
        <v>8.9600000000000009</v>
      </c>
    </row>
    <row r="300" spans="10:32" hidden="1" x14ac:dyDescent="0.4">
      <c r="AE300">
        <v>199905</v>
      </c>
      <c r="AF300">
        <v>9.98</v>
      </c>
    </row>
    <row r="301" spans="10:32" hidden="1" x14ac:dyDescent="0.4">
      <c r="AE301">
        <v>199904</v>
      </c>
      <c r="AF301">
        <v>11.17</v>
      </c>
    </row>
    <row r="302" spans="10:32" hidden="1" x14ac:dyDescent="0.4">
      <c r="AE302">
        <v>199903</v>
      </c>
      <c r="AF302">
        <v>13.51</v>
      </c>
    </row>
    <row r="303" spans="10:32" hidden="1" x14ac:dyDescent="0.4">
      <c r="AE303">
        <v>199902</v>
      </c>
      <c r="AF303">
        <v>15.38</v>
      </c>
    </row>
    <row r="304" spans="10:32" hidden="1" x14ac:dyDescent="0.4">
      <c r="AE304">
        <v>199901</v>
      </c>
      <c r="AF304">
        <v>17.18</v>
      </c>
    </row>
    <row r="305" spans="31:32" hidden="1" x14ac:dyDescent="0.4">
      <c r="AE305">
        <v>199812</v>
      </c>
      <c r="AF305">
        <v>16.7</v>
      </c>
    </row>
    <row r="306" spans="31:32" hidden="1" x14ac:dyDescent="0.4">
      <c r="AE306">
        <v>199811</v>
      </c>
      <c r="AF306">
        <v>16.350000000000001</v>
      </c>
    </row>
    <row r="307" spans="31:32" hidden="1" x14ac:dyDescent="0.4">
      <c r="AE307">
        <v>199810</v>
      </c>
      <c r="AF307">
        <v>17.09</v>
      </c>
    </row>
    <row r="308" spans="31:32" hidden="1" x14ac:dyDescent="0.4">
      <c r="AE308">
        <v>199809</v>
      </c>
      <c r="AF308">
        <v>17.8</v>
      </c>
    </row>
    <row r="309" spans="31:32" hidden="1" x14ac:dyDescent="0.4">
      <c r="AE309">
        <v>199808</v>
      </c>
      <c r="AF309">
        <v>18.940000000000001</v>
      </c>
    </row>
    <row r="310" spans="31:32" hidden="1" x14ac:dyDescent="0.4">
      <c r="AE310">
        <v>199807</v>
      </c>
      <c r="AF310">
        <v>20.27</v>
      </c>
    </row>
    <row r="311" spans="31:32" hidden="1" x14ac:dyDescent="0.4">
      <c r="AE311">
        <v>199806</v>
      </c>
      <c r="AF311">
        <v>20.69</v>
      </c>
    </row>
    <row r="312" spans="31:32" hidden="1" x14ac:dyDescent="0.4">
      <c r="AE312">
        <v>199805</v>
      </c>
      <c r="AF312">
        <v>20.67</v>
      </c>
    </row>
    <row r="313" spans="31:32" hidden="1" x14ac:dyDescent="0.4">
      <c r="AE313">
        <v>199804</v>
      </c>
      <c r="AF313">
        <v>20.74</v>
      </c>
    </row>
    <row r="314" spans="31:32" hidden="1" x14ac:dyDescent="0.4">
      <c r="AE314">
        <v>199803</v>
      </c>
      <c r="AF314">
        <v>19.239999999999998</v>
      </c>
    </row>
    <row r="315" spans="31:32" hidden="1" x14ac:dyDescent="0.4">
      <c r="AE315">
        <v>199802</v>
      </c>
      <c r="AF315">
        <v>18.03</v>
      </c>
    </row>
    <row r="316" spans="31:32" hidden="1" x14ac:dyDescent="0.4">
      <c r="AE316">
        <v>199801</v>
      </c>
      <c r="AF316">
        <v>17.84</v>
      </c>
    </row>
    <row r="317" spans="31:32" hidden="1" x14ac:dyDescent="0.4">
      <c r="AE317">
        <v>199712</v>
      </c>
      <c r="AF317">
        <v>17.68</v>
      </c>
    </row>
    <row r="318" spans="31:32" hidden="1" x14ac:dyDescent="0.4">
      <c r="AE318">
        <v>199711</v>
      </c>
      <c r="AF318">
        <v>17.809999999999999</v>
      </c>
    </row>
    <row r="319" spans="31:32" hidden="1" x14ac:dyDescent="0.4">
      <c r="AE319">
        <v>199710</v>
      </c>
      <c r="AF319">
        <v>17.8</v>
      </c>
    </row>
    <row r="320" spans="31:32" hidden="1" x14ac:dyDescent="0.4">
      <c r="AE320">
        <v>199709</v>
      </c>
      <c r="AF320">
        <v>18.010000000000002</v>
      </c>
    </row>
    <row r="321" spans="31:32" hidden="1" x14ac:dyDescent="0.4">
      <c r="AE321">
        <v>199708</v>
      </c>
      <c r="AF321">
        <v>17.93</v>
      </c>
    </row>
    <row r="322" spans="31:32" hidden="1" x14ac:dyDescent="0.4">
      <c r="AE322">
        <v>199707</v>
      </c>
      <c r="AF322">
        <v>17.88</v>
      </c>
    </row>
    <row r="323" spans="31:32" hidden="1" x14ac:dyDescent="0.4">
      <c r="AE323">
        <v>199706</v>
      </c>
      <c r="AF323">
        <v>18.670000000000002</v>
      </c>
    </row>
    <row r="324" spans="31:32" hidden="1" x14ac:dyDescent="0.4">
      <c r="AE324">
        <v>199705</v>
      </c>
      <c r="AF324">
        <v>18.600000000000001</v>
      </c>
    </row>
    <row r="325" spans="31:32" hidden="1" x14ac:dyDescent="0.4">
      <c r="AE325">
        <v>199704</v>
      </c>
      <c r="AF325">
        <v>18.52</v>
      </c>
    </row>
    <row r="326" spans="31:32" hidden="1" x14ac:dyDescent="0.4">
      <c r="AE326">
        <v>199703</v>
      </c>
      <c r="AF326">
        <v>18.93</v>
      </c>
    </row>
    <row r="327" spans="31:32" hidden="1" x14ac:dyDescent="0.4">
      <c r="AE327">
        <v>199702</v>
      </c>
      <c r="AF327">
        <v>19.579999999999998</v>
      </c>
    </row>
    <row r="328" spans="31:32" hidden="1" x14ac:dyDescent="0.4">
      <c r="AE328">
        <v>199701</v>
      </c>
      <c r="AF328">
        <v>20.62</v>
      </c>
    </row>
    <row r="329" spans="31:32" hidden="1" x14ac:dyDescent="0.4">
      <c r="AE329">
        <v>199612</v>
      </c>
      <c r="AF329">
        <v>21.63</v>
      </c>
    </row>
    <row r="330" spans="31:32" hidden="1" x14ac:dyDescent="0.4">
      <c r="AE330">
        <v>199611</v>
      </c>
      <c r="AF330">
        <v>21.88</v>
      </c>
    </row>
    <row r="331" spans="31:32" hidden="1" x14ac:dyDescent="0.4">
      <c r="AE331">
        <v>199610</v>
      </c>
      <c r="AF331">
        <v>21.87</v>
      </c>
    </row>
    <row r="332" spans="31:32" hidden="1" x14ac:dyDescent="0.4">
      <c r="AE332">
        <v>199609</v>
      </c>
      <c r="AF332">
        <v>21.55</v>
      </c>
    </row>
    <row r="333" spans="31:32" hidden="1" x14ac:dyDescent="0.4">
      <c r="AE333">
        <v>199608</v>
      </c>
      <c r="AF333">
        <v>21.13</v>
      </c>
    </row>
    <row r="334" spans="31:32" hidden="1" x14ac:dyDescent="0.4">
      <c r="AE334">
        <v>199607</v>
      </c>
      <c r="AF334">
        <v>20.57</v>
      </c>
    </row>
    <row r="335" spans="31:32" hidden="1" x14ac:dyDescent="0.4">
      <c r="AE335">
        <v>199606</v>
      </c>
      <c r="AF335">
        <v>19.7</v>
      </c>
    </row>
    <row r="336" spans="31:32" hidden="1" x14ac:dyDescent="0.4">
      <c r="AE336">
        <v>199605</v>
      </c>
      <c r="AF336">
        <v>19.78</v>
      </c>
    </row>
    <row r="337" spans="31:32" hidden="1" x14ac:dyDescent="0.4">
      <c r="AE337">
        <v>199604</v>
      </c>
      <c r="AF337">
        <v>19.899999999999999</v>
      </c>
    </row>
    <row r="338" spans="31:32" hidden="1" x14ac:dyDescent="0.4">
      <c r="AE338">
        <v>199603</v>
      </c>
      <c r="AF338">
        <v>20.2</v>
      </c>
    </row>
    <row r="339" spans="31:32" hidden="1" x14ac:dyDescent="0.4">
      <c r="AE339">
        <v>199602</v>
      </c>
      <c r="AF339">
        <v>20.81</v>
      </c>
    </row>
    <row r="340" spans="31:32" hidden="1" x14ac:dyDescent="0.4">
      <c r="AE340">
        <v>199601</v>
      </c>
      <c r="AF340">
        <v>20.239999999999998</v>
      </c>
    </row>
    <row r="341" spans="31:32" hidden="1" x14ac:dyDescent="0.4">
      <c r="AE341">
        <v>199512</v>
      </c>
      <c r="AF341">
        <v>19.46</v>
      </c>
    </row>
    <row r="342" spans="31:32" hidden="1" x14ac:dyDescent="0.4">
      <c r="AE342">
        <v>199511</v>
      </c>
      <c r="AF342">
        <v>20.13</v>
      </c>
    </row>
    <row r="343" spans="31:32" hidden="1" x14ac:dyDescent="0.4">
      <c r="AE343">
        <v>199510</v>
      </c>
      <c r="AF343">
        <v>20.52</v>
      </c>
    </row>
    <row r="344" spans="31:32" hidden="1" x14ac:dyDescent="0.4">
      <c r="AE344">
        <v>199509</v>
      </c>
      <c r="AF344">
        <v>20.79</v>
      </c>
    </row>
    <row r="345" spans="31:32" hidden="1" x14ac:dyDescent="0.4">
      <c r="AE345">
        <v>199508</v>
      </c>
      <c r="AF345">
        <v>21.09</v>
      </c>
    </row>
    <row r="346" spans="31:32" hidden="1" x14ac:dyDescent="0.4">
      <c r="AE346">
        <v>199507</v>
      </c>
      <c r="AF346">
        <v>21.5</v>
      </c>
    </row>
    <row r="347" spans="31:32" hidden="1" x14ac:dyDescent="0.4">
      <c r="AE347">
        <v>199506</v>
      </c>
      <c r="AF347">
        <v>21.66</v>
      </c>
    </row>
    <row r="348" spans="31:32" hidden="1" x14ac:dyDescent="0.4">
      <c r="AE348">
        <v>199505</v>
      </c>
      <c r="AF348">
        <v>21.3</v>
      </c>
    </row>
    <row r="349" spans="31:32" hidden="1" x14ac:dyDescent="0.4">
      <c r="AE349">
        <v>199504</v>
      </c>
      <c r="AF349">
        <v>21.17</v>
      </c>
    </row>
    <row r="350" spans="31:32" hidden="1" x14ac:dyDescent="0.4">
      <c r="AE350">
        <v>199503</v>
      </c>
      <c r="AF350">
        <v>21.33</v>
      </c>
    </row>
    <row r="351" spans="31:32" hidden="1" x14ac:dyDescent="0.4">
      <c r="AE351">
        <v>199502</v>
      </c>
      <c r="AF351">
        <v>20.86</v>
      </c>
    </row>
    <row r="352" spans="31:32" hidden="1" x14ac:dyDescent="0.4">
      <c r="AE352">
        <v>199501</v>
      </c>
      <c r="AF352">
        <v>21.04</v>
      </c>
    </row>
    <row r="353" spans="31:32" hidden="1" x14ac:dyDescent="0.4">
      <c r="AE353">
        <v>199412</v>
      </c>
      <c r="AF353">
        <v>22.59</v>
      </c>
    </row>
    <row r="354" spans="31:32" hidden="1" x14ac:dyDescent="0.4">
      <c r="AE354">
        <v>199411</v>
      </c>
      <c r="AF354">
        <v>22.16</v>
      </c>
    </row>
    <row r="355" spans="31:32" hidden="1" x14ac:dyDescent="0.4">
      <c r="AE355">
        <v>199410</v>
      </c>
      <c r="AF355">
        <v>22.37</v>
      </c>
    </row>
    <row r="356" spans="31:32" hidden="1" x14ac:dyDescent="0.4">
      <c r="AE356">
        <v>199409</v>
      </c>
      <c r="AF356">
        <v>22.31</v>
      </c>
    </row>
    <row r="357" spans="31:32" hidden="1" x14ac:dyDescent="0.4">
      <c r="AE357">
        <v>199408</v>
      </c>
      <c r="AF357">
        <v>22.35</v>
      </c>
    </row>
    <row r="358" spans="31:32" hidden="1" x14ac:dyDescent="0.4">
      <c r="AE358">
        <v>199407</v>
      </c>
      <c r="AF358">
        <v>22.69</v>
      </c>
    </row>
    <row r="359" spans="31:32" hidden="1" x14ac:dyDescent="0.4">
      <c r="AE359">
        <v>199406</v>
      </c>
      <c r="AF359">
        <v>23.08</v>
      </c>
    </row>
    <row r="360" spans="31:32" hidden="1" x14ac:dyDescent="0.4">
      <c r="AE360">
        <v>199405</v>
      </c>
      <c r="AF360">
        <v>23.86</v>
      </c>
    </row>
    <row r="361" spans="31:32" hidden="1" x14ac:dyDescent="0.4">
      <c r="AE361">
        <v>199404</v>
      </c>
      <c r="AF361">
        <v>23.94</v>
      </c>
    </row>
    <row r="362" spans="31:32" hidden="1" x14ac:dyDescent="0.4">
      <c r="AE362">
        <v>199403</v>
      </c>
      <c r="AF362">
        <v>23.41</v>
      </c>
    </row>
    <row r="363" spans="31:32" hidden="1" x14ac:dyDescent="0.4">
      <c r="AE363">
        <v>199402</v>
      </c>
      <c r="AF363">
        <v>23.01</v>
      </c>
    </row>
    <row r="364" spans="31:32" hidden="1" x14ac:dyDescent="0.4">
      <c r="AE364">
        <v>199401</v>
      </c>
      <c r="AF364">
        <v>22.5</v>
      </c>
    </row>
    <row r="365" spans="31:32" hidden="1" x14ac:dyDescent="0.4">
      <c r="AE365">
        <v>199312</v>
      </c>
      <c r="AF365">
        <v>22.6</v>
      </c>
    </row>
    <row r="366" spans="31:32" hidden="1" x14ac:dyDescent="0.4">
      <c r="AE366">
        <v>199311</v>
      </c>
      <c r="AF366">
        <v>22.37</v>
      </c>
    </row>
    <row r="367" spans="31:32" hidden="1" x14ac:dyDescent="0.4">
      <c r="AE367">
        <v>199310</v>
      </c>
      <c r="AF367">
        <v>21.69</v>
      </c>
    </row>
    <row r="368" spans="31:32" hidden="1" x14ac:dyDescent="0.4">
      <c r="AE368">
        <v>199309</v>
      </c>
      <c r="AF368">
        <v>21.43</v>
      </c>
    </row>
    <row r="369" spans="31:32" hidden="1" x14ac:dyDescent="0.4">
      <c r="AE369">
        <v>199308</v>
      </c>
      <c r="AF369">
        <v>21.07</v>
      </c>
    </row>
    <row r="370" spans="31:32" hidden="1" x14ac:dyDescent="0.4">
      <c r="AE370">
        <v>199307</v>
      </c>
      <c r="AF370">
        <v>20.46</v>
      </c>
    </row>
    <row r="371" spans="31:32" hidden="1" x14ac:dyDescent="0.4">
      <c r="AE371">
        <v>199306</v>
      </c>
      <c r="AF371">
        <v>21.38</v>
      </c>
    </row>
    <row r="372" spans="31:32" hidden="1" x14ac:dyDescent="0.4">
      <c r="AE372">
        <v>199305</v>
      </c>
      <c r="AF372">
        <v>22.21</v>
      </c>
    </row>
    <row r="373" spans="31:32" hidden="1" x14ac:dyDescent="0.4">
      <c r="AE373">
        <v>199304</v>
      </c>
      <c r="AF373">
        <v>23.08</v>
      </c>
    </row>
    <row r="374" spans="31:32" hidden="1" x14ac:dyDescent="0.4">
      <c r="AE374">
        <v>199303</v>
      </c>
      <c r="AF374">
        <v>24.18</v>
      </c>
    </row>
    <row r="375" spans="31:32" hidden="1" x14ac:dyDescent="0.4">
      <c r="AE375">
        <v>199302</v>
      </c>
      <c r="AF375">
        <v>24.71</v>
      </c>
    </row>
    <row r="376" spans="31:32" hidden="1" x14ac:dyDescent="0.4">
      <c r="AE376">
        <v>199301</v>
      </c>
      <c r="AF376">
        <v>24.82</v>
      </c>
    </row>
  </sheetData>
  <sheetProtection formatCells="0" formatColumns="0"/>
  <dataConsolidate/>
  <mergeCells count="8">
    <mergeCell ref="H21:H22"/>
    <mergeCell ref="I21:I22"/>
    <mergeCell ref="G1:H1"/>
    <mergeCell ref="F14:G14"/>
    <mergeCell ref="F13:G13"/>
    <mergeCell ref="F12:I12"/>
    <mergeCell ref="I19:I20"/>
    <mergeCell ref="H19:H20"/>
  </mergeCells>
  <phoneticPr fontId="2" type="noConversion"/>
  <pageMargins left="0.7" right="0.7" top="0.75" bottom="0.75" header="0.3" footer="0.3"/>
  <pageSetup paperSize="9" scale="20" orientation="landscape" verticalDpi="0" r:id="rId1"/>
  <rowBreaks count="1" manualBreakCount="1">
    <brk id="40" max="16383" man="1"/>
  </rowBreaks>
  <colBreaks count="4" manualBreakCount="4">
    <brk id="9" max="382" man="1"/>
    <brk id="15" max="1048575" man="1"/>
    <brk id="24" max="382" man="1"/>
    <brk id="29" max="1048575" man="1"/>
  </colBreaks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D22B1-2E28-40D4-BF71-58B1601A736C}">
  <sheetPr codeName="Hoja2"/>
  <dimension ref="A1"/>
  <sheetViews>
    <sheetView workbookViewId="0">
      <selection activeCell="V6" sqref="V6"/>
    </sheetView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 I P C 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 I P C 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 C o l u m n s \ I P C   G E N E R A L 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I P C _ 3 a 8 5 6 7 1 1 - 0 c 4 7 - 4 1 f 8 - 8 f 5 5 - b a 0 8 d a f b c 0 8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 A � o < / s t r i n g > < / k e y > < v a l u e > < i n t > 6 1 < / i n t > < / v a l u e > < / i t e m > < i t e m > < k e y > < s t r i n g > M e s < / s t r i n g > < / k e y > < v a l u e > < i n t > 6 4 < / i n t > < / v a l u e > < / i t e m > < i t e m > < k e y > < s t r i n g > I P C   G E N E R A L < / s t r i n g > < / k e y > < v a l u e > < i n t > 1 3 4 < / i n t > < / v a l u e > < / i t e m > < / C o l u m n W i d t h s > < C o l u m n D i s p l a y I n d e x > < i t e m > < k e y > < s t r i n g > A � o < / s t r i n g > < / k e y > < v a l u e > < i n t > 0 < / i n t > < / v a l u e > < / i t e m > < i t e m > < k e y > < s t r i n g > M e s < / s t r i n g > < / k e y > < v a l u e > < i n t > 1 < / i n t > < / v a l u e > < / i t e m > < i t e m > < k e y > < s t r i n g > I P C   G E N E R A L 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D a t a M a s h u p   s q m i d = " e f a f 4 c 5 1 - 7 9 8 b - 4 f 3 0 - 8 d 9 b - a 3 4 1 9 5 e 9 1 b 0 3 "   x m l n s = " h t t p : / / s c h e m a s . m i c r o s o f t . c o m / D a t a M a s h u p " > A A A A A A k H A A B Q S w M E F A A C A A g A 5 L R r W a k L t X i k A A A A 9 g A A A B I A H A B D b 2 5 m a W c v U G F j a 2 F n Z S 5 4 b W w g o h g A K K A U A A A A A A A A A A A A A A A A A A A A A A A A A A A A h Y 9 N D o I w G E S v Q r q n P 2 C i k o + y c C u J i Y l h 2 5 Q K j V A M L Z a 7 u f B I X k G M o u 5 c z p u 3 m L l f b 5 C N b R N c V G 9 1 Z 1 L E M E W B M r I r t a l S N L h j u E I Z h 5 2 Q J 1 G p Y J K N T U Z b p q h 2 7 p w Q 4 r 3 H P s Z d X 5 G I U k a K f L u X t W o F + s j 6 v x x q Y 5 0 w U i E O h 9 c Y H m E W L z B b r j E F M k P I t f k K 0 b T 3 2 f 5 A 2 A y N G 3 r F l Q 3 z A s g c g b w / 8 A d Q S w M E F A A C A A g A 5 L R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S 0 a 1 m 4 Z r / c A w Q A A M E V A A A T A B w A R m 9 y b X V s Y X M v U 2 V j d G l v b j E u b S C i G A A o o B Q A A A A A A A A A A A A A A A A A A A A A A A A A A A D t V 9 t u 2 0 Y Q f T f g f 1 g w L x T A 0 i F l p 2 0 K P 8 i y g g q 1 b N V U L o Z l B C t y E i 1 M 7 j K 7 K 0 O p 4 I / I h + Q h y C f o x 7 p L y u Z d l Z W + t J A E Q b P c y 5 x z Z m Y 1 E u B L w i j y 0 m / n t / 2 9 / T 0 x x R w C 9 M w Y d U 7 O O s g b n A 3 e o C v U e f 0 O j S 4 7 5 5 6 B j l E I c n 8 P q d c F J x + B q i d v Y W I P 8 U c w t d F l V A K V w j S m U s b i 5 c F B z A n 1 S Y x D m z J J K E j b Z 5 H 6 H B A a E B / E g c A h 5 o T Z U x k Z r Z a V n v 7 M 8 A D B P M Z q 0 f I 7 O s U S O 9 r 9 C E 9 C s H v J R G J 3 W T i L q J m i s Z C h V x o W W h j p h K P s l e l m Z j s z D z P z K D N f G P f 6 D H 2 Y n T s o N 3 Z L 4 3 Z p f F g a H 5 X G y k P G N X 2 E B f o 0 I x I H W G R U L y F i d y u W w q y V x V J k c a z D q H 1 4 b M Z 9 0 F Y / y P t 4 R U L l Q M x i U G J z q P P l 3 Z L Y r E N j u W u w u s 1 g m 3 1 q z G p O n O M I a p X w V X J S F k 0 4 I B 9 H E 4 I D l v d D 1 b 7 M T w 0 m a 1 E N X 2 f 5 5 a I S 2 C S Q W Y r f r w u L 0 0 x 1 L X B r U U y V D Q k 7 T 2 D s l B k n C Z i W c E B 0 g V W Y H 2 U r 8 P I b W 0 + 9 v R 1 1 p 8 S 9 k P Z v c M g 4 4 g B R H O K / S h F W j 3 x Q K 2 Z Q R 1 e V m 2 G r j 2 G t V v K H L S O Y S + U z i 2 h Z h h L p N X C c R j x V 5 F b y / j f h n J I 7 E h C u V E 2 4 o 1 h 5 j J k g v q p 8 m i v a O C R y d Q v W c i g 6 s F C y Q S q E i a H x n X w e q n P 1 B S L M x X M L u S p T J J 9 B S y d M t t c u n W W 7 e b g j E r O a U h 1 x T M U H x q M U 4 u h z D D p n 1 p P T q V z y 2 6 f y x a G t t 9 + X U L n F 2 U 0 V d J o k L B K p h m s r / d L d e Q V X T 5 o 1 d H 5 M R C e n Y s 5 7 r Y 6 P W L Z S 0 t 1 I S a d 4 z z 5 Z x 8 e t d v G k N Q q 6 P 6 Z g + i N S 9 F u S L 4 + i S b v K 3 X X Y f J W W 4 F t l D 9 V 4 b V a P 7 X 9 U o g Z l w l 7 / Z J a Y 7 e 8 R 2 u C l 2 E b 2 h 1 2 U H F D b N / b m P o T 2 W 8 Z v J 4 z d m q p X g F z 7 2 H 0 5 f i 2 A i / F V b 3 B y M b 6 g c M r J H Y y Z 8 D E f d z u X w 9 6 o g 0 5 7 q P e u 2 z s b J x 2 r p 8 e J H m P H d u z + + a v 3 n u o 8 A E 2 J k M v v n P g Y D U B i F A A i 9 I O 6 n n W Y U f / P K 3 s e i r m h 8 o z O w v A h 6 V K 8 3 h R A O u + T L 4 U 6 h b + 4 7 k u I j o 1 0 0 r D + U M 3 s a m T c 3 F / r H 7 y b x 0 j 0 q I 8 n o C 9 j g W L O V M S J M r O I D P U z C b 8 D D h R h M + / Q Q t e r 2 U 4 Y e r 7 u l M W x R n e z 7 c X b A C a N 9 T d m Y v V q / T R Q a 6 O o V U 3 4 f i a b Z B K H S B e F V L N K u W g C P F l 0 t v w a E Q m P j V / N k m o Y q r 4 e j l F r 6 o 7 Z r n 8 u 3 e 4 P / x N + z n r / X z L z 1 8 x 0 n u f s 3 L 8 K J y n C G s b 1 F O t I G T W t 0 R P v s Z q W f Y O A r i l l t 6 G U k e m 2 d u W 8 K + d d O f 9 P y r m 9 K + d d O e / K + T 9 X z n 8 D U E s B A i 0 A F A A C A A g A 5 L R r W a k L t X i k A A A A 9 g A A A B I A A A A A A A A A A A A A A A A A A A A A A E N v b m Z p Z y 9 Q Y W N r Y W d l L n h t b F B L A Q I t A B Q A A g A I A O S 0 a 1 k P y u m r p A A A A O k A A A A T A A A A A A A A A A A A A A A A A P A A A A B b Q 2 9 u d G V u d F 9 U e X B l c 1 0 u e G 1 s U E s B A i 0 A F A A C A A g A 5 L R r W b h m v 9 w D B A A A w R U A A B M A A A A A A A A A A A A A A A A A 4 Q E A A E Z v c m 1 1 b G F z L 1 N l Y 3 R p b 2 4 x L m 1 Q S w U G A A A A A A M A A w D C A A A A M Q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z U A A A A A A A D 5 N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F C T E E l M j B T T U x N V i U y M F k l M j B B V V g l M j B U U k F O U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j N m R h Y j g x L W M 3 Y m U t N D B k Z S 1 h N W J i L T l i Y 2 Q 1 M m I 4 Z T l m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0 L T A 0 L T I 5 V D A x O j E y O j U 4 L j E 5 N j c z N T Z a I i A v P j x F b n R y e S B U e X B l P S J G a W x s Q 2 9 s d W 1 u V H l w Z X M i I F Z h b H V l P S J z Q X d N R E F 3 P T 0 i I C 8 + P E V u d H J 5 I F R 5 c G U 9 I k Z p b G x D b 2 x 1 b W 5 O Y W 1 l c y I g V m F s d W U 9 I n N b J n F 1 b 3 Q 7 Q c O R T y Z x d W 9 0 O y w m c X V v d D t B V V g g V F J B T l M u M S Z x d W 9 0 O y w m c X V v d D t T T U x N V i B k a W F y a W 8 u M S Z x d W 9 0 O y w m c X V v d D t T T U x N V i B h w 7 F v L j E m c X V v d D t d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B Q k x B I F N N T E 1 W I F k g Q V V Y I F R S Q U 5 T L 0 F 1 d G 9 S Z W 1 v d m V k Q 2 9 s d W 1 u c z E u e 0 H D k U 8 s M H 0 m c X V v d D s s J n F 1 b 3 Q 7 U 2 V j d G l v b j E v V E F C T E E g U 0 1 M T V Y g W S B B V V g g V F J B T l M v Q X V 0 b 1 J l b W 9 2 Z W R D b 2 x 1 b W 5 z M S 5 7 Q V V Y I F R S Q U 5 T L j E s M X 0 m c X V v d D s s J n F 1 b 3 Q 7 U 2 V j d G l v b j E v V E F C T E E g U 0 1 M T V Y g W S B B V V g g V F J B T l M v Q X V 0 b 1 J l b W 9 2 Z W R D b 2 x 1 b W 5 z M S 5 7 U 0 1 M T V Y g Z G l h c m l v L j E s M n 0 m c X V v d D s s J n F 1 b 3 Q 7 U 2 V j d G l v b j E v V E F C T E E g U 0 1 M T V Y g W S B B V V g g V F J B T l M v Q X V 0 b 1 J l b W 9 2 Z W R D b 2 x 1 b W 5 z M S 5 7 U 0 1 M T V Y g Y c O x b y 4 x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B Q k x B I F N N T E 1 W I F k g Q V V Y I F R S Q U 5 T L 0 F 1 d G 9 S Z W 1 v d m V k Q 2 9 s d W 1 u c z E u e 0 H D k U 8 s M H 0 m c X V v d D s s J n F 1 b 3 Q 7 U 2 V j d G l v b j E v V E F C T E E g U 0 1 M T V Y g W S B B V V g g V F J B T l M v Q X V 0 b 1 J l b W 9 2 Z W R D b 2 x 1 b W 5 z M S 5 7 Q V V Y I F R S Q U 5 T L j E s M X 0 m c X V v d D s s J n F 1 b 3 Q 7 U 2 V j d G l v b j E v V E F C T E E g U 0 1 M T V Y g W S B B V V g g V F J B T l M v Q X V 0 b 1 J l b W 9 2 Z W R D b 2 x 1 b W 5 z M S 5 7 U 0 1 M T V Y g Z G l h c m l v L j E s M n 0 m c X V v d D s s J n F 1 b 3 Q 7 U 2 V j d G l v b j E v V E F C T E E g U 0 1 M T V Y g W S B B V V g g V F J B T l M v Q X V 0 b 1 J l b W 9 2 Z W R D b 2 x 1 b W 5 z M S 5 7 U 0 1 M T V Y g Y c O x b y 4 x L D N 9 J n F 1 b 3 Q 7 X S w m c X V v d D t S Z W x h d G l v b n N o a X B J b m Z v J n F 1 b 3 Q 7 O l t d f S I g L z 4 8 R W 5 0 c n k g V H l w Z T 0 i R m l s b E N v d W 5 0 I i B W Y W x 1 Z T 0 i b D Q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F C T E E l M j B T T U x N V i U y M F k l M j B B V V g l M j B U U k F O U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U J M Q S U y M F N N T E 1 W J T I w W S U y M E F V W C U y M F R S Q U 5 T L 1 N l J T I w Z X h w Y W 5 k a S V D M y V C M y U y M E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C T E E l M j B T T U x N V i U y M F k l M j B B V V g l M j B U U k F O U y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C T E E l M j B T T U x N V i U y M F k l M j B B V V g l M j B U U k F O U y 9 G a W x h c y U y M H N 1 c G V y a W 9 y Z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Q k x B J T I w U 0 1 M T V Y l M j B Z J T I w Q V V Y J T I w V F J B T l M v Q 2 9 s d W 1 u Y X M l M j B x d W l 0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U J M Q S U y M F N N T E 1 W J T I w W S U y M E F V W C U y M F R S Q U 5 T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U J M Q S U y M F N N T E 1 W J T I w W S U y M E F V W C U y M F R S Q U 5 T L 0 N v b H V t b m F z J T I w c X V p d G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C T E E l M j B T T U x N V i U y M F k l M j B B V V g l M j B U U k F O U y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Q k x B J T I w U 0 1 M T V Y l M j B Z J T I w Q V V Y J T I w V F J B T l M v Q 2 9 s d W 1 u Y X M l M j B x d W l 0 Y W R h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U E M l M j B B J U M z J T k x T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0 M j Y z N z V l L W U 2 Y W M t N G F j Z S 0 4 Y m M 0 L T g 1 N z I y M z I w Y T d h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J U E N f Q c O R T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J U M j E 6 M z g 6 N D I u N T A 3 M j E 1 O F o i I C 8 + P E V u d H J 5 I F R 5 c G U 9 I k Z p b G x D b 2 x 1 b W 5 U e X B l c y I g V m F s d W U 9 I n N B d 1 U 9 I i A v P j x F b n R y e S B U e X B l P S J G a W x s Q 2 9 s d W 1 u T m F t Z X M i I F Z h b H V l P S J z W y Z x d W 9 0 O 0 H D s W 8 o Y W F h Y S k t T W V z K G 1 t K S Z x d W 9 0 O y w m c X V v d D t J b m Z s Y W N p w 7 N u I H R v d G F s I D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U E M g Q c O R T y 9 B d X R v U m V t b 3 Z l Z E N v b H V t b n M x L n t B w 7 F v K G F h Y W E p L U 1 l c y h t b S k s M H 0 m c X V v d D s s J n F 1 b 3 Q 7 U 2 V j d G l v b j E v S V B D I E H D k U 8 v Q X V 0 b 1 J l b W 9 2 Z W R D b 2 x 1 b W 5 z M S 5 7 S W 5 m b G F j a c O z b i B 0 b 3 R h b C A x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l Q Q y B B w 5 F P L 0 F 1 d G 9 S Z W 1 v d m V k Q 2 9 s d W 1 u c z E u e 0 H D s W 8 o Y W F h Y S k t T W V z K G 1 t K S w w f S Z x d W 9 0 O y w m c X V v d D t T Z W N 0 a W 9 u M S 9 J U E M g Q c O R T y 9 B d X R v U m V t b 3 Z l Z E N v b H V t b n M x L n t J b m Z s Y W N p w 7 N u I H R v d G F s I D E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Q Q y U y M E E l Q z M l O T F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Q Q y U y M E E l Q z M l O T F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Q Q y U y M E E l Q z M l O T F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Q Q y U y M E E l Q z M l O T F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Q Q y U y M E E l Q z M l O T F P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U E M l M j B B J U M z J T k x T y 9 U a X B v J T I w Y 2 F t Y m l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C T E E l M j B T T U x N V i U y M F k l M j B B V V g l M j B U U k F O U y 9 W Y W x v c i U y M H J l Z W 1 w b G F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C T E E l M j B T T U x N V i U y M F k l M j B B V V g l M j B U U k F O U y 9 W Y W x v c i U y M H J l Z W 1 w b G F 6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Q k x B J T I w U 0 1 M T V Y l M j B Z J T I w Q V V Y J T I w V F J B T l M v R G l 2 a W R p c i U y M G N v b H V t b m E l M j B w b 3 I l M j B w b 3 N p Y 2 k l Q z M l Q j N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C T E E l M j B T T U x N V i U y M F k l M j B B V V g l M j B U U k F O U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U J M Q S U y M F N N T E 1 W J T I w W S U y M E F V W C U y M F R S Q U 5 T L 0 R p d m l k a X I l M j B j b 2 x 1 b W 5 h J T I w c G 9 y J T I w c G 9 z a W N p J U M z J U I z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U J M Q S U y M F N N T E 1 W J T I w W S U y M E F V W C U y M F R S Q U 5 T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U J M Q S U y M F N N T E 1 W J T I w W S U y M E F V W C U y M F R S Q U 5 T L 0 R p d m l k a X I l M j B j b 2 x 1 b W 5 h J T I w c G 9 y J T I w c G 9 z a W N p J U M z J U I z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U J M Q S U y M F N N T E 1 W J T I w W S U y M E F V W C U y M F R S Q U 5 T L 1 R p c G 8 l M j B j Y W 1 i a W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U J M Q S U y M F N N T E 1 W J T I w W S U y M E F V W C U y M F R S Q U 5 T L 0 N v b H V t b m F z J T I w c X V p d G F k Y X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C T E E l M j B T T U x N V i U y M F k l M j B B V V g l M j B U U k F O U y 9 U a X B v J T I w Y 2 F t Y m l h Z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B D J T I w Q S V D M y U 5 M U 8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N G E 5 Z W F i Z C 0 3 O T k 1 L T Q z Y j M t O T c 5 N y 0 0 Y W M 4 M T V h O T A 2 Y T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J U M j E 6 M z g 6 N D I u N T A 3 M j E 1 O F o i I C 8 + P E V u d H J 5 I F R 5 c G U 9 I k Z p b G x D b 2 x 1 b W 5 U e X B l c y I g V m F s d W U 9 I n N B d 1 U 9 I i A v P j x F b n R y e S B U e X B l P S J G a W x s Q 2 9 s d W 1 u T m F t Z X M i I F Z h b H V l P S J z W y Z x d W 9 0 O 0 H D s W 8 o Y W F h Y S k t T W V z K G 1 t K S Z x d W 9 0 O y w m c X V v d D t J b m Z s Y W N p w 7 N u I H R v d G F s I D E m c X V v d D t d I i A v P j x F b n R y e S B U e X B l P S J G a W x s U 3 R h d H V z I i B W Y W x 1 Z T 0 i c 0 N v b X B s Z X R l I i A v P j x F b n R y e S B U e X B l P S J G a W x s Q 2 9 1 b n Q i I F Z h b H V l P S J s M z g y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U E M g Q c O R T y 9 B d X R v U m V t b 3 Z l Z E N v b H V t b n M x L n t B w 7 F v K G F h Y W E p L U 1 l c y h t b S k s M H 0 m c X V v d D s s J n F 1 b 3 Q 7 U 2 V j d G l v b j E v S V B D I E H D k U 8 v Q X V 0 b 1 J l b W 9 2 Z W R D b 2 x 1 b W 5 z M S 5 7 S W 5 m b G F j a c O z b i B 0 b 3 R h b C A x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l Q Q y B B w 5 F P L 0 F 1 d G 9 S Z W 1 v d m V k Q 2 9 s d W 1 u c z E u e 0 H D s W 8 o Y W F h Y S k t T W V z K G 1 t K S w w f S Z x d W 9 0 O y w m c X V v d D t T Z W N 0 a W 9 u M S 9 J U E M g Q c O R T y 9 B d X R v U m V t b 3 Z l Z E N v b H V t b n M x L n t J b m Z s Y W N p w 7 N u I H R v d G F s I D E s M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O Y X Z p Z 2 F 0 a W 9 u U 3 R l c E 5 h b W U i I F Z h b H V l P S J z T m F 2 Z W d h Y 2 n D s 2 4 i I C 8 + P C 9 T d G F i b G V F b n R y a W V z P j w v S X R l b T 4 8 S X R l b T 4 8 S X R l b U x v Y 2 F 0 a W 9 u P j x J d G V t V H l w Z T 5 G b 3 J t d W x h P C 9 J d G V t V H l w Z T 4 8 S X R l b V B h d G g + U 2 V j d G l v b j E v S V B D J T I w Q S V D M y U 5 M U 8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B D J T I w Q S V D M y U 5 M U 8 l M j A o M i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B D J T I w Q S V D M y U 5 M U 8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B D J T I w Q S V D M y U 5 M U 8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B D J T I w Q S V D M y U 5 M U 8 l M j A o M i k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Q Q y U y M E E l Q z M l O T F P J T I w K D I p L 1 R p c G 8 l M j B j Y W 1 i a W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U E M l M j B B J U M z J T k x T y U y M C g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R h N 2 V k N D h k L W F l M z M t N G E 5 Z S 0 5 M 2 Z j L T V h M D V k N 2 R h N D g x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F e G N l c H R p b 2 4 i I C 8 + P E V u d H J 5 I F R 5 c G U 9 I k 5 h d m l n Y X R p b 2 5 T d G V w T m F t Z S I g V m F s d W U 9 I n N O Y X Z l Z 2 F j a c O z b i I g L z 4 8 R W 5 0 c n k g V H l w Z T 0 i R m l s b F R h c m d l d C I g V m F s d W U 9 I n N J U E N f Q c O R T z I z I i A v P j x F b n R y e S B U e X B l P S J G a W x s Z W R D b 2 1 w b G V 0 Z V J l c 3 V s d F R v V 2 9 y a 3 N o Z W V 0 I i B W Y W x 1 Z T 0 i b D E i I C 8 + P E V u d H J 5 I F R 5 c G U 9 I k Z p b G x M Y X N 0 V X B k Y X R l Z C I g V m F s d W U 9 I m Q y M D I 0 L T A 1 L T E y V D I x O j M 4 O j Q y L j U w N z I x N T h a I i A v P j x F b n R y e S B U e X B l P S J G a W x s Q 2 9 s d W 1 u V H l w Z X M i I F Z h b H V l P S J z Q X d V P S I g L z 4 8 R W 5 0 c n k g V H l w Z T 0 i R m l s b E N v b H V t b k 5 h b W V z I i B W Y W x 1 Z T 0 i c 1 s m c X V v d D t B w 7 F v K G F h Y W E p L U 1 l c y h t b S k m c X V v d D s s J n F 1 b 3 Q 7 S W 5 m b G F j a c O z b i B 0 b 3 R h b C A x J n F 1 b 3 Q 7 X S I g L z 4 8 R W 5 0 c n k g V H l w Z T 0 i R m l s b F N 0 Y X R 1 c y I g V m F s d W U 9 I n N D b 2 1 w b G V 0 Z S I g L z 4 8 R W 5 0 c n k g V H l w Z T 0 i R m l s b E N v d W 5 0 I i B W Y W x 1 Z T 0 i b D M 4 M i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V B D I E H D k U 8 v Q X V 0 b 1 J l b W 9 2 Z W R D b 2 x 1 b W 5 z M S 5 7 Q c O x b y h h Y W F h K S 1 N Z X M o b W 0 p L D B 9 J n F 1 b 3 Q 7 L C Z x d W 9 0 O 1 N l Y 3 R p b 2 4 x L 0 l Q Q y B B w 5 F P L 0 F 1 d G 9 S Z W 1 v d m V k Q 2 9 s d W 1 u c z E u e 0 l u Z m x h Y 2 n D s 2 4 g d G 9 0 Y W w g M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U E M g Q c O R T y 9 B d X R v U m V t b 3 Z l Z E N v b H V t b n M x L n t B w 7 F v K G F h Y W E p L U 1 l c y h t b S k s M H 0 m c X V v d D s s J n F 1 b 3 Q 7 U 2 V j d G l v b j E v S V B D I E H D k U 8 v Q X V 0 b 1 J l b W 9 2 Z W R D b 2 x 1 b W 5 z M S 5 7 S W 5 m b G F j a c O z b i B 0 b 3 R h b C A x L D F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l Q Q y U y M E E l Q z M l O T F P J T I w K D M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Q Q y U y M E E l Q z M l O T F P J T I w K D M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Q Q y U y M E E l Q z M l O T F P J T I w K D M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Q Q y U y M E E l Q z M l O T F P J T I w K D M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Q Q y U y M E E l Q z M l O T F P J T I w K D M p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U E M l M j B B J U M z J T k x T y U y M C g z K S 9 U a X B v J T I w Y 2 F t Y m l h Z G 8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A + u 8 Y R C 1 N D q w f 0 w 7 c x D S Y A A A A A A g A A A A A A E G Y A A A A B A A A g A A A A L N 7 1 q j N o M 6 m Z k d 7 7 3 J R H W 2 f 2 + w U p c u d X A V A B d W t D J n 8 A A A A A D o A A A A A C A A A g A A A A Y 9 t y 6 y / K M b a i f H I K H n I x J 0 q I U d h 5 h B N Y 3 w w / S J e L o T R Q A A A A J s h U T b M 1 i z e + m q x R K 8 W R T j 2 6 k a y B c Y o 6 y 0 + N u P X A H 9 + w l I K 2 d G x b M b C U j K U f m N J P B 6 m p w f 9 q G z z + e u L H Y L 5 m P H G + C n s J m W 5 g Z Z r H 8 I w 8 b N B A A A A A y X T x K g o w h h D N D G / H N M U q c l N T J 5 3 w 5 I A q d b A H 2 x 5 W E m O F 3 6 c 0 Y f P B N o m 0 P i F l K t k K n p y q u w I 1 J Z k s i 9 2 9 A + F G 2 g = = < / D a t a M a s h u p > 
</file>

<file path=customXml/itemProps1.xml><?xml version="1.0" encoding="utf-8"?>
<ds:datastoreItem xmlns:ds="http://schemas.openxmlformats.org/officeDocument/2006/customXml" ds:itemID="{577CA1A7-B37C-4737-9579-7E222558124C}">
  <ds:schemaRefs/>
</ds:datastoreItem>
</file>

<file path=customXml/itemProps2.xml><?xml version="1.0" encoding="utf-8"?>
<ds:datastoreItem xmlns:ds="http://schemas.openxmlformats.org/officeDocument/2006/customXml" ds:itemID="{CDFA3766-2F49-4652-8B65-A6BE4240CD3D}">
  <ds:schemaRefs/>
</ds:datastoreItem>
</file>

<file path=customXml/itemProps3.xml><?xml version="1.0" encoding="utf-8"?>
<ds:datastoreItem xmlns:ds="http://schemas.openxmlformats.org/officeDocument/2006/customXml" ds:itemID="{FCBA78D9-6526-4FC3-B84D-6D27155B4D8A}">
  <ds:schemaRefs/>
</ds:datastoreItem>
</file>

<file path=customXml/itemProps4.xml><?xml version="1.0" encoding="utf-8"?>
<ds:datastoreItem xmlns:ds="http://schemas.openxmlformats.org/officeDocument/2006/customXml" ds:itemID="{48959F58-3F4C-4B19-959C-23CBE707AB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LIQUIDADOR IBC</vt:lpstr>
      <vt:lpstr>LIQUIDADOR LABORAL</vt:lpstr>
      <vt:lpstr>Hoja1</vt:lpstr>
      <vt:lpstr>'LIQUIDADOR IBC'!Área_de_impresión</vt:lpstr>
      <vt:lpstr>'LIQUIDADOR LABORAL'!Área_de_impresión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pinzon meza</dc:creator>
  <cp:lastModifiedBy>oscar pinzon meza</cp:lastModifiedBy>
  <cp:lastPrinted>2024-11-12T16:21:19Z</cp:lastPrinted>
  <dcterms:created xsi:type="dcterms:W3CDTF">2024-04-26T17:42:08Z</dcterms:created>
  <dcterms:modified xsi:type="dcterms:W3CDTF">2024-11-12T16:23:41Z</dcterms:modified>
</cp:coreProperties>
</file>