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50E0F92E-B70E-48E4-907F-1A8027495B2E}" xr6:coauthVersionLast="47" xr6:coauthVersionMax="47" xr10:uidLastSave="{00000000-0000-0000-0000-000000000000}"/>
  <bookViews>
    <workbookView xWindow="225" yWindow="780" windowWidth="38175" windowHeight="15240" xr2:uid="{E4FC37F3-4088-4285-9A96-75C9B19F2D05}"/>
  </bookViews>
  <sheets>
    <sheet name="Fashion" sheetId="1" r:id="rId1"/>
    <sheet name="Sports" sheetId="6" r:id="rId2"/>
    <sheet name="Retail" sheetId="5" r:id="rId3"/>
    <sheet name="Accessoires" sheetId="4" r:id="rId4"/>
    <sheet name="Luxury" sheetId="8" r:id="rId5"/>
    <sheet name="Furniture" sheetId="7" r:id="rId6"/>
    <sheet name="Glossar" sheetId="3" r:id="rId7"/>
    <sheet name="FX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</externalReferences>
  <definedNames>
    <definedName name="_xlnm._FilterDatabase" localSheetId="0" hidden="1">Fashion!$A$1:$AE$181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6" l="1"/>
  <c r="F20" i="6"/>
  <c r="E20" i="6"/>
  <c r="A34" i="6"/>
  <c r="A35" i="6" s="1"/>
  <c r="A36" i="6" s="1"/>
  <c r="A37" i="6" s="1"/>
  <c r="A38" i="6" s="1"/>
  <c r="A39" i="6" s="1"/>
  <c r="A32" i="6"/>
  <c r="A33" i="6" s="1"/>
  <c r="A29" i="6"/>
  <c r="A30" i="6" s="1"/>
  <c r="A31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5" i="6"/>
  <c r="G7" i="4"/>
  <c r="F7" i="4"/>
  <c r="E7" i="4"/>
  <c r="H20" i="6" l="1"/>
  <c r="G6" i="4"/>
  <c r="F6" i="4"/>
  <c r="E6" i="4"/>
  <c r="H6" i="4" l="1"/>
  <c r="A7" i="5"/>
  <c r="A8" i="5" s="1"/>
  <c r="A9" i="5" s="1"/>
  <c r="A10" i="5" s="1"/>
  <c r="A11" i="5" s="1"/>
  <c r="G154" i="1" l="1"/>
  <c r="F154" i="1"/>
  <c r="E154" i="1"/>
  <c r="G155" i="1"/>
  <c r="F155" i="1"/>
  <c r="E155" i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" i="7"/>
  <c r="H155" i="1" l="1"/>
  <c r="H154" i="1"/>
  <c r="A7" i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6" i="5"/>
  <c r="A5" i="5"/>
  <c r="G5" i="4"/>
  <c r="F5" i="4"/>
  <c r="E5" i="4"/>
  <c r="H7" i="4" l="1"/>
  <c r="H5" i="4"/>
  <c r="G4" i="4"/>
  <c r="F4" i="4"/>
  <c r="E4" i="4"/>
  <c r="H4" i="4" l="1"/>
  <c r="A5" i="4"/>
  <c r="A7" i="4" s="1"/>
  <c r="A6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G61" i="1"/>
  <c r="F61" i="1"/>
  <c r="E61" i="1"/>
  <c r="G49" i="1" l="1"/>
  <c r="F49" i="1"/>
  <c r="E49" i="1"/>
  <c r="E50" i="1"/>
  <c r="G48" i="1"/>
  <c r="F48" i="1"/>
  <c r="E48" i="1"/>
  <c r="G42" i="1" l="1"/>
  <c r="F42" i="1"/>
  <c r="E42" i="1"/>
  <c r="G32" i="1"/>
  <c r="F32" i="1"/>
  <c r="E32" i="1"/>
  <c r="G31" i="1"/>
  <c r="F31" i="1"/>
  <c r="E31" i="1"/>
  <c r="G30" i="1" l="1"/>
  <c r="F30" i="1"/>
  <c r="E30" i="1"/>
  <c r="G23" i="1"/>
  <c r="F23" i="1"/>
  <c r="E23" i="1"/>
  <c r="G18" i="1" l="1"/>
  <c r="F18" i="1"/>
  <c r="E18" i="1"/>
  <c r="M17" i="1" l="1"/>
  <c r="G17" i="1"/>
  <c r="F17" i="1"/>
  <c r="E17" i="1"/>
  <c r="G22" i="1" l="1"/>
  <c r="F22" i="1"/>
  <c r="E22" i="1"/>
  <c r="G60" i="1"/>
  <c r="F60" i="1"/>
  <c r="E60" i="1"/>
  <c r="G100" i="1"/>
  <c r="F100" i="1"/>
  <c r="E100" i="1"/>
  <c r="G90" i="1"/>
  <c r="F90" i="1"/>
  <c r="E90" i="1"/>
  <c r="H60" i="1" l="1"/>
  <c r="H100" i="1"/>
  <c r="H22" i="1"/>
  <c r="H90" i="1"/>
  <c r="G8" i="1" l="1"/>
  <c r="E8" i="1"/>
  <c r="F8" i="1" l="1"/>
  <c r="G89" i="1" l="1"/>
  <c r="F89" i="1"/>
  <c r="E89" i="1"/>
  <c r="G96" i="1"/>
  <c r="F96" i="1"/>
  <c r="E96" i="1"/>
  <c r="G83" i="1"/>
  <c r="F83" i="1"/>
  <c r="E83" i="1"/>
  <c r="H96" i="1" l="1"/>
  <c r="H89" i="1"/>
  <c r="H83" i="1"/>
  <c r="H61" i="1"/>
  <c r="G62" i="1"/>
  <c r="L5" i="1"/>
  <c r="L4" i="1"/>
  <c r="F62" i="1"/>
  <c r="E62" i="1"/>
  <c r="G56" i="1"/>
  <c r="F56" i="1"/>
  <c r="E56" i="1"/>
  <c r="G28" i="1"/>
  <c r="E53" i="1"/>
  <c r="F53" i="1"/>
  <c r="G53" i="1"/>
  <c r="G91" i="1"/>
  <c r="F91" i="1"/>
  <c r="E91" i="1"/>
  <c r="E21" i="1"/>
  <c r="F21" i="1"/>
  <c r="G21" i="1"/>
  <c r="H62" i="1" l="1"/>
  <c r="H56" i="1"/>
  <c r="H53" i="1"/>
  <c r="H91" i="1"/>
  <c r="H21" i="1"/>
  <c r="G95" i="1"/>
  <c r="F95" i="1"/>
  <c r="E95" i="1"/>
  <c r="F29" i="1"/>
  <c r="G29" i="1"/>
  <c r="E29" i="1"/>
  <c r="G101" i="1"/>
  <c r="F101" i="1"/>
  <c r="E101" i="1"/>
  <c r="G70" i="1"/>
  <c r="G71" i="1"/>
  <c r="F71" i="1"/>
  <c r="E71" i="1"/>
  <c r="G33" i="1"/>
  <c r="F33" i="1"/>
  <c r="E33" i="1"/>
  <c r="G27" i="1"/>
  <c r="F27" i="1"/>
  <c r="E27" i="1"/>
  <c r="H95" i="1" l="1"/>
  <c r="H29" i="1"/>
  <c r="H101" i="1"/>
  <c r="H49" i="1"/>
  <c r="H71" i="1"/>
  <c r="H27" i="1"/>
  <c r="H33" i="1"/>
  <c r="K20" i="1"/>
  <c r="K18" i="1" l="1"/>
  <c r="F28" i="1" l="1"/>
  <c r="N17" i="1" l="1"/>
  <c r="K17" i="1"/>
  <c r="G50" i="1" l="1"/>
  <c r="F50" i="1"/>
  <c r="G66" i="1"/>
  <c r="F66" i="1"/>
  <c r="E66" i="1"/>
  <c r="G47" i="1"/>
  <c r="F47" i="1"/>
  <c r="E47" i="1"/>
  <c r="G45" i="1"/>
  <c r="E45" i="1"/>
  <c r="F45" i="1"/>
  <c r="G68" i="1"/>
  <c r="F68" i="1"/>
  <c r="E68" i="1"/>
  <c r="G64" i="1"/>
  <c r="F64" i="1"/>
  <c r="E64" i="1"/>
  <c r="G63" i="1"/>
  <c r="F63" i="1"/>
  <c r="E63" i="1"/>
  <c r="G97" i="1"/>
  <c r="F97" i="1"/>
  <c r="E97" i="1"/>
  <c r="G67" i="1"/>
  <c r="F67" i="1"/>
  <c r="E67" i="1"/>
  <c r="G65" i="1"/>
  <c r="F65" i="1"/>
  <c r="E65" i="1"/>
  <c r="G43" i="1"/>
  <c r="E43" i="1"/>
  <c r="F43" i="1"/>
  <c r="G57" i="1"/>
  <c r="F57" i="1"/>
  <c r="E57" i="1"/>
  <c r="F70" i="1"/>
  <c r="E70" i="1"/>
  <c r="G41" i="1"/>
  <c r="E41" i="1"/>
  <c r="F41" i="1"/>
  <c r="G59" i="1"/>
  <c r="F59" i="1"/>
  <c r="E59" i="1"/>
  <c r="G58" i="1"/>
  <c r="F58" i="1"/>
  <c r="E58" i="1"/>
  <c r="G54" i="1"/>
  <c r="F54" i="1"/>
  <c r="E54" i="1"/>
  <c r="G52" i="1"/>
  <c r="F52" i="1"/>
  <c r="E52" i="1"/>
  <c r="G39" i="1"/>
  <c r="F39" i="1"/>
  <c r="E39" i="1"/>
  <c r="G55" i="1"/>
  <c r="F55" i="1"/>
  <c r="E55" i="1"/>
  <c r="G38" i="1"/>
  <c r="F38" i="1"/>
  <c r="E38" i="1"/>
  <c r="G51" i="1"/>
  <c r="F51" i="1"/>
  <c r="E51" i="1"/>
  <c r="G26" i="1"/>
  <c r="F26" i="1"/>
  <c r="E26" i="1"/>
  <c r="G34" i="1"/>
  <c r="F34" i="1"/>
  <c r="E34" i="1"/>
  <c r="G35" i="1"/>
  <c r="F35" i="1"/>
  <c r="E35" i="1"/>
  <c r="G46" i="1"/>
  <c r="F46" i="1"/>
  <c r="E46" i="1"/>
  <c r="G25" i="1"/>
  <c r="F25" i="1"/>
  <c r="E25" i="1"/>
  <c r="G24" i="1"/>
  <c r="F24" i="1"/>
  <c r="E24" i="1"/>
  <c r="N6" i="1"/>
  <c r="M6" i="1"/>
  <c r="K6" i="1"/>
  <c r="H68" i="1" l="1"/>
  <c r="H45" i="1"/>
  <c r="H65" i="1"/>
  <c r="H64" i="1"/>
  <c r="H66" i="1"/>
  <c r="H46" i="1"/>
  <c r="H50" i="1"/>
  <c r="H24" i="1"/>
  <c r="H42" i="1"/>
  <c r="H67" i="1"/>
  <c r="H47" i="1"/>
  <c r="H63" i="1"/>
  <c r="H97" i="1"/>
  <c r="H57" i="1"/>
  <c r="H30" i="1"/>
  <c r="H41" i="1"/>
  <c r="H43" i="1"/>
  <c r="H70" i="1"/>
  <c r="H52" i="1"/>
  <c r="H58" i="1"/>
  <c r="H59" i="1"/>
  <c r="H39" i="1"/>
  <c r="H54" i="1"/>
  <c r="H55" i="1"/>
  <c r="H48" i="1"/>
  <c r="H26" i="1"/>
  <c r="H51" i="1"/>
  <c r="H38" i="1"/>
  <c r="H32" i="1"/>
  <c r="H34" i="1"/>
  <c r="H35" i="1"/>
  <c r="H25" i="1"/>
  <c r="P6" i="1"/>
  <c r="G9" i="1"/>
  <c r="F9" i="1"/>
  <c r="E9" i="1"/>
  <c r="G123" i="1" l="1"/>
  <c r="F123" i="1"/>
  <c r="E123" i="1"/>
  <c r="G69" i="1"/>
  <c r="F69" i="1"/>
  <c r="E69" i="1"/>
  <c r="G44" i="1"/>
  <c r="F44" i="1"/>
  <c r="E44" i="1"/>
  <c r="H44" i="1" l="1"/>
  <c r="G40" i="1"/>
  <c r="F40" i="1"/>
  <c r="E40" i="1"/>
  <c r="H40" i="1" l="1"/>
  <c r="G37" i="1" l="1"/>
  <c r="F37" i="1"/>
  <c r="E37" i="1"/>
  <c r="G36" i="1"/>
  <c r="F36" i="1"/>
  <c r="E36" i="1"/>
  <c r="E28" i="1" l="1"/>
  <c r="G20" i="1"/>
  <c r="F20" i="1"/>
  <c r="E20" i="1"/>
  <c r="G15" i="1" l="1"/>
  <c r="F15" i="1"/>
  <c r="E15" i="1"/>
  <c r="G16" i="1" l="1"/>
  <c r="F16" i="1"/>
  <c r="E16" i="1"/>
  <c r="G14" i="1" l="1"/>
  <c r="F14" i="1"/>
  <c r="E14" i="1"/>
  <c r="G12" i="1" l="1"/>
  <c r="F12" i="1"/>
  <c r="E12" i="1"/>
  <c r="G10" i="1"/>
  <c r="F10" i="1"/>
  <c r="E10" i="1"/>
  <c r="G7" i="1" l="1"/>
  <c r="F7" i="1"/>
  <c r="E7" i="1"/>
  <c r="G19" i="1" l="1"/>
  <c r="F19" i="1"/>
  <c r="E19" i="1"/>
  <c r="G13" i="1" l="1"/>
  <c r="F13" i="1"/>
  <c r="E13" i="1"/>
  <c r="G6" i="1" l="1"/>
  <c r="F6" i="1"/>
  <c r="E6" i="1"/>
  <c r="G11" i="1" l="1"/>
  <c r="E11" i="1"/>
  <c r="F11" i="1"/>
  <c r="G116" i="1" l="1"/>
  <c r="G5" i="1" s="1"/>
  <c r="F116" i="1"/>
  <c r="F5" i="1" s="1"/>
  <c r="E116" i="1"/>
  <c r="G4" i="1" l="1"/>
  <c r="F4" i="1"/>
  <c r="H116" i="1"/>
  <c r="H36" i="1"/>
  <c r="AA5" i="1"/>
  <c r="N16" i="1"/>
  <c r="M16" i="1"/>
  <c r="K16" i="1"/>
  <c r="H15" i="1"/>
  <c r="K12" i="1"/>
  <c r="H69" i="1" l="1"/>
  <c r="H123" i="1"/>
  <c r="H28" i="1"/>
  <c r="H14" i="1"/>
  <c r="H37" i="1"/>
  <c r="H13" i="1"/>
  <c r="H12" i="1" l="1"/>
  <c r="H10" i="1" l="1"/>
  <c r="H9" i="1"/>
  <c r="H20" i="1" l="1"/>
  <c r="H6" i="1" l="1"/>
  <c r="S31" i="1"/>
  <c r="S7" i="1"/>
  <c r="R5" i="1" l="1"/>
  <c r="N8" i="1" l="1"/>
  <c r="M8" i="1"/>
  <c r="K8" i="1"/>
  <c r="H8" i="1"/>
  <c r="H18" i="1"/>
  <c r="N7" i="1" l="1"/>
  <c r="M7" i="1"/>
  <c r="K7" i="1"/>
  <c r="H31" i="1"/>
  <c r="H23" i="1"/>
  <c r="H19" i="1"/>
  <c r="H16" i="1"/>
  <c r="H17" i="1"/>
  <c r="H11" i="1"/>
  <c r="H7" i="1"/>
  <c r="K5" i="1" l="1"/>
  <c r="K4" i="1"/>
  <c r="H5" i="1"/>
  <c r="H4" i="1"/>
  <c r="Z5" i="1"/>
  <c r="Y5" i="1"/>
  <c r="W5" i="1"/>
  <c r="V5" i="1"/>
  <c r="U5" i="1"/>
  <c r="T5" i="1"/>
  <c r="S5" i="1"/>
  <c r="Q5" i="1"/>
  <c r="P5" i="1"/>
  <c r="O5" i="1"/>
  <c r="X5" i="1"/>
  <c r="M5" i="1" l="1"/>
  <c r="M4" i="1" s="1"/>
  <c r="N5" i="1"/>
  <c r="N4" i="1" s="1"/>
</calcChain>
</file>

<file path=xl/sharedStrings.xml><?xml version="1.0" encoding="utf-8"?>
<sst xmlns="http://schemas.openxmlformats.org/spreadsheetml/2006/main" count="1248" uniqueCount="727">
  <si>
    <t>Fashion Universe</t>
  </si>
  <si>
    <t>#</t>
  </si>
  <si>
    <t>Name</t>
  </si>
  <si>
    <t>TCKR</t>
  </si>
  <si>
    <t>Price</t>
  </si>
  <si>
    <t>MC</t>
  </si>
  <si>
    <t>EV</t>
  </si>
  <si>
    <t>Kering</t>
  </si>
  <si>
    <t>LVMH</t>
  </si>
  <si>
    <t>Hermes</t>
  </si>
  <si>
    <t>Nike</t>
  </si>
  <si>
    <t>RMS</t>
  </si>
  <si>
    <t>NKE</t>
  </si>
  <si>
    <t>Adidas</t>
  </si>
  <si>
    <t>ADS</t>
  </si>
  <si>
    <t>Anta Sport Products</t>
  </si>
  <si>
    <t>Deckers Outdor</t>
  </si>
  <si>
    <t>DECK</t>
  </si>
  <si>
    <t>Moncler</t>
  </si>
  <si>
    <t>Country</t>
  </si>
  <si>
    <t>FRA</t>
  </si>
  <si>
    <t>US</t>
  </si>
  <si>
    <t>Shenzou International</t>
  </si>
  <si>
    <t>ONON</t>
  </si>
  <si>
    <t>On Holding Ag</t>
  </si>
  <si>
    <t>Ralph Lauren Corp</t>
  </si>
  <si>
    <t>Birkenstock Holding</t>
  </si>
  <si>
    <t>BIRK</t>
  </si>
  <si>
    <t>Skechers Inc</t>
  </si>
  <si>
    <t>SKX</t>
  </si>
  <si>
    <t>Asics Corp</t>
  </si>
  <si>
    <t>Levis &amp; Straus</t>
  </si>
  <si>
    <t>LEVI</t>
  </si>
  <si>
    <t>Crocs Inc</t>
  </si>
  <si>
    <t>CROX</t>
  </si>
  <si>
    <t>Puma</t>
  </si>
  <si>
    <t>PVH Corp</t>
  </si>
  <si>
    <t>PVH</t>
  </si>
  <si>
    <t>Gildan Activewear</t>
  </si>
  <si>
    <t>GIL</t>
  </si>
  <si>
    <t>Bosideng International</t>
  </si>
  <si>
    <t>HLA Group Corp</t>
  </si>
  <si>
    <t>Columbia Sportswear</t>
  </si>
  <si>
    <t>COLM</t>
  </si>
  <si>
    <t>VFC</t>
  </si>
  <si>
    <t>Ermenegildo Zegna</t>
  </si>
  <si>
    <t>ZGN</t>
  </si>
  <si>
    <t>Youngor Fashion</t>
  </si>
  <si>
    <t xml:space="preserve">Burberry </t>
  </si>
  <si>
    <t>ABC Mart</t>
  </si>
  <si>
    <t>Feng Tay Enterprise</t>
  </si>
  <si>
    <t>Ryohin Keikau</t>
  </si>
  <si>
    <t>ECLAT Textile</t>
  </si>
  <si>
    <t>Hugo Boss</t>
  </si>
  <si>
    <t>Pou Chen</t>
  </si>
  <si>
    <t>Steve Madden</t>
  </si>
  <si>
    <t>SHOO</t>
  </si>
  <si>
    <t>KPR MILL</t>
  </si>
  <si>
    <t>Under Armor</t>
  </si>
  <si>
    <t>KPRMILL</t>
  </si>
  <si>
    <t>UA</t>
  </si>
  <si>
    <t>Yue Yue Industrials</t>
  </si>
  <si>
    <t>Makalot Industrials</t>
  </si>
  <si>
    <t>Goldwin</t>
  </si>
  <si>
    <t>002832</t>
  </si>
  <si>
    <t>BIEM L FDLKK GARME</t>
  </si>
  <si>
    <t>Zhejiang Semir Gar</t>
  </si>
  <si>
    <t>002563</t>
  </si>
  <si>
    <t>Relaxo Footwear</t>
  </si>
  <si>
    <t>BATA India</t>
  </si>
  <si>
    <t>F&amp;F</t>
  </si>
  <si>
    <t>XTEP International Holding</t>
  </si>
  <si>
    <t>RELAXO</t>
  </si>
  <si>
    <t>BATAINDIA</t>
  </si>
  <si>
    <t>HBI</t>
  </si>
  <si>
    <t>Hanesbrands Inc</t>
  </si>
  <si>
    <t>P/B</t>
  </si>
  <si>
    <t>EV/EBITDA</t>
  </si>
  <si>
    <t>ROE</t>
  </si>
  <si>
    <t>ROIC</t>
  </si>
  <si>
    <t>ROCE</t>
  </si>
  <si>
    <t>Beta</t>
  </si>
  <si>
    <t>GER</t>
  </si>
  <si>
    <t>Richemont</t>
  </si>
  <si>
    <t>CFR.SW</t>
  </si>
  <si>
    <t>SW</t>
  </si>
  <si>
    <t>EV/Sales</t>
  </si>
  <si>
    <t>Net Debt</t>
  </si>
  <si>
    <t>Industry Average</t>
  </si>
  <si>
    <t>GM</t>
  </si>
  <si>
    <t>EBIT-M.</t>
  </si>
  <si>
    <t>A. P/E</t>
  </si>
  <si>
    <t>F. P/E</t>
  </si>
  <si>
    <t>A. PEG</t>
  </si>
  <si>
    <t>F. PEG</t>
  </si>
  <si>
    <t>RG</t>
  </si>
  <si>
    <t>Descripition</t>
  </si>
  <si>
    <t>Appereal and other</t>
  </si>
  <si>
    <t>Dior</t>
  </si>
  <si>
    <t>Inditex</t>
  </si>
  <si>
    <t>SPA</t>
  </si>
  <si>
    <t>CDI.PA</t>
  </si>
  <si>
    <t>MC.PA</t>
  </si>
  <si>
    <t>TJX Companies</t>
  </si>
  <si>
    <t>TJX</t>
  </si>
  <si>
    <t>LuluLemon</t>
  </si>
  <si>
    <t>LULU</t>
  </si>
  <si>
    <t>CAN</t>
  </si>
  <si>
    <t>H&amp;M</t>
  </si>
  <si>
    <t>SWE</t>
  </si>
  <si>
    <t>HM-B.ST</t>
  </si>
  <si>
    <t>GAP Inc</t>
  </si>
  <si>
    <t>Abercrombie&amp;Fitch</t>
  </si>
  <si>
    <t>ANF</t>
  </si>
  <si>
    <t>GPS</t>
  </si>
  <si>
    <t>Leather Goods, Luxury/Appereal</t>
  </si>
  <si>
    <t>Athletic Footwear, Appereal</t>
  </si>
  <si>
    <t>Fast Fashion</t>
  </si>
  <si>
    <t>Athletic/Outdoor Shoes</t>
  </si>
  <si>
    <t>Retailer</t>
  </si>
  <si>
    <t>YEN/USD</t>
  </si>
  <si>
    <t>SEK M/USD</t>
  </si>
  <si>
    <t>EUR/USD</t>
  </si>
  <si>
    <t>HKN Dollar/US Dollar</t>
  </si>
  <si>
    <t>Fast Retailing</t>
  </si>
  <si>
    <t>JAP</t>
  </si>
  <si>
    <t>9983.T</t>
  </si>
  <si>
    <t>Notes</t>
  </si>
  <si>
    <t>Zalando</t>
  </si>
  <si>
    <t>About You</t>
  </si>
  <si>
    <t>Currencies</t>
  </si>
  <si>
    <t>Schweizer Franken/USD</t>
  </si>
  <si>
    <t>Cintas</t>
  </si>
  <si>
    <t>Ross Stores</t>
  </si>
  <si>
    <t>CTAS</t>
  </si>
  <si>
    <t>ROST</t>
  </si>
  <si>
    <t>Prada</t>
  </si>
  <si>
    <t>1913.HK</t>
  </si>
  <si>
    <t>Uniform/Work Clothing</t>
  </si>
  <si>
    <t>Essilor Luxottica</t>
  </si>
  <si>
    <t>EL.PA</t>
  </si>
  <si>
    <t>Titan Company</t>
  </si>
  <si>
    <t>TITAN.NS</t>
  </si>
  <si>
    <t xml:space="preserve">Pandora </t>
  </si>
  <si>
    <t>DEN</t>
  </si>
  <si>
    <t>PNDRA</t>
  </si>
  <si>
    <t>EBIT LFY</t>
  </si>
  <si>
    <t>NI LFY</t>
  </si>
  <si>
    <t>Rev LFY</t>
  </si>
  <si>
    <t>Q224</t>
  </si>
  <si>
    <t>Q225</t>
  </si>
  <si>
    <t>Q323</t>
  </si>
  <si>
    <t>Uni First</t>
  </si>
  <si>
    <t>UNF</t>
  </si>
  <si>
    <t>Urban Outfitters</t>
  </si>
  <si>
    <t>URBN</t>
  </si>
  <si>
    <t>Lojas Renner</t>
  </si>
  <si>
    <t>LREN.3.SA</t>
  </si>
  <si>
    <t>BRA</t>
  </si>
  <si>
    <t>The Fonschi Group</t>
  </si>
  <si>
    <t>TFG.JO</t>
  </si>
  <si>
    <t>SAF</t>
  </si>
  <si>
    <t>Topspots International</t>
  </si>
  <si>
    <t>Victoria Secret</t>
  </si>
  <si>
    <t>6110.HK</t>
  </si>
  <si>
    <t>Carter's</t>
  </si>
  <si>
    <t>CRI</t>
  </si>
  <si>
    <t>ITA</t>
  </si>
  <si>
    <t>SWI</t>
  </si>
  <si>
    <t>Buckle</t>
  </si>
  <si>
    <t>BKE</t>
  </si>
  <si>
    <t>Revolve</t>
  </si>
  <si>
    <t>RVLV</t>
  </si>
  <si>
    <t>F&amp;F CO</t>
  </si>
  <si>
    <t>SK</t>
  </si>
  <si>
    <t>383220.SK</t>
  </si>
  <si>
    <t>Fila</t>
  </si>
  <si>
    <t>081660.SK</t>
  </si>
  <si>
    <t>Saver Value Village</t>
  </si>
  <si>
    <t>SVV</t>
  </si>
  <si>
    <t>G-III Appereal Group</t>
  </si>
  <si>
    <t>GIII</t>
  </si>
  <si>
    <t>Oxford Industries</t>
  </si>
  <si>
    <t>OXM</t>
  </si>
  <si>
    <t>GOOS</t>
  </si>
  <si>
    <t>Arvind</t>
  </si>
  <si>
    <t>AVIND.NS</t>
  </si>
  <si>
    <t>IND</t>
  </si>
  <si>
    <t>Delta Galil Industries</t>
  </si>
  <si>
    <t>DELG.TA</t>
  </si>
  <si>
    <t>ISRL</t>
  </si>
  <si>
    <t>Figs</t>
  </si>
  <si>
    <t>FIGS</t>
  </si>
  <si>
    <t>Guess</t>
  </si>
  <si>
    <t>GES</t>
  </si>
  <si>
    <t>Fox Wizel</t>
  </si>
  <si>
    <t>FOX.TA</t>
  </si>
  <si>
    <t>Mavi Giyim Sanayi ve Ticaret</t>
  </si>
  <si>
    <t>MAVI.IS</t>
  </si>
  <si>
    <t>TUR</t>
  </si>
  <si>
    <t>PDS Multinational</t>
  </si>
  <si>
    <t>PDSL.NS</t>
  </si>
  <si>
    <t>Gokalda Exports</t>
  </si>
  <si>
    <t>GOKEX.NS</t>
  </si>
  <si>
    <t>Fenix Outdoors</t>
  </si>
  <si>
    <t>FOI-B.ST</t>
  </si>
  <si>
    <t>OVS S.pa</t>
  </si>
  <si>
    <t>OVS.MI</t>
  </si>
  <si>
    <t>BOOZT.ST</t>
  </si>
  <si>
    <t>Boozt</t>
  </si>
  <si>
    <t>Lux Industries</t>
  </si>
  <si>
    <t>LUXIND.NS</t>
  </si>
  <si>
    <t>MYT Netherland Parents</t>
  </si>
  <si>
    <t>MYTE</t>
  </si>
  <si>
    <t>Asos</t>
  </si>
  <si>
    <t>Marimekko</t>
  </si>
  <si>
    <t>FIN</t>
  </si>
  <si>
    <t>MEKKO.HE</t>
  </si>
  <si>
    <t>Lands End</t>
  </si>
  <si>
    <t>LE</t>
  </si>
  <si>
    <t>Bohoo Group</t>
  </si>
  <si>
    <t>UK</t>
  </si>
  <si>
    <t>BOO.L</t>
  </si>
  <si>
    <t>Thob Al Assel Company</t>
  </si>
  <si>
    <t>4012.SR</t>
  </si>
  <si>
    <t>SR</t>
  </si>
  <si>
    <t>RVRC Holding</t>
  </si>
  <si>
    <t>RVRC.ST</t>
  </si>
  <si>
    <t>Lindex Group</t>
  </si>
  <si>
    <t>LINDEX.HE</t>
  </si>
  <si>
    <t>Kewan Kiran Clothing</t>
  </si>
  <si>
    <t>KKCL.NS</t>
  </si>
  <si>
    <t>TCNS Clothing</t>
  </si>
  <si>
    <t>TCSBRANDS.NS</t>
  </si>
  <si>
    <t>Zumiez</t>
  </si>
  <si>
    <t>ZUMZ</t>
  </si>
  <si>
    <t>Van de Velde</t>
  </si>
  <si>
    <t>BEL</t>
  </si>
  <si>
    <t>VAN.BR</t>
  </si>
  <si>
    <t>Delta Isreal Brands</t>
  </si>
  <si>
    <t>DLTI.TA</t>
  </si>
  <si>
    <t>Kitex Garments</t>
  </si>
  <si>
    <t>KITEX.NS</t>
  </si>
  <si>
    <t>CURV</t>
  </si>
  <si>
    <t>Torrid</t>
  </si>
  <si>
    <t>Interloop</t>
  </si>
  <si>
    <t>ILP.PK</t>
  </si>
  <si>
    <t>PAK</t>
  </si>
  <si>
    <t>J.Jill</t>
  </si>
  <si>
    <t>JILL</t>
  </si>
  <si>
    <t>Dollar Industires</t>
  </si>
  <si>
    <t>DOLLAR.NS</t>
  </si>
  <si>
    <t>Stitch Fix</t>
  </si>
  <si>
    <t>SFIX</t>
  </si>
  <si>
    <t>Giordano</t>
  </si>
  <si>
    <t>0709.HK</t>
  </si>
  <si>
    <t>HK</t>
  </si>
  <si>
    <t>Eagle Niece</t>
  </si>
  <si>
    <t>2368.HK</t>
  </si>
  <si>
    <t>Rupa Company</t>
  </si>
  <si>
    <t>RUPA.NS</t>
  </si>
  <si>
    <t>Superior Group of Companies</t>
  </si>
  <si>
    <t>SGC</t>
  </si>
  <si>
    <t>CALIDA Holding</t>
  </si>
  <si>
    <t>CALN.SW</t>
  </si>
  <si>
    <t>AKA</t>
  </si>
  <si>
    <t>a.k.a Brands</t>
  </si>
  <si>
    <t>Cantabil Retail India</t>
  </si>
  <si>
    <t>CANTABIL.NS</t>
  </si>
  <si>
    <t>SMCP</t>
  </si>
  <si>
    <t>SMCP.PA</t>
  </si>
  <si>
    <t>NZ</t>
  </si>
  <si>
    <t>KMD.NZ</t>
  </si>
  <si>
    <t>KMD Brands</t>
  </si>
  <si>
    <t>Monte Carlo Fashion</t>
  </si>
  <si>
    <t>MONTECARLO.NS</t>
  </si>
  <si>
    <t>The Childrens Place</t>
  </si>
  <si>
    <t>PLCE</t>
  </si>
  <si>
    <t>Texwinca Holdings</t>
  </si>
  <si>
    <t>0321.HK</t>
  </si>
  <si>
    <t>Destination XL</t>
  </si>
  <si>
    <t>DXLG</t>
  </si>
  <si>
    <t>GEOX</t>
  </si>
  <si>
    <t>GEO.MI</t>
  </si>
  <si>
    <t>Lakeland Industries</t>
  </si>
  <si>
    <t>LAKE</t>
  </si>
  <si>
    <t>Björn Borg</t>
  </si>
  <si>
    <t>BORG.ST</t>
  </si>
  <si>
    <t>Tillys</t>
  </si>
  <si>
    <t>TLYS</t>
  </si>
  <si>
    <t>Duluth Holdings</t>
  </si>
  <si>
    <t>DLTH</t>
  </si>
  <si>
    <t>Nueva Expresion Textil</t>
  </si>
  <si>
    <t>NXT.MC</t>
  </si>
  <si>
    <t>Answear.com</t>
  </si>
  <si>
    <t>ANR.WA</t>
  </si>
  <si>
    <t>POL</t>
  </si>
  <si>
    <t>Cato Fashion</t>
  </si>
  <si>
    <t>CATO</t>
  </si>
  <si>
    <t xml:space="preserve">Thred up </t>
  </si>
  <si>
    <t>TDUP</t>
  </si>
  <si>
    <t>Ludwig Beck am Ratshauseck</t>
  </si>
  <si>
    <t>ECK.DE</t>
  </si>
  <si>
    <t>Lulus Fashion Lounge</t>
  </si>
  <si>
    <t>LVLU</t>
  </si>
  <si>
    <t>LUX</t>
  </si>
  <si>
    <t>GFG.DE</t>
  </si>
  <si>
    <t>Global Fashion Group</t>
  </si>
  <si>
    <t>Burlington Store</t>
  </si>
  <si>
    <t>Next plc</t>
  </si>
  <si>
    <t>NXT.L</t>
  </si>
  <si>
    <t>BURL</t>
  </si>
  <si>
    <t>Tapestry</t>
  </si>
  <si>
    <t>TPR</t>
  </si>
  <si>
    <t>JD Sports Fashion</t>
  </si>
  <si>
    <t>JD.L</t>
  </si>
  <si>
    <t>VF Corporation</t>
  </si>
  <si>
    <t>x</t>
  </si>
  <si>
    <t>BOOT</t>
  </si>
  <si>
    <t>Boot Barn Holdings</t>
  </si>
  <si>
    <t>KTB</t>
  </si>
  <si>
    <t>Capri Holdings</t>
  </si>
  <si>
    <t>CPRI</t>
  </si>
  <si>
    <t>LPP SA</t>
  </si>
  <si>
    <t>LPP.WA</t>
  </si>
  <si>
    <t>Pages Industries</t>
  </si>
  <si>
    <t>Pepkor</t>
  </si>
  <si>
    <t>SA</t>
  </si>
  <si>
    <t>PPH.JO</t>
  </si>
  <si>
    <t>American Eagle Outfiters</t>
  </si>
  <si>
    <t>AEO</t>
  </si>
  <si>
    <t>Aritzia</t>
  </si>
  <si>
    <t>ATZ.TO</t>
  </si>
  <si>
    <t>MANYAVAR.NS</t>
  </si>
  <si>
    <t>Aditya Birla Fashion &amp; Retail</t>
  </si>
  <si>
    <t>ABFRL.NS</t>
  </si>
  <si>
    <t>FQ225</t>
  </si>
  <si>
    <t>ASC.L</t>
  </si>
  <si>
    <t>GBP/USD</t>
  </si>
  <si>
    <t>Q324</t>
  </si>
  <si>
    <t>Q424</t>
  </si>
  <si>
    <t>Chow Tai Fook</t>
  </si>
  <si>
    <t>1929.HK</t>
  </si>
  <si>
    <t>COTY</t>
  </si>
  <si>
    <t>Coty</t>
  </si>
  <si>
    <t>Kaylan Jewellers India</t>
  </si>
  <si>
    <t>KALYANKJIL.NS</t>
  </si>
  <si>
    <t>Nordstrom</t>
  </si>
  <si>
    <t>JWN</t>
  </si>
  <si>
    <t>BER</t>
  </si>
  <si>
    <t>Signet Jewelers</t>
  </si>
  <si>
    <t>SIG</t>
  </si>
  <si>
    <t>Lovisa Holdings</t>
  </si>
  <si>
    <t>LOV.AX</t>
  </si>
  <si>
    <t>AX</t>
  </si>
  <si>
    <t>Phu Nhuan Jewelery</t>
  </si>
  <si>
    <t>VN</t>
  </si>
  <si>
    <t>PNJ.VN</t>
  </si>
  <si>
    <t>Salvatore Ferregamo</t>
  </si>
  <si>
    <t>SFER.MI</t>
  </si>
  <si>
    <t>Mytherese</t>
  </si>
  <si>
    <t>Ethos Wathces</t>
  </si>
  <si>
    <t>ETHOSLTD.NS</t>
  </si>
  <si>
    <t>Rajesh Exports</t>
  </si>
  <si>
    <t>Chow Sang Sang</t>
  </si>
  <si>
    <t>Movado</t>
  </si>
  <si>
    <t xml:space="preserve">Vand de Velde </t>
  </si>
  <si>
    <t>Fitaihi Holding</t>
  </si>
  <si>
    <t>Cettire Lmtd</t>
  </si>
  <si>
    <t>Lalique Group</t>
  </si>
  <si>
    <t>Bijou Brigitte</t>
  </si>
  <si>
    <t>SMCO</t>
  </si>
  <si>
    <t>Lanvin Group</t>
  </si>
  <si>
    <t>RAJESHEXPO.NS</t>
  </si>
  <si>
    <t>0116.HK</t>
  </si>
  <si>
    <t>MOV</t>
  </si>
  <si>
    <t>4180.SR</t>
  </si>
  <si>
    <t>CTT.AX</t>
  </si>
  <si>
    <t>LLQ.SW</t>
  </si>
  <si>
    <t>BIJ.DE</t>
  </si>
  <si>
    <t>LANV</t>
  </si>
  <si>
    <t>RMB/USD</t>
  </si>
  <si>
    <t>FQ325</t>
  </si>
  <si>
    <t>Huali Industrial</t>
  </si>
  <si>
    <t>7936.T</t>
  </si>
  <si>
    <t>Q423</t>
  </si>
  <si>
    <t>Shoe Manufacturer</t>
  </si>
  <si>
    <t>PUM.DE</t>
  </si>
  <si>
    <t>BC.MI</t>
  </si>
  <si>
    <t>Brunello Cucinelli</t>
  </si>
  <si>
    <t>Li Ning Corp</t>
  </si>
  <si>
    <t>HKD/RMB</t>
  </si>
  <si>
    <t>3998.HK</t>
  </si>
  <si>
    <t>PLN/USD</t>
  </si>
  <si>
    <t>PAGEIND.NS</t>
  </si>
  <si>
    <t>INR/USD</t>
  </si>
  <si>
    <t>VSCO</t>
  </si>
  <si>
    <t>Canada Goose</t>
  </si>
  <si>
    <t>CAD/USD</t>
  </si>
  <si>
    <t>ZAR/USD</t>
  </si>
  <si>
    <t>Q325</t>
  </si>
  <si>
    <t>Founded</t>
  </si>
  <si>
    <t xml:space="preserve">Discounter </t>
  </si>
  <si>
    <t>Luxury Appereal</t>
  </si>
  <si>
    <t>Leather Goods, Appereal</t>
  </si>
  <si>
    <t>Athletic Appereal, Footwear</t>
  </si>
  <si>
    <t>Sandals</t>
  </si>
  <si>
    <t>n.a</t>
  </si>
  <si>
    <t>Total Industry</t>
  </si>
  <si>
    <t>Work Appereal</t>
  </si>
  <si>
    <t>Footwear</t>
  </si>
  <si>
    <t>Shoes/ Sandals</t>
  </si>
  <si>
    <t>Activewear</t>
  </si>
  <si>
    <t>Western footwear &amp; other</t>
  </si>
  <si>
    <t>Kontoor Brands</t>
  </si>
  <si>
    <t>Appereal and other, Spin-off VF Corp</t>
  </si>
  <si>
    <t>Appereal and Accesoires</t>
  </si>
  <si>
    <t>Acquired by Zalando in 2024</t>
  </si>
  <si>
    <t>ZAL.DE</t>
  </si>
  <si>
    <t>Online Retailer</t>
  </si>
  <si>
    <t>YOU.DE</t>
  </si>
  <si>
    <t>Vedant Fashions</t>
  </si>
  <si>
    <t>2670.T</t>
  </si>
  <si>
    <t>Amer Sports</t>
  </si>
  <si>
    <t>AS</t>
  </si>
  <si>
    <t>Farfetch</t>
  </si>
  <si>
    <t>Swatch Group</t>
  </si>
  <si>
    <t>Q425</t>
  </si>
  <si>
    <t>Haute couture</t>
  </si>
  <si>
    <t>Pret-á-porter</t>
  </si>
  <si>
    <t>(wörtlich: gehobene Schneiderkunst -&gt; Maßgeschneiderte Mode, die individuell für Kunden gefertigt werden -&gt; Handarbeit</t>
  </si>
  <si>
    <t xml:space="preserve">auch Ready to wear fashion -&gt; in Serie produzierte Kleidung nach Maßgrößen </t>
  </si>
  <si>
    <t>Vertical Integration</t>
  </si>
  <si>
    <t>Erhöhung der Fertigungstiefe bzw. Verlängerung der Produktionskette</t>
  </si>
  <si>
    <t>Tods</t>
  </si>
  <si>
    <t>Aqcuired by Cuopon in 2023</t>
  </si>
  <si>
    <t>Private / Bankrupt</t>
  </si>
  <si>
    <t>Sports Goods</t>
  </si>
  <si>
    <t>Discounter</t>
  </si>
  <si>
    <t>Q125</t>
  </si>
  <si>
    <t>TWN</t>
  </si>
  <si>
    <t xml:space="preserve">SHEIN </t>
  </si>
  <si>
    <t>Stores</t>
  </si>
  <si>
    <t>Employees</t>
  </si>
  <si>
    <t>TWD/USD</t>
  </si>
  <si>
    <t>UHR.SW</t>
  </si>
  <si>
    <t>IPO in Q2/Q3 2025 on LSE</t>
  </si>
  <si>
    <t>-&gt; see Coupon Model for Farfetch Numbers</t>
  </si>
  <si>
    <t xml:space="preserve">Nordstrom </t>
  </si>
  <si>
    <t>Trent Ltd</t>
  </si>
  <si>
    <t>TRENT.NS</t>
  </si>
  <si>
    <t>Updated</t>
  </si>
  <si>
    <t>Nxt Rslts</t>
  </si>
  <si>
    <t>in mio USD</t>
  </si>
  <si>
    <t>ITX.MC</t>
  </si>
  <si>
    <t>KER.PA</t>
  </si>
  <si>
    <t>2020.HK</t>
  </si>
  <si>
    <t>MONC.MI</t>
  </si>
  <si>
    <t>2313.HK</t>
  </si>
  <si>
    <t>300979.SZ</t>
  </si>
  <si>
    <t>RL</t>
  </si>
  <si>
    <t>2331.HK</t>
  </si>
  <si>
    <t>600177.SS</t>
  </si>
  <si>
    <t>CH</t>
  </si>
  <si>
    <t>BRBY.L</t>
  </si>
  <si>
    <t>9910.TW</t>
  </si>
  <si>
    <t>Ticker</t>
  </si>
  <si>
    <t>Next</t>
  </si>
  <si>
    <t>Main</t>
  </si>
  <si>
    <t>numbers in mio USD</t>
  </si>
  <si>
    <t>Spring/Summer</t>
  </si>
  <si>
    <t>Autumn/ Winter</t>
  </si>
  <si>
    <t>Pre-Fall</t>
  </si>
  <si>
    <t>Resort/Cruise</t>
  </si>
  <si>
    <t>Mai/Juni</t>
  </si>
  <si>
    <t>November/Dezember</t>
  </si>
  <si>
    <t>Haupt-Kollektion September/Oktober</t>
  </si>
  <si>
    <t>Haupt-Kollektion Februar/März</t>
  </si>
  <si>
    <t>Big Four</t>
  </si>
  <si>
    <t>NY, London, Milan, Paris -&gt; Fashion Weeks</t>
  </si>
  <si>
    <t>Défilés de mode</t>
  </si>
  <si>
    <t>Modeschau</t>
  </si>
  <si>
    <t>A-Linie</t>
  </si>
  <si>
    <t>Kleidungsstpck bildet die Form eines A</t>
  </si>
  <si>
    <t xml:space="preserve">Hit Union </t>
  </si>
  <si>
    <t>n.a.</t>
  </si>
  <si>
    <t>Brands: Fred Perry</t>
  </si>
  <si>
    <t>FTCH</t>
  </si>
  <si>
    <t>Mizuno Corporation</t>
  </si>
  <si>
    <t>8022.T</t>
  </si>
  <si>
    <t>Wolverine Worldwide</t>
  </si>
  <si>
    <t>WWW</t>
  </si>
  <si>
    <t>3591.T</t>
  </si>
  <si>
    <t>Wacoal Holding</t>
  </si>
  <si>
    <t>Dicks Sporting Goods</t>
  </si>
  <si>
    <t>DKS</t>
  </si>
  <si>
    <t>Shimano</t>
  </si>
  <si>
    <t>7309.T</t>
  </si>
  <si>
    <t>Foot Locker</t>
  </si>
  <si>
    <t>FL</t>
  </si>
  <si>
    <t>CCC.SA</t>
  </si>
  <si>
    <t>CCC.WA</t>
  </si>
  <si>
    <t>Arezzo Industria</t>
  </si>
  <si>
    <t>ARZZ3.SA</t>
  </si>
  <si>
    <t>Campus Activewear</t>
  </si>
  <si>
    <t>CAMPUS.NS</t>
  </si>
  <si>
    <t>CAL</t>
  </si>
  <si>
    <t>Caleres</t>
  </si>
  <si>
    <t>Shoe Carnival</t>
  </si>
  <si>
    <t>Grendene</t>
  </si>
  <si>
    <t>SCVL</t>
  </si>
  <si>
    <t>GRND3.SA</t>
  </si>
  <si>
    <t>Accent Group</t>
  </si>
  <si>
    <t>Weyco Group</t>
  </si>
  <si>
    <t>WEYS</t>
  </si>
  <si>
    <t>AX1.AX</t>
  </si>
  <si>
    <t>Lanvin</t>
  </si>
  <si>
    <t>CHI</t>
  </si>
  <si>
    <t>Designer Brands</t>
  </si>
  <si>
    <t>DBI</t>
  </si>
  <si>
    <t>Rocky Brands</t>
  </si>
  <si>
    <t>RCKY</t>
  </si>
  <si>
    <t>Shoe Zone</t>
  </si>
  <si>
    <t>SHOE.L</t>
  </si>
  <si>
    <t>Mirza International</t>
  </si>
  <si>
    <t>Allbrids</t>
  </si>
  <si>
    <t>BIRD</t>
  </si>
  <si>
    <t>MIRZAINT.NS</t>
  </si>
  <si>
    <t>Acushnet Holding</t>
  </si>
  <si>
    <t>GOLF</t>
  </si>
  <si>
    <t>Peloton</t>
  </si>
  <si>
    <t>PTON</t>
  </si>
  <si>
    <t>Academy Sports</t>
  </si>
  <si>
    <t>ASO</t>
  </si>
  <si>
    <t>Escalde Sports</t>
  </si>
  <si>
    <t>ESCA</t>
  </si>
  <si>
    <t>XXL ASA</t>
  </si>
  <si>
    <t>NOR</t>
  </si>
  <si>
    <t>XXL.OL</t>
  </si>
  <si>
    <t>Sportsman Warehouse</t>
  </si>
  <si>
    <t>SPWH</t>
  </si>
  <si>
    <t>Marks &amp; Spencers</t>
  </si>
  <si>
    <t>Dillards</t>
  </si>
  <si>
    <t>Watches of Switzerland</t>
  </si>
  <si>
    <t>Fossil</t>
  </si>
  <si>
    <t>Fielmann</t>
  </si>
  <si>
    <t>Cooper Companies</t>
  </si>
  <si>
    <t>COO</t>
  </si>
  <si>
    <t>FIE.F</t>
  </si>
  <si>
    <t>7741.T</t>
  </si>
  <si>
    <t>Hoya</t>
  </si>
  <si>
    <t>Bausch + Lomb</t>
  </si>
  <si>
    <t>BLCO</t>
  </si>
  <si>
    <t>CA</t>
  </si>
  <si>
    <t>Warby Paker</t>
  </si>
  <si>
    <t>WRBY</t>
  </si>
  <si>
    <t>National Vision</t>
  </si>
  <si>
    <t>EYE</t>
  </si>
  <si>
    <t>Synsam</t>
  </si>
  <si>
    <t>SYNSAM.ST</t>
  </si>
  <si>
    <t>Menicon CO</t>
  </si>
  <si>
    <t>7780.T</t>
  </si>
  <si>
    <t>Safilo Group</t>
  </si>
  <si>
    <t>SFL.MI</t>
  </si>
  <si>
    <t>Kits Eyecare</t>
  </si>
  <si>
    <t>KITS.TO</t>
  </si>
  <si>
    <t>Mister Spex</t>
  </si>
  <si>
    <t>MRX.F</t>
  </si>
  <si>
    <t>Innovative Eyewear</t>
  </si>
  <si>
    <t>LUCY</t>
  </si>
  <si>
    <t>Givaudan</t>
  </si>
  <si>
    <t>GIVN.SW</t>
  </si>
  <si>
    <t>International Flavors &amp; Fragrances</t>
  </si>
  <si>
    <t>IFF</t>
  </si>
  <si>
    <t>Symrise</t>
  </si>
  <si>
    <t>SY1.DE</t>
  </si>
  <si>
    <t>Puig Brands</t>
  </si>
  <si>
    <t>PUIG.MC</t>
  </si>
  <si>
    <t>Interparfums</t>
  </si>
  <si>
    <t>IPAR</t>
  </si>
  <si>
    <t>Robertet</t>
  </si>
  <si>
    <t>CBE.PA</t>
  </si>
  <si>
    <t>Takasago International Corporation</t>
  </si>
  <si>
    <t>4914.T</t>
  </si>
  <si>
    <t>Al Majed for Oud Company</t>
  </si>
  <si>
    <t>4165.SR</t>
  </si>
  <si>
    <t>Turpaz Industries</t>
  </si>
  <si>
    <t>TRPZ.TA</t>
  </si>
  <si>
    <t>DE</t>
  </si>
  <si>
    <t>IS</t>
  </si>
  <si>
    <t>Williams-Sonoma</t>
  </si>
  <si>
    <t>WSM</t>
  </si>
  <si>
    <t>The AZEK Company</t>
  </si>
  <si>
    <t>AZEK</t>
  </si>
  <si>
    <t>Wayfair</t>
  </si>
  <si>
    <t>W</t>
  </si>
  <si>
    <t>Harvey Norman</t>
  </si>
  <si>
    <t>HVN.AX</t>
  </si>
  <si>
    <t>Restoration Hardware</t>
  </si>
  <si>
    <t>RH</t>
  </si>
  <si>
    <t>HNI Corporation</t>
  </si>
  <si>
    <t>HNI</t>
  </si>
  <si>
    <t>La-Z-Boy</t>
  </si>
  <si>
    <t>LZB</t>
  </si>
  <si>
    <t>MasterBrand</t>
  </si>
  <si>
    <t>MBC</t>
  </si>
  <si>
    <t>Rusta AB</t>
  </si>
  <si>
    <t>RUSTA.ST</t>
  </si>
  <si>
    <t>Steelcase</t>
  </si>
  <si>
    <t>SCS</t>
  </si>
  <si>
    <t>Arhaus</t>
  </si>
  <si>
    <t>ARHS</t>
  </si>
  <si>
    <t>Leon's Furniture</t>
  </si>
  <si>
    <t>LNF.TO</t>
  </si>
  <si>
    <t>MillerKnoll</t>
  </si>
  <si>
    <t>MLKN</t>
  </si>
  <si>
    <t>Nick Scali Limited</t>
  </si>
  <si>
    <t>NCK.AX</t>
  </si>
  <si>
    <t>Takara Standard</t>
  </si>
  <si>
    <t>7981.T</t>
  </si>
  <si>
    <t>Ethan Allen</t>
  </si>
  <si>
    <t>ETD</t>
  </si>
  <si>
    <t>Italtile</t>
  </si>
  <si>
    <t>ITE.JO</t>
  </si>
  <si>
    <t>RAK Ceramics</t>
  </si>
  <si>
    <t>RAKCEC.AE</t>
  </si>
  <si>
    <t>Al-Saif Stores for Development &amp;amp</t>
  </si>
  <si>
    <t>Itoki Corporation</t>
  </si>
  <si>
    <t>7972.T</t>
  </si>
  <si>
    <t>Kid ASA</t>
  </si>
  <si>
    <t>KID.OL</t>
  </si>
  <si>
    <t>DFS Furniture</t>
  </si>
  <si>
    <t>DFS.L</t>
  </si>
  <si>
    <t>Roche Bobois</t>
  </si>
  <si>
    <t>RBO.PA</t>
  </si>
  <si>
    <t>Havertys</t>
  </si>
  <si>
    <t>HVT</t>
  </si>
  <si>
    <t>home24</t>
  </si>
  <si>
    <t>H24.HM</t>
  </si>
  <si>
    <t>LoveSac</t>
  </si>
  <si>
    <t>LOVE</t>
  </si>
  <si>
    <t>Nobia AB</t>
  </si>
  <si>
    <t>NOBI.ST</t>
  </si>
  <si>
    <t>Dexelance</t>
  </si>
  <si>
    <t>DEX.MI</t>
  </si>
  <si>
    <t>Vista Alegre Atlantis</t>
  </si>
  <si>
    <t>VAF.LS</t>
  </si>
  <si>
    <t>Flexsteel Industries</t>
  </si>
  <si>
    <t>FLXS</t>
  </si>
  <si>
    <t>Westwing Group</t>
  </si>
  <si>
    <t>WEW.DE</t>
  </si>
  <si>
    <t>Bassett Furniture</t>
  </si>
  <si>
    <t>BSET</t>
  </si>
  <si>
    <t>Sleep Number</t>
  </si>
  <si>
    <t>SNBR</t>
  </si>
  <si>
    <t>Vente-Unique.com</t>
  </si>
  <si>
    <t>ALVU.PA</t>
  </si>
  <si>
    <t>Maisons du Monde</t>
  </si>
  <si>
    <t>MDM.PA</t>
  </si>
  <si>
    <t>Hooker Furnishings</t>
  </si>
  <si>
    <t>HOFT</t>
  </si>
  <si>
    <t>Viomi Technology</t>
  </si>
  <si>
    <t>VIOT</t>
  </si>
  <si>
    <t>Kewaunee Scientific Corporation</t>
  </si>
  <si>
    <t>KEQU</t>
  </si>
  <si>
    <t>Purple Innovation</t>
  </si>
  <si>
    <t>PRPL</t>
  </si>
  <si>
    <t>Gabriel Holding A/S</t>
  </si>
  <si>
    <t>GABR.CO</t>
  </si>
  <si>
    <t>Natuzzi</t>
  </si>
  <si>
    <t>NTZ</t>
  </si>
  <si>
    <t>U10 Corp</t>
  </si>
  <si>
    <t>ALU10.PA</t>
  </si>
  <si>
    <t>Northann Corp</t>
  </si>
  <si>
    <t>NCL</t>
  </si>
  <si>
    <t>FGI Industries</t>
  </si>
  <si>
    <t>FGI</t>
  </si>
  <si>
    <t>Conn's</t>
  </si>
  <si>
    <t>CONN</t>
  </si>
  <si>
    <t>Japan</t>
  </si>
  <si>
    <t>UAE</t>
  </si>
  <si>
    <t>FR</t>
  </si>
  <si>
    <t>POR</t>
  </si>
  <si>
    <t>MASKY</t>
  </si>
  <si>
    <t>DDS</t>
  </si>
  <si>
    <t>WOSF</t>
  </si>
  <si>
    <t>FOSL</t>
  </si>
  <si>
    <t>TODGF</t>
  </si>
  <si>
    <t>Chanel</t>
  </si>
  <si>
    <t>Rolex SA</t>
  </si>
  <si>
    <t>Primark</t>
  </si>
  <si>
    <t>Authentic Brands</t>
  </si>
  <si>
    <t>C&amp;A</t>
  </si>
  <si>
    <t>Armani</t>
  </si>
  <si>
    <t>Audemar Piguet</t>
  </si>
  <si>
    <t>Patek Phillippe</t>
  </si>
  <si>
    <t>New Balance</t>
  </si>
  <si>
    <t>Calzedonia</t>
  </si>
  <si>
    <t>Dolce &amp; Gabbana</t>
  </si>
  <si>
    <t>Lululemon</t>
  </si>
  <si>
    <t>Anta Sports</t>
  </si>
  <si>
    <t>Deckers Outdoor</t>
  </si>
  <si>
    <t>On Holding</t>
  </si>
  <si>
    <t>Skechers</t>
  </si>
  <si>
    <t>Geox</t>
  </si>
  <si>
    <t>Mizuno Corp</t>
  </si>
  <si>
    <t>Zellerfeld</t>
  </si>
  <si>
    <t>BOSS.DE</t>
  </si>
  <si>
    <t>Estee Lauder</t>
  </si>
  <si>
    <t>Footlocker</t>
  </si>
  <si>
    <t>EL</t>
  </si>
  <si>
    <t>Planet Fitness</t>
  </si>
  <si>
    <t>PLNT</t>
  </si>
  <si>
    <t>Acushnet Holdings</t>
  </si>
  <si>
    <t>Columbia Spotswear</t>
  </si>
  <si>
    <t>Technogym</t>
  </si>
  <si>
    <t>TGYM.MI</t>
  </si>
  <si>
    <t>Topsports International</t>
  </si>
  <si>
    <t>Topgolg Callaway Brands</t>
  </si>
  <si>
    <t>MODG</t>
  </si>
  <si>
    <t>Escalade Sports</t>
  </si>
  <si>
    <t>Big 5 Sporting Goods</t>
  </si>
  <si>
    <t>Connexa Sports Technologies</t>
  </si>
  <si>
    <t>YYAI</t>
  </si>
  <si>
    <t>BGFV</t>
  </si>
  <si>
    <t>Q126</t>
  </si>
  <si>
    <t>FQ425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</si>
</sst>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;[Red]#,##0.0"/>
    <numFmt numFmtId="166" formatCode="#,##0;\(#,##0\)"/>
    <numFmt numFmtId="167" formatCode="#,##0;[Red]#,##0"/>
    <numFmt numFmtId="168" formatCode="#,##0.0;\(#,##0.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1" applyNumberFormat="1" applyFont="1"/>
    <xf numFmtId="2" fontId="0" fillId="0" borderId="0" xfId="1" applyNumberFormat="1" applyFont="1"/>
    <xf numFmtId="165" fontId="0" fillId="0" borderId="0" xfId="0" applyNumberFormat="1"/>
    <xf numFmtId="0" fontId="3" fillId="0" borderId="0" xfId="2"/>
    <xf numFmtId="9" fontId="0" fillId="0" borderId="0" xfId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17" fontId="0" fillId="0" borderId="0" xfId="0" applyNumberFormat="1" applyAlignment="1">
      <alignment horizontal="right"/>
    </xf>
    <xf numFmtId="0" fontId="4" fillId="0" borderId="0" xfId="0" applyFont="1"/>
    <xf numFmtId="0" fontId="5" fillId="0" borderId="0" xfId="0" applyFont="1"/>
    <xf numFmtId="16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8" fontId="0" fillId="0" borderId="0" xfId="1" applyNumberFormat="1" applyFont="1"/>
    <xf numFmtId="0" fontId="3" fillId="0" borderId="0" xfId="2" applyAlignment="1">
      <alignment horizontal="left"/>
    </xf>
    <xf numFmtId="16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166" fontId="0" fillId="0" borderId="0" xfId="0" quotePrefix="1" applyNumberFormat="1"/>
    <xf numFmtId="9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1" applyNumberFormat="1" applyFont="1" applyAlignment="1">
      <alignment horizontal="right"/>
    </xf>
    <xf numFmtId="0" fontId="2" fillId="0" borderId="0" xfId="1" applyNumberFormat="1" applyFont="1" applyAlignment="1">
      <alignment horizontal="right"/>
    </xf>
    <xf numFmtId="9" fontId="2" fillId="0" borderId="0" xfId="1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2" fontId="1" fillId="2" borderId="2" xfId="1" applyNumberFormat="1" applyFont="1" applyFill="1" applyBorder="1" applyAlignment="1">
      <alignment horizontal="right"/>
    </xf>
    <xf numFmtId="0" fontId="1" fillId="2" borderId="2" xfId="1" applyNumberFormat="1" applyFont="1" applyFill="1" applyBorder="1" applyAlignment="1">
      <alignment horizontal="right"/>
    </xf>
    <xf numFmtId="0" fontId="1" fillId="2" borderId="3" xfId="0" applyFont="1" applyFill="1" applyBorder="1"/>
    <xf numFmtId="165" fontId="1" fillId="2" borderId="2" xfId="0" applyNumberFormat="1" applyFont="1" applyFill="1" applyBorder="1"/>
    <xf numFmtId="166" fontId="1" fillId="2" borderId="2" xfId="0" applyNumberFormat="1" applyFont="1" applyFill="1" applyBorder="1"/>
    <xf numFmtId="166" fontId="1" fillId="2" borderId="2" xfId="0" applyNumberFormat="1" applyFont="1" applyFill="1" applyBorder="1" applyAlignment="1">
      <alignment horizontal="right"/>
    </xf>
    <xf numFmtId="9" fontId="1" fillId="2" borderId="2" xfId="1" applyFont="1" applyFill="1" applyBorder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84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81.xml"/><Relationship Id="rId16" Type="http://schemas.openxmlformats.org/officeDocument/2006/relationships/externalLink" Target="externalLinks/externalLink8.xml"/><Relationship Id="rId11" Type="http://schemas.openxmlformats.org/officeDocument/2006/relationships/externalLink" Target="externalLinks/externalLink3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2.xml"/><Relationship Id="rId95" Type="http://schemas.openxmlformats.org/officeDocument/2006/relationships/sharedStrings" Target="sharedStrings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91" Type="http://schemas.openxmlformats.org/officeDocument/2006/relationships/externalLink" Target="externalLinks/externalLink83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Relationship Id="rId34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6" Type="http://schemas.openxmlformats.org/officeDocument/2006/relationships/externalLink" Target="externalLinks/externalLink6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66" Type="http://schemas.openxmlformats.org/officeDocument/2006/relationships/externalLink" Target="externalLinks/externalLink58.xml"/><Relationship Id="rId87" Type="http://schemas.openxmlformats.org/officeDocument/2006/relationships/externalLink" Target="externalLinks/externalLink79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56" Type="http://schemas.openxmlformats.org/officeDocument/2006/relationships/externalLink" Target="externalLinks/externalLink48.xml"/><Relationship Id="rId77" Type="http://schemas.openxmlformats.org/officeDocument/2006/relationships/externalLink" Target="externalLinks/externalLink6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C.PA.xlsx" TargetMode="External"/><Relationship Id="rId1" Type="http://schemas.openxmlformats.org/officeDocument/2006/relationships/externalLinkPath" Target="/1.Finance/Anaylsen/Models/MC.P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ULU.xlsx" TargetMode="External"/><Relationship Id="rId1" Type="http://schemas.openxmlformats.org/officeDocument/2006/relationships/externalLinkPath" Target="/1.Finance/Anaylsen/Models/LULU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S.xlsx" TargetMode="External"/><Relationship Id="rId1" Type="http://schemas.openxmlformats.org/officeDocument/2006/relationships/externalLinkPath" Target="/1.Finance/Anaylsen/Models/ADS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ER.PA.xlsx" TargetMode="External"/><Relationship Id="rId1" Type="http://schemas.openxmlformats.org/officeDocument/2006/relationships/externalLinkPath" Target="/1.Finance/Anaylsen/Models/KER.PA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020.HK.xlsx" TargetMode="External"/><Relationship Id="rId1" Type="http://schemas.openxmlformats.org/officeDocument/2006/relationships/externalLinkPath" Target="/1.Finance/Anaylsen/Models/2020.HK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CK.xlsx" TargetMode="External"/><Relationship Id="rId1" Type="http://schemas.openxmlformats.org/officeDocument/2006/relationships/externalLinkPath" Target="/1.Finance/Anaylsen/Models/DECK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M.BST.xlsx" TargetMode="External"/><Relationship Id="rId1" Type="http://schemas.openxmlformats.org/officeDocument/2006/relationships/externalLinkPath" Target="/1.Finance/Anaylsen/Models/HM.BS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1913.HK.xlsx" TargetMode="External"/><Relationship Id="rId1" Type="http://schemas.openxmlformats.org/officeDocument/2006/relationships/externalLinkPath" Target="/1.Finance/Anaylsen/Models/1913.HK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RENT.NS.xlsx" TargetMode="External"/><Relationship Id="rId1" Type="http://schemas.openxmlformats.org/officeDocument/2006/relationships/externalLinkPath" Target="/1.Finance/Anaylsen/Models/TRENT.NS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ONC.MI.xlsx" TargetMode="External"/><Relationship Id="rId1" Type="http://schemas.openxmlformats.org/officeDocument/2006/relationships/externalLinkPath" Target="/1.Finance/Anaylsen/Models/MONC.MI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URL.xlsx" TargetMode="External"/><Relationship Id="rId1" Type="http://schemas.openxmlformats.org/officeDocument/2006/relationships/externalLinkPath" Target="/1.Finance/Anaylsen/Models/BUR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MS.xlsx" TargetMode="External"/><Relationship Id="rId1" Type="http://schemas.openxmlformats.org/officeDocument/2006/relationships/externalLinkPath" Target="/1.Finance/Anaylsen/Models/RMS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PR.xlsx" TargetMode="External"/><Relationship Id="rId1" Type="http://schemas.openxmlformats.org/officeDocument/2006/relationships/externalLinkPath" Target="/1.Finance/Anaylsen/Models/TPR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36.T.xlsx" TargetMode="External"/><Relationship Id="rId1" Type="http://schemas.openxmlformats.org/officeDocument/2006/relationships/externalLinkPath" Target="/1.Finance/Anaylsen/Models/7936.T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XT.L.xlsx" TargetMode="External"/><Relationship Id="rId1" Type="http://schemas.openxmlformats.org/officeDocument/2006/relationships/externalLinkPath" Target="/1.Finance/Anaylsen/Models/NXT.L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NON.xlsx" TargetMode="External"/><Relationship Id="rId1" Type="http://schemas.openxmlformats.org/officeDocument/2006/relationships/externalLinkPath" Target="/1.Finance/Anaylsen/Models/ONON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.xlsx" TargetMode="External"/><Relationship Id="rId1" Type="http://schemas.openxmlformats.org/officeDocument/2006/relationships/externalLinkPath" Target="/1.Finance/Anaylsen/Models/AS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13.HK.xlsx" TargetMode="External"/><Relationship Id="rId1" Type="http://schemas.openxmlformats.org/officeDocument/2006/relationships/externalLinkPath" Target="/1.Finance/Anaylsen/Models/2313.HK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L.xlsx" TargetMode="External"/><Relationship Id="rId1" Type="http://schemas.openxmlformats.org/officeDocument/2006/relationships/externalLinkPath" Target="/1.Finance/Anaylsen/Models/RL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00979.SZ.xlsx" TargetMode="External"/><Relationship Id="rId1" Type="http://schemas.openxmlformats.org/officeDocument/2006/relationships/externalLinkPath" Target="/1.Finance/Anaylsen/Models/300979.SZ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ZAL.DE.xlsx" TargetMode="External"/><Relationship Id="rId1" Type="http://schemas.openxmlformats.org/officeDocument/2006/relationships/externalLinkPath" Target="/1.Finance/Anaylsen/Models/ZAL.DE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FC.xlsx" TargetMode="External"/><Relationship Id="rId1" Type="http://schemas.openxmlformats.org/officeDocument/2006/relationships/externalLinkPath" Target="/1.Finance/Anaylsen/Models/VFC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TX.MC.xlsx" TargetMode="External"/><Relationship Id="rId1" Type="http://schemas.openxmlformats.org/officeDocument/2006/relationships/externalLinkPath" Target="/1.Finance/Anaylsen/Models/ITX.MC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IRK.xlsx" TargetMode="External"/><Relationship Id="rId1" Type="http://schemas.openxmlformats.org/officeDocument/2006/relationships/externalLinkPath" Target="/1.Finance/Anaylsen/Models/BIRK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PS.xlsx" TargetMode="External"/><Relationship Id="rId1" Type="http://schemas.openxmlformats.org/officeDocument/2006/relationships/externalLinkPath" Target="/1.Finance/Anaylsen/Models/GPS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KX.xlsx" TargetMode="External"/><Relationship Id="rId1" Type="http://schemas.openxmlformats.org/officeDocument/2006/relationships/externalLinkPath" Target="/1.Finance/Anaylsen/Models/SKX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C.MI.xlsx" TargetMode="External"/><Relationship Id="rId1" Type="http://schemas.openxmlformats.org/officeDocument/2006/relationships/externalLinkPath" Target="/1.Finance/Anaylsen/Models/BC.MI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L.xlsx" TargetMode="External"/><Relationship Id="rId1" Type="http://schemas.openxmlformats.org/officeDocument/2006/relationships/externalLinkPath" Target="/1.Finance/Anaylsen/Models/GIL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EVI.xlsx" TargetMode="External"/><Relationship Id="rId1" Type="http://schemas.openxmlformats.org/officeDocument/2006/relationships/externalLinkPath" Target="/1.Finance/Anaylsen/Models/LEVI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PP.WA.xlsx" TargetMode="External"/><Relationship Id="rId1" Type="http://schemas.openxmlformats.org/officeDocument/2006/relationships/externalLinkPath" Target="/1.Finance/Anaylsen/Models/LPP.WA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600398.SS.xlsx" TargetMode="External"/><Relationship Id="rId1" Type="http://schemas.openxmlformats.org/officeDocument/2006/relationships/externalLinkPath" Target="/1.Finance/Anaylsen/Models/600398.SS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GEIND.NS.xlsx" TargetMode="External"/><Relationship Id="rId1" Type="http://schemas.openxmlformats.org/officeDocument/2006/relationships/externalLinkPath" Target="/1.Finance/Anaylsen/Models/PAGEIND.NS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OX.xlsx" TargetMode="External"/><Relationship Id="rId1" Type="http://schemas.openxmlformats.org/officeDocument/2006/relationships/externalLinkPath" Target="/1.Finance/Anaylsen/Models/CROX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JX.xlsx" TargetMode="External"/><Relationship Id="rId1" Type="http://schemas.openxmlformats.org/officeDocument/2006/relationships/externalLinkPath" Target="/1.Finance/Anaylsen/Models/TJX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PH.JO.xlsx" TargetMode="External"/><Relationship Id="rId1" Type="http://schemas.openxmlformats.org/officeDocument/2006/relationships/externalLinkPath" Target="/1.Finance/Anaylsen/Models/PPH.JO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D.L.xlsx" TargetMode="External"/><Relationship Id="rId1" Type="http://schemas.openxmlformats.org/officeDocument/2006/relationships/externalLinkPath" Target="/1.Finance/Anaylsen/Models/JD.L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TZ.TO.xlsx" TargetMode="External"/><Relationship Id="rId1" Type="http://schemas.openxmlformats.org/officeDocument/2006/relationships/externalLinkPath" Target="/1.Finance/Anaylsen/Models/ATZ.TO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31.HK.xlsx" TargetMode="External"/><Relationship Id="rId1" Type="http://schemas.openxmlformats.org/officeDocument/2006/relationships/externalLinkPath" Target="/1.Finance/Anaylsen/Models/2331.HK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600177.SS.xlsx" TargetMode="External"/><Relationship Id="rId1" Type="http://schemas.openxmlformats.org/officeDocument/2006/relationships/externalLinkPath" Target="/1.Finance/Anaylsen/Models/600177.SS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RBN.xlsx" TargetMode="External"/><Relationship Id="rId1" Type="http://schemas.openxmlformats.org/officeDocument/2006/relationships/externalLinkPath" Target="/1.Finance/Anaylsen/Models/URBN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UM.DE.xlsx" TargetMode="External"/><Relationship Id="rId1" Type="http://schemas.openxmlformats.org/officeDocument/2006/relationships/externalLinkPath" Target="/1.Finance/Anaylsen/Models/PUM.DE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998.HK.xlsx" TargetMode="External"/><Relationship Id="rId1" Type="http://schemas.openxmlformats.org/officeDocument/2006/relationships/externalLinkPath" Target="/1.Finance/Anaylsen/Models/3998.HK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NF.xlsx" TargetMode="External"/><Relationship Id="rId1" Type="http://schemas.openxmlformats.org/officeDocument/2006/relationships/externalLinkPath" Target="/1.Finance/Anaylsen/Models/ANF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OLM.xlsx" TargetMode="External"/><Relationship Id="rId1" Type="http://schemas.openxmlformats.org/officeDocument/2006/relationships/externalLinkPath" Target="/1.Finance/Anaylsen/Models/COL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DI.PA.xlsx" TargetMode="External"/><Relationship Id="rId1" Type="http://schemas.openxmlformats.org/officeDocument/2006/relationships/externalLinkPath" Target="/1.Finance/Anaylsen/Models/CDI.PA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VH.xlsx" TargetMode="External"/><Relationship Id="rId1" Type="http://schemas.openxmlformats.org/officeDocument/2006/relationships/externalLinkPath" Target="/1.Finance/Anaylsen/Models/PVH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670.T.xlsx" TargetMode="External"/><Relationship Id="rId1" Type="http://schemas.openxmlformats.org/officeDocument/2006/relationships/externalLinkPath" Target="/1.Finance/Anaylsen/Models/2670.T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RBY.L.xlsx" TargetMode="External"/><Relationship Id="rId1" Type="http://schemas.openxmlformats.org/officeDocument/2006/relationships/externalLinkPath" Target="/1.Finance/Anaylsen/Models/BRBY.L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OOT.xlsx" TargetMode="External"/><Relationship Id="rId1" Type="http://schemas.openxmlformats.org/officeDocument/2006/relationships/externalLinkPath" Target="/1.Finance/Anaylsen/Models/BOOT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TB.xlsx" TargetMode="External"/><Relationship Id="rId1" Type="http://schemas.openxmlformats.org/officeDocument/2006/relationships/externalLinkPath" Target="/1.Finance/Anaylsen/Models/KTB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WN.xlsx" TargetMode="External"/><Relationship Id="rId1" Type="http://schemas.openxmlformats.org/officeDocument/2006/relationships/externalLinkPath" Target="/1.Finance/Anaylsen/Models/JWN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910.TW.xlsx" TargetMode="External"/><Relationship Id="rId1" Type="http://schemas.openxmlformats.org/officeDocument/2006/relationships/externalLinkPath" Target="/1.Finance/Anaylsen/Models/9910.TW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NF.xlsx" TargetMode="External"/><Relationship Id="rId1" Type="http://schemas.openxmlformats.org/officeDocument/2006/relationships/externalLinkPath" Target="/1.Finance/Anaylsen/Models/UNF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OSS.DE.xlsx" TargetMode="External"/><Relationship Id="rId1" Type="http://schemas.openxmlformats.org/officeDocument/2006/relationships/externalLinkPath" Target="/1.Finance/Anaylsen/Models/BOSS.DE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A.xlsx" TargetMode="External"/><Relationship Id="rId1" Type="http://schemas.openxmlformats.org/officeDocument/2006/relationships/externalLinkPath" Target="/1.Finance/Anaylsen/Models/U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KE.xlsx" TargetMode="External"/><Relationship Id="rId1" Type="http://schemas.openxmlformats.org/officeDocument/2006/relationships/externalLinkPath" Target="/1.Finance/Anaylsen/Models/NKE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EO.xlsx" TargetMode="External"/><Relationship Id="rId1" Type="http://schemas.openxmlformats.org/officeDocument/2006/relationships/externalLinkPath" Target="/1.Finance/Anaylsen/Models/AEO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BFRL.NS.xlsx" TargetMode="External"/><Relationship Id="rId1" Type="http://schemas.openxmlformats.org/officeDocument/2006/relationships/externalLinkPath" Target="/1.Finance/Anaylsen/Models/ABFRL.NS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SCO.xlsx" TargetMode="External"/><Relationship Id="rId1" Type="http://schemas.openxmlformats.org/officeDocument/2006/relationships/externalLinkPath" Target="/1.Finance/Anaylsen/Models/VSCO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OO.xlsx" TargetMode="External"/><Relationship Id="rId1" Type="http://schemas.openxmlformats.org/officeDocument/2006/relationships/externalLinkPath" Target="/1.Finance/Anaylsen/Models/SHOO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RI.xlsx" TargetMode="External"/><Relationship Id="rId1" Type="http://schemas.openxmlformats.org/officeDocument/2006/relationships/externalLinkPath" Target="/1.Finance/Anaylsen/Models/CPRI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ZGN.xlsx" TargetMode="External"/><Relationship Id="rId1" Type="http://schemas.openxmlformats.org/officeDocument/2006/relationships/externalLinkPath" Target="/1.Finance/Anaylsen/Models/ZGN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NYAVAR.NS.xlsx" TargetMode="External"/><Relationship Id="rId1" Type="http://schemas.openxmlformats.org/officeDocument/2006/relationships/externalLinkPath" Target="/1.Finance/Anaylsen/Models/MANYAVAR.NS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BI.xlsx" TargetMode="External"/><Relationship Id="rId1" Type="http://schemas.openxmlformats.org/officeDocument/2006/relationships/externalLinkPath" Target="/1.Finance/Anaylsen/Models/HBI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I.xlsx" TargetMode="External"/><Relationship Id="rId1" Type="http://schemas.openxmlformats.org/officeDocument/2006/relationships/externalLinkPath" Target="/1.Finance/Anaylsen/Models/CRI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KE.xlsx" TargetMode="External"/><Relationship Id="rId1" Type="http://schemas.openxmlformats.org/officeDocument/2006/relationships/externalLinkPath" Target="/1.Finance/Anaylsen/Models/BK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983.T.xlsx" TargetMode="External"/><Relationship Id="rId1" Type="http://schemas.openxmlformats.org/officeDocument/2006/relationships/externalLinkPath" Target="/1.Finance/Anaylsen/Models/9983.T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VLV.xlsx" TargetMode="External"/><Relationship Id="rId1" Type="http://schemas.openxmlformats.org/officeDocument/2006/relationships/externalLinkPath" Target="/1.Finance/Anaylsen/Models/RVLV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II.xlsx" TargetMode="External"/><Relationship Id="rId1" Type="http://schemas.openxmlformats.org/officeDocument/2006/relationships/externalLinkPath" Target="/1.Finance/Anaylsen/Models/GIII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XM.xlsx" TargetMode="External"/><Relationship Id="rId1" Type="http://schemas.openxmlformats.org/officeDocument/2006/relationships/externalLinkPath" Target="/1.Finance/Anaylsen/Models/OXM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OOS.xlsx" TargetMode="External"/><Relationship Id="rId1" Type="http://schemas.openxmlformats.org/officeDocument/2006/relationships/externalLinkPath" Target="/1.Finance/Anaylsen/Models/GOOS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GS.xlsx" TargetMode="External"/><Relationship Id="rId1" Type="http://schemas.openxmlformats.org/officeDocument/2006/relationships/externalLinkPath" Target="/1.Finance/Anaylsen/Models/FIGS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ES.xlsx" TargetMode="External"/><Relationship Id="rId1" Type="http://schemas.openxmlformats.org/officeDocument/2006/relationships/externalLinkPath" Target="/1.Finance/Anaylsen/Models/GES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C.L.xlsx" TargetMode="External"/><Relationship Id="rId1" Type="http://schemas.openxmlformats.org/officeDocument/2006/relationships/externalLinkPath" Target="/1.Finance/Anaylsen/Models/ASC.L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URV.xlsx" TargetMode="External"/><Relationship Id="rId1" Type="http://schemas.openxmlformats.org/officeDocument/2006/relationships/externalLinkPath" Target="/1.Finance/Anaylsen/Models/CURV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8022.T.xlsx" TargetMode="External"/><Relationship Id="rId1" Type="http://schemas.openxmlformats.org/officeDocument/2006/relationships/externalLinkPath" Target="/1.Finance/Anaylsen/Models/8022.T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WW.xlsx" TargetMode="External"/><Relationship Id="rId1" Type="http://schemas.openxmlformats.org/officeDocument/2006/relationships/externalLinkPath" Target="/1.Finance/Anaylsen/Models/WWW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TAS.xlsx" TargetMode="External"/><Relationship Id="rId1" Type="http://schemas.openxmlformats.org/officeDocument/2006/relationships/externalLinkPath" Target="/1.Finance/Anaylsen/Models/CTAS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KS.xlsx" TargetMode="External"/><Relationship Id="rId1" Type="http://schemas.openxmlformats.org/officeDocument/2006/relationships/externalLinkPath" Target="/1.Finance/Anaylsen/Models/DKS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L.PA.xlsx" TargetMode="External"/><Relationship Id="rId1" Type="http://schemas.openxmlformats.org/officeDocument/2006/relationships/externalLinkPath" Target="/1.Finance/Anaylsen/Models/EL.PA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FR.SW.xlsx" TargetMode="External"/><Relationship Id="rId1" Type="http://schemas.openxmlformats.org/officeDocument/2006/relationships/externalLinkPath" Target="/1.Finance/Anaylsen/Models/CFR.SW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L.xlsx" TargetMode="External"/><Relationship Id="rId1" Type="http://schemas.openxmlformats.org/officeDocument/2006/relationships/externalLinkPath" Target="/1.Finance/Anaylsen/Models/EL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HR.SW.xlsx" TargetMode="External"/><Relationship Id="rId1" Type="http://schemas.openxmlformats.org/officeDocument/2006/relationships/externalLinkPath" Target="/1.Finance/Anaylsen/Models/UHR.SW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OST.xlsx" TargetMode="External"/><Relationship Id="rId1" Type="http://schemas.openxmlformats.org/officeDocument/2006/relationships/externalLinkPath" Target="/1.Finance/Anaylsen/Models/R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  <sheetName val="Ratios"/>
      <sheetName val="DCF"/>
    </sheetNames>
    <sheetDataSet>
      <sheetData sheetId="0">
        <row r="4">
          <cell r="I4">
            <v>499.45</v>
          </cell>
        </row>
        <row r="6">
          <cell r="I6">
            <v>249895.66206499998</v>
          </cell>
        </row>
        <row r="7">
          <cell r="I7">
            <v>9631</v>
          </cell>
        </row>
        <row r="8">
          <cell r="I8">
            <v>22672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259.77</v>
          </cell>
        </row>
        <row r="4">
          <cell r="I4">
            <v>29803.264031099996</v>
          </cell>
        </row>
        <row r="5">
          <cell r="I5">
            <v>1325.2719999999999</v>
          </cell>
        </row>
        <row r="6">
          <cell r="I6">
            <v>271.07600000000002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201.7</v>
          </cell>
        </row>
        <row r="4">
          <cell r="I4">
            <v>36013.350242799999</v>
          </cell>
        </row>
        <row r="5">
          <cell r="I5">
            <v>2455</v>
          </cell>
        </row>
        <row r="6">
          <cell r="I6">
            <v>2485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rands"/>
      <sheetName val="Market"/>
      <sheetName val="Model"/>
      <sheetName val="Quart"/>
      <sheetName val="Ratios"/>
      <sheetName val="DCF"/>
      <sheetName val="CoC"/>
      <sheetName val="TradingComps"/>
    </sheetNames>
    <sheetDataSet>
      <sheetData sheetId="0">
        <row r="2">
          <cell r="H2">
            <v>174</v>
          </cell>
        </row>
        <row r="4">
          <cell r="H4">
            <v>21335.461878000002</v>
          </cell>
        </row>
        <row r="5">
          <cell r="H5">
            <v>3518</v>
          </cell>
        </row>
        <row r="6">
          <cell r="H6">
            <v>14035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88.3</v>
          </cell>
        </row>
        <row r="5">
          <cell r="H5">
            <v>230621.11086300001</v>
          </cell>
        </row>
        <row r="6">
          <cell r="H6">
            <v>30547</v>
          </cell>
        </row>
        <row r="7">
          <cell r="H7">
            <v>20816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M2">
            <v>101.11</v>
          </cell>
        </row>
        <row r="4">
          <cell r="M4">
            <v>15109.461321250001</v>
          </cell>
        </row>
        <row r="5">
          <cell r="M5">
            <v>2240.9229999999998</v>
          </cell>
        </row>
        <row r="6">
          <cell r="M6">
            <v>0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134.5</v>
          </cell>
        </row>
        <row r="4">
          <cell r="I4">
            <v>215804.03949999998</v>
          </cell>
        </row>
        <row r="5">
          <cell r="I5">
            <v>16578</v>
          </cell>
        </row>
        <row r="6">
          <cell r="I6">
            <v>64974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  <sheetName val="Ratios"/>
      <sheetName val="DCF"/>
      <sheetName val="WACC"/>
    </sheetNames>
    <sheetDataSet>
      <sheetData sheetId="0">
        <row r="2">
          <cell r="H2">
            <v>48.5</v>
          </cell>
        </row>
        <row r="5">
          <cell r="H5">
            <v>14892.355679999999</v>
          </cell>
        </row>
        <row r="6">
          <cell r="H6">
            <v>1011.563</v>
          </cell>
        </row>
        <row r="7">
          <cell r="H7">
            <v>404.18799999999999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5221.55</v>
          </cell>
        </row>
        <row r="4">
          <cell r="I4">
            <v>1856195.55198455</v>
          </cell>
        </row>
        <row r="5">
          <cell r="I5"/>
        </row>
        <row r="6">
          <cell r="I6"/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"/>
      <sheetName val="Model"/>
    </sheetNames>
    <sheetDataSet>
      <sheetData sheetId="0">
        <row r="2">
          <cell r="H2">
            <v>68.2</v>
          </cell>
        </row>
        <row r="4">
          <cell r="H4">
            <v>18443.897720599998</v>
          </cell>
        </row>
        <row r="5">
          <cell r="H5">
            <v>803.40099999999995</v>
          </cell>
        </row>
        <row r="6">
          <cell r="H6">
            <v>851.41200000000003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292.68</v>
          </cell>
        </row>
        <row r="4">
          <cell r="I4">
            <v>18579.62025072</v>
          </cell>
        </row>
        <row r="5">
          <cell r="I5">
            <v>857.8</v>
          </cell>
        </row>
        <row r="6">
          <cell r="I6">
            <v>1713.5350000000001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s"/>
      <sheetName val="Ratios"/>
      <sheetName val="DCF"/>
    </sheetNames>
    <sheetDataSet>
      <sheetData sheetId="0">
        <row r="2">
          <cell r="K2">
            <v>2344</v>
          </cell>
        </row>
        <row r="4">
          <cell r="K4">
            <v>245651.19999999998</v>
          </cell>
        </row>
        <row r="5">
          <cell r="K5">
            <v>11642</v>
          </cell>
        </row>
        <row r="6">
          <cell r="K6">
            <v>61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81.58</v>
          </cell>
        </row>
        <row r="4">
          <cell r="J4">
            <v>16943.36219226</v>
          </cell>
        </row>
        <row r="5">
          <cell r="J5">
            <v>1057</v>
          </cell>
        </row>
        <row r="6">
          <cell r="J6">
            <v>2697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3518</v>
          </cell>
        </row>
        <row r="4">
          <cell r="I4">
            <v>2542170.8592619998</v>
          </cell>
        </row>
        <row r="5">
          <cell r="I5">
            <v>201726</v>
          </cell>
        </row>
        <row r="6">
          <cell r="I6">
            <v>62500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101.55</v>
          </cell>
        </row>
        <row r="4">
          <cell r="I4">
            <v>12799.768199999999</v>
          </cell>
        </row>
        <row r="5">
          <cell r="I5">
            <v>153.6</v>
          </cell>
        </row>
        <row r="6">
          <cell r="I6">
            <v>863.5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H2">
            <v>54.01</v>
          </cell>
        </row>
        <row r="5">
          <cell r="H5">
            <v>13466.70573666</v>
          </cell>
        </row>
        <row r="6">
          <cell r="H6">
            <v>871.8</v>
          </cell>
        </row>
        <row r="7">
          <cell r="H7">
            <v>54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38</v>
          </cell>
        </row>
        <row r="4">
          <cell r="J4">
            <v>21051.474004000003</v>
          </cell>
        </row>
        <row r="5">
          <cell r="J5">
            <v>422.1</v>
          </cell>
        </row>
        <row r="6">
          <cell r="J6">
            <v>928.6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J2">
            <v>58.65</v>
          </cell>
        </row>
        <row r="4">
          <cell r="J4">
            <v>88163.993584049997</v>
          </cell>
        </row>
        <row r="5">
          <cell r="J5">
            <v>19318.056</v>
          </cell>
        </row>
        <row r="6">
          <cell r="J6">
            <v>10827.793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276.11</v>
          </cell>
        </row>
        <row r="4">
          <cell r="H4">
            <v>17053.71740365</v>
          </cell>
        </row>
        <row r="5">
          <cell r="H5">
            <v>2153</v>
          </cell>
        </row>
        <row r="6">
          <cell r="H6">
            <v>2533.3999999999996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K2">
            <v>76.739999999999995</v>
          </cell>
        </row>
        <row r="4">
          <cell r="K4">
            <v>89555.579999999987</v>
          </cell>
        </row>
        <row r="5">
          <cell r="K5">
            <v>6221.5751200000004</v>
          </cell>
        </row>
        <row r="6">
          <cell r="K6">
            <v>898.55169000000001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32.299999999999997</v>
          </cell>
        </row>
        <row r="4">
          <cell r="I4">
            <v>8368.93</v>
          </cell>
        </row>
        <row r="5">
          <cell r="I5">
            <v>1959.4</v>
          </cell>
        </row>
        <row r="6">
          <cell r="I6">
            <v>1082.4000000000001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12.26</v>
          </cell>
        </row>
        <row r="4">
          <cell r="H4">
            <v>4776.5573000000004</v>
          </cell>
        </row>
        <row r="5">
          <cell r="H5">
            <v>1369.376</v>
          </cell>
        </row>
        <row r="6">
          <cell r="H6">
            <v>4647.875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J3">
            <v>46.8</v>
          </cell>
        </row>
        <row r="5">
          <cell r="J5">
            <v>145793.12908680001</v>
          </cell>
        </row>
        <row r="6">
          <cell r="J6">
            <v>10785</v>
          </cell>
        </row>
        <row r="7">
          <cell r="J7">
            <v>7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57</v>
          </cell>
        </row>
        <row r="4">
          <cell r="I4">
            <v>10706.264514</v>
          </cell>
        </row>
        <row r="5">
          <cell r="I5">
            <v>235.399</v>
          </cell>
        </row>
        <row r="6">
          <cell r="I6">
            <v>1200.595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21.9</v>
          </cell>
        </row>
        <row r="4">
          <cell r="I4">
            <v>8241.3403727999994</v>
          </cell>
        </row>
        <row r="5">
          <cell r="I5">
            <v>2146</v>
          </cell>
        </row>
        <row r="6">
          <cell r="I6">
            <v>1489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60.4</v>
          </cell>
        </row>
        <row r="4">
          <cell r="I4">
            <v>9118.7085583999997</v>
          </cell>
        </row>
        <row r="5">
          <cell r="I5">
            <v>1467.8490000000002</v>
          </cell>
        </row>
        <row r="6">
          <cell r="I6">
            <v>628.88699999999994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110.7</v>
          </cell>
        </row>
        <row r="4">
          <cell r="J4">
            <v>7526.8999331999994</v>
          </cell>
        </row>
        <row r="5">
          <cell r="J5">
            <v>182.05</v>
          </cell>
        </row>
        <row r="6">
          <cell r="J6">
            <v>284.83199999999999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52.1</v>
          </cell>
        </row>
        <row r="4">
          <cell r="I4">
            <v>8371.5321999999996</v>
          </cell>
        </row>
        <row r="5">
          <cell r="I5">
            <v>78.48</v>
          </cell>
        </row>
        <row r="6">
          <cell r="I6">
            <v>1479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14.88</v>
          </cell>
        </row>
        <row r="4">
          <cell r="I4">
            <v>5882.4812351999999</v>
          </cell>
        </row>
        <row r="5">
          <cell r="I5">
            <v>574.4</v>
          </cell>
        </row>
        <row r="6">
          <cell r="I6">
            <v>987.4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16460</v>
          </cell>
        </row>
        <row r="4">
          <cell r="I4">
            <v>30547.949400000001</v>
          </cell>
        </row>
        <row r="5">
          <cell r="I5">
            <v>1581</v>
          </cell>
        </row>
        <row r="6">
          <cell r="I6">
            <v>1047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8.7799999999999994</v>
          </cell>
        </row>
        <row r="4">
          <cell r="J4">
            <v>42144</v>
          </cell>
        </row>
        <row r="5">
          <cell r="J5">
            <v>6390</v>
          </cell>
        </row>
        <row r="6">
          <cell r="J6">
            <v>1540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47278</v>
          </cell>
        </row>
        <row r="4">
          <cell r="H4">
            <v>527334.08420000004</v>
          </cell>
        </row>
        <row r="5">
          <cell r="H5">
            <v>59638.020000000004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Coc"/>
      <sheetName val="DCF"/>
    </sheetNames>
    <sheetDataSet>
      <sheetData sheetId="0">
        <row r="2">
          <cell r="H2">
            <v>111.22</v>
          </cell>
        </row>
        <row r="4">
          <cell r="H4">
            <v>6240.5541999999996</v>
          </cell>
        </row>
        <row r="5">
          <cell r="H5">
            <v>169.73699999999999</v>
          </cell>
        </row>
        <row r="6">
          <cell r="H6">
            <v>1481.7249999999999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I3">
            <v>133.4</v>
          </cell>
        </row>
        <row r="5">
          <cell r="I5">
            <v>151008.80000000002</v>
          </cell>
        </row>
        <row r="6">
          <cell r="I6">
            <v>4255</v>
          </cell>
        </row>
        <row r="7">
          <cell r="I7">
            <v>2867</v>
          </cell>
        </row>
      </sheetData>
      <sheetData sheetId="1"/>
      <sheetData sheetId="2"/>
      <sheetData sheetId="3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27.8</v>
          </cell>
        </row>
        <row r="4">
          <cell r="I4">
            <v>102081.60000000001</v>
          </cell>
        </row>
        <row r="5">
          <cell r="I5">
            <v>4793</v>
          </cell>
        </row>
        <row r="6">
          <cell r="I6">
            <v>12059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0.86919999999999997</v>
          </cell>
        </row>
        <row r="4">
          <cell r="I4">
            <v>4483.3335999999999</v>
          </cell>
        </row>
        <row r="5">
          <cell r="I5">
            <v>731</v>
          </cell>
        </row>
        <row r="6">
          <cell r="I6">
            <v>679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70.400000000000006</v>
          </cell>
        </row>
        <row r="4">
          <cell r="H4">
            <v>7939.9936000000007</v>
          </cell>
        </row>
        <row r="5">
          <cell r="H5">
            <v>207.00700000000001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16.02</v>
          </cell>
        </row>
        <row r="5">
          <cell r="H5">
            <v>37954.121342400002</v>
          </cell>
        </row>
        <row r="6">
          <cell r="H6">
            <v>17557.536999999997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8.01</v>
          </cell>
        </row>
        <row r="4">
          <cell r="I4">
            <v>36725.331993300002</v>
          </cell>
        </row>
        <row r="5">
          <cell r="I5">
            <v>8082.48891</v>
          </cell>
        </row>
        <row r="6">
          <cell r="I6">
            <v>20208.361519999999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73.099999999999994</v>
          </cell>
        </row>
        <row r="4">
          <cell r="J4">
            <v>6707.1010247999993</v>
          </cell>
        </row>
        <row r="5">
          <cell r="J5">
            <v>475.01799999999997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24.59</v>
          </cell>
        </row>
        <row r="4">
          <cell r="I4">
            <v>3641.2872000000002</v>
          </cell>
        </row>
        <row r="5">
          <cell r="I5">
            <v>283.89999999999998</v>
          </cell>
        </row>
        <row r="6">
          <cell r="I6">
            <v>1307.1999999999998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3.75</v>
          </cell>
        </row>
        <row r="5">
          <cell r="I5">
            <v>37653.589800000002</v>
          </cell>
        </row>
        <row r="6">
          <cell r="I6">
            <v>5665.9049999999997</v>
          </cell>
        </row>
        <row r="7">
          <cell r="I7">
            <v>995.54700000000003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WACC"/>
      <sheetName val="DCF"/>
    </sheetNames>
    <sheetDataSet>
      <sheetData sheetId="0">
        <row r="2">
          <cell r="I2">
            <v>97.25</v>
          </cell>
        </row>
        <row r="4">
          <cell r="I4">
            <v>4786.0614999999998</v>
          </cell>
        </row>
        <row r="5">
          <cell r="I5">
            <v>607.56899999999996</v>
          </cell>
        </row>
        <row r="6">
          <cell r="I6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82.85</v>
          </cell>
        </row>
        <row r="4">
          <cell r="I4">
            <v>4693.9495999999999</v>
          </cell>
        </row>
        <row r="5">
          <cell r="I5">
            <v>815.47700000000009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"/>
    </sheetNames>
    <sheetDataSet>
      <sheetData sheetId="0">
        <row r="2">
          <cell r="I2">
            <v>626.5</v>
          </cell>
        </row>
        <row r="4">
          <cell r="I4">
            <v>113027.22837000001</v>
          </cell>
        </row>
        <row r="5">
          <cell r="I5">
            <v>9760</v>
          </cell>
        </row>
        <row r="6">
          <cell r="I6">
            <v>22957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66.599999999999994</v>
          </cell>
        </row>
        <row r="4">
          <cell r="J4">
            <v>3201.6697920000001</v>
          </cell>
        </row>
        <row r="5">
          <cell r="J5">
            <v>191</v>
          </cell>
        </row>
        <row r="6">
          <cell r="J6">
            <v>2347.3000000000002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I2">
            <v>2816.5</v>
          </cell>
        </row>
        <row r="4">
          <cell r="I4">
            <v>697412.87774050003</v>
          </cell>
        </row>
        <row r="5">
          <cell r="I5">
            <v>138918</v>
          </cell>
        </row>
        <row r="6">
          <cell r="I6">
            <v>5959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9.48</v>
          </cell>
        </row>
        <row r="4">
          <cell r="I4">
            <v>3397.6320000000001</v>
          </cell>
        </row>
        <row r="5">
          <cell r="I5">
            <v>813</v>
          </cell>
        </row>
        <row r="6">
          <cell r="I6">
            <v>843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137.26</v>
          </cell>
        </row>
        <row r="4">
          <cell r="I4">
            <v>4194.5283399999998</v>
          </cell>
        </row>
        <row r="5">
          <cell r="I5">
            <v>152.91399999999999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74.06</v>
          </cell>
        </row>
        <row r="4">
          <cell r="I4">
            <v>4097.4471148800003</v>
          </cell>
        </row>
        <row r="5">
          <cell r="I5">
            <v>344.06599999999997</v>
          </cell>
        </row>
        <row r="6">
          <cell r="I6">
            <v>740.31500000000005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24.29</v>
          </cell>
        </row>
        <row r="4">
          <cell r="I4">
            <v>4005.5894754400001</v>
          </cell>
        </row>
        <row r="5">
          <cell r="I5">
            <v>397</v>
          </cell>
        </row>
        <row r="6">
          <cell r="I6">
            <v>2617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132.5</v>
          </cell>
        </row>
        <row r="4">
          <cell r="J4">
            <v>130841.4975</v>
          </cell>
        </row>
        <row r="5">
          <cell r="J5">
            <v>3309.02</v>
          </cell>
        </row>
        <row r="6">
          <cell r="J6">
            <v>7400.7630000000008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J2">
            <v>208.43</v>
          </cell>
        </row>
        <row r="4">
          <cell r="J4">
            <v>3869.6348861900005</v>
          </cell>
        </row>
        <row r="5">
          <cell r="J5">
            <v>180.98000000000002</v>
          </cell>
        </row>
        <row r="6">
          <cell r="J6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38.450000000000003</v>
          </cell>
        </row>
        <row r="4">
          <cell r="J4">
            <v>2706.8800000000006</v>
          </cell>
        </row>
        <row r="5">
          <cell r="J5">
            <v>107</v>
          </cell>
        </row>
        <row r="6">
          <cell r="J6">
            <v>327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6.03</v>
          </cell>
        </row>
        <row r="4">
          <cell r="I4">
            <v>2588.63076</v>
          </cell>
        </row>
        <row r="5">
          <cell r="I5">
            <v>501.36099999999999</v>
          </cell>
        </row>
        <row r="6">
          <cell r="I6">
            <v>595.125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  <sheetName val="Ratios"/>
      <sheetName val="DCF"/>
      <sheetName val="CoC"/>
    </sheetNames>
    <sheetDataSet>
      <sheetData sheetId="0">
        <row r="3">
          <cell r="I3">
            <v>56.3</v>
          </cell>
        </row>
        <row r="5">
          <cell r="I5">
            <v>83217.029999999984</v>
          </cell>
        </row>
        <row r="6">
          <cell r="I6">
            <v>10393</v>
          </cell>
        </row>
        <row r="7">
          <cell r="I7">
            <v>8960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14.35</v>
          </cell>
        </row>
        <row r="4">
          <cell r="I4">
            <v>2756.6605860499999</v>
          </cell>
        </row>
        <row r="5">
          <cell r="I5">
            <v>160.19499999999999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263.45</v>
          </cell>
        </row>
        <row r="4">
          <cell r="I4">
            <v>270582.07176934998</v>
          </cell>
        </row>
        <row r="5">
          <cell r="I5">
            <v>1259.98</v>
          </cell>
        </row>
        <row r="6">
          <cell r="I6">
            <v>3707.71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34.99</v>
          </cell>
        </row>
        <row r="4">
          <cell r="I4">
            <v>2750.9694340999999</v>
          </cell>
        </row>
        <row r="5">
          <cell r="I5">
            <v>161</v>
          </cell>
        </row>
        <row r="6">
          <cell r="I6">
            <v>1418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37.49</v>
          </cell>
        </row>
        <row r="4">
          <cell r="H4">
            <v>2706.44148976</v>
          </cell>
        </row>
        <row r="5">
          <cell r="H5">
            <v>150.47799999999998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17.25</v>
          </cell>
        </row>
        <row r="4">
          <cell r="I4">
            <v>2045.4005512499998</v>
          </cell>
        </row>
        <row r="5">
          <cell r="I5">
            <v>166</v>
          </cell>
        </row>
        <row r="6">
          <cell r="I6">
            <v>1500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9.08</v>
          </cell>
        </row>
        <row r="4">
          <cell r="J4">
            <v>2275.7254484800001</v>
          </cell>
        </row>
        <row r="5">
          <cell r="J5">
            <v>225.316</v>
          </cell>
        </row>
        <row r="6">
          <cell r="J6">
            <v>386.09500000000003</v>
          </cell>
        </row>
      </sheetData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828.4</v>
          </cell>
        </row>
        <row r="4">
          <cell r="J4">
            <v>201333.06192080001</v>
          </cell>
        </row>
        <row r="5">
          <cell r="J5">
            <v>440.44</v>
          </cell>
        </row>
        <row r="6">
          <cell r="J6">
            <v>269.23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5.82</v>
          </cell>
        </row>
        <row r="4">
          <cell r="I4">
            <v>2055.0937514400002</v>
          </cell>
        </row>
        <row r="5">
          <cell r="I5">
            <v>214.85400000000001</v>
          </cell>
        </row>
        <row r="6">
          <cell r="I6">
            <v>2186.0569999999998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41.42</v>
          </cell>
        </row>
        <row r="4">
          <cell r="H4">
            <v>1491.5652650000002</v>
          </cell>
        </row>
        <row r="5">
          <cell r="H5">
            <v>412.92599999999999</v>
          </cell>
        </row>
        <row r="6">
          <cell r="H6">
            <v>498.12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38.119999999999997</v>
          </cell>
        </row>
        <row r="4">
          <cell r="I4">
            <v>1935.4971035199997</v>
          </cell>
        </row>
        <row r="5">
          <cell r="I5">
            <v>325.44000000000005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46660</v>
          </cell>
        </row>
        <row r="5">
          <cell r="J5">
            <v>14313793.760159999</v>
          </cell>
        </row>
        <row r="6">
          <cell r="J6">
            <v>977330</v>
          </cell>
        </row>
        <row r="7">
          <cell r="J7">
            <v>333913</v>
          </cell>
        </row>
      </sheetData>
      <sheetData sheetId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24.73</v>
          </cell>
        </row>
        <row r="4">
          <cell r="I4">
            <v>1761.5194085300002</v>
          </cell>
        </row>
        <row r="5">
          <cell r="I5">
            <v>256.60000000000002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27.07</v>
          </cell>
        </row>
        <row r="4">
          <cell r="I4">
            <v>1188.01315849</v>
          </cell>
        </row>
        <row r="5">
          <cell r="I5">
            <v>104.68600000000001</v>
          </cell>
        </row>
        <row r="6">
          <cell r="I6">
            <v>224.17499999999998</v>
          </cell>
        </row>
      </sheetData>
      <sheetData sheetId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59.85</v>
          </cell>
        </row>
        <row r="4">
          <cell r="I4">
            <v>939.70682505000002</v>
          </cell>
        </row>
        <row r="5">
          <cell r="I5">
            <v>7.0270000000000001</v>
          </cell>
        </row>
        <row r="6">
          <cell r="I6">
            <v>57.816000000000003</v>
          </cell>
        </row>
      </sheetData>
      <sheetData sheetId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12.42</v>
          </cell>
        </row>
        <row r="4">
          <cell r="J4">
            <v>1202.50944252</v>
          </cell>
        </row>
        <row r="5">
          <cell r="J5">
            <v>333.4</v>
          </cell>
        </row>
        <row r="6">
          <cell r="J6">
            <v>412</v>
          </cell>
        </row>
      </sheetData>
      <sheetData sheetId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4.53</v>
          </cell>
        </row>
        <row r="4">
          <cell r="I4">
            <v>736.21656488999997</v>
          </cell>
        </row>
        <row r="5">
          <cell r="I5">
            <v>245.11399999999998</v>
          </cell>
        </row>
        <row r="6">
          <cell r="I6">
            <v>9.6039999999999992</v>
          </cell>
        </row>
      </sheetData>
      <sheetData sheetId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12.38</v>
          </cell>
        </row>
        <row r="4">
          <cell r="I4">
            <v>637.03569158000005</v>
          </cell>
        </row>
        <row r="5">
          <cell r="I5">
            <v>140.911</v>
          </cell>
        </row>
        <row r="6">
          <cell r="I6">
            <v>621.75900000000001</v>
          </cell>
        </row>
      </sheetData>
      <sheetData sheetId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"/>
      <sheetName val="Model"/>
    </sheetNames>
    <sheetDataSet>
      <sheetData sheetId="0">
        <row r="2">
          <cell r="F2">
            <v>4.3620000000000001</v>
          </cell>
        </row>
        <row r="4">
          <cell r="F4">
            <v>519.44946792000007</v>
          </cell>
        </row>
        <row r="5">
          <cell r="F5">
            <v>391</v>
          </cell>
        </row>
        <row r="6">
          <cell r="F6">
            <v>688.1</v>
          </cell>
        </row>
      </sheetData>
      <sheetData sheetId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3.94</v>
          </cell>
        </row>
        <row r="4">
          <cell r="H4">
            <v>412.44010619999995</v>
          </cell>
        </row>
        <row r="5">
          <cell r="H5">
            <v>54.338999999999999</v>
          </cell>
        </row>
        <row r="6">
          <cell r="H6">
            <v>296.625</v>
          </cell>
        </row>
      </sheetData>
      <sheetData sheetId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2540</v>
          </cell>
        </row>
        <row r="4">
          <cell r="I4">
            <v>64964.434459999997</v>
          </cell>
        </row>
        <row r="5">
          <cell r="I5">
            <v>33044</v>
          </cell>
        </row>
        <row r="6">
          <cell r="I6">
            <v>13470</v>
          </cell>
        </row>
      </sheetData>
      <sheetData sheetId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14.08</v>
          </cell>
        </row>
        <row r="4">
          <cell r="J4">
            <v>1131.6316492799999</v>
          </cell>
        </row>
        <row r="5">
          <cell r="J5">
            <v>152.1</v>
          </cell>
        </row>
        <row r="6">
          <cell r="J6">
            <v>648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218.5</v>
          </cell>
        </row>
        <row r="4">
          <cell r="K4">
            <v>88227.451415500007</v>
          </cell>
        </row>
        <row r="5">
          <cell r="K5">
            <v>122.395</v>
          </cell>
        </row>
        <row r="6">
          <cell r="K6">
            <v>2657.7709999999997</v>
          </cell>
        </row>
      </sheetData>
      <sheetData sheetId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180.8</v>
          </cell>
        </row>
        <row r="4">
          <cell r="J4">
            <v>14437.908028799999</v>
          </cell>
        </row>
        <row r="5">
          <cell r="J5">
            <v>1689.94</v>
          </cell>
        </row>
        <row r="6">
          <cell r="J6">
            <v>1484.2170000000001</v>
          </cell>
        </row>
      </sheetData>
      <sheetData sheetId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"/>
    </sheetNames>
    <sheetDataSet>
      <sheetData sheetId="0">
        <row r="2">
          <cell r="I2">
            <v>257.3</v>
          </cell>
        </row>
        <row r="4">
          <cell r="I4">
            <v>116795.35560530001</v>
          </cell>
        </row>
        <row r="5">
          <cell r="I5">
            <v>2251</v>
          </cell>
        </row>
        <row r="6">
          <cell r="I6">
            <v>9569</v>
          </cell>
        </row>
      </sheetData>
      <sheetData sheetId="1"/>
      <sheetData sheetId="2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166.7</v>
          </cell>
        </row>
        <row r="5">
          <cell r="J5">
            <v>103671.06340000001</v>
          </cell>
        </row>
        <row r="6">
          <cell r="J6">
            <v>16768</v>
          </cell>
        </row>
        <row r="7">
          <cell r="J7">
            <v>8750</v>
          </cell>
        </row>
      </sheetData>
      <sheetData sheetId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63.49</v>
          </cell>
        </row>
        <row r="4">
          <cell r="K4">
            <v>22840.653210200002</v>
          </cell>
        </row>
        <row r="5">
          <cell r="K5">
            <v>2631</v>
          </cell>
        </row>
        <row r="6">
          <cell r="K6">
            <v>7301</v>
          </cell>
        </row>
      </sheetData>
      <sheetData sheetId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148.05000000000001</v>
          </cell>
        </row>
        <row r="5">
          <cell r="I5">
            <v>7640.0136540000012</v>
          </cell>
        </row>
        <row r="6">
          <cell r="I6">
            <v>1396</v>
          </cell>
        </row>
        <row r="7">
          <cell r="I7">
            <v>22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H3">
            <v>151.5</v>
          </cell>
        </row>
        <row r="5">
          <cell r="H5">
            <v>49816.452553499999</v>
          </cell>
        </row>
        <row r="6">
          <cell r="H6">
            <v>4730.7439999999997</v>
          </cell>
        </row>
        <row r="7">
          <cell r="H7">
            <v>2214.8109999999997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Models\ASC.L.xlsx" TargetMode="External"/><Relationship Id="rId21" Type="http://schemas.openxmlformats.org/officeDocument/2006/relationships/hyperlink" Target="..\Models\CROX.xlsx" TargetMode="External"/><Relationship Id="rId42" Type="http://schemas.openxmlformats.org/officeDocument/2006/relationships/hyperlink" Target="..\Models\BOOT.xlsx" TargetMode="External"/><Relationship Id="rId47" Type="http://schemas.openxmlformats.org/officeDocument/2006/relationships/hyperlink" Target="..\Models\PAGEIND.NS.xlsx" TargetMode="External"/><Relationship Id="rId63" Type="http://schemas.openxmlformats.org/officeDocument/2006/relationships/hyperlink" Target="..\Models\AS.xlsx" TargetMode="External"/><Relationship Id="rId68" Type="http://schemas.openxmlformats.org/officeDocument/2006/relationships/hyperlink" Target="..\Models\2670.T.xlsx" TargetMode="External"/><Relationship Id="rId16" Type="http://schemas.openxmlformats.org/officeDocument/2006/relationships/hyperlink" Target="..\Models\9983.T.xlsx" TargetMode="External"/><Relationship Id="rId11" Type="http://schemas.openxmlformats.org/officeDocument/2006/relationships/hyperlink" Target="..\Models\CDI.PA.xlsx" TargetMode="External"/><Relationship Id="rId24" Type="http://schemas.openxmlformats.org/officeDocument/2006/relationships/hyperlink" Target="..\Models\CPRI.xlsx" TargetMode="External"/><Relationship Id="rId32" Type="http://schemas.openxmlformats.org/officeDocument/2006/relationships/hyperlink" Target="..\Models\7936.T.xlsx" TargetMode="External"/><Relationship Id="rId37" Type="http://schemas.openxmlformats.org/officeDocument/2006/relationships/hyperlink" Target="..\Models\2331.HK.xlsx" TargetMode="External"/><Relationship Id="rId40" Type="http://schemas.openxmlformats.org/officeDocument/2006/relationships/hyperlink" Target="..\Models\600398.SS.xlsx" TargetMode="External"/><Relationship Id="rId45" Type="http://schemas.openxmlformats.org/officeDocument/2006/relationships/hyperlink" Target="..\Models\ZGN.xlsx" TargetMode="External"/><Relationship Id="rId53" Type="http://schemas.openxmlformats.org/officeDocument/2006/relationships/hyperlink" Target="..\Models\SHOO.xlsx" TargetMode="External"/><Relationship Id="rId58" Type="http://schemas.openxmlformats.org/officeDocument/2006/relationships/hyperlink" Target="..\Models\NXT.L.xlsx" TargetMode="External"/><Relationship Id="rId66" Type="http://schemas.openxmlformats.org/officeDocument/2006/relationships/hyperlink" Target="..\Models\RVLV.xlsx" TargetMode="External"/><Relationship Id="rId74" Type="http://schemas.openxmlformats.org/officeDocument/2006/relationships/hyperlink" Target="..\Models\BKE.xlsx" TargetMode="External"/><Relationship Id="rId79" Type="http://schemas.openxmlformats.org/officeDocument/2006/relationships/hyperlink" Target="..\Models\8022.T.xlsx" TargetMode="External"/><Relationship Id="rId5" Type="http://schemas.openxmlformats.org/officeDocument/2006/relationships/hyperlink" Target="..\Models\ITX.MC.xlsx" TargetMode="External"/><Relationship Id="rId61" Type="http://schemas.openxmlformats.org/officeDocument/2006/relationships/hyperlink" Target="..\Models\600177.SS.xlsx" TargetMode="External"/><Relationship Id="rId19" Type="http://schemas.openxmlformats.org/officeDocument/2006/relationships/hyperlink" Target="..\Models\CTAS.xlsx" TargetMode="External"/><Relationship Id="rId14" Type="http://schemas.openxmlformats.org/officeDocument/2006/relationships/hyperlink" Target="..\Models\KER.PA.xlsx" TargetMode="External"/><Relationship Id="rId22" Type="http://schemas.openxmlformats.org/officeDocument/2006/relationships/hyperlink" Target="..\Models\ONON.xlsx" TargetMode="External"/><Relationship Id="rId27" Type="http://schemas.openxmlformats.org/officeDocument/2006/relationships/hyperlink" Target="..\Models\BURL.xlsx" TargetMode="External"/><Relationship Id="rId30" Type="http://schemas.openxmlformats.org/officeDocument/2006/relationships/hyperlink" Target="..\Models\BIRK.xlsx" TargetMode="External"/><Relationship Id="rId35" Type="http://schemas.openxmlformats.org/officeDocument/2006/relationships/hyperlink" Target="..\Models\BC.MI.xlsx" TargetMode="External"/><Relationship Id="rId43" Type="http://schemas.openxmlformats.org/officeDocument/2006/relationships/hyperlink" Target="..\Models\KTB.xlsx" TargetMode="External"/><Relationship Id="rId48" Type="http://schemas.openxmlformats.org/officeDocument/2006/relationships/hyperlink" Target="..\Models\AEO.xlsx" TargetMode="External"/><Relationship Id="rId56" Type="http://schemas.openxmlformats.org/officeDocument/2006/relationships/hyperlink" Target="..\Models\ABFRL.NS.xlsx" TargetMode="External"/><Relationship Id="rId64" Type="http://schemas.openxmlformats.org/officeDocument/2006/relationships/hyperlink" Target="..\Models\GIII.xlsx" TargetMode="External"/><Relationship Id="rId69" Type="http://schemas.openxmlformats.org/officeDocument/2006/relationships/hyperlink" Target="..\Models\UNF.xlsx" TargetMode="External"/><Relationship Id="rId77" Type="http://schemas.openxmlformats.org/officeDocument/2006/relationships/hyperlink" Target="..\Models\TRENT.NS.xlsx" TargetMode="External"/><Relationship Id="rId8" Type="http://schemas.openxmlformats.org/officeDocument/2006/relationships/hyperlink" Target="..\Models\ADS.xlsx" TargetMode="External"/><Relationship Id="rId51" Type="http://schemas.openxmlformats.org/officeDocument/2006/relationships/hyperlink" Target="..\Models\BOSS.DE.xlsx" TargetMode="External"/><Relationship Id="rId72" Type="http://schemas.openxmlformats.org/officeDocument/2006/relationships/hyperlink" Target="..\Models\OXM.xlsx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..\Models\NKE.xlsx" TargetMode="External"/><Relationship Id="rId12" Type="http://schemas.openxmlformats.org/officeDocument/2006/relationships/hyperlink" Target="..\Models\MONC.MI.xlsx" TargetMode="External"/><Relationship Id="rId17" Type="http://schemas.openxmlformats.org/officeDocument/2006/relationships/hyperlink" Target="..\Models\ROST.xlsx" TargetMode="External"/><Relationship Id="rId25" Type="http://schemas.openxmlformats.org/officeDocument/2006/relationships/hyperlink" Target="..\Models\CURV.xlsx" TargetMode="External"/><Relationship Id="rId33" Type="http://schemas.openxmlformats.org/officeDocument/2006/relationships/hyperlink" Target="..\Models\300979.SZ.xlsx" TargetMode="External"/><Relationship Id="rId38" Type="http://schemas.openxmlformats.org/officeDocument/2006/relationships/hyperlink" Target="..\Models\GIL.xlsx" TargetMode="External"/><Relationship Id="rId46" Type="http://schemas.openxmlformats.org/officeDocument/2006/relationships/hyperlink" Target="..\Models\BRBY.L.xlsx" TargetMode="External"/><Relationship Id="rId59" Type="http://schemas.openxmlformats.org/officeDocument/2006/relationships/hyperlink" Target="..\Models\ZAL.DE.xlsx" TargetMode="External"/><Relationship Id="rId67" Type="http://schemas.openxmlformats.org/officeDocument/2006/relationships/hyperlink" Target="..\Models\ANF.xlsx" TargetMode="External"/><Relationship Id="rId20" Type="http://schemas.openxmlformats.org/officeDocument/2006/relationships/hyperlink" Target="..\Models\LEVI.xlsx" TargetMode="External"/><Relationship Id="rId41" Type="http://schemas.openxmlformats.org/officeDocument/2006/relationships/hyperlink" Target="..\Models\COLM.xlsx" TargetMode="External"/><Relationship Id="rId54" Type="http://schemas.openxmlformats.org/officeDocument/2006/relationships/hyperlink" Target="..\Models\PPH.JO.xlsx" TargetMode="External"/><Relationship Id="rId62" Type="http://schemas.openxmlformats.org/officeDocument/2006/relationships/hyperlink" Target="..\Models\GES.xlsx" TargetMode="External"/><Relationship Id="rId70" Type="http://schemas.openxmlformats.org/officeDocument/2006/relationships/hyperlink" Target="..\Models\9910.TW.xlsx" TargetMode="External"/><Relationship Id="rId75" Type="http://schemas.openxmlformats.org/officeDocument/2006/relationships/hyperlink" Target="..\Models\FIGS.xlsx" TargetMode="External"/><Relationship Id="rId1" Type="http://schemas.openxmlformats.org/officeDocument/2006/relationships/hyperlink" Target="..\Models\RL.xlsx" TargetMode="External"/><Relationship Id="rId6" Type="http://schemas.openxmlformats.org/officeDocument/2006/relationships/hyperlink" Target="..\Models\MC.PA.xlsx" TargetMode="External"/><Relationship Id="rId15" Type="http://schemas.openxmlformats.org/officeDocument/2006/relationships/hyperlink" Target="..\Models\GAP.xlsx" TargetMode="External"/><Relationship Id="rId23" Type="http://schemas.openxmlformats.org/officeDocument/2006/relationships/hyperlink" Target="..\Models\2313.HK.xlsx" TargetMode="External"/><Relationship Id="rId28" Type="http://schemas.openxmlformats.org/officeDocument/2006/relationships/hyperlink" Target="..\Models\TPR.xlsx" TargetMode="External"/><Relationship Id="rId36" Type="http://schemas.openxmlformats.org/officeDocument/2006/relationships/hyperlink" Target="..\Models\PVH.xlsx" TargetMode="External"/><Relationship Id="rId49" Type="http://schemas.openxmlformats.org/officeDocument/2006/relationships/hyperlink" Target="..\Models\VSCO.xlsx" TargetMode="External"/><Relationship Id="rId57" Type="http://schemas.openxmlformats.org/officeDocument/2006/relationships/hyperlink" Target="..\Models\URBN.xlsx" TargetMode="External"/><Relationship Id="rId10" Type="http://schemas.openxmlformats.org/officeDocument/2006/relationships/hyperlink" Target="..\Models\LULU.xlsx" TargetMode="External"/><Relationship Id="rId31" Type="http://schemas.openxmlformats.org/officeDocument/2006/relationships/hyperlink" Target="..\Models\VFC.xlsx" TargetMode="External"/><Relationship Id="rId44" Type="http://schemas.openxmlformats.org/officeDocument/2006/relationships/hyperlink" Target="..\Models\LPP.WA.xlsx" TargetMode="External"/><Relationship Id="rId52" Type="http://schemas.openxmlformats.org/officeDocument/2006/relationships/hyperlink" Target="..\Models\UA.xlsx" TargetMode="External"/><Relationship Id="rId60" Type="http://schemas.openxmlformats.org/officeDocument/2006/relationships/hyperlink" Target="..\Models\MANYAVAR.NS.xlsx" TargetMode="External"/><Relationship Id="rId65" Type="http://schemas.openxmlformats.org/officeDocument/2006/relationships/hyperlink" Target="..\Models\1913.HK.xlsx" TargetMode="External"/><Relationship Id="rId73" Type="http://schemas.openxmlformats.org/officeDocument/2006/relationships/hyperlink" Target="..\Models\CRI.xlsx" TargetMode="External"/><Relationship Id="rId78" Type="http://schemas.openxmlformats.org/officeDocument/2006/relationships/hyperlink" Target="..\Models\WWW.xlsx" TargetMode="External"/><Relationship Id="rId4" Type="http://schemas.openxmlformats.org/officeDocument/2006/relationships/hyperlink" Target="..\Models\DECK.xlsx" TargetMode="External"/><Relationship Id="rId9" Type="http://schemas.openxmlformats.org/officeDocument/2006/relationships/hyperlink" Target="..\Models\TJX.xlsx" TargetMode="External"/><Relationship Id="rId13" Type="http://schemas.openxmlformats.org/officeDocument/2006/relationships/hyperlink" Target="..\Models\2020.HK.xlsx" TargetMode="External"/><Relationship Id="rId18" Type="http://schemas.openxmlformats.org/officeDocument/2006/relationships/hyperlink" Target="..\Models\SKX.xlsx" TargetMode="External"/><Relationship Id="rId39" Type="http://schemas.openxmlformats.org/officeDocument/2006/relationships/hyperlink" Target="..\Models\3998.HK.xlsx" TargetMode="External"/><Relationship Id="rId34" Type="http://schemas.openxmlformats.org/officeDocument/2006/relationships/hyperlink" Target="..\Models\PUM.DE.xlsx" TargetMode="External"/><Relationship Id="rId50" Type="http://schemas.openxmlformats.org/officeDocument/2006/relationships/hyperlink" Target="..\Models\GOOS.xlsx" TargetMode="External"/><Relationship Id="rId55" Type="http://schemas.openxmlformats.org/officeDocument/2006/relationships/hyperlink" Target="..\Models\ATZ.TO.xlsx" TargetMode="External"/><Relationship Id="rId76" Type="http://schemas.openxmlformats.org/officeDocument/2006/relationships/hyperlink" Target="..\Models\JWN.xlsx" TargetMode="External"/><Relationship Id="rId7" Type="http://schemas.openxmlformats.org/officeDocument/2006/relationships/hyperlink" Target="..\Models\HM.BST.xlsx" TargetMode="External"/><Relationship Id="rId71" Type="http://schemas.openxmlformats.org/officeDocument/2006/relationships/hyperlink" Target="..\Models\HBI.xlsx" TargetMode="External"/><Relationship Id="rId2" Type="http://schemas.openxmlformats.org/officeDocument/2006/relationships/hyperlink" Target="..\Models\RMS.xlsx" TargetMode="External"/><Relationship Id="rId29" Type="http://schemas.openxmlformats.org/officeDocument/2006/relationships/hyperlink" Target="..\Models\JD.L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AS.xlsx" TargetMode="External"/><Relationship Id="rId13" Type="http://schemas.openxmlformats.org/officeDocument/2006/relationships/hyperlink" Target="..\Models\2331.HK.xlsx" TargetMode="External"/><Relationship Id="rId18" Type="http://schemas.openxmlformats.org/officeDocument/2006/relationships/hyperlink" Target="..\Models\DKS.xlsx" TargetMode="External"/><Relationship Id="rId3" Type="http://schemas.openxmlformats.org/officeDocument/2006/relationships/hyperlink" Target="..\Models\LULU.xlsx" TargetMode="External"/><Relationship Id="rId7" Type="http://schemas.openxmlformats.org/officeDocument/2006/relationships/hyperlink" Target="..\Models\ONON.xlsx" TargetMode="External"/><Relationship Id="rId12" Type="http://schemas.openxmlformats.org/officeDocument/2006/relationships/hyperlink" Target="..\Models\JD.L.xlsx" TargetMode="External"/><Relationship Id="rId17" Type="http://schemas.openxmlformats.org/officeDocument/2006/relationships/hyperlink" Target="..\Models\COLM.xlsx" TargetMode="External"/><Relationship Id="rId2" Type="http://schemas.openxmlformats.org/officeDocument/2006/relationships/hyperlink" Target="..\Models\ADS.xlsx" TargetMode="External"/><Relationship Id="rId16" Type="http://schemas.openxmlformats.org/officeDocument/2006/relationships/hyperlink" Target="..\Models\8022.T.xlsx" TargetMode="External"/><Relationship Id="rId1" Type="http://schemas.openxmlformats.org/officeDocument/2006/relationships/hyperlink" Target="..\Models\NKE.xlsx" TargetMode="External"/><Relationship Id="rId6" Type="http://schemas.openxmlformats.org/officeDocument/2006/relationships/hyperlink" Target="..\Models\2020.HK.xlsx" TargetMode="External"/><Relationship Id="rId11" Type="http://schemas.openxmlformats.org/officeDocument/2006/relationships/hyperlink" Target="..\Models\WWW.xlsx" TargetMode="External"/><Relationship Id="rId5" Type="http://schemas.openxmlformats.org/officeDocument/2006/relationships/hyperlink" Target="..\Models\DECK.xlsx" TargetMode="External"/><Relationship Id="rId15" Type="http://schemas.openxmlformats.org/officeDocument/2006/relationships/hyperlink" Target="..\Models\UA.xlsx" TargetMode="External"/><Relationship Id="rId10" Type="http://schemas.openxmlformats.org/officeDocument/2006/relationships/hyperlink" Target="..\Models\GIL.xlsx" TargetMode="External"/><Relationship Id="rId4" Type="http://schemas.openxmlformats.org/officeDocument/2006/relationships/hyperlink" Target="..\Models\7936.T.xlsx" TargetMode="External"/><Relationship Id="rId9" Type="http://schemas.openxmlformats.org/officeDocument/2006/relationships/hyperlink" Target="..\Models\SKX.xlsx" TargetMode="External"/><Relationship Id="rId14" Type="http://schemas.openxmlformats.org/officeDocument/2006/relationships/hyperlink" Target="..\Models\PUM.D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RVLV.xlsx" TargetMode="External"/><Relationship Id="rId3" Type="http://schemas.openxmlformats.org/officeDocument/2006/relationships/hyperlink" Target="..\Models\NXT.L.xlsx" TargetMode="External"/><Relationship Id="rId7" Type="http://schemas.openxmlformats.org/officeDocument/2006/relationships/hyperlink" Target="..\Models\VSCO.xlsx" TargetMode="External"/><Relationship Id="rId2" Type="http://schemas.openxmlformats.org/officeDocument/2006/relationships/hyperlink" Target="..\Models\BURL.xlsx" TargetMode="External"/><Relationship Id="rId1" Type="http://schemas.openxmlformats.org/officeDocument/2006/relationships/hyperlink" Target="..\Models\TJX.xlsx" TargetMode="External"/><Relationship Id="rId6" Type="http://schemas.openxmlformats.org/officeDocument/2006/relationships/hyperlink" Target="..\Models\JWN.xlsx" TargetMode="External"/><Relationship Id="rId5" Type="http://schemas.openxmlformats.org/officeDocument/2006/relationships/hyperlink" Target="..\Models\PPH.JO.xlsx" TargetMode="External"/><Relationship Id="rId4" Type="http://schemas.openxmlformats.org/officeDocument/2006/relationships/hyperlink" Target="..\Models\ZAL.DE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\Models\UHR.SW.xlsx" TargetMode="External"/><Relationship Id="rId2" Type="http://schemas.openxmlformats.org/officeDocument/2006/relationships/hyperlink" Target="..\Models\CFR.SW.xlsx" TargetMode="External"/><Relationship Id="rId1" Type="http://schemas.openxmlformats.org/officeDocument/2006/relationships/hyperlink" Target="..\Models\EL.PA.xls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..\Models\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AEA3-CFE3-4821-A533-830373FE4419}">
  <dimension ref="A1:AH212"/>
  <sheetViews>
    <sheetView tabSelected="1" zoomScale="200" zoomScaleNormal="200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B17" sqref="B17"/>
    </sheetView>
  </sheetViews>
  <sheetFormatPr defaultColWidth="8.85546875" defaultRowHeight="15" x14ac:dyDescent="0.25"/>
  <cols>
    <col min="1" max="1" width="4.7109375" style="2" customWidth="1"/>
    <col min="2" max="2" width="24.5703125" bestFit="1" customWidth="1"/>
    <col min="3" max="3" width="9.5703125" style="3" bestFit="1" customWidth="1"/>
    <col min="5" max="5" width="8.7109375" style="7" customWidth="1"/>
    <col min="6" max="6" width="10.7109375" customWidth="1"/>
    <col min="7" max="7" width="8.7109375" customWidth="1"/>
    <col min="8" max="8" width="10.42578125" bestFit="1" customWidth="1"/>
    <col min="9" max="9" width="8.42578125" style="10" bestFit="1" customWidth="1"/>
    <col min="10" max="10" width="8.5703125" bestFit="1" customWidth="1"/>
    <col min="11" max="11" width="8.85546875" style="7" bestFit="1" customWidth="1"/>
    <col min="12" max="12" width="8.7109375" style="9" customWidth="1"/>
    <col min="13" max="14" width="8.7109375" style="7" customWidth="1"/>
    <col min="15" max="16" width="8.7109375" style="9" customWidth="1"/>
    <col min="17" max="17" width="8.7109375" style="7" customWidth="1"/>
    <col min="18" max="20" width="8.7109375" customWidth="1"/>
    <col min="23" max="23" width="8.7109375" style="6" customWidth="1"/>
    <col min="30" max="30" width="8.85546875" style="22"/>
    <col min="31" max="31" width="26.140625" customWidth="1"/>
  </cols>
  <sheetData>
    <row r="1" spans="1:34" x14ac:dyDescent="0.25">
      <c r="A1" s="1" t="s">
        <v>0</v>
      </c>
      <c r="E1"/>
      <c r="I1"/>
      <c r="K1"/>
      <c r="L1"/>
      <c r="M1"/>
      <c r="N1"/>
      <c r="O1"/>
      <c r="P1"/>
      <c r="Q1"/>
    </row>
    <row r="2" spans="1:34" x14ac:dyDescent="0.25">
      <c r="A2" t="s">
        <v>453</v>
      </c>
      <c r="E2"/>
      <c r="I2"/>
      <c r="K2"/>
      <c r="L2"/>
      <c r="M2"/>
      <c r="N2"/>
      <c r="O2"/>
      <c r="P2"/>
      <c r="Q2"/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451</v>
      </c>
      <c r="J3" s="31" t="s">
        <v>452</v>
      </c>
      <c r="K3" s="32" t="s">
        <v>148</v>
      </c>
      <c r="L3" s="33" t="s">
        <v>95</v>
      </c>
      <c r="M3" s="32" t="s">
        <v>146</v>
      </c>
      <c r="N3" s="32" t="s">
        <v>147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442</v>
      </c>
      <c r="AC3" s="30" t="s">
        <v>443</v>
      </c>
      <c r="AD3" s="35" t="s">
        <v>401</v>
      </c>
      <c r="AE3" s="33" t="s">
        <v>96</v>
      </c>
      <c r="AF3" s="30"/>
      <c r="AG3" s="30"/>
      <c r="AH3" s="36" t="s">
        <v>127</v>
      </c>
    </row>
    <row r="4" spans="1:34" x14ac:dyDescent="0.25">
      <c r="A4" s="2" t="s">
        <v>317</v>
      </c>
      <c r="B4" t="s">
        <v>408</v>
      </c>
      <c r="D4" s="3"/>
      <c r="E4" s="10"/>
      <c r="F4" s="16">
        <f>SUM(F6:F153)</f>
        <v>1813858.7958584351</v>
      </c>
      <c r="G4" s="16">
        <f>+SUM(G6:G153)</f>
        <v>18722.452845200012</v>
      </c>
      <c r="H4" s="16">
        <f>SUM(H6:H153)</f>
        <v>1832581.2487036348</v>
      </c>
      <c r="I4" s="16"/>
      <c r="J4" s="16"/>
      <c r="K4" s="16">
        <f>SUM(K6:K153)</f>
        <v>488291.97860000003</v>
      </c>
      <c r="L4" s="24">
        <f>+MEDIAN(L6:L153)</f>
        <v>0.09</v>
      </c>
      <c r="M4" s="16">
        <f>SUM(M6:M85)</f>
        <v>78834.799999999988</v>
      </c>
      <c r="N4" s="16">
        <f>SUM(N6:N85)</f>
        <v>47789.579999999994</v>
      </c>
      <c r="O4" s="10"/>
      <c r="P4" s="10"/>
      <c r="Q4" s="25"/>
      <c r="R4" s="25"/>
      <c r="S4" s="25"/>
      <c r="T4" s="25"/>
      <c r="U4" s="25"/>
      <c r="V4" s="25"/>
      <c r="W4" s="26"/>
      <c r="X4" s="25"/>
      <c r="Y4" s="10"/>
      <c r="Z4" s="10"/>
      <c r="AA4" s="10"/>
      <c r="AB4" s="16"/>
      <c r="AC4" s="16"/>
      <c r="AD4" s="27"/>
      <c r="AE4" s="2"/>
    </row>
    <row r="5" spans="1:34" x14ac:dyDescent="0.25">
      <c r="A5" s="2" t="s">
        <v>317</v>
      </c>
      <c r="B5" t="s">
        <v>88</v>
      </c>
      <c r="E5"/>
      <c r="F5" s="16">
        <f>AVERAGE(F6:F153)</f>
        <v>23556.607738421237</v>
      </c>
      <c r="G5" s="16">
        <f>AVERAGE(G6:G153)</f>
        <v>243.1487382493508</v>
      </c>
      <c r="H5" s="16">
        <f>AVERAGE(H6:H153)</f>
        <v>23799.756476670584</v>
      </c>
      <c r="I5" s="16"/>
      <c r="J5" s="16"/>
      <c r="K5" s="16">
        <f>AVERAGE(K6:K153)</f>
        <v>27127.332144444445</v>
      </c>
      <c r="L5" s="28">
        <f>AVERAGE(L6:L182)</f>
        <v>5.9941176470588241E-2</v>
      </c>
      <c r="M5" s="16">
        <f t="shared" ref="M5:AA5" si="0">AVERAGE(M6:M85)</f>
        <v>5255.6533333333327</v>
      </c>
      <c r="N5" s="16">
        <f t="shared" si="0"/>
        <v>3185.9719999999998</v>
      </c>
      <c r="O5" s="28">
        <f t="shared" si="0"/>
        <v>0.54400000000000015</v>
      </c>
      <c r="P5" s="28">
        <f t="shared" si="0"/>
        <v>0.1555511968163622</v>
      </c>
      <c r="Q5" s="18">
        <f t="shared" si="0"/>
        <v>29.104285714285716</v>
      </c>
      <c r="R5" s="18">
        <f t="shared" si="0"/>
        <v>28.9925</v>
      </c>
      <c r="S5" s="18">
        <f t="shared" si="0"/>
        <v>1.1667142857142856</v>
      </c>
      <c r="T5" s="18">
        <f t="shared" si="0"/>
        <v>-1.1000000000000001</v>
      </c>
      <c r="U5" s="18">
        <f t="shared" si="0"/>
        <v>8.8771428571428572</v>
      </c>
      <c r="V5" s="18">
        <f t="shared" si="0"/>
        <v>4.7485714285714291</v>
      </c>
      <c r="W5" s="18">
        <f t="shared" si="0"/>
        <v>16.98714285714286</v>
      </c>
      <c r="X5" s="18">
        <f t="shared" si="0"/>
        <v>0.78666666666666663</v>
      </c>
      <c r="Y5" s="28">
        <f t="shared" si="0"/>
        <v>0.27285714285714285</v>
      </c>
      <c r="Z5" s="28">
        <f t="shared" si="0"/>
        <v>0.25428571428571434</v>
      </c>
      <c r="AA5" s="28">
        <f t="shared" si="0"/>
        <v>0.19857142857142862</v>
      </c>
      <c r="AB5" s="16"/>
      <c r="AC5" s="16"/>
      <c r="AD5" s="27"/>
    </row>
    <row r="6" spans="1:34" x14ac:dyDescent="0.25">
      <c r="A6" s="2">
        <v>1</v>
      </c>
      <c r="B6" s="8" t="s">
        <v>8</v>
      </c>
      <c r="C6" s="3" t="s">
        <v>102</v>
      </c>
      <c r="D6" t="s">
        <v>20</v>
      </c>
      <c r="E6" s="7">
        <f>+[1]Main!$I$4</f>
        <v>499.45</v>
      </c>
      <c r="F6" s="16">
        <f>+[1]Main!$I$6*FX!C3</f>
        <v>259891.48854759999</v>
      </c>
      <c r="G6" s="16">
        <f>(+[1]Main!$I$8-[1]Main!$I$7)*FX!C3</f>
        <v>13562.640000000001</v>
      </c>
      <c r="H6" s="16">
        <f>F6+G6</f>
        <v>273454.1285476</v>
      </c>
      <c r="I6" s="12" t="s">
        <v>439</v>
      </c>
      <c r="J6" s="15">
        <v>45830</v>
      </c>
      <c r="K6" s="16">
        <f>84683*FX!C3</f>
        <v>88070.32</v>
      </c>
      <c r="L6" s="9">
        <v>-0.02</v>
      </c>
      <c r="M6" s="16">
        <f>18907*FX!C3</f>
        <v>19663.280000000002</v>
      </c>
      <c r="N6" s="16">
        <f>12550*FX!C3</f>
        <v>13052</v>
      </c>
      <c r="O6" s="9">
        <v>0.67</v>
      </c>
      <c r="P6" s="9">
        <f>+M6/K6</f>
        <v>0.22326795224543297</v>
      </c>
      <c r="Q6" s="18">
        <v>25.7</v>
      </c>
      <c r="R6" s="18">
        <v>23.95</v>
      </c>
      <c r="S6" s="18">
        <v>1.752</v>
      </c>
      <c r="T6" s="18">
        <v>-11.97</v>
      </c>
      <c r="U6" s="18">
        <v>5.73</v>
      </c>
      <c r="V6" s="18">
        <v>4.4800000000000004</v>
      </c>
      <c r="W6" s="19">
        <v>13.73</v>
      </c>
      <c r="X6" s="18"/>
      <c r="Y6" s="5">
        <v>0.18</v>
      </c>
      <c r="Z6" s="5">
        <v>0.13</v>
      </c>
      <c r="AA6" s="5">
        <v>0.14000000000000001</v>
      </c>
      <c r="AB6" s="16">
        <v>6307</v>
      </c>
      <c r="AC6" s="16">
        <v>213618</v>
      </c>
      <c r="AD6" s="22">
        <v>1987</v>
      </c>
      <c r="AE6" s="5" t="s">
        <v>115</v>
      </c>
    </row>
    <row r="7" spans="1:34" x14ac:dyDescent="0.25">
      <c r="A7" s="2">
        <f>+A6+1</f>
        <v>2</v>
      </c>
      <c r="B7" s="8" t="s">
        <v>9</v>
      </c>
      <c r="C7" s="3" t="s">
        <v>11</v>
      </c>
      <c r="D7" t="s">
        <v>20</v>
      </c>
      <c r="E7" s="17">
        <f>+[2]Main!$K$2</f>
        <v>2344</v>
      </c>
      <c r="F7" s="16">
        <f>+[2]Main!$K$4*FX!C3</f>
        <v>255477.24799999999</v>
      </c>
      <c r="G7" s="16">
        <f>+([2]Main!$K$6-[2]Main!$K$5)*FX!C3</f>
        <v>-12044.24</v>
      </c>
      <c r="H7" s="16">
        <f>F7+G7</f>
        <v>243433.008</v>
      </c>
      <c r="I7" s="12" t="s">
        <v>439</v>
      </c>
      <c r="J7" s="15">
        <v>45838</v>
      </c>
      <c r="K7" s="16">
        <f>13427*1.08</f>
        <v>14501.160000000002</v>
      </c>
      <c r="L7" s="9">
        <v>0.16</v>
      </c>
      <c r="M7" s="16">
        <f>5650*1.08</f>
        <v>6102</v>
      </c>
      <c r="N7" s="16">
        <f>4311*1.08</f>
        <v>4655.88</v>
      </c>
      <c r="O7" s="9">
        <v>0.7</v>
      </c>
      <c r="P7" s="9">
        <v>0.37</v>
      </c>
      <c r="Q7" s="18">
        <v>55.2</v>
      </c>
      <c r="R7" s="18">
        <v>44.9</v>
      </c>
      <c r="S7" s="18">
        <f>155.7/100</f>
        <v>1.5569999999999999</v>
      </c>
      <c r="T7" s="18">
        <v>2.4</v>
      </c>
      <c r="U7" s="18">
        <v>13.7</v>
      </c>
      <c r="V7" s="18">
        <v>14.4</v>
      </c>
      <c r="W7" s="19">
        <v>32.200000000000003</v>
      </c>
      <c r="X7" s="18">
        <v>0.74</v>
      </c>
      <c r="Y7" s="5">
        <v>0.26</v>
      </c>
      <c r="Z7" s="5">
        <v>0.5</v>
      </c>
      <c r="AA7" s="5">
        <v>0.33</v>
      </c>
      <c r="AB7" s="16"/>
      <c r="AC7" s="16">
        <v>23242</v>
      </c>
      <c r="AD7" s="22">
        <v>1837</v>
      </c>
      <c r="AE7" s="5" t="s">
        <v>115</v>
      </c>
    </row>
    <row r="8" spans="1:34" x14ac:dyDescent="0.25">
      <c r="A8" s="2">
        <f>+A7+1</f>
        <v>3</v>
      </c>
      <c r="B8" s="8" t="s">
        <v>99</v>
      </c>
      <c r="C8" s="3" t="s">
        <v>454</v>
      </c>
      <c r="D8" t="s">
        <v>100</v>
      </c>
      <c r="E8" s="7">
        <f>+[3]Main!$J$3</f>
        <v>46.8</v>
      </c>
      <c r="F8" s="16">
        <f>+[3]Main!$J$5*FX!C3</f>
        <v>151624.85425027201</v>
      </c>
      <c r="G8" s="16">
        <f>+([3]Main!$J$7-[3]Main!$J$6)*FX!C3</f>
        <v>-11209.12</v>
      </c>
      <c r="H8" s="16">
        <f t="shared" ref="H8:H35" si="1">F8+G8</f>
        <v>140415.73425027201</v>
      </c>
      <c r="I8" s="12" t="s">
        <v>439</v>
      </c>
      <c r="J8" s="15">
        <v>45910</v>
      </c>
      <c r="K8" s="16">
        <f>35947*FX!C3</f>
        <v>37384.880000000005</v>
      </c>
      <c r="L8" s="9">
        <v>0.1</v>
      </c>
      <c r="M8" s="16">
        <f>6808*FX!C3</f>
        <v>7080.3200000000006</v>
      </c>
      <c r="N8" s="16">
        <f>5394*FX!C3</f>
        <v>5609.76</v>
      </c>
      <c r="O8" s="9">
        <v>0.57999999999999996</v>
      </c>
      <c r="P8" s="9">
        <v>0.19</v>
      </c>
      <c r="Q8" s="18">
        <v>26.13</v>
      </c>
      <c r="R8" s="19">
        <v>27.22</v>
      </c>
      <c r="S8" s="19">
        <v>1.7</v>
      </c>
      <c r="T8" s="18">
        <v>3.9</v>
      </c>
      <c r="U8" s="18">
        <v>6.32</v>
      </c>
      <c r="V8" s="18">
        <v>3.25</v>
      </c>
      <c r="W8" s="19">
        <v>12.81</v>
      </c>
      <c r="X8" s="18"/>
      <c r="Y8" s="5">
        <v>0.24</v>
      </c>
      <c r="Z8" s="5">
        <v>0.4</v>
      </c>
      <c r="AA8" s="5">
        <v>0.32</v>
      </c>
      <c r="AB8" s="16">
        <v>5695</v>
      </c>
      <c r="AC8" s="16"/>
      <c r="AD8" s="22">
        <v>1985</v>
      </c>
      <c r="AE8" s="5" t="s">
        <v>117</v>
      </c>
    </row>
    <row r="9" spans="1:34" x14ac:dyDescent="0.25">
      <c r="A9" s="2">
        <f t="shared" ref="A9:A71" si="2">+A8+1</f>
        <v>4</v>
      </c>
      <c r="B9" s="8" t="s">
        <v>103</v>
      </c>
      <c r="C9" s="3" t="s">
        <v>104</v>
      </c>
      <c r="D9" t="s">
        <v>21</v>
      </c>
      <c r="E9" s="7">
        <f>+[4]Main!$I$3</f>
        <v>133.4</v>
      </c>
      <c r="F9" s="16">
        <f>+[4]Main!$I$5</f>
        <v>151008.80000000002</v>
      </c>
      <c r="G9" s="16">
        <f>+[4]Main!$I$7-[4]Main!$I$6</f>
        <v>-1388</v>
      </c>
      <c r="H9" s="16">
        <f>F9+G9</f>
        <v>149620.80000000002</v>
      </c>
      <c r="I9" s="12" t="s">
        <v>725</v>
      </c>
      <c r="J9" s="15">
        <v>45889</v>
      </c>
      <c r="K9" s="7">
        <v>54217</v>
      </c>
      <c r="L9" s="9">
        <v>0.09</v>
      </c>
      <c r="M9" s="16">
        <v>5797</v>
      </c>
      <c r="N9" s="16">
        <v>4474</v>
      </c>
      <c r="O9" s="9">
        <v>0.28999999999999998</v>
      </c>
      <c r="P9" s="9">
        <v>0.11</v>
      </c>
      <c r="Q9" s="18">
        <v>24</v>
      </c>
      <c r="R9" s="19"/>
      <c r="S9" s="18">
        <v>2</v>
      </c>
      <c r="T9" s="18"/>
      <c r="U9" s="18">
        <v>14</v>
      </c>
      <c r="V9" s="18">
        <v>2</v>
      </c>
      <c r="W9" s="19">
        <v>17</v>
      </c>
      <c r="X9" s="18"/>
      <c r="Y9" s="5">
        <v>0.56999999999999995</v>
      </c>
      <c r="Z9" s="5">
        <v>0.28999999999999998</v>
      </c>
      <c r="AA9" s="5">
        <v>0.28999999999999998</v>
      </c>
      <c r="AB9" s="16">
        <v>4952</v>
      </c>
      <c r="AC9" s="16"/>
      <c r="AD9" s="22">
        <v>1987</v>
      </c>
      <c r="AE9" s="5" t="s">
        <v>119</v>
      </c>
    </row>
    <row r="10" spans="1:34" x14ac:dyDescent="0.25">
      <c r="A10" s="2">
        <f t="shared" si="2"/>
        <v>5</v>
      </c>
      <c r="B10" s="8" t="s">
        <v>98</v>
      </c>
      <c r="C10" s="3" t="s">
        <v>101</v>
      </c>
      <c r="D10" t="s">
        <v>20</v>
      </c>
      <c r="E10" s="7">
        <f>+[5]Main!$I$2</f>
        <v>626.5</v>
      </c>
      <c r="F10" s="16">
        <f>+[5]Main!$I$4*FX!C3</f>
        <v>117548.31750480001</v>
      </c>
      <c r="G10" s="16">
        <f>+([5]Main!$I$6-[5]Main!$I$5)*FX!C3</f>
        <v>13724.880000000001</v>
      </c>
      <c r="H10" s="16">
        <f>F10+G10</f>
        <v>131273.19750480002</v>
      </c>
      <c r="I10" s="12" t="s">
        <v>340</v>
      </c>
      <c r="J10" s="15">
        <v>45500</v>
      </c>
      <c r="K10" s="16">
        <v>86153</v>
      </c>
      <c r="L10" s="9">
        <v>0.09</v>
      </c>
      <c r="M10" s="16">
        <v>22796</v>
      </c>
      <c r="N10" s="16">
        <v>6304</v>
      </c>
      <c r="O10" s="9">
        <v>0.68</v>
      </c>
      <c r="P10" s="9">
        <v>0.27</v>
      </c>
      <c r="Q10" s="18"/>
      <c r="R10" s="19"/>
      <c r="S10" s="18"/>
      <c r="T10" s="18"/>
      <c r="U10" s="18"/>
      <c r="V10" s="18"/>
      <c r="W10" s="19"/>
      <c r="X10" s="18"/>
      <c r="Y10" s="5"/>
      <c r="Z10" s="5"/>
      <c r="AA10" s="5"/>
      <c r="AB10" s="16"/>
      <c r="AC10" s="16"/>
      <c r="AD10" s="22">
        <v>1945</v>
      </c>
      <c r="AE10" s="5" t="s">
        <v>115</v>
      </c>
    </row>
    <row r="11" spans="1:34" x14ac:dyDescent="0.25">
      <c r="A11" s="2">
        <f t="shared" si="2"/>
        <v>6</v>
      </c>
      <c r="B11" s="8" t="s">
        <v>10</v>
      </c>
      <c r="C11" s="3" t="s">
        <v>12</v>
      </c>
      <c r="D11" t="s">
        <v>21</v>
      </c>
      <c r="E11" s="7">
        <f>+[6]Main!$I$3</f>
        <v>56.3</v>
      </c>
      <c r="F11" s="16">
        <f>+[6]Main!$I$5</f>
        <v>83217.029999999984</v>
      </c>
      <c r="G11" s="16">
        <f>+[6]Main!$I$7-[6]Main!$I$6</f>
        <v>-1433</v>
      </c>
      <c r="H11" s="16">
        <f t="shared" si="1"/>
        <v>81784.029999999984</v>
      </c>
      <c r="I11" s="12" t="s">
        <v>382</v>
      </c>
      <c r="J11" s="15">
        <v>45834</v>
      </c>
      <c r="K11" s="16">
        <v>51362</v>
      </c>
      <c r="L11" s="9">
        <v>0</v>
      </c>
      <c r="M11" s="16">
        <v>6311</v>
      </c>
      <c r="N11" s="16">
        <v>6097</v>
      </c>
      <c r="O11" s="9">
        <v>0.45</v>
      </c>
      <c r="P11" s="9">
        <v>0.12</v>
      </c>
      <c r="Q11" s="18">
        <v>38.700000000000003</v>
      </c>
      <c r="R11" s="19">
        <v>19.899999999999999</v>
      </c>
      <c r="S11" s="18">
        <v>0.56999999999999995</v>
      </c>
      <c r="T11" s="18">
        <v>1.27</v>
      </c>
      <c r="U11" s="18">
        <v>13.57</v>
      </c>
      <c r="V11" s="18">
        <v>3.6</v>
      </c>
      <c r="W11" s="19">
        <v>25.2</v>
      </c>
      <c r="X11" s="18"/>
      <c r="Y11" s="5">
        <v>0.37</v>
      </c>
      <c r="Z11" s="5">
        <v>0.24</v>
      </c>
      <c r="AA11" s="5">
        <v>0.14000000000000001</v>
      </c>
      <c r="AB11" s="16">
        <v>1045</v>
      </c>
      <c r="AC11" s="16"/>
      <c r="AD11" s="22">
        <v>1964</v>
      </c>
      <c r="AE11" s="5" t="s">
        <v>116</v>
      </c>
    </row>
    <row r="12" spans="1:34" x14ac:dyDescent="0.25">
      <c r="A12" s="2">
        <f t="shared" si="2"/>
        <v>7</v>
      </c>
      <c r="B12" s="8" t="s">
        <v>124</v>
      </c>
      <c r="C12" s="3" t="s">
        <v>126</v>
      </c>
      <c r="D12" t="s">
        <v>125</v>
      </c>
      <c r="E12" s="17">
        <f>+[7]Main!$J$3</f>
        <v>46660</v>
      </c>
      <c r="F12" s="16">
        <f>+[7]Main!$J$5*FX!C5</f>
        <v>90176.900689007991</v>
      </c>
      <c r="G12" s="16">
        <f>+([7]Main!$J$7-[7]Main!$J$6)*FX!C5</f>
        <v>-4053.5271000000002</v>
      </c>
      <c r="H12" s="16">
        <f t="shared" si="1"/>
        <v>86123.373589007984</v>
      </c>
      <c r="I12" s="12" t="s">
        <v>336</v>
      </c>
      <c r="J12" s="15">
        <v>45848</v>
      </c>
      <c r="K12" s="16">
        <f>2301122*FX!C5</f>
        <v>14497.068600000001</v>
      </c>
      <c r="M12" s="16"/>
      <c r="N12" s="16"/>
      <c r="Q12" s="18"/>
      <c r="R12" s="19"/>
      <c r="S12" s="18"/>
      <c r="T12" s="18"/>
      <c r="U12" s="18"/>
      <c r="V12" s="18"/>
      <c r="W12" s="19"/>
      <c r="X12" s="18"/>
      <c r="Y12" s="5"/>
      <c r="Z12" s="5"/>
      <c r="AA12" s="5"/>
      <c r="AB12" s="16">
        <v>1512</v>
      </c>
      <c r="AC12" s="16"/>
      <c r="AD12" s="22">
        <v>1949</v>
      </c>
      <c r="AE12" s="5" t="s">
        <v>117</v>
      </c>
    </row>
    <row r="13" spans="1:34" x14ac:dyDescent="0.25">
      <c r="A13" s="2">
        <f t="shared" si="2"/>
        <v>8</v>
      </c>
      <c r="B13" s="8" t="s">
        <v>132</v>
      </c>
      <c r="C13" s="3" t="s">
        <v>134</v>
      </c>
      <c r="D13" t="s">
        <v>21</v>
      </c>
      <c r="E13" s="7">
        <f>+[8]Main!$K$2</f>
        <v>218.5</v>
      </c>
      <c r="F13" s="16">
        <f>+[8]Main!$K$4</f>
        <v>88227.451415500007</v>
      </c>
      <c r="G13" s="16">
        <f>+[8]Main!$K$6-[8]Main!$K$5</f>
        <v>2535.3759999999997</v>
      </c>
      <c r="H13" s="16">
        <f t="shared" si="1"/>
        <v>90762.827415500011</v>
      </c>
      <c r="I13" s="12" t="s">
        <v>336</v>
      </c>
      <c r="J13" s="15">
        <v>45853</v>
      </c>
      <c r="K13" s="16">
        <v>8815.7999999999993</v>
      </c>
      <c r="L13" s="9">
        <v>0.12</v>
      </c>
      <c r="M13" s="16">
        <v>1807.2</v>
      </c>
      <c r="N13" s="16">
        <v>1348</v>
      </c>
      <c r="O13" s="9">
        <v>0.47</v>
      </c>
      <c r="P13" s="9">
        <v>0.2</v>
      </c>
      <c r="Q13" s="18"/>
      <c r="R13" s="19"/>
      <c r="S13" s="18"/>
      <c r="T13" s="18"/>
      <c r="U13" s="18"/>
      <c r="V13" s="18"/>
      <c r="W13" s="19"/>
      <c r="X13" s="18"/>
      <c r="Y13" s="5"/>
      <c r="Z13" s="5"/>
      <c r="AA13" s="5"/>
      <c r="AB13" s="16"/>
      <c r="AC13" s="16"/>
      <c r="AD13" s="22">
        <v>1929</v>
      </c>
      <c r="AE13" s="5" t="s">
        <v>138</v>
      </c>
    </row>
    <row r="14" spans="1:34" x14ac:dyDescent="0.25">
      <c r="A14" s="2">
        <f t="shared" si="2"/>
        <v>9</v>
      </c>
      <c r="B14" s="8" t="s">
        <v>133</v>
      </c>
      <c r="C14" s="3" t="s">
        <v>135</v>
      </c>
      <c r="D14" t="s">
        <v>21</v>
      </c>
      <c r="E14" s="7">
        <f>+[9]Main!$H$3</f>
        <v>151.5</v>
      </c>
      <c r="F14" s="16">
        <f>+[9]Main!$H$5</f>
        <v>49816.452553499999</v>
      </c>
      <c r="G14" s="16">
        <f>+[9]Main!$H$7-[9]Main!$H$6</f>
        <v>-2515.933</v>
      </c>
      <c r="H14" s="16">
        <f t="shared" si="1"/>
        <v>47300.519553500002</v>
      </c>
      <c r="I14" s="12" t="s">
        <v>340</v>
      </c>
      <c r="J14" s="15">
        <v>45799</v>
      </c>
      <c r="K14" s="16">
        <v>20376.900000000001</v>
      </c>
      <c r="L14" s="9">
        <v>0.09</v>
      </c>
      <c r="M14" s="16">
        <v>2307.6999999999998</v>
      </c>
      <c r="N14" s="16">
        <v>1874.5</v>
      </c>
      <c r="O14" s="9">
        <v>0.28000000000000003</v>
      </c>
      <c r="P14" s="9">
        <v>0.12</v>
      </c>
      <c r="Q14" s="18"/>
      <c r="R14" s="19"/>
      <c r="S14" s="18"/>
      <c r="T14" s="18"/>
      <c r="U14" s="18"/>
      <c r="V14" s="18"/>
      <c r="W14" s="19"/>
      <c r="X14" s="18"/>
      <c r="Y14" s="5"/>
      <c r="Z14" s="5"/>
      <c r="AA14" s="5"/>
      <c r="AB14" s="16"/>
      <c r="AC14" s="16"/>
      <c r="AD14" s="22">
        <v>1982</v>
      </c>
      <c r="AE14" s="5" t="s">
        <v>402</v>
      </c>
    </row>
    <row r="15" spans="1:34" x14ac:dyDescent="0.25">
      <c r="A15" s="2">
        <f t="shared" si="2"/>
        <v>10</v>
      </c>
      <c r="B15" s="8" t="s">
        <v>105</v>
      </c>
      <c r="C15" s="3" t="s">
        <v>106</v>
      </c>
      <c r="D15" t="s">
        <v>107</v>
      </c>
      <c r="E15" s="7">
        <f>+[10]Main!$I$2</f>
        <v>259.77</v>
      </c>
      <c r="F15" s="16">
        <f>+[10]Main!$I$4</f>
        <v>29803.264031099996</v>
      </c>
      <c r="G15" s="16">
        <f>+[10]Main!$I$6-[10]Main!$I$5</f>
        <v>-1054.1959999999999</v>
      </c>
      <c r="H15" s="16">
        <f>F15+G15</f>
        <v>28749.068031099996</v>
      </c>
      <c r="I15" s="12" t="s">
        <v>439</v>
      </c>
      <c r="J15" s="15">
        <v>45897</v>
      </c>
      <c r="K15" s="16">
        <v>9619.2999999999993</v>
      </c>
      <c r="L15" s="9">
        <v>0.19</v>
      </c>
      <c r="M15" s="16">
        <v>2132.6999999999998</v>
      </c>
      <c r="N15" s="16">
        <v>1550.2</v>
      </c>
      <c r="O15" s="9">
        <v>0.57999999999999996</v>
      </c>
      <c r="P15" s="9">
        <v>0.2</v>
      </c>
      <c r="Q15" s="18"/>
      <c r="R15" s="18"/>
      <c r="S15" s="18"/>
      <c r="T15" s="18"/>
      <c r="U15" s="18"/>
      <c r="V15" s="18"/>
      <c r="W15" s="19"/>
      <c r="X15" s="18"/>
      <c r="Y15" s="5"/>
      <c r="Z15" s="5"/>
      <c r="AA15" s="5"/>
      <c r="AB15" s="16"/>
      <c r="AC15" s="16"/>
      <c r="AD15" s="22">
        <v>1998</v>
      </c>
      <c r="AE15" s="5" t="s">
        <v>405</v>
      </c>
    </row>
    <row r="16" spans="1:34" x14ac:dyDescent="0.25">
      <c r="A16" s="2">
        <f t="shared" si="2"/>
        <v>11</v>
      </c>
      <c r="B16" s="8" t="s">
        <v>13</v>
      </c>
      <c r="C16" s="3" t="s">
        <v>14</v>
      </c>
      <c r="D16" s="3" t="s">
        <v>82</v>
      </c>
      <c r="E16" s="7">
        <f>+[11]Main!$I$2</f>
        <v>201.7</v>
      </c>
      <c r="F16" s="16">
        <f>+[11]Main!$I$4*FX!C3</f>
        <v>37453.884252511998</v>
      </c>
      <c r="G16" s="16">
        <f>+([11]Main!$I$6-[11]Main!$I$5)*FX!C3</f>
        <v>31.200000000000003</v>
      </c>
      <c r="H16" s="16">
        <f>F16+G16</f>
        <v>37485.084252511995</v>
      </c>
      <c r="I16" s="12" t="s">
        <v>340</v>
      </c>
      <c r="J16" s="15">
        <v>45868</v>
      </c>
      <c r="K16" s="16">
        <f>21427*FX!C3</f>
        <v>22284.080000000002</v>
      </c>
      <c r="L16" s="9">
        <v>-0.05</v>
      </c>
      <c r="M16" s="16">
        <f>267*FX!C3</f>
        <v>277.68</v>
      </c>
      <c r="N16" s="16">
        <f>-77*FX!C3</f>
        <v>-80.08</v>
      </c>
      <c r="O16" s="9">
        <v>0.5</v>
      </c>
      <c r="P16" s="9">
        <v>0.06</v>
      </c>
      <c r="Q16" s="18"/>
      <c r="R16" s="18"/>
      <c r="S16" s="18"/>
      <c r="T16" s="18"/>
      <c r="U16" s="18"/>
      <c r="V16" s="18"/>
      <c r="W16" s="19"/>
      <c r="X16" s="18"/>
      <c r="Y16" s="5"/>
      <c r="Z16" s="5"/>
      <c r="AA16" s="5"/>
      <c r="AB16" s="16"/>
      <c r="AC16" s="16"/>
      <c r="AD16" s="22">
        <v>1949</v>
      </c>
      <c r="AE16" s="5" t="s">
        <v>116</v>
      </c>
    </row>
    <row r="17" spans="1:31" x14ac:dyDescent="0.25">
      <c r="A17" s="2">
        <f t="shared" si="2"/>
        <v>12</v>
      </c>
      <c r="B17" s="8" t="s">
        <v>7</v>
      </c>
      <c r="C17" s="3" t="s">
        <v>455</v>
      </c>
      <c r="D17" s="3" t="s">
        <v>20</v>
      </c>
      <c r="E17" s="7">
        <f>+[12]Main!$H$2</f>
        <v>174</v>
      </c>
      <c r="F17" s="16">
        <f>+[12]Main!$H$4*FX!C3</f>
        <v>22188.880353120003</v>
      </c>
      <c r="G17" s="16">
        <f>+([12]Main!$H$6-[12]Main!$H$5)*FX!C3</f>
        <v>10937.68</v>
      </c>
      <c r="H17" s="16">
        <f t="shared" si="1"/>
        <v>33126.560353120003</v>
      </c>
      <c r="I17" s="12" t="s">
        <v>439</v>
      </c>
      <c r="J17" s="15">
        <v>45867</v>
      </c>
      <c r="K17" s="16">
        <f>17194*FX!C3</f>
        <v>17881.760000000002</v>
      </c>
      <c r="L17" s="9">
        <v>-0.12</v>
      </c>
      <c r="M17" s="16">
        <f>2313*FX!C3</f>
        <v>2405.52</v>
      </c>
      <c r="N17" s="16">
        <f>1133*FX!C3</f>
        <v>1178.32</v>
      </c>
      <c r="O17" s="9">
        <v>0.74</v>
      </c>
      <c r="P17" s="9">
        <v>0.15</v>
      </c>
      <c r="Q17" s="18">
        <v>16.7</v>
      </c>
      <c r="R17" s="18"/>
      <c r="S17" s="18">
        <v>0.7</v>
      </c>
      <c r="T17" s="18"/>
      <c r="U17" s="18">
        <v>5.3</v>
      </c>
      <c r="V17" s="18">
        <v>4</v>
      </c>
      <c r="W17" s="19">
        <v>7.67</v>
      </c>
      <c r="X17" s="18">
        <v>0.87</v>
      </c>
      <c r="Y17" s="5">
        <v>0.08</v>
      </c>
      <c r="Z17" s="5">
        <v>0.08</v>
      </c>
      <c r="AA17" s="5">
        <v>7.0000000000000007E-2</v>
      </c>
      <c r="AB17" s="16">
        <v>1794</v>
      </c>
      <c r="AC17" s="16">
        <v>46930</v>
      </c>
      <c r="AD17" s="22">
        <v>1962</v>
      </c>
      <c r="AE17" s="5" t="s">
        <v>115</v>
      </c>
    </row>
    <row r="18" spans="1:31" x14ac:dyDescent="0.25">
      <c r="A18" s="2">
        <f t="shared" si="2"/>
        <v>13</v>
      </c>
      <c r="B18" s="8" t="s">
        <v>15</v>
      </c>
      <c r="C18" s="3" t="s">
        <v>456</v>
      </c>
      <c r="D18" t="s">
        <v>463</v>
      </c>
      <c r="E18" s="7">
        <f>+[13]Main!$H$2</f>
        <v>88.3</v>
      </c>
      <c r="F18" s="16">
        <f>+[13]Main!$H$5*FX!C9</f>
        <v>32286.955520820004</v>
      </c>
      <c r="G18" s="16">
        <f>+([13]Main!$H$7-[13]Main!$H$6)*FX!C9</f>
        <v>-1362.3400000000001</v>
      </c>
      <c r="H18" s="16">
        <f t="shared" si="1"/>
        <v>30924.615520820003</v>
      </c>
      <c r="I18" s="12" t="s">
        <v>340</v>
      </c>
      <c r="J18" s="21">
        <v>45896</v>
      </c>
      <c r="K18" s="16">
        <f>63380*FX!C9</f>
        <v>8873.2000000000007</v>
      </c>
      <c r="L18" s="9">
        <v>0.14000000000000001</v>
      </c>
      <c r="M18" s="16"/>
      <c r="N18" s="16"/>
      <c r="Q18" s="18"/>
      <c r="R18" s="18"/>
      <c r="S18" s="18"/>
      <c r="T18" s="18"/>
      <c r="U18" s="18"/>
      <c r="V18" s="18"/>
      <c r="W18" s="19"/>
      <c r="X18" s="18"/>
      <c r="Y18" s="5"/>
      <c r="Z18" s="5"/>
      <c r="AA18" s="5"/>
      <c r="AB18" s="16"/>
      <c r="AC18" s="16"/>
      <c r="AD18" s="22">
        <v>1991</v>
      </c>
      <c r="AE18" s="5" t="s">
        <v>405</v>
      </c>
    </row>
    <row r="19" spans="1:31" x14ac:dyDescent="0.25">
      <c r="A19" s="2">
        <f t="shared" si="2"/>
        <v>14</v>
      </c>
      <c r="B19" s="8" t="s">
        <v>16</v>
      </c>
      <c r="C19" s="3" t="s">
        <v>17</v>
      </c>
      <c r="D19" t="s">
        <v>21</v>
      </c>
      <c r="E19" s="7">
        <f>+[14]Main!$M$2</f>
        <v>101.11</v>
      </c>
      <c r="F19" s="16">
        <f>+[14]Main!$M$4</f>
        <v>15109.461321250001</v>
      </c>
      <c r="G19" s="16">
        <f>+[14]Main!$M$6-[14]Main!$M$5</f>
        <v>-2240.9229999999998</v>
      </c>
      <c r="H19" s="16">
        <f>F19+G19</f>
        <v>12868.538321250002</v>
      </c>
      <c r="I19" s="12" t="s">
        <v>150</v>
      </c>
      <c r="J19" s="15">
        <v>45799</v>
      </c>
      <c r="M19" s="16"/>
      <c r="N19" s="16"/>
      <c r="Q19" s="18"/>
      <c r="R19" s="18"/>
      <c r="S19" s="18"/>
      <c r="T19" s="18"/>
      <c r="U19" s="18"/>
      <c r="V19" s="18"/>
      <c r="W19" s="19"/>
      <c r="X19" s="18"/>
      <c r="Y19" s="5"/>
      <c r="Z19" s="5"/>
      <c r="AA19" s="5"/>
      <c r="AB19" s="16"/>
      <c r="AC19" s="16"/>
      <c r="AD19" s="22">
        <v>1973</v>
      </c>
      <c r="AE19" s="5" t="s">
        <v>118</v>
      </c>
    </row>
    <row r="20" spans="1:31" x14ac:dyDescent="0.25">
      <c r="A20" s="2">
        <f t="shared" si="2"/>
        <v>15</v>
      </c>
      <c r="B20" s="8" t="s">
        <v>108</v>
      </c>
      <c r="C20" s="3" t="s">
        <v>110</v>
      </c>
      <c r="D20" s="3" t="s">
        <v>109</v>
      </c>
      <c r="E20" s="7">
        <f>+[15]Main!$I$2</f>
        <v>134.5</v>
      </c>
      <c r="F20" s="16">
        <f>+[15]Main!$I$4*FX!C4</f>
        <v>20501.383752499998</v>
      </c>
      <c r="G20" s="16">
        <f>+([15]Main!$I$6-[15]Main!$I$5)*FX!C4</f>
        <v>4597.62</v>
      </c>
      <c r="H20" s="16">
        <f t="shared" si="1"/>
        <v>25099.003752499997</v>
      </c>
      <c r="I20" s="12" t="s">
        <v>439</v>
      </c>
      <c r="J20" s="15">
        <v>45834</v>
      </c>
      <c r="K20" s="16">
        <f>234478*FX!C4</f>
        <v>22275.41</v>
      </c>
      <c r="L20" s="9">
        <v>-0.01</v>
      </c>
      <c r="M20" s="16"/>
      <c r="Q20" s="18"/>
      <c r="R20" s="18"/>
      <c r="S20" s="18"/>
      <c r="T20" s="18"/>
      <c r="U20" s="18"/>
      <c r="V20" s="18"/>
      <c r="W20" s="19"/>
      <c r="X20" s="18"/>
      <c r="Y20" s="5"/>
      <c r="Z20" s="5"/>
      <c r="AA20" s="5"/>
      <c r="AB20" s="16"/>
      <c r="AC20" s="16"/>
      <c r="AD20" s="22">
        <v>1947</v>
      </c>
      <c r="AE20" s="5" t="s">
        <v>117</v>
      </c>
    </row>
    <row r="21" spans="1:31" x14ac:dyDescent="0.25">
      <c r="A21" s="2">
        <f t="shared" si="2"/>
        <v>16</v>
      </c>
      <c r="B21" s="8" t="s">
        <v>136</v>
      </c>
      <c r="C21" s="3" t="s">
        <v>137</v>
      </c>
      <c r="D21" s="3" t="s">
        <v>167</v>
      </c>
      <c r="E21" s="7">
        <f>+[16]Main!$H$2</f>
        <v>48.5</v>
      </c>
      <c r="F21" s="16">
        <f>+[16]Main!$H$5*FX!C3</f>
        <v>15488.049907199998</v>
      </c>
      <c r="G21" s="16">
        <f>(+[16]Main!$H$7-[16]Main!$H$6)*FX!C3</f>
        <v>-631.67000000000007</v>
      </c>
      <c r="H21" s="16">
        <f t="shared" si="1"/>
        <v>14856.379907199998</v>
      </c>
      <c r="I21" s="12" t="s">
        <v>439</v>
      </c>
      <c r="J21" s="15">
        <v>45865</v>
      </c>
      <c r="M21" s="16"/>
      <c r="N21" s="16"/>
      <c r="Q21" s="18"/>
      <c r="R21" s="18"/>
      <c r="S21" s="18"/>
      <c r="T21" s="18"/>
      <c r="U21" s="18"/>
      <c r="V21" s="18"/>
      <c r="W21" s="19"/>
      <c r="X21" s="18"/>
      <c r="Y21" s="5"/>
      <c r="Z21" s="5"/>
      <c r="AA21" s="5"/>
      <c r="AB21" s="16"/>
      <c r="AC21" s="16"/>
      <c r="AD21" s="22">
        <v>1913</v>
      </c>
      <c r="AE21" s="5" t="s">
        <v>115</v>
      </c>
    </row>
    <row r="22" spans="1:31" x14ac:dyDescent="0.25">
      <c r="A22" s="2">
        <f t="shared" si="2"/>
        <v>17</v>
      </c>
      <c r="B22" s="8" t="s">
        <v>449</v>
      </c>
      <c r="C22" s="3" t="s">
        <v>450</v>
      </c>
      <c r="D22" t="s">
        <v>187</v>
      </c>
      <c r="E22" s="7">
        <f>+[17]Main!$I$2</f>
        <v>5221.55</v>
      </c>
      <c r="F22" s="16">
        <f>+[17]Main!$I$4*FX!C12</f>
        <v>20418.151071830049</v>
      </c>
      <c r="G22" s="16">
        <f>+([17]Main!$I$6-[17]Main!$I$5)*FX!C12</f>
        <v>0</v>
      </c>
      <c r="H22" s="16">
        <f>+F22+G22</f>
        <v>20418.151071830049</v>
      </c>
      <c r="I22" s="10" t="s">
        <v>439</v>
      </c>
      <c r="J22" s="15">
        <v>45772</v>
      </c>
      <c r="N22" s="16"/>
      <c r="Q22" s="18"/>
      <c r="R22" s="18"/>
      <c r="S22" s="18"/>
      <c r="T22" s="18"/>
      <c r="U22" s="18"/>
      <c r="V22" s="18"/>
      <c r="W22" s="19"/>
      <c r="X22" s="18"/>
      <c r="Y22" s="5"/>
      <c r="Z22" s="5"/>
      <c r="AA22" s="5"/>
      <c r="AB22" s="16"/>
      <c r="AC22" s="16"/>
      <c r="AE22" s="5"/>
    </row>
    <row r="23" spans="1:31" x14ac:dyDescent="0.25">
      <c r="A23" s="2">
        <f t="shared" si="2"/>
        <v>18</v>
      </c>
      <c r="B23" s="8" t="s">
        <v>18</v>
      </c>
      <c r="C23" s="3" t="s">
        <v>457</v>
      </c>
      <c r="D23" t="s">
        <v>167</v>
      </c>
      <c r="E23" s="7">
        <f>+[18]Main!$H$2</f>
        <v>68.2</v>
      </c>
      <c r="F23" s="16">
        <f>+[18]Main!$H$4*FX!C3</f>
        <v>19181.653629424</v>
      </c>
      <c r="G23" s="16">
        <f>+([18]Main!$H$6-[18]Main!$H$5)*FX!C3</f>
        <v>49.931440000000087</v>
      </c>
      <c r="H23" s="16">
        <f t="shared" si="1"/>
        <v>19231.585069424</v>
      </c>
      <c r="I23" s="12" t="s">
        <v>340</v>
      </c>
      <c r="J23" s="15">
        <v>45861</v>
      </c>
      <c r="M23" s="16"/>
      <c r="Q23" s="18"/>
      <c r="R23" s="18"/>
      <c r="S23" s="18"/>
      <c r="T23" s="18"/>
      <c r="U23" s="18"/>
      <c r="V23" s="18"/>
      <c r="W23" s="19"/>
      <c r="X23" s="18"/>
      <c r="Y23" s="5"/>
      <c r="Z23" s="5"/>
      <c r="AA23" s="5"/>
      <c r="AB23" s="16"/>
      <c r="AC23" s="16"/>
      <c r="AD23" s="22">
        <v>1952</v>
      </c>
      <c r="AE23" s="5" t="s">
        <v>403</v>
      </c>
    </row>
    <row r="24" spans="1:31" x14ac:dyDescent="0.25">
      <c r="A24" s="2">
        <f t="shared" si="2"/>
        <v>19</v>
      </c>
      <c r="B24" s="20" t="s">
        <v>308</v>
      </c>
      <c r="C24" s="3" t="s">
        <v>311</v>
      </c>
      <c r="D24" t="s">
        <v>21</v>
      </c>
      <c r="E24" s="7">
        <f>+[19]Main!$I$2</f>
        <v>292.68</v>
      </c>
      <c r="F24" s="16">
        <f>+[19]Main!$I$4</f>
        <v>18579.62025072</v>
      </c>
      <c r="G24" s="16">
        <f>+[19]Main!$I$6-[19]Main!$I$5</f>
        <v>855.73500000000013</v>
      </c>
      <c r="H24" s="16">
        <f>F24+G24</f>
        <v>19435.35525072</v>
      </c>
      <c r="I24" s="12" t="s">
        <v>149</v>
      </c>
      <c r="J24" s="15">
        <v>45723</v>
      </c>
      <c r="M24" s="16"/>
      <c r="Q24" s="18"/>
      <c r="R24" s="18"/>
      <c r="S24" s="18"/>
      <c r="T24" s="18"/>
      <c r="U24" s="18"/>
      <c r="V24" s="18"/>
      <c r="W24" s="19"/>
      <c r="X24" s="18"/>
      <c r="Y24" s="5"/>
      <c r="Z24" s="5"/>
      <c r="AA24" s="5"/>
      <c r="AB24" s="16"/>
      <c r="AC24" s="16"/>
      <c r="AD24" s="22">
        <v>1972</v>
      </c>
      <c r="AE24" s="5" t="s">
        <v>119</v>
      </c>
    </row>
    <row r="25" spans="1:31" x14ac:dyDescent="0.25">
      <c r="A25" s="2">
        <f t="shared" si="2"/>
        <v>20</v>
      </c>
      <c r="B25" s="8" t="s">
        <v>312</v>
      </c>
      <c r="C25" s="3" t="s">
        <v>313</v>
      </c>
      <c r="D25" t="s">
        <v>21</v>
      </c>
      <c r="E25" s="7">
        <f>+[20]Main!$J$2</f>
        <v>81.58</v>
      </c>
      <c r="F25" s="16">
        <f>+[20]Main!$J$4</f>
        <v>16943.36219226</v>
      </c>
      <c r="G25" s="16">
        <f>+[20]Main!$J$6-[20]Main!$J$5</f>
        <v>1640</v>
      </c>
      <c r="H25" s="16">
        <f t="shared" si="1"/>
        <v>18583.36219226</v>
      </c>
      <c r="I25" s="12" t="s">
        <v>400</v>
      </c>
      <c r="J25" s="15">
        <v>45883</v>
      </c>
      <c r="M25" s="16"/>
      <c r="Q25" s="18"/>
      <c r="R25" s="18"/>
      <c r="S25" s="18"/>
      <c r="T25" s="18"/>
      <c r="U25" s="18"/>
      <c r="V25" s="18"/>
      <c r="W25" s="19"/>
      <c r="X25" s="18"/>
      <c r="Y25" s="5"/>
      <c r="Z25" s="5"/>
      <c r="AA25" s="5"/>
      <c r="AB25" s="16"/>
      <c r="AC25" s="16"/>
      <c r="AD25" s="22">
        <v>2000</v>
      </c>
      <c r="AE25" s="5" t="s">
        <v>404</v>
      </c>
    </row>
    <row r="26" spans="1:31" x14ac:dyDescent="0.25">
      <c r="A26" s="2">
        <f t="shared" si="2"/>
        <v>21</v>
      </c>
      <c r="B26" s="8" t="s">
        <v>30</v>
      </c>
      <c r="C26" s="3" t="s">
        <v>384</v>
      </c>
      <c r="D26" t="s">
        <v>125</v>
      </c>
      <c r="E26" s="7">
        <f>+[21]Main!$I$2</f>
        <v>3518</v>
      </c>
      <c r="F26" s="16">
        <f>+[21]Main!$I$4*FX!C5</f>
        <v>16015.676413350599</v>
      </c>
      <c r="G26" s="16">
        <f>+([21]Main!$I$6-[21]Main!$I$5)*FX!C5</f>
        <v>-877.12379999999996</v>
      </c>
      <c r="H26" s="16">
        <f>F26+G26</f>
        <v>15138.552613350599</v>
      </c>
      <c r="I26" s="10" t="s">
        <v>340</v>
      </c>
      <c r="J26" s="15">
        <v>45882</v>
      </c>
      <c r="K26" s="16"/>
      <c r="M26" s="16"/>
      <c r="Q26" s="18"/>
      <c r="R26" s="18"/>
      <c r="S26" s="18"/>
      <c r="T26" s="18"/>
      <c r="U26" s="18"/>
      <c r="V26" s="18"/>
      <c r="W26" s="19"/>
      <c r="X26" s="18"/>
      <c r="Y26" s="5"/>
      <c r="Z26" s="5"/>
      <c r="AA26" s="5"/>
      <c r="AB26" s="16"/>
      <c r="AC26" s="16"/>
      <c r="AD26" s="22">
        <v>1949</v>
      </c>
      <c r="AE26" s="5" t="s">
        <v>405</v>
      </c>
    </row>
    <row r="27" spans="1:31" x14ac:dyDescent="0.25">
      <c r="A27" s="2">
        <f t="shared" si="2"/>
        <v>22</v>
      </c>
      <c r="B27" s="20" t="s">
        <v>309</v>
      </c>
      <c r="C27" s="3" t="s">
        <v>310</v>
      </c>
      <c r="D27" t="s">
        <v>221</v>
      </c>
      <c r="E27" s="7">
        <f>+[22]Main!$I$2</f>
        <v>101.55</v>
      </c>
      <c r="F27" s="16">
        <f>+[22]Main!$I$4*FX!C8</f>
        <v>15871.712567999999</v>
      </c>
      <c r="G27" s="16">
        <f>+([22]Main!$I$6-[22]Main!$I$5)*FX!C8</f>
        <v>880.27599999999995</v>
      </c>
      <c r="H27" s="16">
        <f>F27+G27</f>
        <v>16751.988568000001</v>
      </c>
      <c r="I27" s="12" t="s">
        <v>149</v>
      </c>
      <c r="J27" s="15">
        <v>45736</v>
      </c>
      <c r="Q27" s="18"/>
      <c r="R27" s="18"/>
      <c r="S27" s="18"/>
      <c r="T27" s="18"/>
      <c r="U27" s="18"/>
      <c r="V27" s="18"/>
      <c r="W27" s="19"/>
      <c r="X27" s="18"/>
      <c r="Y27" s="5"/>
      <c r="Z27" s="5"/>
      <c r="AA27" s="5"/>
      <c r="AB27" s="16"/>
      <c r="AC27" s="16"/>
      <c r="AD27" s="22">
        <v>1864</v>
      </c>
      <c r="AE27" s="5" t="s">
        <v>119</v>
      </c>
    </row>
    <row r="28" spans="1:31" x14ac:dyDescent="0.25">
      <c r="A28" s="2">
        <f t="shared" si="2"/>
        <v>23</v>
      </c>
      <c r="B28" s="8" t="s">
        <v>24</v>
      </c>
      <c r="C28" s="3" t="s">
        <v>23</v>
      </c>
      <c r="D28" t="s">
        <v>168</v>
      </c>
      <c r="E28" s="7">
        <f>+[23]Main!$H$2</f>
        <v>54.01</v>
      </c>
      <c r="F28" s="16">
        <f>+[23]Main!$H$5*FX!C7</f>
        <v>15082.710425059202</v>
      </c>
      <c r="G28" s="16">
        <f>+([23]Main!$H$7-[23]Main!$H$6)*FX!C7</f>
        <v>-915.93600000000004</v>
      </c>
      <c r="H28" s="16">
        <f>F28+G28</f>
        <v>14166.774425059202</v>
      </c>
      <c r="I28" s="12" t="s">
        <v>439</v>
      </c>
      <c r="J28" s="15">
        <v>45881</v>
      </c>
      <c r="M28" s="16"/>
      <c r="N28" s="16"/>
      <c r="Q28" s="18"/>
      <c r="R28" s="18"/>
      <c r="S28" s="18"/>
      <c r="T28" s="18"/>
      <c r="U28" s="18"/>
      <c r="V28" s="18"/>
      <c r="W28" s="19"/>
      <c r="X28" s="18"/>
      <c r="Y28" s="5"/>
      <c r="Z28" s="5"/>
      <c r="AA28" s="5"/>
      <c r="AB28" s="16"/>
      <c r="AC28" s="16"/>
      <c r="AD28" s="22">
        <v>2010</v>
      </c>
      <c r="AE28" s="5" t="s">
        <v>116</v>
      </c>
    </row>
    <row r="29" spans="1:31" x14ac:dyDescent="0.25">
      <c r="A29" s="2">
        <f t="shared" si="2"/>
        <v>24</v>
      </c>
      <c r="B29" s="8" t="s">
        <v>423</v>
      </c>
      <c r="C29" s="3" t="s">
        <v>424</v>
      </c>
      <c r="D29" t="s">
        <v>216</v>
      </c>
      <c r="E29" s="7">
        <f>+[24]Main!$J$2</f>
        <v>38</v>
      </c>
      <c r="F29" s="16">
        <f>+[24]Main!$J$4</f>
        <v>21051.474004000003</v>
      </c>
      <c r="G29" s="16">
        <f>+[24]Main!$J$6-[24]Main!$J$5</f>
        <v>506.5</v>
      </c>
      <c r="H29" s="16">
        <f t="shared" si="1"/>
        <v>21557.974004000003</v>
      </c>
      <c r="I29" s="10" t="s">
        <v>439</v>
      </c>
      <c r="J29" s="15">
        <v>45888</v>
      </c>
      <c r="Q29" s="18"/>
      <c r="R29" s="18"/>
      <c r="S29" s="18"/>
      <c r="T29" s="18"/>
      <c r="U29" s="18"/>
      <c r="V29" s="18"/>
      <c r="W29" s="19"/>
      <c r="X29" s="18"/>
      <c r="Y29" s="5"/>
      <c r="Z29" s="5"/>
      <c r="AA29" s="5"/>
      <c r="AB29" s="16"/>
      <c r="AC29" s="16"/>
      <c r="AD29" s="22">
        <v>1950</v>
      </c>
      <c r="AE29" s="5" t="s">
        <v>437</v>
      </c>
    </row>
    <row r="30" spans="1:31" x14ac:dyDescent="0.25">
      <c r="A30" s="2">
        <f t="shared" si="2"/>
        <v>25</v>
      </c>
      <c r="B30" s="8" t="s">
        <v>22</v>
      </c>
      <c r="C30" s="3" t="s">
        <v>458</v>
      </c>
      <c r="D30" t="s">
        <v>463</v>
      </c>
      <c r="E30" s="7">
        <f>+[25]Main!$J$2</f>
        <v>58.65</v>
      </c>
      <c r="F30" s="16">
        <f>+[25]Main!$J$4*FX!C9</f>
        <v>12342.959101767001</v>
      </c>
      <c r="G30" s="16">
        <f>+([25]Main!$J$6-[25]Main!$J$5)*FX!C9</f>
        <v>-1188.6368200000002</v>
      </c>
      <c r="H30" s="16">
        <f t="shared" si="1"/>
        <v>11154.322281767001</v>
      </c>
      <c r="I30" s="12" t="s">
        <v>149</v>
      </c>
      <c r="J30" s="21">
        <v>45741</v>
      </c>
      <c r="M30" s="16"/>
      <c r="N30" s="16"/>
      <c r="Q30" s="18"/>
      <c r="R30" s="18"/>
      <c r="S30" s="18"/>
      <c r="T30" s="18"/>
      <c r="U30" s="18"/>
      <c r="V30" s="18"/>
      <c r="W30" s="19"/>
      <c r="X30" s="18"/>
      <c r="Y30" s="5"/>
      <c r="Z30" s="5"/>
      <c r="AA30" s="5"/>
      <c r="AB30" s="16"/>
      <c r="AC30" s="16"/>
      <c r="AD30" s="22">
        <v>1991</v>
      </c>
      <c r="AE30" s="5" t="s">
        <v>97</v>
      </c>
    </row>
    <row r="31" spans="1:31" x14ac:dyDescent="0.25">
      <c r="A31" s="2">
        <f t="shared" si="2"/>
        <v>26</v>
      </c>
      <c r="B31" s="8" t="s">
        <v>25</v>
      </c>
      <c r="C31" s="3" t="s">
        <v>460</v>
      </c>
      <c r="D31" t="s">
        <v>21</v>
      </c>
      <c r="E31" s="7">
        <f>+[26]Main!$H$2</f>
        <v>276.11</v>
      </c>
      <c r="F31" s="16">
        <f>+[26]Main!$H$4</f>
        <v>17053.71740365</v>
      </c>
      <c r="G31" s="16">
        <f>+[26]Main!$H$6-[26]Main!$H$5</f>
        <v>380.39999999999964</v>
      </c>
      <c r="H31" s="16">
        <f t="shared" si="1"/>
        <v>17434.117403650002</v>
      </c>
      <c r="I31" s="12" t="s">
        <v>427</v>
      </c>
      <c r="J31" s="15">
        <v>45875</v>
      </c>
      <c r="K31" s="16">
        <v>6631.4</v>
      </c>
      <c r="L31" s="9">
        <v>2.9000000000000001E-2</v>
      </c>
      <c r="M31" s="16">
        <v>756.4</v>
      </c>
      <c r="N31" s="16">
        <v>646.29999999999995</v>
      </c>
      <c r="O31" s="9">
        <v>0.64</v>
      </c>
      <c r="P31" s="9">
        <v>0.11</v>
      </c>
      <c r="Q31" s="18">
        <v>17.3</v>
      </c>
      <c r="R31" s="18"/>
      <c r="S31" s="18">
        <f>-11.2/100</f>
        <v>-0.11199999999999999</v>
      </c>
      <c r="T31" s="18"/>
      <c r="U31" s="18">
        <v>3.52</v>
      </c>
      <c r="V31" s="18">
        <v>1.51</v>
      </c>
      <c r="W31" s="19">
        <v>10.3</v>
      </c>
      <c r="X31" s="18">
        <v>0.75</v>
      </c>
      <c r="Y31" s="5">
        <v>0.21</v>
      </c>
      <c r="Z31" s="5">
        <v>0.14000000000000001</v>
      </c>
      <c r="AA31" s="5">
        <v>0.1</v>
      </c>
      <c r="AB31" s="16"/>
      <c r="AC31" s="16"/>
      <c r="AD31" s="22">
        <v>1967</v>
      </c>
      <c r="AE31" s="5" t="s">
        <v>97</v>
      </c>
    </row>
    <row r="32" spans="1:31" x14ac:dyDescent="0.25">
      <c r="A32" s="2">
        <f t="shared" si="2"/>
        <v>27</v>
      </c>
      <c r="B32" s="8" t="s">
        <v>383</v>
      </c>
      <c r="C32" s="3" t="s">
        <v>459</v>
      </c>
      <c r="D32" t="s">
        <v>463</v>
      </c>
      <c r="E32" s="7">
        <f>+[27]Main!$K$2</f>
        <v>76.739999999999995</v>
      </c>
      <c r="F32" s="16">
        <f>+[27]Main!$K$4*FX!C9</f>
        <v>12537.781199999999</v>
      </c>
      <c r="G32" s="16">
        <f>+([27]Main!$K$6-[27]Main!$K$5)*FX!C9</f>
        <v>-745.22328020000009</v>
      </c>
      <c r="H32" s="16">
        <f>+G32+F32</f>
        <v>11792.5579198</v>
      </c>
      <c r="I32" s="10" t="s">
        <v>385</v>
      </c>
      <c r="J32" s="10" t="s">
        <v>407</v>
      </c>
      <c r="K32" s="16"/>
      <c r="M32" s="16"/>
      <c r="N32" s="16"/>
      <c r="Q32" s="18"/>
      <c r="R32" s="18"/>
      <c r="S32" s="18"/>
      <c r="T32" s="18"/>
      <c r="U32" s="18"/>
      <c r="V32" s="18"/>
      <c r="W32" s="19"/>
      <c r="X32" s="18"/>
      <c r="Y32" s="5"/>
      <c r="Z32" s="5"/>
      <c r="AA32" s="5"/>
      <c r="AB32" s="16"/>
      <c r="AC32" s="16"/>
      <c r="AD32" s="22">
        <v>2004</v>
      </c>
      <c r="AE32" s="5" t="s">
        <v>386</v>
      </c>
    </row>
    <row r="33" spans="1:31" x14ac:dyDescent="0.25">
      <c r="A33" s="2">
        <f t="shared" si="2"/>
        <v>28</v>
      </c>
      <c r="B33" s="8" t="s">
        <v>128</v>
      </c>
      <c r="C33" s="3" t="s">
        <v>418</v>
      </c>
      <c r="D33" t="s">
        <v>82</v>
      </c>
      <c r="E33" s="7">
        <f>+[28]Main!$I$2</f>
        <v>32.299999999999997</v>
      </c>
      <c r="F33" s="16">
        <f>+[28]Main!$I$4*FX!C3</f>
        <v>8703.6872000000003</v>
      </c>
      <c r="G33" s="16">
        <f>+([28]Main!$I$6-[28]Main!$I$5)*FX!C3</f>
        <v>-912.08</v>
      </c>
      <c r="H33" s="16">
        <f>F33+G33</f>
        <v>7791.6072000000004</v>
      </c>
      <c r="I33" s="12" t="s">
        <v>439</v>
      </c>
      <c r="J33" s="15">
        <v>45875</v>
      </c>
      <c r="Q33" s="18"/>
      <c r="R33" s="18"/>
      <c r="S33" s="18"/>
      <c r="T33" s="18"/>
      <c r="U33" s="18"/>
      <c r="V33" s="18"/>
      <c r="W33" s="19"/>
      <c r="X33" s="18"/>
      <c r="Y33" s="5"/>
      <c r="Z33" s="5"/>
      <c r="AA33" s="5"/>
      <c r="AB33" s="16"/>
      <c r="AC33" s="16"/>
      <c r="AD33" s="22">
        <v>2008</v>
      </c>
      <c r="AE33" s="5" t="s">
        <v>419</v>
      </c>
    </row>
    <row r="34" spans="1:31" x14ac:dyDescent="0.25">
      <c r="A34" s="2">
        <f t="shared" si="2"/>
        <v>29</v>
      </c>
      <c r="B34" s="8" t="s">
        <v>316</v>
      </c>
      <c r="C34" s="3" t="s">
        <v>44</v>
      </c>
      <c r="D34" t="s">
        <v>21</v>
      </c>
      <c r="E34" s="7">
        <f>+[29]Main!$H$2</f>
        <v>12.26</v>
      </c>
      <c r="F34" s="16">
        <f>+[29]Main!$H$4</f>
        <v>4776.5573000000004</v>
      </c>
      <c r="G34" s="16">
        <f>+[29]Main!$H$6-[29]Main!$H$5</f>
        <v>3278.4989999999998</v>
      </c>
      <c r="H34" s="16">
        <f>+G34+F34</f>
        <v>8055.0563000000002</v>
      </c>
      <c r="I34" s="10" t="s">
        <v>726</v>
      </c>
      <c r="J34" s="15">
        <v>45874</v>
      </c>
      <c r="K34" s="16"/>
      <c r="M34" s="16"/>
      <c r="N34" s="16"/>
      <c r="Q34" s="18"/>
      <c r="R34" s="18"/>
      <c r="S34" s="18"/>
      <c r="T34" s="18"/>
      <c r="U34" s="18"/>
      <c r="V34" s="18"/>
      <c r="W34" s="19"/>
      <c r="X34" s="18"/>
      <c r="Y34" s="5"/>
      <c r="Z34" s="5"/>
      <c r="AA34" s="5"/>
      <c r="AB34" s="16"/>
      <c r="AC34" s="16"/>
      <c r="AD34" s="22">
        <v>1899</v>
      </c>
      <c r="AE34" s="5" t="s">
        <v>409</v>
      </c>
    </row>
    <row r="35" spans="1:31" x14ac:dyDescent="0.25">
      <c r="A35" s="2">
        <f t="shared" si="2"/>
        <v>30</v>
      </c>
      <c r="B35" s="8" t="s">
        <v>26</v>
      </c>
      <c r="C35" s="3" t="s">
        <v>27</v>
      </c>
      <c r="D35" t="s">
        <v>82</v>
      </c>
      <c r="E35" s="7">
        <f>+[30]Main!$I$2</f>
        <v>57</v>
      </c>
      <c r="F35" s="16">
        <f>+[30]Main!$I$4*FX!C3</f>
        <v>11134.515094560002</v>
      </c>
      <c r="G35" s="16">
        <f>+([30]Main!$I$6-[30]Main!$I$5)*FX!C3</f>
        <v>1003.80384</v>
      </c>
      <c r="H35" s="16">
        <f t="shared" si="1"/>
        <v>12138.318934560002</v>
      </c>
      <c r="I35" s="10" t="s">
        <v>150</v>
      </c>
      <c r="J35" s="15">
        <v>45897</v>
      </c>
      <c r="K35" s="16"/>
      <c r="M35" s="16"/>
      <c r="N35" s="16"/>
      <c r="Q35" s="18"/>
      <c r="R35" s="18"/>
      <c r="S35" s="18"/>
      <c r="T35" s="18"/>
      <c r="U35" s="18"/>
      <c r="V35" s="18"/>
      <c r="W35" s="19"/>
      <c r="X35" s="18"/>
      <c r="Y35" s="5"/>
      <c r="Z35" s="5"/>
      <c r="AA35" s="5"/>
      <c r="AB35" s="16"/>
      <c r="AC35" s="16"/>
      <c r="AD35" s="22">
        <v>1774</v>
      </c>
      <c r="AE35" s="5" t="s">
        <v>406</v>
      </c>
    </row>
    <row r="36" spans="1:31" x14ac:dyDescent="0.25">
      <c r="A36" s="2">
        <f t="shared" si="2"/>
        <v>31</v>
      </c>
      <c r="B36" s="8" t="s">
        <v>111</v>
      </c>
      <c r="C36" s="3" t="s">
        <v>114</v>
      </c>
      <c r="D36" t="s">
        <v>21</v>
      </c>
      <c r="E36" s="7">
        <f>+[31]Main!$I$2</f>
        <v>21.9</v>
      </c>
      <c r="F36" s="16">
        <f>+[31]Main!$I$4</f>
        <v>8241.3403727999994</v>
      </c>
      <c r="G36" s="16">
        <f>+[31]Main!$I$6-[31]Main!$I$5</f>
        <v>-657</v>
      </c>
      <c r="H36" s="16">
        <f>+G36+F36</f>
        <v>7584.3403727999994</v>
      </c>
      <c r="I36" s="10" t="s">
        <v>439</v>
      </c>
      <c r="J36" s="15">
        <v>45897</v>
      </c>
      <c r="K36" s="16">
        <v>14889</v>
      </c>
      <c r="L36" s="9">
        <v>0.05</v>
      </c>
      <c r="M36" s="16">
        <v>560</v>
      </c>
      <c r="N36" s="16">
        <v>502</v>
      </c>
      <c r="O36" s="9">
        <v>0.37</v>
      </c>
      <c r="P36" s="9">
        <v>0.04</v>
      </c>
      <c r="Q36" s="18"/>
      <c r="R36" s="18"/>
      <c r="S36" s="18"/>
      <c r="T36" s="18"/>
      <c r="U36" s="18"/>
      <c r="V36" s="18"/>
      <c r="W36" s="19"/>
      <c r="X36" s="18"/>
      <c r="Y36" s="5"/>
      <c r="Z36" s="5"/>
      <c r="AA36" s="5"/>
      <c r="AB36" s="16"/>
      <c r="AC36" s="16"/>
      <c r="AD36" s="22">
        <v>1969</v>
      </c>
      <c r="AE36" s="5" t="s">
        <v>97</v>
      </c>
    </row>
    <row r="37" spans="1:31" x14ac:dyDescent="0.25">
      <c r="A37" s="2">
        <f t="shared" si="2"/>
        <v>32</v>
      </c>
      <c r="B37" s="8" t="s">
        <v>28</v>
      </c>
      <c r="C37" s="3" t="s">
        <v>29</v>
      </c>
      <c r="D37" t="s">
        <v>21</v>
      </c>
      <c r="E37" s="7">
        <f>+[32]Main!$I$2</f>
        <v>60.4</v>
      </c>
      <c r="F37" s="16">
        <f>+[32]Main!$I$4</f>
        <v>9118.7085583999997</v>
      </c>
      <c r="G37" s="16">
        <f>+[32]Main!$I$6-[32]Main!$I$5</f>
        <v>-838.96200000000022</v>
      </c>
      <c r="H37" s="16">
        <f t="shared" ref="H37:H59" si="3">F37+G37</f>
        <v>8279.7465584000001</v>
      </c>
      <c r="I37" s="10" t="s">
        <v>339</v>
      </c>
      <c r="J37" s="15">
        <v>45771</v>
      </c>
      <c r="K37" s="16"/>
      <c r="M37" s="16"/>
      <c r="N37" s="16"/>
      <c r="Q37" s="18"/>
      <c r="R37" s="18"/>
      <c r="S37" s="18"/>
      <c r="T37" s="18"/>
      <c r="U37" s="18"/>
      <c r="V37" s="18"/>
      <c r="W37" s="19"/>
      <c r="X37" s="18"/>
      <c r="Y37" s="5"/>
      <c r="Z37" s="5"/>
      <c r="AA37" s="5"/>
      <c r="AB37" s="16"/>
      <c r="AC37" s="16"/>
      <c r="AD37" s="22">
        <v>1992</v>
      </c>
      <c r="AE37" s="5" t="s">
        <v>410</v>
      </c>
    </row>
    <row r="38" spans="1:31" x14ac:dyDescent="0.25">
      <c r="A38" s="2">
        <f t="shared" si="2"/>
        <v>33</v>
      </c>
      <c r="B38" s="8" t="s">
        <v>389</v>
      </c>
      <c r="C38" s="3" t="s">
        <v>388</v>
      </c>
      <c r="D38" t="s">
        <v>167</v>
      </c>
      <c r="E38" s="7">
        <f>+[33]Main!$J$2</f>
        <v>110.7</v>
      </c>
      <c r="F38" s="16">
        <f>+[33]Main!$J$4*FX!C3</f>
        <v>7827.9759305279995</v>
      </c>
      <c r="G38" s="16">
        <f>+([33]Main!$J$6-[33]Main!$J$5)*FX!C3</f>
        <v>106.89327999999999</v>
      </c>
      <c r="H38" s="16">
        <f>F38+G38</f>
        <v>7934.8692105279997</v>
      </c>
      <c r="I38" s="10" t="s">
        <v>340</v>
      </c>
      <c r="J38" s="15">
        <v>45778</v>
      </c>
      <c r="K38" s="16"/>
      <c r="M38" s="16"/>
      <c r="N38" s="16"/>
      <c r="Q38" s="18"/>
      <c r="R38" s="18"/>
      <c r="S38" s="18"/>
      <c r="T38" s="18"/>
      <c r="U38" s="18"/>
      <c r="V38" s="18"/>
      <c r="W38" s="19"/>
      <c r="X38" s="18"/>
      <c r="Y38" s="5"/>
      <c r="Z38" s="5"/>
      <c r="AA38" s="5"/>
      <c r="AB38" s="16"/>
      <c r="AC38" s="16"/>
      <c r="AD38" s="22">
        <v>1978</v>
      </c>
      <c r="AE38" s="5" t="s">
        <v>403</v>
      </c>
    </row>
    <row r="39" spans="1:31" x14ac:dyDescent="0.25">
      <c r="A39" s="2">
        <f t="shared" si="2"/>
        <v>34</v>
      </c>
      <c r="B39" s="8" t="s">
        <v>38</v>
      </c>
      <c r="C39" s="3" t="s">
        <v>39</v>
      </c>
      <c r="D39" t="s">
        <v>107</v>
      </c>
      <c r="E39" s="7">
        <f>+[34]Main!$I$2</f>
        <v>52.1</v>
      </c>
      <c r="F39" s="16">
        <f>+[34]Main!$I$4</f>
        <v>8371.5321999999996</v>
      </c>
      <c r="G39" s="16">
        <f>+[34]Main!$I$6-[34]Main!$I$5</f>
        <v>1400.52</v>
      </c>
      <c r="H39" s="16">
        <f>F39+G39</f>
        <v>9772.0522000000001</v>
      </c>
      <c r="I39" s="10" t="s">
        <v>339</v>
      </c>
      <c r="J39" s="15">
        <v>45707</v>
      </c>
      <c r="K39" s="16"/>
      <c r="M39" s="16"/>
      <c r="N39" s="16"/>
      <c r="Q39" s="18"/>
      <c r="R39" s="18"/>
      <c r="S39" s="18"/>
      <c r="T39" s="18"/>
      <c r="U39" s="18"/>
      <c r="V39" s="18"/>
      <c r="W39" s="19"/>
      <c r="X39" s="18"/>
      <c r="Y39" s="5"/>
      <c r="Z39" s="5"/>
      <c r="AA39" s="5"/>
      <c r="AB39" s="16"/>
      <c r="AC39" s="16"/>
      <c r="AD39" s="22">
        <v>1984</v>
      </c>
      <c r="AE39" s="5" t="s">
        <v>412</v>
      </c>
    </row>
    <row r="40" spans="1:31" x14ac:dyDescent="0.25">
      <c r="A40" s="2">
        <f t="shared" si="2"/>
        <v>35</v>
      </c>
      <c r="B40" s="8" t="s">
        <v>31</v>
      </c>
      <c r="C40" s="3" t="s">
        <v>32</v>
      </c>
      <c r="D40" t="s">
        <v>21</v>
      </c>
      <c r="E40" s="7">
        <f>+[35]Main!$I$2</f>
        <v>14.88</v>
      </c>
      <c r="F40" s="16">
        <f>+[35]Main!$I$4</f>
        <v>5882.4812351999999</v>
      </c>
      <c r="G40" s="16">
        <f>+[35]Main!$I$6-[35]Main!$I$5</f>
        <v>413</v>
      </c>
      <c r="H40" s="16">
        <f>F40+G40</f>
        <v>6295.4812351999999</v>
      </c>
      <c r="I40" s="10" t="s">
        <v>151</v>
      </c>
      <c r="J40" s="15">
        <v>45749</v>
      </c>
      <c r="K40" s="16">
        <v>6179</v>
      </c>
      <c r="L40" s="9">
        <v>0</v>
      </c>
      <c r="M40" s="16">
        <v>353.3</v>
      </c>
      <c r="N40" s="16">
        <v>249.6</v>
      </c>
      <c r="O40" s="9">
        <v>0.57999999999999996</v>
      </c>
      <c r="P40" s="9">
        <v>0.06</v>
      </c>
      <c r="Q40" s="18"/>
      <c r="R40" s="18"/>
      <c r="S40" s="18"/>
      <c r="T40" s="18"/>
      <c r="U40" s="18"/>
      <c r="V40" s="18"/>
      <c r="W40" s="19"/>
      <c r="X40" s="18"/>
      <c r="Y40" s="5"/>
      <c r="Z40" s="5"/>
      <c r="AA40" s="5"/>
      <c r="AB40" s="16"/>
      <c r="AC40" s="16"/>
      <c r="AD40" s="22">
        <v>1853</v>
      </c>
      <c r="AE40" s="5" t="s">
        <v>97</v>
      </c>
    </row>
    <row r="41" spans="1:31" x14ac:dyDescent="0.25">
      <c r="A41" s="2">
        <f t="shared" si="2"/>
        <v>36</v>
      </c>
      <c r="B41" s="8" t="s">
        <v>323</v>
      </c>
      <c r="C41" s="3" t="s">
        <v>324</v>
      </c>
      <c r="D41" t="s">
        <v>296</v>
      </c>
      <c r="E41" s="7">
        <f>+[36]Main!$I$2</f>
        <v>16460</v>
      </c>
      <c r="F41" s="16">
        <f>+[36]Main!$I$4*FX!C11</f>
        <v>7636.9873500000003</v>
      </c>
      <c r="G41" s="16">
        <f>+([36]Main!$I$6-[36]Main!$I$5)*FX!C11</f>
        <v>-133.5</v>
      </c>
      <c r="H41" s="16">
        <f>+F41+G41</f>
        <v>7503.4873500000003</v>
      </c>
      <c r="I41" s="10" t="s">
        <v>339</v>
      </c>
      <c r="K41" s="16"/>
      <c r="M41" s="16"/>
      <c r="N41" s="16"/>
      <c r="Q41" s="18"/>
      <c r="R41" s="18"/>
      <c r="S41" s="18"/>
      <c r="T41" s="18"/>
      <c r="U41" s="18"/>
      <c r="V41" s="18"/>
      <c r="W41" s="19"/>
      <c r="X41" s="18"/>
      <c r="Y41" s="5"/>
      <c r="Z41" s="5"/>
      <c r="AA41" s="5"/>
      <c r="AB41" s="16"/>
      <c r="AC41" s="16"/>
      <c r="AE41" s="5"/>
    </row>
    <row r="42" spans="1:31" x14ac:dyDescent="0.25">
      <c r="A42" s="2">
        <f t="shared" si="2"/>
        <v>37</v>
      </c>
      <c r="B42" s="8" t="s">
        <v>41</v>
      </c>
      <c r="C42" s="3">
        <v>600398</v>
      </c>
      <c r="D42" t="s">
        <v>463</v>
      </c>
      <c r="E42" s="7">
        <f>+[37]Main!$J$2</f>
        <v>8.7799999999999994</v>
      </c>
      <c r="F42" s="16">
        <f>+[37]Main!$J$4*FX!C9</f>
        <v>5900.1600000000008</v>
      </c>
      <c r="G42" s="16">
        <f>+([37]Main!$J$6-[37]Main!$J$5)*FX!C9</f>
        <v>-679.00000000000011</v>
      </c>
      <c r="H42" s="16">
        <f>F42+G42</f>
        <v>5221.1600000000008</v>
      </c>
      <c r="I42" s="10" t="s">
        <v>149</v>
      </c>
      <c r="K42" s="16"/>
      <c r="M42" s="16"/>
      <c r="N42" s="16"/>
      <c r="Q42" s="18"/>
      <c r="R42" s="18"/>
      <c r="S42" s="18"/>
      <c r="T42" s="18"/>
      <c r="U42" s="18"/>
      <c r="V42" s="18"/>
      <c r="W42" s="19"/>
      <c r="X42" s="18"/>
      <c r="Y42" s="5"/>
      <c r="Z42" s="5"/>
      <c r="AA42" s="5"/>
      <c r="AB42" s="16"/>
      <c r="AC42" s="16"/>
      <c r="AD42" s="22">
        <v>1997</v>
      </c>
      <c r="AE42" s="5"/>
    </row>
    <row r="43" spans="1:31" x14ac:dyDescent="0.25">
      <c r="A43" s="2">
        <f t="shared" si="2"/>
        <v>38</v>
      </c>
      <c r="B43" s="8" t="s">
        <v>325</v>
      </c>
      <c r="C43" s="3" t="s">
        <v>394</v>
      </c>
      <c r="D43" t="s">
        <v>187</v>
      </c>
      <c r="E43" s="7">
        <f>+[38]Main!$H$2</f>
        <v>47278</v>
      </c>
      <c r="F43" s="16">
        <f>+[38]Main!$H$4*FX!C12</f>
        <v>5800.6749262000003</v>
      </c>
      <c r="G43" s="16">
        <f>+([38]Main!$H$6-[38]Main!$H$5)*FX!C12</f>
        <v>-656.01822000000004</v>
      </c>
      <c r="H43" s="16">
        <f>+F43+G43</f>
        <v>5144.6567062000004</v>
      </c>
      <c r="I43" s="10" t="s">
        <v>336</v>
      </c>
      <c r="K43" s="16"/>
      <c r="M43" s="16"/>
      <c r="N43" s="16"/>
      <c r="Q43" s="18"/>
      <c r="R43" s="18"/>
      <c r="S43" s="18"/>
      <c r="T43" s="18"/>
      <c r="U43" s="18"/>
      <c r="V43" s="18"/>
      <c r="W43" s="19"/>
      <c r="X43" s="18"/>
      <c r="Y43" s="5"/>
      <c r="Z43" s="5"/>
      <c r="AA43" s="5"/>
      <c r="AB43" s="16"/>
      <c r="AC43" s="16"/>
      <c r="AE43" s="5"/>
    </row>
    <row r="44" spans="1:31" x14ac:dyDescent="0.25">
      <c r="A44" s="2">
        <f t="shared" si="2"/>
        <v>39</v>
      </c>
      <c r="B44" s="8" t="s">
        <v>33</v>
      </c>
      <c r="C44" s="3" t="s">
        <v>34</v>
      </c>
      <c r="D44" t="s">
        <v>21</v>
      </c>
      <c r="E44" s="7">
        <f>+[39]Main!$H$2</f>
        <v>111.22</v>
      </c>
      <c r="F44" s="16">
        <f>+[39]Main!$H$4</f>
        <v>6240.5541999999996</v>
      </c>
      <c r="G44" s="16">
        <f>+[39]Main!$H$6-[39]Main!$H$5</f>
        <v>1311.9879999999998</v>
      </c>
      <c r="H44" s="16">
        <f>F44+G44</f>
        <v>7552.5421999999999</v>
      </c>
      <c r="I44" s="10" t="s">
        <v>439</v>
      </c>
      <c r="J44" s="15">
        <v>45869</v>
      </c>
      <c r="K44" s="16"/>
      <c r="M44" s="16"/>
      <c r="N44" s="16"/>
      <c r="Q44" s="18"/>
      <c r="R44" s="18"/>
      <c r="S44" s="18"/>
      <c r="T44" s="18"/>
      <c r="U44" s="18"/>
      <c r="V44" s="18"/>
      <c r="W44" s="19"/>
      <c r="X44" s="18"/>
      <c r="Y44" s="5"/>
      <c r="Z44" s="5"/>
      <c r="AA44" s="5"/>
      <c r="AB44" s="16"/>
      <c r="AC44" s="16"/>
      <c r="AD44" s="22">
        <v>2002</v>
      </c>
      <c r="AE44" s="5" t="s">
        <v>411</v>
      </c>
    </row>
    <row r="45" spans="1:31" x14ac:dyDescent="0.25">
      <c r="A45" s="2">
        <f t="shared" si="2"/>
        <v>40</v>
      </c>
      <c r="B45" s="8" t="s">
        <v>326</v>
      </c>
      <c r="C45" s="3" t="s">
        <v>328</v>
      </c>
      <c r="D45" t="s">
        <v>327</v>
      </c>
      <c r="E45" s="7">
        <f>+[40]Main!$I$2</f>
        <v>27.8</v>
      </c>
      <c r="F45" s="16">
        <f>+[40]Main!$I$4*FX!C14</f>
        <v>5512.4063999999998</v>
      </c>
      <c r="G45" s="16">
        <f>+([40]Main!$I$6-[40]Main!$I$5)*FX!C14</f>
        <v>392.36399999999998</v>
      </c>
      <c r="H45" s="16">
        <f>+F45+G45</f>
        <v>5904.7703999999994</v>
      </c>
      <c r="I45" s="10" t="s">
        <v>340</v>
      </c>
      <c r="J45" s="15">
        <v>45804</v>
      </c>
      <c r="K45" s="16"/>
      <c r="M45" s="16"/>
      <c r="N45" s="16"/>
      <c r="Q45" s="18"/>
      <c r="R45" s="18"/>
      <c r="S45" s="18"/>
      <c r="T45" s="18"/>
      <c r="U45" s="18"/>
      <c r="V45" s="18"/>
      <c r="W45" s="19"/>
      <c r="X45" s="18"/>
      <c r="Y45" s="5"/>
      <c r="Z45" s="5"/>
      <c r="AA45" s="5"/>
      <c r="AB45" s="16"/>
      <c r="AC45" s="16"/>
      <c r="AD45" s="22">
        <v>1956</v>
      </c>
      <c r="AE45" s="5" t="s">
        <v>119</v>
      </c>
    </row>
    <row r="46" spans="1:31" x14ac:dyDescent="0.25">
      <c r="A46" s="2">
        <f t="shared" si="2"/>
        <v>41</v>
      </c>
      <c r="B46" s="20" t="s">
        <v>314</v>
      </c>
      <c r="C46" s="3" t="s">
        <v>315</v>
      </c>
      <c r="D46" t="s">
        <v>221</v>
      </c>
      <c r="E46" s="7">
        <f>+[41]Main!$I$2</f>
        <v>0.86919999999999997</v>
      </c>
      <c r="F46" s="16">
        <f>+[41]Main!$I$4*FX!C8</f>
        <v>5559.3336639999998</v>
      </c>
      <c r="G46" s="16">
        <f>+([41]Main!$I$6-[41]Main!$I$5)*FX!C8</f>
        <v>-64.48</v>
      </c>
      <c r="H46" s="16">
        <f>F46+G46</f>
        <v>5494.8536640000002</v>
      </c>
      <c r="I46" s="12" t="s">
        <v>427</v>
      </c>
      <c r="J46" s="15">
        <v>45807</v>
      </c>
      <c r="M46" s="16"/>
      <c r="N46" s="16"/>
      <c r="Q46" s="18"/>
      <c r="R46" s="18"/>
      <c r="S46" s="18"/>
      <c r="T46" s="18"/>
      <c r="U46" s="18"/>
      <c r="V46" s="18"/>
      <c r="W46" s="19"/>
      <c r="X46" s="18"/>
      <c r="Y46" s="5"/>
      <c r="Z46" s="5"/>
      <c r="AA46" s="5"/>
      <c r="AB46" s="16"/>
      <c r="AC46" s="16"/>
      <c r="AD46" s="22">
        <v>1981</v>
      </c>
      <c r="AE46" s="5" t="s">
        <v>405</v>
      </c>
    </row>
    <row r="47" spans="1:31" x14ac:dyDescent="0.25">
      <c r="A47" s="2">
        <f t="shared" si="2"/>
        <v>42</v>
      </c>
      <c r="B47" s="8" t="s">
        <v>331</v>
      </c>
      <c r="C47" s="3" t="s">
        <v>332</v>
      </c>
      <c r="D47" t="s">
        <v>107</v>
      </c>
      <c r="E47" s="7">
        <f>+[42]Main!$H$2</f>
        <v>70.400000000000006</v>
      </c>
      <c r="F47" s="16">
        <f>+[42]Main!$H$4*FX!C13</f>
        <v>5478.5955839999997</v>
      </c>
      <c r="G47" s="16">
        <f>+([42]Main!$H$6-[42]Main!$H$5)*FX!C13</f>
        <v>-142.83482999999998</v>
      </c>
      <c r="H47" s="16">
        <f>+F47+G47</f>
        <v>5335.7607539999999</v>
      </c>
      <c r="I47" s="10" t="s">
        <v>382</v>
      </c>
      <c r="K47" s="16"/>
      <c r="M47" s="16"/>
      <c r="N47" s="16"/>
      <c r="Q47" s="18"/>
      <c r="R47" s="18"/>
      <c r="S47" s="18"/>
      <c r="T47" s="18"/>
      <c r="U47" s="18"/>
      <c r="V47" s="18"/>
      <c r="W47" s="19"/>
      <c r="X47" s="18"/>
      <c r="Y47" s="5"/>
      <c r="Z47" s="5"/>
      <c r="AA47" s="5"/>
      <c r="AB47" s="16"/>
      <c r="AC47" s="16"/>
      <c r="AE47" s="5"/>
    </row>
    <row r="48" spans="1:31" x14ac:dyDescent="0.25">
      <c r="A48" s="2">
        <f t="shared" si="2"/>
        <v>43</v>
      </c>
      <c r="B48" s="8" t="s">
        <v>390</v>
      </c>
      <c r="C48" s="3" t="s">
        <v>461</v>
      </c>
      <c r="D48" t="s">
        <v>463</v>
      </c>
      <c r="E48" s="7">
        <f>+[43]Main!$H$2</f>
        <v>16.02</v>
      </c>
      <c r="F48" s="16">
        <f>+[43]Main!$H$5*FX!C9</f>
        <v>5313.5769879360005</v>
      </c>
      <c r="G48" s="16">
        <f>+([43]Main!$H$7-[43]Main!$H$6)*FX!C9</f>
        <v>-2458.0551799999998</v>
      </c>
      <c r="H48" s="16">
        <f>F48+G48</f>
        <v>2855.5218079360006</v>
      </c>
      <c r="I48" s="10" t="s">
        <v>149</v>
      </c>
      <c r="J48" s="15">
        <v>45733</v>
      </c>
      <c r="K48" s="16"/>
      <c r="M48" s="16"/>
      <c r="N48" s="16"/>
      <c r="Q48" s="18"/>
      <c r="R48" s="18"/>
      <c r="S48" s="18"/>
      <c r="T48" s="18"/>
      <c r="U48" s="18"/>
      <c r="V48" s="18"/>
      <c r="W48" s="19"/>
      <c r="X48" s="18"/>
      <c r="Y48" s="5"/>
      <c r="Z48" s="5"/>
      <c r="AA48" s="5"/>
      <c r="AB48" s="16"/>
      <c r="AC48" s="16"/>
      <c r="AE48" s="5" t="s">
        <v>116</v>
      </c>
    </row>
    <row r="49" spans="1:31" x14ac:dyDescent="0.25">
      <c r="A49" s="2">
        <f t="shared" si="2"/>
        <v>44</v>
      </c>
      <c r="B49" s="8" t="s">
        <v>47</v>
      </c>
      <c r="C49" s="3" t="s">
        <v>462</v>
      </c>
      <c r="D49" t="s">
        <v>463</v>
      </c>
      <c r="E49" s="7">
        <f>+[44]Main!$I$2</f>
        <v>8.01</v>
      </c>
      <c r="F49" s="16">
        <f>+[44]Main!$I$4*FX!C9</f>
        <v>5141.5464790620008</v>
      </c>
      <c r="G49" s="16">
        <f>+([44]Main!$I$6-[44]Main!$I$5)*FX!C9</f>
        <v>1697.6221653999999</v>
      </c>
      <c r="H49" s="16">
        <f>+F49+G49</f>
        <v>6839.1686444620009</v>
      </c>
      <c r="I49" s="10" t="s">
        <v>339</v>
      </c>
      <c r="K49" s="16"/>
      <c r="M49" s="16"/>
      <c r="N49" s="16"/>
      <c r="Q49" s="18"/>
      <c r="R49" s="18"/>
      <c r="S49" s="18"/>
      <c r="T49" s="18"/>
      <c r="U49" s="18"/>
      <c r="V49" s="18"/>
      <c r="W49" s="19"/>
      <c r="X49" s="18"/>
      <c r="Y49" s="5"/>
      <c r="Z49" s="5"/>
      <c r="AA49" s="5"/>
      <c r="AB49" s="16"/>
      <c r="AC49" s="16"/>
      <c r="AE49" s="5"/>
    </row>
    <row r="50" spans="1:31" x14ac:dyDescent="0.25">
      <c r="A50" s="2">
        <f t="shared" si="2"/>
        <v>45</v>
      </c>
      <c r="B50" s="8" t="s">
        <v>154</v>
      </c>
      <c r="C50" s="3" t="s">
        <v>155</v>
      </c>
      <c r="D50" t="s">
        <v>21</v>
      </c>
      <c r="E50" s="7">
        <f>+[45]Main!$J$2</f>
        <v>73.099999999999994</v>
      </c>
      <c r="F50" s="16">
        <f>+[45]Main!$J$4</f>
        <v>6707.1010247999993</v>
      </c>
      <c r="G50" s="16">
        <f>+[45]Main!$J$6-[45]Main!$J$5</f>
        <v>-475.01799999999997</v>
      </c>
      <c r="H50" s="16">
        <f>+F50+G50</f>
        <v>6232.0830247999993</v>
      </c>
      <c r="I50" s="10" t="s">
        <v>725</v>
      </c>
      <c r="J50" s="15">
        <v>45889</v>
      </c>
      <c r="K50" s="16"/>
      <c r="M50" s="16"/>
      <c r="N50" s="16"/>
      <c r="Q50" s="18"/>
      <c r="R50" s="18"/>
      <c r="S50" s="18"/>
      <c r="T50" s="18"/>
      <c r="U50" s="18"/>
      <c r="V50" s="18"/>
      <c r="W50" s="19"/>
      <c r="X50" s="18"/>
      <c r="Y50" s="5"/>
      <c r="Z50" s="5"/>
      <c r="AA50" s="5"/>
      <c r="AB50" s="16"/>
      <c r="AC50" s="16"/>
      <c r="AE50" s="5"/>
    </row>
    <row r="51" spans="1:31" x14ac:dyDescent="0.25">
      <c r="A51" s="2">
        <f t="shared" si="2"/>
        <v>46</v>
      </c>
      <c r="B51" s="8" t="s">
        <v>35</v>
      </c>
      <c r="C51" s="3" t="s">
        <v>387</v>
      </c>
      <c r="D51" t="s">
        <v>82</v>
      </c>
      <c r="E51" s="7">
        <f>+[46]Main!$I$2</f>
        <v>24.59</v>
      </c>
      <c r="F51" s="16">
        <f>+[46]Main!$I$4*FX!C3</f>
        <v>3786.9386880000002</v>
      </c>
      <c r="G51" s="16">
        <f>+([46]Main!$I$6-[46]Main!$I$5)*FX!C3</f>
        <v>1064.232</v>
      </c>
      <c r="H51" s="16">
        <f t="shared" si="3"/>
        <v>4851.1706880000002</v>
      </c>
      <c r="I51" s="10" t="s">
        <v>439</v>
      </c>
      <c r="J51" s="15">
        <v>45869</v>
      </c>
      <c r="K51" s="16"/>
      <c r="M51" s="16"/>
      <c r="N51" s="16"/>
      <c r="Q51" s="18"/>
      <c r="R51" s="18"/>
      <c r="S51" s="18"/>
      <c r="T51" s="18"/>
      <c r="U51" s="18"/>
      <c r="V51" s="18"/>
      <c r="W51" s="19"/>
      <c r="X51" s="18"/>
      <c r="Y51" s="5"/>
      <c r="Z51" s="5"/>
      <c r="AA51" s="5"/>
      <c r="AB51" s="16"/>
      <c r="AC51" s="16"/>
      <c r="AD51" s="22">
        <v>1948</v>
      </c>
      <c r="AE51" s="5" t="s">
        <v>405</v>
      </c>
    </row>
    <row r="52" spans="1:31" x14ac:dyDescent="0.25">
      <c r="A52" s="2">
        <f t="shared" si="2"/>
        <v>47</v>
      </c>
      <c r="B52" s="8" t="s">
        <v>40</v>
      </c>
      <c r="C52" s="3" t="s">
        <v>392</v>
      </c>
      <c r="D52" t="s">
        <v>463</v>
      </c>
      <c r="E52" s="7">
        <f>+[47]Main!$I$2</f>
        <v>3.75</v>
      </c>
      <c r="F52" s="16">
        <f>+[47]Main!$I$5*FX!C9</f>
        <v>5271.5025720000003</v>
      </c>
      <c r="G52" s="16">
        <f>+([47]Main!$I$7-[47]Main!$I$6)*FX!C9</f>
        <v>-653.85012000000006</v>
      </c>
      <c r="H52" s="16">
        <f t="shared" si="3"/>
        <v>4617.6524520000003</v>
      </c>
      <c r="I52" s="10" t="s">
        <v>336</v>
      </c>
      <c r="J52" s="15">
        <v>45833</v>
      </c>
      <c r="K52" s="16"/>
      <c r="M52" s="16"/>
      <c r="N52" s="16"/>
      <c r="Q52" s="18"/>
      <c r="R52" s="18"/>
      <c r="S52" s="18"/>
      <c r="T52" s="18"/>
      <c r="U52" s="18"/>
      <c r="V52" s="18"/>
      <c r="W52" s="19"/>
      <c r="X52" s="18"/>
      <c r="Y52" s="5"/>
      <c r="Z52" s="5"/>
      <c r="AA52" s="5"/>
      <c r="AB52" s="16"/>
      <c r="AC52" s="16"/>
      <c r="AD52" s="22">
        <v>1976</v>
      </c>
      <c r="AE52" s="5" t="s">
        <v>97</v>
      </c>
    </row>
    <row r="53" spans="1:31" x14ac:dyDescent="0.25">
      <c r="A53" s="2">
        <f t="shared" si="2"/>
        <v>48</v>
      </c>
      <c r="B53" s="8" t="s">
        <v>112</v>
      </c>
      <c r="C53" s="3" t="s">
        <v>113</v>
      </c>
      <c r="D53" t="s">
        <v>21</v>
      </c>
      <c r="E53" s="7">
        <f>+[48]Main!$I$2</f>
        <v>97.25</v>
      </c>
      <c r="F53" s="16">
        <f>+[48]Main!$I$4</f>
        <v>4786.0614999999998</v>
      </c>
      <c r="G53" s="16">
        <f>+[48]Main!$I$6-[48]Main!$I$5</f>
        <v>-607.56899999999996</v>
      </c>
      <c r="H53" s="16">
        <f>F53+G53</f>
        <v>4178.4925000000003</v>
      </c>
      <c r="I53" s="12" t="s">
        <v>340</v>
      </c>
      <c r="J53" s="15">
        <v>45805</v>
      </c>
      <c r="K53" s="16">
        <v>4280.7</v>
      </c>
      <c r="L53" s="9">
        <v>0.16</v>
      </c>
      <c r="M53" s="16">
        <v>484.7</v>
      </c>
      <c r="N53" s="16">
        <v>328.1</v>
      </c>
      <c r="O53" s="9">
        <v>0.63</v>
      </c>
      <c r="P53" s="9">
        <v>0.11</v>
      </c>
      <c r="Q53" s="18"/>
      <c r="R53" s="18"/>
      <c r="S53" s="18"/>
      <c r="T53" s="18"/>
      <c r="U53" s="18"/>
      <c r="V53" s="18"/>
      <c r="W53" s="19"/>
      <c r="X53" s="18"/>
      <c r="Y53" s="5"/>
      <c r="Z53" s="5"/>
      <c r="AA53" s="5"/>
      <c r="AB53" s="16"/>
      <c r="AC53" s="16"/>
      <c r="AD53" s="22">
        <v>1892</v>
      </c>
      <c r="AE53" s="5" t="s">
        <v>97</v>
      </c>
    </row>
    <row r="54" spans="1:31" x14ac:dyDescent="0.25">
      <c r="A54" s="2">
        <f t="shared" si="2"/>
        <v>49</v>
      </c>
      <c r="B54" s="8" t="s">
        <v>42</v>
      </c>
      <c r="C54" s="3" t="s">
        <v>43</v>
      </c>
      <c r="D54" t="s">
        <v>21</v>
      </c>
      <c r="E54" s="7">
        <f>+[49]Main!$I$2</f>
        <v>82.85</v>
      </c>
      <c r="F54" s="16">
        <f>+[49]Main!$I$4</f>
        <v>4693.9495999999999</v>
      </c>
      <c r="G54" s="16">
        <f>+[49]Main!$I$6-[49]Main!$I$5</f>
        <v>-815.47700000000009</v>
      </c>
      <c r="H54" s="16">
        <f t="shared" si="3"/>
        <v>3878.4726000000001</v>
      </c>
      <c r="I54" s="10" t="s">
        <v>340</v>
      </c>
      <c r="J54" s="15">
        <v>45771</v>
      </c>
      <c r="K54" s="16"/>
      <c r="M54" s="16"/>
      <c r="N54" s="16"/>
      <c r="Q54" s="18"/>
      <c r="R54" s="18"/>
      <c r="S54" s="18"/>
      <c r="T54" s="18"/>
      <c r="U54" s="18"/>
      <c r="V54" s="18"/>
      <c r="W54" s="19"/>
      <c r="X54" s="18"/>
      <c r="Y54" s="5"/>
      <c r="Z54" s="5"/>
      <c r="AA54" s="5"/>
      <c r="AB54" s="16"/>
      <c r="AC54" s="16"/>
      <c r="AD54" s="22">
        <v>1938</v>
      </c>
      <c r="AE54" s="5" t="s">
        <v>97</v>
      </c>
    </row>
    <row r="55" spans="1:31" x14ac:dyDescent="0.25">
      <c r="A55" s="2">
        <f t="shared" si="2"/>
        <v>50</v>
      </c>
      <c r="B55" s="8" t="s">
        <v>36</v>
      </c>
      <c r="C55" s="3" t="s">
        <v>37</v>
      </c>
      <c r="D55" t="s">
        <v>21</v>
      </c>
      <c r="E55" s="7">
        <f>+[50]Main!$J$2</f>
        <v>66.599999999999994</v>
      </c>
      <c r="F55" s="16">
        <f>+[50]Main!$J$4</f>
        <v>3201.6697920000001</v>
      </c>
      <c r="G55" s="16">
        <f>+([50]Main!$J$6-[50]Main!$J$5)</f>
        <v>2156.3000000000002</v>
      </c>
      <c r="H55" s="16">
        <f>F55+G55</f>
        <v>5357.9697919999999</v>
      </c>
      <c r="I55" s="10" t="s">
        <v>439</v>
      </c>
      <c r="J55" s="15">
        <v>45896</v>
      </c>
      <c r="K55" s="16"/>
      <c r="M55" s="16"/>
      <c r="N55" s="16"/>
      <c r="Q55" s="18"/>
      <c r="R55" s="18"/>
      <c r="S55" s="18"/>
      <c r="T55" s="18"/>
      <c r="U55" s="18"/>
      <c r="V55" s="18"/>
      <c r="W55" s="19"/>
      <c r="X55" s="18"/>
      <c r="Y55" s="5"/>
      <c r="Z55" s="5"/>
      <c r="AA55" s="5"/>
      <c r="AB55" s="16"/>
      <c r="AC55" s="16"/>
      <c r="AD55" s="22">
        <v>1881</v>
      </c>
      <c r="AE55" s="5" t="s">
        <v>97</v>
      </c>
    </row>
    <row r="56" spans="1:31" x14ac:dyDescent="0.25">
      <c r="A56" s="2">
        <f t="shared" si="2"/>
        <v>51</v>
      </c>
      <c r="B56" s="8" t="s">
        <v>49</v>
      </c>
      <c r="C56" s="3" t="s">
        <v>422</v>
      </c>
      <c r="D56" t="s">
        <v>125</v>
      </c>
      <c r="E56" s="7">
        <f>+[51]Sheet1!$I$2</f>
        <v>2816.5</v>
      </c>
      <c r="F56" s="16">
        <f>+[51]Sheet1!$I$4*FX!C5</f>
        <v>4393.7011297651507</v>
      </c>
      <c r="G56" s="16">
        <f>+([51]Sheet1!$I$6-[51]Sheet1!$I$5)*FX!C5</f>
        <v>-837.64170000000001</v>
      </c>
      <c r="H56" s="16">
        <f>+F56+G56</f>
        <v>3556.0594297651505</v>
      </c>
      <c r="I56" s="10" t="s">
        <v>340</v>
      </c>
      <c r="J56" s="15">
        <v>45812</v>
      </c>
      <c r="K56" s="16"/>
      <c r="M56" s="16"/>
      <c r="N56" s="16"/>
      <c r="Q56" s="18"/>
      <c r="R56" s="18"/>
      <c r="S56" s="18"/>
      <c r="T56" s="18"/>
      <c r="U56" s="18"/>
      <c r="V56" s="18"/>
      <c r="W56" s="19"/>
      <c r="X56" s="18"/>
      <c r="Y56" s="5"/>
      <c r="Z56" s="5"/>
      <c r="AA56" s="5"/>
      <c r="AB56" s="16"/>
      <c r="AC56" s="16"/>
      <c r="AD56" s="22">
        <v>1985</v>
      </c>
      <c r="AE56" s="5" t="s">
        <v>438</v>
      </c>
    </row>
    <row r="57" spans="1:31" x14ac:dyDescent="0.25">
      <c r="A57" s="2">
        <f t="shared" si="2"/>
        <v>52</v>
      </c>
      <c r="B57" s="8" t="s">
        <v>48</v>
      </c>
      <c r="C57" s="3" t="s">
        <v>464</v>
      </c>
      <c r="D57" t="s">
        <v>221</v>
      </c>
      <c r="E57" s="7">
        <f>+[52]Main!$I$2</f>
        <v>9.48</v>
      </c>
      <c r="F57" s="16">
        <f>+[52]Main!$I$4*FX!C3</f>
        <v>3533.53728</v>
      </c>
      <c r="G57" s="16">
        <f>+([52]Main!$I$6-[52]Main!$I$5)*FX!C3</f>
        <v>31.200000000000003</v>
      </c>
      <c r="H57" s="16">
        <f>+F57+G57</f>
        <v>3564.7372799999998</v>
      </c>
      <c r="I57" s="10" t="s">
        <v>150</v>
      </c>
      <c r="J57" s="15">
        <v>45974</v>
      </c>
      <c r="K57" s="16"/>
      <c r="M57" s="16"/>
      <c r="N57" s="16"/>
      <c r="Q57" s="18"/>
      <c r="R57" s="18"/>
      <c r="S57" s="18"/>
      <c r="T57" s="18"/>
      <c r="U57" s="18"/>
      <c r="V57" s="18"/>
      <c r="W57" s="19"/>
      <c r="X57" s="18"/>
      <c r="Y57" s="5"/>
      <c r="Z57" s="5"/>
      <c r="AA57" s="5"/>
      <c r="AB57" s="16"/>
      <c r="AC57" s="16"/>
      <c r="AE57" s="5"/>
    </row>
    <row r="58" spans="1:31" x14ac:dyDescent="0.25">
      <c r="A58" s="2">
        <f t="shared" si="2"/>
        <v>53</v>
      </c>
      <c r="B58" s="8" t="s">
        <v>319</v>
      </c>
      <c r="C58" s="3" t="s">
        <v>318</v>
      </c>
      <c r="D58" t="s">
        <v>21</v>
      </c>
      <c r="E58" s="7">
        <f>+[53]Main!$I$2</f>
        <v>137.26</v>
      </c>
      <c r="F58" s="16">
        <f>+[53]Main!$I$4</f>
        <v>4194.5283399999998</v>
      </c>
      <c r="G58" s="16">
        <f>+[53]Main!$I$6-[53]Main!$I$5</f>
        <v>-152.91399999999999</v>
      </c>
      <c r="H58" s="16">
        <f t="shared" si="3"/>
        <v>4041.6143400000001</v>
      </c>
      <c r="I58" s="10" t="s">
        <v>382</v>
      </c>
      <c r="J58" s="15">
        <v>45791</v>
      </c>
      <c r="K58" s="16"/>
      <c r="M58" s="16"/>
      <c r="N58" s="16"/>
      <c r="Q58" s="18"/>
      <c r="R58" s="18"/>
      <c r="S58" s="18"/>
      <c r="T58" s="18"/>
      <c r="U58" s="18"/>
      <c r="V58" s="18"/>
      <c r="W58" s="19"/>
      <c r="X58" s="18"/>
      <c r="Y58" s="5"/>
      <c r="Z58" s="5"/>
      <c r="AA58" s="5"/>
      <c r="AB58" s="16"/>
      <c r="AC58" s="16"/>
      <c r="AD58" s="22">
        <v>1978</v>
      </c>
      <c r="AE58" s="5" t="s">
        <v>413</v>
      </c>
    </row>
    <row r="59" spans="1:31" x14ac:dyDescent="0.25">
      <c r="A59" s="2">
        <f t="shared" si="2"/>
        <v>54</v>
      </c>
      <c r="B59" s="8" t="s">
        <v>414</v>
      </c>
      <c r="C59" s="3" t="s">
        <v>320</v>
      </c>
      <c r="D59" t="s">
        <v>21</v>
      </c>
      <c r="E59" s="7">
        <f>+[54]Main!$I$2</f>
        <v>74.06</v>
      </c>
      <c r="F59" s="16">
        <f>+[54]Main!$I$4</f>
        <v>4097.4471148800003</v>
      </c>
      <c r="G59" s="16">
        <f>+[54]Main!$I$6-[54]Main!$I$5</f>
        <v>396.24900000000008</v>
      </c>
      <c r="H59" s="16">
        <f t="shared" si="3"/>
        <v>4493.6961148800001</v>
      </c>
      <c r="I59" s="10" t="s">
        <v>340</v>
      </c>
      <c r="J59" s="15"/>
      <c r="K59" s="16"/>
      <c r="M59" s="16"/>
      <c r="N59" s="16"/>
      <c r="Q59" s="18"/>
      <c r="R59" s="18"/>
      <c r="S59" s="18"/>
      <c r="T59" s="18"/>
      <c r="U59" s="18"/>
      <c r="V59" s="18"/>
      <c r="W59" s="19"/>
      <c r="X59" s="18"/>
      <c r="Y59" s="5"/>
      <c r="Z59" s="5"/>
      <c r="AA59" s="5"/>
      <c r="AB59" s="16"/>
      <c r="AC59" s="16"/>
      <c r="AD59" s="22">
        <v>2019</v>
      </c>
      <c r="AE59" s="5" t="s">
        <v>415</v>
      </c>
    </row>
    <row r="60" spans="1:31" x14ac:dyDescent="0.25">
      <c r="A60" s="2">
        <f t="shared" si="2"/>
        <v>55</v>
      </c>
      <c r="B60" s="8" t="s">
        <v>448</v>
      </c>
      <c r="C60" s="3" t="s">
        <v>348</v>
      </c>
      <c r="D60" t="s">
        <v>21</v>
      </c>
      <c r="E60" s="7">
        <f>+[55]Main!$I$2</f>
        <v>24.29</v>
      </c>
      <c r="F60" s="16">
        <f>+[55]Main!$I$4</f>
        <v>4005.5894754400001</v>
      </c>
      <c r="G60" s="16">
        <f>+[55]Main!$I$6-[55]Main!$I$5</f>
        <v>2220</v>
      </c>
      <c r="H60" s="16">
        <f>+F60+G60</f>
        <v>6225.5894754399997</v>
      </c>
      <c r="Q60" s="18"/>
      <c r="R60" s="18"/>
      <c r="S60" s="18"/>
      <c r="T60" s="18"/>
      <c r="U60" s="18"/>
      <c r="V60" s="18"/>
      <c r="W60" s="19"/>
      <c r="X60" s="18"/>
      <c r="Y60" s="5"/>
      <c r="Z60" s="5"/>
      <c r="AA60" s="5"/>
      <c r="AB60" s="16"/>
      <c r="AC60" s="16"/>
      <c r="AE60" s="5" t="s">
        <v>119</v>
      </c>
    </row>
    <row r="61" spans="1:31" x14ac:dyDescent="0.25">
      <c r="A61" s="2">
        <f t="shared" si="2"/>
        <v>56</v>
      </c>
      <c r="B61" s="8" t="s">
        <v>50</v>
      </c>
      <c r="C61" s="3" t="s">
        <v>465</v>
      </c>
      <c r="D61" t="s">
        <v>440</v>
      </c>
      <c r="E61" s="7">
        <f>+[56]Main!$J$2</f>
        <v>132.5</v>
      </c>
      <c r="F61" s="16">
        <f>+[56]Main!$J$4*FX!C15</f>
        <v>3925.244925</v>
      </c>
      <c r="G61" s="16">
        <f>+([56]Main!$J$6-[56]Main!$J$5)*FX!C15</f>
        <v>122.75229000000002</v>
      </c>
      <c r="H61" s="16">
        <f>+F61+G61</f>
        <v>4047.9972149999999</v>
      </c>
      <c r="I61" s="10" t="s">
        <v>339</v>
      </c>
      <c r="K61" s="16"/>
      <c r="M61" s="16"/>
      <c r="N61" s="16"/>
      <c r="Q61" s="18"/>
      <c r="R61" s="18"/>
      <c r="S61" s="18"/>
      <c r="T61" s="18"/>
      <c r="U61" s="18"/>
      <c r="V61" s="18"/>
      <c r="W61" s="19"/>
      <c r="X61" s="18"/>
      <c r="Y61" s="5"/>
      <c r="Z61" s="5"/>
      <c r="AA61" s="5"/>
      <c r="AB61" s="16"/>
      <c r="AC61" s="16"/>
      <c r="AE61" s="5"/>
    </row>
    <row r="62" spans="1:31" x14ac:dyDescent="0.25">
      <c r="A62" s="2">
        <f t="shared" si="2"/>
        <v>57</v>
      </c>
      <c r="B62" s="8" t="s">
        <v>152</v>
      </c>
      <c r="C62" s="3" t="s">
        <v>153</v>
      </c>
      <c r="D62" t="s">
        <v>21</v>
      </c>
      <c r="E62" s="7">
        <f>+[57]Sheet1!$J$2</f>
        <v>208.43</v>
      </c>
      <c r="F62" s="16">
        <f>+[57]Sheet1!$J$4</f>
        <v>3869.6348861900005</v>
      </c>
      <c r="G62" s="16">
        <f>+[57]Sheet1!$J$6-[57]Sheet1!$J$5</f>
        <v>-180.98000000000002</v>
      </c>
      <c r="H62" s="16">
        <f>+F62+G62</f>
        <v>3688.6548861900005</v>
      </c>
      <c r="I62" s="10" t="s">
        <v>439</v>
      </c>
      <c r="K62" s="16"/>
      <c r="M62" s="16"/>
      <c r="N62" s="16"/>
      <c r="Q62" s="18"/>
      <c r="R62" s="18"/>
      <c r="S62" s="18"/>
      <c r="T62" s="18"/>
      <c r="U62" s="18"/>
      <c r="V62" s="18"/>
      <c r="W62" s="19"/>
      <c r="X62" s="18"/>
      <c r="Y62" s="5"/>
      <c r="Z62" s="5"/>
      <c r="AA62" s="5"/>
      <c r="AB62" s="16"/>
      <c r="AC62" s="16"/>
      <c r="AE62" s="5"/>
    </row>
    <row r="63" spans="1:31" x14ac:dyDescent="0.25">
      <c r="A63" s="2">
        <f t="shared" si="2"/>
        <v>58</v>
      </c>
      <c r="B63" s="8" t="s">
        <v>53</v>
      </c>
      <c r="C63" s="3" t="s">
        <v>707</v>
      </c>
      <c r="D63" t="s">
        <v>82</v>
      </c>
      <c r="E63" s="7">
        <f>+[58]Main!$J$2</f>
        <v>38.450000000000003</v>
      </c>
      <c r="F63" s="16">
        <f>+[58]Main!$J$4*FX!C3</f>
        <v>2815.1552000000006</v>
      </c>
      <c r="G63" s="16">
        <f>+([58]Main!$J$6-[58]Main!$J$5)*FX!C3</f>
        <v>228.8</v>
      </c>
      <c r="H63" s="16">
        <f>+F63+G63</f>
        <v>3043.9552000000008</v>
      </c>
      <c r="I63" s="10" t="s">
        <v>439</v>
      </c>
      <c r="J63" s="15">
        <v>45874</v>
      </c>
      <c r="K63" s="16"/>
      <c r="M63" s="16"/>
      <c r="N63" s="16"/>
      <c r="Q63" s="18"/>
      <c r="R63" s="18"/>
      <c r="S63" s="18"/>
      <c r="T63" s="18"/>
      <c r="U63" s="18"/>
      <c r="V63" s="18"/>
      <c r="W63" s="19"/>
      <c r="X63" s="18"/>
      <c r="Y63" s="5"/>
      <c r="Z63" s="5"/>
      <c r="AA63" s="5"/>
      <c r="AB63" s="16"/>
      <c r="AC63" s="16"/>
      <c r="AE63" s="5"/>
    </row>
    <row r="64" spans="1:31" x14ac:dyDescent="0.25">
      <c r="A64" s="2">
        <f t="shared" si="2"/>
        <v>59</v>
      </c>
      <c r="B64" s="8" t="s">
        <v>58</v>
      </c>
      <c r="C64" s="3" t="s">
        <v>60</v>
      </c>
      <c r="D64" t="s">
        <v>21</v>
      </c>
      <c r="E64" s="7">
        <f>+[59]Main!$I$2</f>
        <v>6.03</v>
      </c>
      <c r="F64" s="16">
        <f>+[59]Main!$I$4</f>
        <v>2588.63076</v>
      </c>
      <c r="G64" s="16">
        <f>+[59]Main!$I$6-[59]Main!$I$5</f>
        <v>93.76400000000001</v>
      </c>
      <c r="H64" s="16">
        <f>+F64+G64</f>
        <v>2682.3947600000001</v>
      </c>
      <c r="I64" s="10" t="s">
        <v>336</v>
      </c>
      <c r="J64" s="15">
        <v>45789</v>
      </c>
      <c r="K64" s="16"/>
      <c r="M64" s="16"/>
      <c r="N64" s="16"/>
      <c r="Q64" s="18"/>
      <c r="R64" s="18"/>
      <c r="S64" s="18"/>
      <c r="T64" s="18"/>
      <c r="U64" s="18"/>
      <c r="V64" s="18"/>
      <c r="W64" s="19"/>
      <c r="X64" s="18"/>
      <c r="Y64" s="5"/>
      <c r="Z64" s="5"/>
      <c r="AA64" s="5"/>
      <c r="AB64" s="16"/>
      <c r="AC64" s="16"/>
      <c r="AE64" s="5"/>
    </row>
    <row r="65" spans="1:31" x14ac:dyDescent="0.25">
      <c r="A65" s="2">
        <f t="shared" si="2"/>
        <v>60</v>
      </c>
      <c r="B65" s="8" t="s">
        <v>329</v>
      </c>
      <c r="C65" s="3" t="s">
        <v>330</v>
      </c>
      <c r="D65" t="s">
        <v>21</v>
      </c>
      <c r="E65" s="7">
        <f>+[60]Main!$I$2</f>
        <v>14.35</v>
      </c>
      <c r="F65" s="16">
        <f>+[60]Main!$I$4</f>
        <v>2756.6605860499999</v>
      </c>
      <c r="G65" s="16">
        <f>+[60]Main!$I$6-[60]Main!$I$5</f>
        <v>-160.19499999999999</v>
      </c>
      <c r="H65" s="16">
        <f t="shared" ref="H65:H71" si="4">+F65+G65</f>
        <v>2596.4655860499997</v>
      </c>
      <c r="I65" s="10" t="s">
        <v>339</v>
      </c>
      <c r="J65" s="15">
        <v>45723</v>
      </c>
      <c r="K65" s="16"/>
      <c r="M65" s="16"/>
      <c r="N65" s="16"/>
      <c r="Q65" s="18"/>
      <c r="R65" s="18"/>
      <c r="S65" s="18"/>
      <c r="T65" s="18"/>
      <c r="U65" s="18"/>
      <c r="V65" s="18"/>
      <c r="W65" s="19"/>
      <c r="X65" s="18"/>
      <c r="Y65" s="5"/>
      <c r="Z65" s="5"/>
      <c r="AA65" s="5"/>
      <c r="AB65" s="16"/>
      <c r="AC65" s="16"/>
      <c r="AE65" s="5"/>
    </row>
    <row r="66" spans="1:31" x14ac:dyDescent="0.25">
      <c r="A66" s="2">
        <f t="shared" si="2"/>
        <v>61</v>
      </c>
      <c r="B66" s="8" t="s">
        <v>334</v>
      </c>
      <c r="C66" s="3" t="s">
        <v>335</v>
      </c>
      <c r="D66" t="s">
        <v>187</v>
      </c>
      <c r="E66" s="7">
        <f>+[61]Main!$I$2</f>
        <v>263.45</v>
      </c>
      <c r="F66" s="16">
        <f>+[61]Main!$I$4*FX!C12</f>
        <v>2976.4027894628493</v>
      </c>
      <c r="G66" s="16">
        <f>+([61]Main!$I$6-[61]Main!$I$5)*FX!C12</f>
        <v>26.92503</v>
      </c>
      <c r="H66" s="16">
        <f t="shared" si="4"/>
        <v>3003.3278194628492</v>
      </c>
      <c r="I66" s="10" t="s">
        <v>340</v>
      </c>
      <c r="K66" s="16"/>
      <c r="M66" s="16"/>
      <c r="N66" s="16"/>
      <c r="Q66" s="18"/>
      <c r="R66" s="18"/>
      <c r="S66" s="18"/>
      <c r="T66" s="18"/>
      <c r="U66" s="18"/>
      <c r="V66" s="18"/>
      <c r="W66" s="19"/>
      <c r="X66" s="18"/>
      <c r="Y66" s="5"/>
      <c r="Z66" s="5"/>
      <c r="AA66" s="5"/>
      <c r="AB66" s="16"/>
      <c r="AC66" s="16"/>
      <c r="AE66" s="5"/>
    </row>
    <row r="67" spans="1:31" x14ac:dyDescent="0.25">
      <c r="A67" s="2">
        <f t="shared" si="2"/>
        <v>62</v>
      </c>
      <c r="B67" s="8" t="s">
        <v>163</v>
      </c>
      <c r="C67" s="3" t="s">
        <v>396</v>
      </c>
      <c r="D67" t="s">
        <v>21</v>
      </c>
      <c r="E67" s="7">
        <f>+[62]Main!$I$2</f>
        <v>34.99</v>
      </c>
      <c r="F67" s="16">
        <f>+[62]Main!$I$4</f>
        <v>2750.9694340999999</v>
      </c>
      <c r="G67" s="16">
        <f>+[62]Main!$I$6-[62]Main!$I$5</f>
        <v>1257</v>
      </c>
      <c r="H67" s="16">
        <f>F67+G67</f>
        <v>4007.9694340999999</v>
      </c>
      <c r="I67" s="12" t="s">
        <v>339</v>
      </c>
      <c r="J67" s="15">
        <v>45722</v>
      </c>
      <c r="Q67" s="18"/>
      <c r="R67" s="18"/>
      <c r="S67" s="18"/>
      <c r="T67" s="18"/>
      <c r="U67" s="18"/>
      <c r="V67" s="18"/>
      <c r="W67" s="19"/>
      <c r="X67" s="18"/>
      <c r="Y67" s="5"/>
      <c r="Z67" s="5"/>
      <c r="AA67" s="5"/>
      <c r="AB67" s="16"/>
      <c r="AC67" s="16"/>
      <c r="AD67" s="22">
        <v>1977</v>
      </c>
      <c r="AE67" s="5" t="s">
        <v>119</v>
      </c>
    </row>
    <row r="68" spans="1:31" x14ac:dyDescent="0.25">
      <c r="A68" s="2">
        <f t="shared" si="2"/>
        <v>63</v>
      </c>
      <c r="B68" s="8" t="s">
        <v>55</v>
      </c>
      <c r="C68" s="3" t="s">
        <v>56</v>
      </c>
      <c r="D68" t="s">
        <v>21</v>
      </c>
      <c r="E68" s="7">
        <f>+[63]Main!$H$2</f>
        <v>37.49</v>
      </c>
      <c r="F68" s="16">
        <f>+[63]Main!$H$4</f>
        <v>2706.44148976</v>
      </c>
      <c r="G68" s="16">
        <f>+[63]Main!$H$6-[63]Main!$H$5</f>
        <v>-150.47799999999998</v>
      </c>
      <c r="H68" s="16">
        <f>+F68+G68</f>
        <v>2555.9634897599999</v>
      </c>
      <c r="I68" s="10" t="s">
        <v>339</v>
      </c>
      <c r="K68" s="16"/>
      <c r="M68" s="16"/>
      <c r="N68" s="16"/>
      <c r="Q68" s="18"/>
      <c r="R68" s="18"/>
      <c r="S68" s="18"/>
      <c r="T68" s="18"/>
      <c r="U68" s="18"/>
      <c r="V68" s="18"/>
      <c r="W68" s="19"/>
      <c r="X68" s="18"/>
      <c r="Y68" s="5"/>
      <c r="Z68" s="5"/>
      <c r="AA68" s="5"/>
      <c r="AB68" s="16"/>
      <c r="AC68" s="16"/>
      <c r="AE68" s="5"/>
    </row>
    <row r="69" spans="1:31" x14ac:dyDescent="0.25">
      <c r="A69" s="2">
        <f t="shared" si="2"/>
        <v>64</v>
      </c>
      <c r="B69" s="8" t="s">
        <v>321</v>
      </c>
      <c r="C69" s="3" t="s">
        <v>322</v>
      </c>
      <c r="D69" t="s">
        <v>221</v>
      </c>
      <c r="E69" s="7">
        <f>+[64]Main!$I$2</f>
        <v>17.25</v>
      </c>
      <c r="F69" s="16">
        <f>+[64]Main!$I$4</f>
        <v>2045.4005512499998</v>
      </c>
      <c r="G69" s="16">
        <f>+[64]Main!$I$6-[64]Main!$I$5</f>
        <v>1334</v>
      </c>
      <c r="H69" s="16">
        <f>+F69+G69</f>
        <v>3379.4005512499998</v>
      </c>
      <c r="I69" s="10" t="s">
        <v>382</v>
      </c>
      <c r="J69" s="15">
        <v>45805</v>
      </c>
      <c r="K69" s="16"/>
      <c r="M69" s="16"/>
      <c r="N69" s="16"/>
      <c r="Q69" s="18"/>
      <c r="R69" s="18"/>
      <c r="S69" s="18"/>
      <c r="T69" s="18"/>
      <c r="U69" s="18"/>
      <c r="V69" s="18"/>
      <c r="W69" s="19"/>
      <c r="X69" s="18"/>
      <c r="Y69" s="5"/>
      <c r="Z69" s="5"/>
      <c r="AA69" s="5"/>
      <c r="AB69" s="16"/>
      <c r="AC69" s="16"/>
      <c r="AD69" s="22">
        <v>1981</v>
      </c>
      <c r="AE69" s="5" t="s">
        <v>416</v>
      </c>
    </row>
    <row r="70" spans="1:31" x14ac:dyDescent="0.25">
      <c r="A70" s="2">
        <f t="shared" si="2"/>
        <v>65</v>
      </c>
      <c r="B70" s="8" t="s">
        <v>45</v>
      </c>
      <c r="C70" s="3" t="s">
        <v>46</v>
      </c>
      <c r="D70" t="s">
        <v>167</v>
      </c>
      <c r="E70" s="7">
        <f>+[65]Main!$J$2</f>
        <v>9.08</v>
      </c>
      <c r="F70" s="16">
        <f>+[65]Main!$J$4*FX!C3</f>
        <v>2366.7544664192001</v>
      </c>
      <c r="G70" s="16">
        <f>+([65]Main!$J$6-[65]Main!$J$5)*FX!C3</f>
        <v>167.21016000000003</v>
      </c>
      <c r="H70" s="16">
        <f>+F70+G70</f>
        <v>2533.9646264192002</v>
      </c>
      <c r="I70" s="10" t="s">
        <v>149</v>
      </c>
      <c r="J70" s="15">
        <v>45743</v>
      </c>
      <c r="K70" s="16"/>
      <c r="M70" s="16"/>
      <c r="N70" s="16"/>
      <c r="Q70" s="18"/>
      <c r="R70" s="18"/>
      <c r="S70" s="18"/>
      <c r="T70" s="18"/>
      <c r="U70" s="18"/>
      <c r="V70" s="18"/>
      <c r="W70" s="19"/>
      <c r="X70" s="18"/>
      <c r="Y70" s="5"/>
      <c r="Z70" s="5"/>
      <c r="AA70" s="5"/>
      <c r="AB70" s="16"/>
      <c r="AC70" s="16"/>
      <c r="AE70" s="5"/>
    </row>
    <row r="71" spans="1:31" x14ac:dyDescent="0.25">
      <c r="A71" s="2">
        <f t="shared" si="2"/>
        <v>66</v>
      </c>
      <c r="B71" s="8" t="s">
        <v>421</v>
      </c>
      <c r="C71" s="3" t="s">
        <v>333</v>
      </c>
      <c r="D71" t="s">
        <v>187</v>
      </c>
      <c r="E71" s="7">
        <f>+[66]Main!$J$2</f>
        <v>828.4</v>
      </c>
      <c r="F71" s="16">
        <f>+[66]Main!$J$4*FX!C12</f>
        <v>2214.6636811287999</v>
      </c>
      <c r="G71" s="16">
        <f>+([66]Main!$J$6-[66]Main!$J$5)*FX!C12</f>
        <v>-1.8833099999999996</v>
      </c>
      <c r="H71" s="16">
        <f t="shared" si="4"/>
        <v>2212.7803711287997</v>
      </c>
      <c r="I71" s="10" t="s">
        <v>382</v>
      </c>
      <c r="J71" s="15">
        <v>45776</v>
      </c>
      <c r="K71" s="16"/>
      <c r="M71" s="16"/>
      <c r="N71" s="16"/>
      <c r="Q71" s="18"/>
      <c r="R71" s="18"/>
      <c r="S71" s="18"/>
      <c r="T71" s="18"/>
      <c r="U71" s="18"/>
      <c r="V71" s="18"/>
      <c r="W71" s="19"/>
      <c r="X71" s="18"/>
      <c r="Y71" s="5"/>
      <c r="Z71" s="5"/>
      <c r="AA71" s="5"/>
      <c r="AB71" s="16"/>
      <c r="AC71" s="16"/>
      <c r="AE71" s="5"/>
    </row>
    <row r="72" spans="1:31" x14ac:dyDescent="0.25">
      <c r="A72" s="2">
        <f t="shared" ref="A72:A135" si="5">+A71+1</f>
        <v>67</v>
      </c>
      <c r="B72" t="s">
        <v>51</v>
      </c>
      <c r="C72" s="3">
        <v>7453</v>
      </c>
      <c r="F72" s="16"/>
      <c r="G72" s="16"/>
      <c r="H72" s="16"/>
      <c r="K72" s="16"/>
      <c r="M72" s="16"/>
      <c r="N72" s="16"/>
      <c r="Q72" s="18"/>
      <c r="R72" s="18"/>
      <c r="S72" s="18"/>
      <c r="T72" s="18"/>
      <c r="U72" s="18"/>
      <c r="V72" s="18"/>
      <c r="W72" s="19"/>
      <c r="X72" s="18"/>
      <c r="Y72" s="5"/>
      <c r="Z72" s="5"/>
      <c r="AA72" s="5"/>
      <c r="AB72" s="16"/>
      <c r="AC72" s="16"/>
      <c r="AE72" s="5"/>
    </row>
    <row r="73" spans="1:31" x14ac:dyDescent="0.25">
      <c r="A73" s="2">
        <f t="shared" si="5"/>
        <v>68</v>
      </c>
      <c r="B73" t="s">
        <v>52</v>
      </c>
      <c r="C73" s="3">
        <v>1467</v>
      </c>
      <c r="F73" s="16"/>
      <c r="G73" s="16"/>
      <c r="H73" s="16"/>
      <c r="K73" s="16"/>
      <c r="M73" s="16"/>
      <c r="N73" s="16"/>
      <c r="Q73" s="18"/>
      <c r="R73" s="18"/>
      <c r="S73" s="18"/>
      <c r="T73" s="18"/>
      <c r="U73" s="18"/>
      <c r="V73" s="18"/>
      <c r="W73" s="19"/>
      <c r="X73" s="18"/>
      <c r="Y73" s="5"/>
      <c r="Z73" s="5"/>
      <c r="AA73" s="5"/>
      <c r="AB73" s="16"/>
      <c r="AC73" s="16"/>
      <c r="AE73" s="5"/>
    </row>
    <row r="74" spans="1:31" x14ac:dyDescent="0.25">
      <c r="A74" s="2">
        <f t="shared" si="5"/>
        <v>69</v>
      </c>
      <c r="B74" t="s">
        <v>54</v>
      </c>
      <c r="C74" s="3">
        <v>9904</v>
      </c>
      <c r="F74" s="16"/>
      <c r="G74" s="16"/>
      <c r="H74" s="16"/>
      <c r="K74" s="16"/>
      <c r="M74" s="16"/>
      <c r="N74" s="16"/>
      <c r="Q74" s="18"/>
      <c r="R74" s="18"/>
      <c r="S74" s="18"/>
      <c r="T74" s="18"/>
      <c r="U74" s="18"/>
      <c r="V74" s="18"/>
      <c r="W74" s="19"/>
      <c r="X74" s="18"/>
      <c r="Y74" s="5"/>
      <c r="Z74" s="5"/>
      <c r="AA74" s="5"/>
      <c r="AB74" s="16"/>
      <c r="AC74" s="16"/>
      <c r="AE74" s="5"/>
    </row>
    <row r="75" spans="1:31" x14ac:dyDescent="0.25">
      <c r="A75" s="2">
        <f t="shared" si="5"/>
        <v>70</v>
      </c>
      <c r="B75" t="s">
        <v>57</v>
      </c>
      <c r="C75" s="3" t="s">
        <v>59</v>
      </c>
      <c r="F75" s="16"/>
      <c r="G75" s="16"/>
      <c r="H75" s="16"/>
      <c r="K75" s="16"/>
      <c r="M75" s="16"/>
      <c r="N75" s="16"/>
      <c r="Q75" s="18"/>
      <c r="R75" s="18"/>
      <c r="S75" s="18"/>
      <c r="T75" s="18"/>
      <c r="U75" s="18"/>
      <c r="V75" s="18"/>
      <c r="W75" s="19"/>
      <c r="X75" s="18"/>
      <c r="Y75" s="5"/>
      <c r="Z75" s="5"/>
      <c r="AA75" s="5"/>
      <c r="AB75" s="16"/>
      <c r="AC75" s="16"/>
      <c r="AE75" s="5"/>
    </row>
    <row r="76" spans="1:31" x14ac:dyDescent="0.25">
      <c r="A76" s="2">
        <f t="shared" si="5"/>
        <v>71</v>
      </c>
      <c r="B76" t="s">
        <v>61</v>
      </c>
      <c r="C76" s="3">
        <v>551</v>
      </c>
      <c r="F76" s="16"/>
      <c r="G76" s="16"/>
      <c r="H76" s="16"/>
      <c r="K76" s="16"/>
      <c r="M76" s="16"/>
      <c r="N76" s="16"/>
      <c r="Q76" s="18"/>
      <c r="R76" s="18"/>
      <c r="S76" s="18"/>
      <c r="T76" s="18"/>
      <c r="U76" s="18"/>
      <c r="V76" s="18"/>
      <c r="W76" s="19"/>
      <c r="X76" s="18"/>
      <c r="Y76" s="5"/>
      <c r="Z76" s="5"/>
      <c r="AA76" s="5"/>
      <c r="AB76" s="16"/>
      <c r="AC76" s="16"/>
      <c r="AE76" s="5"/>
    </row>
    <row r="77" spans="1:31" x14ac:dyDescent="0.25">
      <c r="A77" s="2">
        <f t="shared" si="5"/>
        <v>72</v>
      </c>
      <c r="B77" t="s">
        <v>62</v>
      </c>
      <c r="C77" s="3">
        <v>1477</v>
      </c>
      <c r="F77" s="16"/>
      <c r="G77" s="16"/>
      <c r="H77" s="16"/>
      <c r="K77" s="16"/>
      <c r="M77" s="16"/>
      <c r="N77" s="16"/>
      <c r="Q77" s="18"/>
      <c r="R77" s="18"/>
      <c r="S77" s="18"/>
      <c r="T77" s="18"/>
      <c r="U77" s="18"/>
      <c r="V77" s="18"/>
      <c r="W77" s="19"/>
      <c r="X77" s="18"/>
      <c r="Y77" s="5"/>
      <c r="Z77" s="5"/>
      <c r="AA77" s="5"/>
      <c r="AB77" s="16"/>
      <c r="AC77" s="16"/>
      <c r="AE77" s="5"/>
    </row>
    <row r="78" spans="1:31" x14ac:dyDescent="0.25">
      <c r="A78" s="2">
        <f t="shared" si="5"/>
        <v>73</v>
      </c>
      <c r="B78" t="s">
        <v>63</v>
      </c>
      <c r="C78" s="3">
        <v>8111</v>
      </c>
      <c r="F78" s="16"/>
      <c r="G78" s="16"/>
      <c r="H78" s="16"/>
      <c r="K78" s="16"/>
      <c r="M78" s="16"/>
      <c r="N78" s="16"/>
      <c r="Q78" s="18"/>
      <c r="R78" s="18"/>
      <c r="S78" s="18"/>
      <c r="T78" s="18"/>
      <c r="U78" s="18"/>
      <c r="V78" s="18"/>
      <c r="W78" s="19"/>
      <c r="X78" s="18"/>
      <c r="Y78" s="5"/>
      <c r="Z78" s="5"/>
      <c r="AA78" s="5"/>
      <c r="AB78" s="16"/>
      <c r="AC78" s="16"/>
      <c r="AE78" s="5"/>
    </row>
    <row r="79" spans="1:31" x14ac:dyDescent="0.25">
      <c r="A79" s="2">
        <f t="shared" si="5"/>
        <v>74</v>
      </c>
      <c r="B79" t="s">
        <v>65</v>
      </c>
      <c r="C79" s="4" t="s">
        <v>64</v>
      </c>
      <c r="F79" s="16"/>
      <c r="G79" s="16"/>
      <c r="H79" s="16"/>
      <c r="K79" s="16"/>
      <c r="M79" s="16"/>
      <c r="N79" s="16"/>
      <c r="Q79" s="18"/>
      <c r="R79" s="18"/>
      <c r="S79" s="18"/>
      <c r="T79" s="18"/>
      <c r="U79" s="18"/>
      <c r="V79" s="18"/>
      <c r="W79" s="19"/>
      <c r="X79" s="18"/>
      <c r="Y79" s="5"/>
      <c r="Z79" s="5"/>
      <c r="AA79" s="5"/>
      <c r="AB79" s="16"/>
      <c r="AC79" s="16"/>
      <c r="AE79" s="5"/>
    </row>
    <row r="80" spans="1:31" x14ac:dyDescent="0.25">
      <c r="A80" s="2">
        <f t="shared" si="5"/>
        <v>75</v>
      </c>
      <c r="B80" t="s">
        <v>66</v>
      </c>
      <c r="C80" s="4" t="s">
        <v>67</v>
      </c>
      <c r="F80" s="16"/>
      <c r="G80" s="16"/>
      <c r="H80" s="16"/>
      <c r="K80" s="16"/>
      <c r="M80" s="16"/>
      <c r="N80" s="16"/>
      <c r="Q80" s="18"/>
      <c r="R80" s="18"/>
      <c r="S80" s="18"/>
      <c r="T80" s="18"/>
      <c r="U80" s="18"/>
      <c r="V80" s="18"/>
      <c r="W80" s="19"/>
      <c r="X80" s="18"/>
      <c r="Y80" s="5"/>
      <c r="Z80" s="5"/>
      <c r="AA80" s="5"/>
      <c r="AB80" s="16"/>
      <c r="AC80" s="16"/>
      <c r="AE80" s="5"/>
    </row>
    <row r="81" spans="1:31" x14ac:dyDescent="0.25">
      <c r="A81" s="2">
        <f t="shared" si="5"/>
        <v>76</v>
      </c>
      <c r="B81" t="s">
        <v>68</v>
      </c>
      <c r="C81" s="3" t="s">
        <v>72</v>
      </c>
      <c r="F81" s="16"/>
      <c r="G81" s="16"/>
      <c r="H81" s="16"/>
      <c r="K81" s="16"/>
      <c r="M81" s="16"/>
      <c r="N81" s="16"/>
      <c r="Q81" s="18"/>
      <c r="R81" s="18"/>
      <c r="S81" s="18"/>
      <c r="T81" s="18"/>
      <c r="U81" s="18"/>
      <c r="V81" s="18"/>
      <c r="W81" s="19"/>
      <c r="X81" s="18"/>
      <c r="Y81" s="5"/>
      <c r="Z81" s="5"/>
      <c r="AA81" s="5"/>
      <c r="AB81" s="16"/>
      <c r="AC81" s="16"/>
      <c r="AE81" s="5"/>
    </row>
    <row r="82" spans="1:31" x14ac:dyDescent="0.25">
      <c r="A82" s="2">
        <f t="shared" si="5"/>
        <v>77</v>
      </c>
      <c r="B82" t="s">
        <v>69</v>
      </c>
      <c r="C82" s="3" t="s">
        <v>73</v>
      </c>
      <c r="F82" s="16"/>
      <c r="G82" s="16"/>
      <c r="H82" s="16"/>
      <c r="K82" s="16"/>
      <c r="M82" s="16"/>
      <c r="N82" s="16"/>
      <c r="Q82" s="18"/>
      <c r="R82" s="18"/>
      <c r="S82" s="18"/>
      <c r="T82" s="18"/>
      <c r="U82" s="18"/>
      <c r="V82" s="18"/>
      <c r="W82" s="19"/>
      <c r="X82" s="18"/>
      <c r="Y82" s="5"/>
      <c r="Z82" s="5"/>
      <c r="AA82" s="5"/>
      <c r="AB82" s="16"/>
      <c r="AC82" s="16"/>
      <c r="AE82" s="5"/>
    </row>
    <row r="83" spans="1:31" x14ac:dyDescent="0.25">
      <c r="A83" s="2">
        <f t="shared" si="5"/>
        <v>78</v>
      </c>
      <c r="B83" s="8" t="s">
        <v>75</v>
      </c>
      <c r="C83" s="3" t="s">
        <v>74</v>
      </c>
      <c r="D83" t="s">
        <v>21</v>
      </c>
      <c r="E83" s="7">
        <f>+[67]Main!$I$2</f>
        <v>5.82</v>
      </c>
      <c r="F83" s="16">
        <f>+[67]Main!$I$4</f>
        <v>2055.0937514400002</v>
      </c>
      <c r="G83" s="16">
        <f>+[67]Main!$I$6-[67]Main!$I$5</f>
        <v>1971.2029999999997</v>
      </c>
      <c r="H83" s="16">
        <f>+F83+G83</f>
        <v>4026.2967514399998</v>
      </c>
      <c r="I83" s="10" t="s">
        <v>340</v>
      </c>
      <c r="K83" s="16"/>
      <c r="M83" s="16"/>
      <c r="N83" s="16"/>
      <c r="Q83" s="18"/>
      <c r="R83" s="18"/>
      <c r="S83" s="18"/>
      <c r="T83" s="18"/>
      <c r="U83" s="18"/>
      <c r="V83" s="18"/>
      <c r="W83" s="19"/>
      <c r="X83" s="18"/>
      <c r="Y83" s="5"/>
      <c r="Z83" s="5"/>
      <c r="AA83" s="5"/>
      <c r="AB83" s="16"/>
      <c r="AC83" s="16"/>
      <c r="AE83" s="5"/>
    </row>
    <row r="84" spans="1:31" x14ac:dyDescent="0.25">
      <c r="A84" s="2">
        <f t="shared" si="5"/>
        <v>79</v>
      </c>
      <c r="B84" t="s">
        <v>70</v>
      </c>
      <c r="C84" s="3">
        <v>382220</v>
      </c>
      <c r="F84" s="16"/>
      <c r="G84" s="16"/>
      <c r="H84" s="16"/>
      <c r="K84" s="16"/>
      <c r="M84" s="16"/>
      <c r="N84" s="16"/>
      <c r="Q84" s="18"/>
      <c r="R84" s="18"/>
      <c r="S84" s="18"/>
      <c r="T84" s="18"/>
      <c r="U84" s="18"/>
      <c r="V84" s="18"/>
      <c r="W84" s="19"/>
      <c r="X84" s="18"/>
      <c r="Y84" s="5"/>
      <c r="Z84" s="5"/>
      <c r="AA84" s="5"/>
      <c r="AB84" s="16"/>
      <c r="AC84" s="16"/>
      <c r="AE84" s="5"/>
    </row>
    <row r="85" spans="1:31" x14ac:dyDescent="0.25">
      <c r="A85" s="2">
        <f t="shared" si="5"/>
        <v>80</v>
      </c>
      <c r="B85" t="s">
        <v>71</v>
      </c>
      <c r="C85" s="3">
        <v>1368</v>
      </c>
      <c r="F85" s="16"/>
      <c r="G85" s="16"/>
      <c r="H85" s="16"/>
      <c r="K85" s="16"/>
      <c r="M85" s="16"/>
      <c r="N85" s="16"/>
      <c r="Q85" s="18"/>
      <c r="R85" s="18"/>
      <c r="S85" s="18"/>
      <c r="T85" s="18"/>
      <c r="U85" s="18"/>
      <c r="V85" s="18"/>
      <c r="W85" s="19"/>
      <c r="X85" s="18"/>
      <c r="Y85" s="5"/>
      <c r="Z85" s="5"/>
      <c r="AA85" s="5"/>
      <c r="AB85" s="16"/>
      <c r="AC85" s="16"/>
      <c r="AE85" s="5"/>
    </row>
    <row r="86" spans="1:31" x14ac:dyDescent="0.25">
      <c r="A86" s="2">
        <f t="shared" si="5"/>
        <v>81</v>
      </c>
      <c r="B86" t="s">
        <v>156</v>
      </c>
      <c r="C86" s="3" t="s">
        <v>157</v>
      </c>
      <c r="D86" t="s">
        <v>158</v>
      </c>
      <c r="F86" s="16"/>
      <c r="G86" s="16"/>
      <c r="H86" s="16"/>
      <c r="K86" s="16"/>
      <c r="M86" s="16"/>
      <c r="N86" s="16"/>
      <c r="Q86" s="18"/>
      <c r="R86" s="18"/>
      <c r="S86" s="18"/>
      <c r="T86" s="18"/>
      <c r="U86" s="18"/>
      <c r="V86" s="18"/>
      <c r="W86" s="19"/>
      <c r="X86" s="18"/>
      <c r="Y86" s="5"/>
      <c r="Z86" s="5"/>
      <c r="AA86" s="5"/>
      <c r="AB86" s="16"/>
      <c r="AC86" s="16"/>
      <c r="AE86" s="5"/>
    </row>
    <row r="87" spans="1:31" x14ac:dyDescent="0.25">
      <c r="A87" s="2">
        <f t="shared" si="5"/>
        <v>82</v>
      </c>
      <c r="B87" t="s">
        <v>159</v>
      </c>
      <c r="C87" s="3" t="s">
        <v>160</v>
      </c>
      <c r="D87" t="s">
        <v>161</v>
      </c>
      <c r="F87" s="16"/>
      <c r="G87" s="16"/>
      <c r="H87" s="16"/>
      <c r="K87" s="16"/>
      <c r="M87" s="16"/>
      <c r="N87" s="16"/>
      <c r="Q87" s="18"/>
      <c r="R87" s="18"/>
      <c r="S87" s="18"/>
      <c r="T87" s="18"/>
      <c r="U87" s="18"/>
      <c r="V87" s="18"/>
      <c r="W87" s="19"/>
      <c r="X87" s="18"/>
      <c r="Y87" s="5"/>
      <c r="Z87" s="5"/>
      <c r="AA87" s="5"/>
      <c r="AB87" s="16"/>
      <c r="AC87" s="16"/>
      <c r="AE87" s="5"/>
    </row>
    <row r="88" spans="1:31" x14ac:dyDescent="0.25">
      <c r="A88" s="2">
        <f t="shared" si="5"/>
        <v>83</v>
      </c>
      <c r="B88" t="s">
        <v>162</v>
      </c>
      <c r="C88" s="3" t="s">
        <v>164</v>
      </c>
      <c r="D88" t="s">
        <v>463</v>
      </c>
      <c r="F88" s="16"/>
      <c r="G88" s="16"/>
      <c r="H88" s="16"/>
      <c r="K88" s="16"/>
      <c r="M88" s="16"/>
      <c r="N88" s="16"/>
      <c r="Q88" s="18"/>
      <c r="R88" s="18"/>
      <c r="S88" s="18"/>
      <c r="T88" s="18"/>
      <c r="U88" s="18"/>
      <c r="V88" s="18"/>
      <c r="W88" s="19"/>
      <c r="X88" s="18"/>
      <c r="Y88" s="5"/>
      <c r="Z88" s="5"/>
      <c r="AA88" s="5"/>
      <c r="AB88" s="16"/>
      <c r="AC88" s="16"/>
      <c r="AE88" s="5"/>
    </row>
    <row r="89" spans="1:31" x14ac:dyDescent="0.25">
      <c r="A89" s="2">
        <f t="shared" si="5"/>
        <v>84</v>
      </c>
      <c r="B89" s="8" t="s">
        <v>165</v>
      </c>
      <c r="C89" s="3" t="s">
        <v>166</v>
      </c>
      <c r="D89" t="s">
        <v>21</v>
      </c>
      <c r="E89" s="7">
        <f>+[68]Main!$H$2</f>
        <v>41.42</v>
      </c>
      <c r="F89" s="16">
        <f>+[68]Main!$H$4</f>
        <v>1491.5652650000002</v>
      </c>
      <c r="G89" s="16">
        <f>+[68]Main!$H$6-[68]Main!$H$5</f>
        <v>85.194000000000017</v>
      </c>
      <c r="H89" s="16">
        <f>+F89+G89</f>
        <v>1576.7592650000001</v>
      </c>
      <c r="I89" s="10" t="s">
        <v>340</v>
      </c>
      <c r="K89" s="16"/>
      <c r="M89" s="16"/>
      <c r="N89" s="16"/>
      <c r="Q89" s="18"/>
      <c r="R89" s="18"/>
      <c r="S89" s="18"/>
      <c r="T89" s="18"/>
      <c r="U89" s="18"/>
      <c r="V89" s="18"/>
      <c r="W89" s="19"/>
      <c r="X89" s="18"/>
      <c r="Y89" s="5"/>
      <c r="Z89" s="5"/>
      <c r="AA89" s="5"/>
      <c r="AB89" s="16"/>
      <c r="AC89" s="16"/>
      <c r="AE89" s="5"/>
    </row>
    <row r="90" spans="1:31" x14ac:dyDescent="0.25">
      <c r="A90" s="2">
        <f t="shared" si="5"/>
        <v>85</v>
      </c>
      <c r="B90" s="8" t="s">
        <v>169</v>
      </c>
      <c r="C90" s="3" t="s">
        <v>170</v>
      </c>
      <c r="D90" t="s">
        <v>21</v>
      </c>
      <c r="E90" s="7">
        <f>+[69]Main!$I$2</f>
        <v>38.119999999999997</v>
      </c>
      <c r="F90" s="16">
        <f>+[69]Main!$I$4</f>
        <v>1935.4971035199997</v>
      </c>
      <c r="G90" s="16">
        <f>+[69]Main!$I$6-[69]Main!$I$5</f>
        <v>-325.44000000000005</v>
      </c>
      <c r="H90" s="16">
        <f>+F90+G90</f>
        <v>1610.0571035199996</v>
      </c>
      <c r="I90" s="10" t="s">
        <v>339</v>
      </c>
      <c r="K90" s="16"/>
      <c r="M90" s="16"/>
      <c r="N90" s="16"/>
      <c r="Q90" s="18"/>
      <c r="R90" s="18"/>
      <c r="S90" s="18"/>
      <c r="T90" s="18"/>
      <c r="U90" s="18"/>
      <c r="V90" s="18"/>
      <c r="W90" s="19"/>
      <c r="X90" s="18"/>
      <c r="Y90" s="5"/>
      <c r="Z90" s="5"/>
      <c r="AA90" s="5"/>
      <c r="AB90" s="16"/>
      <c r="AC90" s="16"/>
      <c r="AE90" s="5"/>
    </row>
    <row r="91" spans="1:31" x14ac:dyDescent="0.25">
      <c r="A91" s="2">
        <f t="shared" si="5"/>
        <v>86</v>
      </c>
      <c r="B91" s="8" t="s">
        <v>171</v>
      </c>
      <c r="C91" s="3" t="s">
        <v>172</v>
      </c>
      <c r="D91" t="s">
        <v>21</v>
      </c>
      <c r="E91" s="7">
        <f>+[70]Main!$I$2</f>
        <v>24.73</v>
      </c>
      <c r="F91" s="16">
        <f>+[70]Main!$I$4</f>
        <v>1761.5194085300002</v>
      </c>
      <c r="G91" s="16">
        <f>+[70]Main!$I$6-[70]Main!$I$5</f>
        <v>-256.60000000000002</v>
      </c>
      <c r="H91" s="16">
        <f>+F91+G91</f>
        <v>1504.9194085300001</v>
      </c>
      <c r="I91" s="10" t="s">
        <v>340</v>
      </c>
      <c r="K91" s="16"/>
      <c r="M91" s="16"/>
      <c r="N91" s="16"/>
      <c r="Q91" s="18"/>
      <c r="R91" s="18"/>
      <c r="S91" s="18"/>
      <c r="T91" s="18"/>
      <c r="U91" s="18"/>
      <c r="V91" s="18"/>
      <c r="W91" s="19"/>
      <c r="X91" s="18"/>
      <c r="Y91" s="5"/>
      <c r="Z91" s="5"/>
      <c r="AA91" s="5"/>
      <c r="AB91" s="16"/>
      <c r="AC91" s="16"/>
      <c r="AD91" s="22">
        <v>2003</v>
      </c>
      <c r="AE91" s="5" t="s">
        <v>119</v>
      </c>
    </row>
    <row r="92" spans="1:31" x14ac:dyDescent="0.25">
      <c r="A92" s="2">
        <f t="shared" si="5"/>
        <v>87</v>
      </c>
      <c r="B92" t="s">
        <v>173</v>
      </c>
      <c r="C92" s="3" t="s">
        <v>175</v>
      </c>
      <c r="D92" t="s">
        <v>174</v>
      </c>
      <c r="F92" s="16"/>
      <c r="G92" s="16"/>
      <c r="H92" s="16"/>
      <c r="K92" s="16"/>
      <c r="M92" s="16"/>
      <c r="N92" s="16"/>
      <c r="Q92" s="18"/>
      <c r="R92" s="18"/>
      <c r="S92" s="18"/>
      <c r="T92" s="18"/>
      <c r="U92" s="18"/>
      <c r="V92" s="18"/>
      <c r="W92" s="19"/>
      <c r="X92" s="18"/>
      <c r="Y92" s="5"/>
      <c r="Z92" s="5"/>
      <c r="AA92" s="5"/>
      <c r="AB92" s="16"/>
      <c r="AC92" s="16"/>
      <c r="AE92" s="5"/>
    </row>
    <row r="93" spans="1:31" x14ac:dyDescent="0.25">
      <c r="A93" s="2">
        <f t="shared" si="5"/>
        <v>88</v>
      </c>
      <c r="B93" t="s">
        <v>176</v>
      </c>
      <c r="C93" s="4" t="s">
        <v>177</v>
      </c>
      <c r="D93" t="s">
        <v>174</v>
      </c>
      <c r="F93" s="16"/>
      <c r="G93" s="16"/>
      <c r="H93" s="16"/>
      <c r="K93" s="16"/>
      <c r="M93" s="16"/>
      <c r="N93" s="16"/>
      <c r="Q93" s="18"/>
      <c r="R93" s="18"/>
      <c r="S93" s="18"/>
      <c r="T93" s="18"/>
      <c r="U93" s="18"/>
      <c r="V93" s="18"/>
      <c r="W93" s="19"/>
      <c r="X93" s="18"/>
      <c r="Y93" s="5"/>
      <c r="Z93" s="5"/>
      <c r="AA93" s="5"/>
      <c r="AB93" s="16"/>
      <c r="AC93" s="16"/>
      <c r="AE93" s="5"/>
    </row>
    <row r="94" spans="1:31" x14ac:dyDescent="0.25">
      <c r="A94" s="2">
        <f t="shared" si="5"/>
        <v>89</v>
      </c>
      <c r="B94" t="s">
        <v>178</v>
      </c>
      <c r="C94" s="3" t="s">
        <v>179</v>
      </c>
      <c r="D94" t="s">
        <v>21</v>
      </c>
      <c r="F94" s="16"/>
      <c r="G94" s="16"/>
      <c r="H94" s="16"/>
      <c r="K94" s="16"/>
      <c r="M94" s="16"/>
      <c r="N94" s="16"/>
      <c r="Q94" s="18"/>
      <c r="R94" s="18"/>
      <c r="S94" s="18"/>
      <c r="T94" s="18"/>
      <c r="U94" s="18"/>
      <c r="V94" s="18"/>
      <c r="W94" s="19"/>
      <c r="X94" s="18"/>
      <c r="Y94" s="5"/>
      <c r="Z94" s="5"/>
      <c r="AA94" s="5"/>
      <c r="AB94" s="16"/>
      <c r="AC94" s="16"/>
      <c r="AE94" s="5"/>
    </row>
    <row r="95" spans="1:31" x14ac:dyDescent="0.25">
      <c r="A95" s="2">
        <f t="shared" si="5"/>
        <v>90</v>
      </c>
      <c r="B95" s="8" t="s">
        <v>180</v>
      </c>
      <c r="C95" s="3" t="s">
        <v>181</v>
      </c>
      <c r="D95" t="s">
        <v>21</v>
      </c>
      <c r="E95" s="7">
        <f>+[71]Main!$I$2</f>
        <v>27.07</v>
      </c>
      <c r="F95" s="16">
        <f>+[71]Main!$I$4</f>
        <v>1188.01315849</v>
      </c>
      <c r="G95" s="16">
        <f>+[71]Main!$I$6-[71]Main!$I$5</f>
        <v>119.48899999999998</v>
      </c>
      <c r="H95" s="16">
        <f>+F95+G95</f>
        <v>1307.5021584900001</v>
      </c>
      <c r="I95" s="10" t="s">
        <v>339</v>
      </c>
      <c r="K95" s="16"/>
      <c r="M95" s="16"/>
      <c r="N95" s="16"/>
      <c r="Q95" s="18"/>
      <c r="R95" s="18"/>
      <c r="S95" s="18"/>
      <c r="T95" s="18"/>
      <c r="U95" s="18"/>
      <c r="V95" s="18"/>
      <c r="W95" s="19"/>
      <c r="X95" s="18"/>
      <c r="Y95" s="5"/>
      <c r="Z95" s="5"/>
      <c r="AA95" s="5"/>
      <c r="AB95" s="16"/>
      <c r="AC95" s="16"/>
      <c r="AE95" s="5"/>
    </row>
    <row r="96" spans="1:31" x14ac:dyDescent="0.25">
      <c r="A96" s="2">
        <f t="shared" si="5"/>
        <v>91</v>
      </c>
      <c r="B96" s="8" t="s">
        <v>182</v>
      </c>
      <c r="C96" s="3" t="s">
        <v>183</v>
      </c>
      <c r="D96" t="s">
        <v>21</v>
      </c>
      <c r="E96" s="7">
        <f>+[72]Main!$I$2</f>
        <v>59.85</v>
      </c>
      <c r="F96" s="16">
        <f>+[72]Main!$I$4</f>
        <v>939.70682505000002</v>
      </c>
      <c r="G96" s="16">
        <f>+[72]Main!$I$6-[72]Main!$I$5</f>
        <v>50.789000000000001</v>
      </c>
      <c r="H96" s="16">
        <f>+F96+G96</f>
        <v>990.49582505000001</v>
      </c>
      <c r="I96" s="10" t="s">
        <v>339</v>
      </c>
      <c r="K96" s="16"/>
      <c r="M96" s="16"/>
      <c r="N96" s="16"/>
      <c r="Q96" s="18"/>
      <c r="R96" s="18"/>
      <c r="S96" s="18"/>
      <c r="T96" s="18"/>
      <c r="U96" s="18"/>
      <c r="V96" s="18"/>
      <c r="W96" s="19"/>
      <c r="X96" s="18"/>
      <c r="Y96" s="5"/>
      <c r="Z96" s="5"/>
      <c r="AA96" s="5"/>
      <c r="AB96" s="16"/>
      <c r="AC96" s="16"/>
      <c r="AE96" s="5"/>
    </row>
    <row r="97" spans="1:31" x14ac:dyDescent="0.25">
      <c r="A97" s="2">
        <f t="shared" si="5"/>
        <v>92</v>
      </c>
      <c r="B97" s="8" t="s">
        <v>397</v>
      </c>
      <c r="C97" s="3" t="s">
        <v>184</v>
      </c>
      <c r="D97" t="s">
        <v>107</v>
      </c>
      <c r="E97" s="7">
        <f>+[73]Main!$J$2</f>
        <v>12.42</v>
      </c>
      <c r="F97" s="16">
        <f>+[73]Main!$J$4*FX!C13</f>
        <v>829.73151533879991</v>
      </c>
      <c r="G97" s="16">
        <f>+([73]Main!$J$6-[73]Main!$J$5)*FX!C13</f>
        <v>54.234000000000009</v>
      </c>
      <c r="H97" s="16">
        <f>+F97+G97</f>
        <v>883.96551533879995</v>
      </c>
      <c r="I97" s="10" t="s">
        <v>336</v>
      </c>
      <c r="J97" s="15"/>
      <c r="K97" s="16"/>
      <c r="M97" s="16"/>
      <c r="N97" s="16"/>
      <c r="Q97" s="18"/>
      <c r="R97" s="18"/>
      <c r="S97" s="18"/>
      <c r="T97" s="18"/>
      <c r="U97" s="18"/>
      <c r="V97" s="18"/>
      <c r="W97" s="19"/>
      <c r="X97" s="18"/>
      <c r="Y97" s="5"/>
      <c r="Z97" s="5"/>
      <c r="AA97" s="5"/>
      <c r="AB97" s="16"/>
      <c r="AC97" s="16"/>
      <c r="AE97" s="5"/>
    </row>
    <row r="98" spans="1:31" x14ac:dyDescent="0.25">
      <c r="A98" s="2">
        <f t="shared" si="5"/>
        <v>93</v>
      </c>
      <c r="B98" t="s">
        <v>185</v>
      </c>
      <c r="C98" s="3" t="s">
        <v>186</v>
      </c>
      <c r="D98" t="s">
        <v>187</v>
      </c>
      <c r="F98" s="16"/>
      <c r="G98" s="16"/>
      <c r="H98" s="16"/>
      <c r="K98" s="16"/>
      <c r="M98" s="16"/>
      <c r="N98" s="16"/>
      <c r="Q98" s="18"/>
      <c r="R98" s="18"/>
      <c r="S98" s="18"/>
      <c r="T98" s="18"/>
      <c r="U98" s="18"/>
      <c r="V98" s="18"/>
      <c r="W98" s="19"/>
      <c r="X98" s="18"/>
      <c r="Y98" s="5"/>
      <c r="Z98" s="5"/>
      <c r="AA98" s="5"/>
      <c r="AB98" s="16"/>
      <c r="AC98" s="16"/>
      <c r="AE98" s="5"/>
    </row>
    <row r="99" spans="1:31" x14ac:dyDescent="0.25">
      <c r="A99" s="2">
        <f t="shared" si="5"/>
        <v>94</v>
      </c>
      <c r="B99" t="s">
        <v>188</v>
      </c>
      <c r="C99" s="3" t="s">
        <v>189</v>
      </c>
      <c r="D99" t="s">
        <v>190</v>
      </c>
      <c r="F99" s="16"/>
      <c r="G99" s="16"/>
      <c r="H99" s="16"/>
      <c r="K99" s="16"/>
      <c r="M99" s="16"/>
      <c r="N99" s="16"/>
      <c r="Q99" s="18"/>
      <c r="R99" s="18"/>
      <c r="S99" s="18"/>
      <c r="T99" s="18"/>
      <c r="U99" s="18"/>
      <c r="V99" s="18"/>
      <c r="W99" s="19"/>
      <c r="X99" s="18"/>
      <c r="Y99" s="5"/>
      <c r="Z99" s="5"/>
      <c r="AA99" s="5"/>
      <c r="AB99" s="16"/>
      <c r="AC99" s="16"/>
      <c r="AE99" s="5"/>
    </row>
    <row r="100" spans="1:31" x14ac:dyDescent="0.25">
      <c r="A100" s="2">
        <f t="shared" si="5"/>
        <v>95</v>
      </c>
      <c r="B100" s="8" t="s">
        <v>191</v>
      </c>
      <c r="C100" s="3" t="s">
        <v>192</v>
      </c>
      <c r="D100" t="s">
        <v>21</v>
      </c>
      <c r="E100" s="7">
        <f>+[74]Main!$I$2</f>
        <v>4.53</v>
      </c>
      <c r="F100" s="16">
        <f>+[74]Main!$I$4</f>
        <v>736.21656488999997</v>
      </c>
      <c r="G100" s="16">
        <f>+[74]Main!$I$6-[74]Main!$I$5</f>
        <v>-235.51</v>
      </c>
      <c r="H100" s="16">
        <f>+F100+G100</f>
        <v>500.70656488999998</v>
      </c>
      <c r="I100" s="10" t="s">
        <v>340</v>
      </c>
      <c r="K100" s="16"/>
      <c r="M100" s="16"/>
      <c r="N100" s="16"/>
      <c r="Q100" s="18"/>
      <c r="R100" s="18"/>
      <c r="S100" s="18"/>
      <c r="T100" s="18"/>
      <c r="U100" s="18"/>
      <c r="V100" s="18"/>
      <c r="W100" s="19"/>
      <c r="X100" s="18"/>
      <c r="Y100" s="5"/>
      <c r="Z100" s="5"/>
      <c r="AA100" s="5"/>
      <c r="AB100" s="16"/>
      <c r="AC100" s="16"/>
      <c r="AE100" s="5"/>
    </row>
    <row r="101" spans="1:31" x14ac:dyDescent="0.25">
      <c r="A101" s="2">
        <f t="shared" si="5"/>
        <v>96</v>
      </c>
      <c r="B101" s="8" t="s">
        <v>193</v>
      </c>
      <c r="C101" s="3" t="s">
        <v>194</v>
      </c>
      <c r="D101" t="s">
        <v>21</v>
      </c>
      <c r="E101" s="7">
        <f>+[75]Main!$I$2</f>
        <v>12.38</v>
      </c>
      <c r="F101" s="16">
        <f>+[75]Main!$I$4</f>
        <v>637.03569158000005</v>
      </c>
      <c r="G101" s="16">
        <f>+[75]Main!$I$6-[75]Main!$I$5</f>
        <v>480.84800000000001</v>
      </c>
      <c r="H101" s="16">
        <f>+F101+G101</f>
        <v>1117.88369158</v>
      </c>
      <c r="I101" s="10" t="s">
        <v>339</v>
      </c>
      <c r="K101" s="16"/>
      <c r="M101" s="16"/>
      <c r="N101" s="16"/>
      <c r="Q101" s="18"/>
      <c r="R101" s="18"/>
      <c r="S101" s="18"/>
      <c r="T101" s="18"/>
      <c r="U101" s="18"/>
      <c r="V101" s="18"/>
      <c r="W101" s="19"/>
      <c r="X101" s="18"/>
      <c r="Y101" s="5"/>
      <c r="Z101" s="5"/>
      <c r="AA101" s="5"/>
      <c r="AB101" s="16"/>
      <c r="AC101" s="16"/>
      <c r="AE101" s="5"/>
    </row>
    <row r="102" spans="1:31" x14ac:dyDescent="0.25">
      <c r="A102" s="2">
        <f t="shared" si="5"/>
        <v>97</v>
      </c>
      <c r="B102" t="s">
        <v>195</v>
      </c>
      <c r="C102" s="3" t="s">
        <v>196</v>
      </c>
      <c r="D102" t="s">
        <v>190</v>
      </c>
      <c r="F102" s="16"/>
      <c r="G102" s="16"/>
      <c r="H102" s="16"/>
      <c r="K102" s="16"/>
      <c r="M102" s="16"/>
      <c r="N102" s="16"/>
      <c r="Q102" s="18"/>
      <c r="R102" s="18"/>
      <c r="S102" s="18"/>
      <c r="T102" s="18"/>
      <c r="U102" s="18"/>
      <c r="V102" s="18"/>
      <c r="W102" s="19"/>
      <c r="X102" s="18"/>
      <c r="Y102" s="5"/>
      <c r="Z102" s="5"/>
      <c r="AA102" s="5"/>
      <c r="AB102" s="16"/>
      <c r="AC102" s="16"/>
      <c r="AE102" s="5"/>
    </row>
    <row r="103" spans="1:31" x14ac:dyDescent="0.25">
      <c r="A103" s="2">
        <f t="shared" si="5"/>
        <v>98</v>
      </c>
      <c r="B103" t="s">
        <v>197</v>
      </c>
      <c r="C103" s="3" t="s">
        <v>198</v>
      </c>
      <c r="D103" t="s">
        <v>199</v>
      </c>
      <c r="F103" s="16"/>
      <c r="G103" s="16"/>
      <c r="H103" s="16"/>
      <c r="K103" s="16"/>
      <c r="M103" s="16"/>
      <c r="N103" s="16"/>
      <c r="Q103" s="18"/>
      <c r="R103" s="18"/>
      <c r="S103" s="18"/>
      <c r="T103" s="18"/>
      <c r="U103" s="18"/>
      <c r="V103" s="18"/>
      <c r="W103" s="19"/>
      <c r="X103" s="18"/>
      <c r="Y103" s="5"/>
      <c r="Z103" s="5"/>
      <c r="AA103" s="5"/>
      <c r="AB103" s="16"/>
      <c r="AC103" s="16"/>
      <c r="AE103" s="5"/>
    </row>
    <row r="104" spans="1:31" x14ac:dyDescent="0.25">
      <c r="A104" s="2">
        <f t="shared" si="5"/>
        <v>99</v>
      </c>
      <c r="B104" t="s">
        <v>200</v>
      </c>
      <c r="C104" s="3" t="s">
        <v>201</v>
      </c>
      <c r="D104" t="s">
        <v>187</v>
      </c>
      <c r="F104" s="16"/>
      <c r="G104" s="16"/>
      <c r="H104" s="16"/>
      <c r="K104" s="16"/>
      <c r="M104" s="16"/>
      <c r="N104" s="16"/>
      <c r="Q104" s="18"/>
      <c r="R104" s="18"/>
      <c r="S104" s="18"/>
      <c r="T104" s="18"/>
      <c r="U104" s="18"/>
      <c r="V104" s="18"/>
      <c r="W104" s="19"/>
      <c r="X104" s="18"/>
      <c r="Y104" s="5"/>
      <c r="Z104" s="5"/>
      <c r="AA104" s="5"/>
      <c r="AB104" s="16"/>
      <c r="AC104" s="16"/>
      <c r="AE104" s="5"/>
    </row>
    <row r="105" spans="1:31" x14ac:dyDescent="0.25">
      <c r="A105" s="2">
        <f t="shared" si="5"/>
        <v>100</v>
      </c>
      <c r="B105" t="s">
        <v>202</v>
      </c>
      <c r="C105" s="3" t="s">
        <v>203</v>
      </c>
      <c r="D105" t="s">
        <v>187</v>
      </c>
      <c r="F105" s="16"/>
      <c r="G105" s="16"/>
      <c r="H105" s="16"/>
      <c r="K105" s="16"/>
      <c r="M105" s="16"/>
      <c r="N105" s="16"/>
      <c r="Q105" s="18"/>
      <c r="R105" s="18"/>
      <c r="S105" s="18"/>
      <c r="T105" s="18"/>
      <c r="U105" s="18"/>
      <c r="V105" s="18"/>
      <c r="W105" s="19"/>
      <c r="X105" s="18"/>
      <c r="Y105" s="5"/>
      <c r="Z105" s="5"/>
      <c r="AA105" s="5"/>
      <c r="AB105" s="16"/>
      <c r="AC105" s="16"/>
      <c r="AE105" s="5"/>
    </row>
    <row r="106" spans="1:31" x14ac:dyDescent="0.25">
      <c r="A106" s="2">
        <f t="shared" si="5"/>
        <v>101</v>
      </c>
      <c r="B106" t="s">
        <v>204</v>
      </c>
      <c r="C106" s="3" t="s">
        <v>205</v>
      </c>
      <c r="D106" t="s">
        <v>168</v>
      </c>
      <c r="F106" s="16"/>
      <c r="G106" s="16"/>
      <c r="H106" s="16"/>
      <c r="K106" s="16"/>
      <c r="M106" s="16"/>
      <c r="N106" s="16"/>
      <c r="Q106" s="18"/>
      <c r="R106" s="18"/>
      <c r="S106" s="18"/>
      <c r="T106" s="18"/>
      <c r="U106" s="18"/>
      <c r="V106" s="18"/>
      <c r="W106" s="19"/>
      <c r="X106" s="18"/>
      <c r="Y106" s="5"/>
      <c r="Z106" s="5"/>
      <c r="AA106" s="5"/>
      <c r="AB106" s="16"/>
      <c r="AC106" s="16"/>
      <c r="AE106" s="5"/>
    </row>
    <row r="107" spans="1:31" x14ac:dyDescent="0.25">
      <c r="A107" s="2">
        <f t="shared" si="5"/>
        <v>102</v>
      </c>
      <c r="B107" t="s">
        <v>206</v>
      </c>
      <c r="C107" s="3" t="s">
        <v>207</v>
      </c>
      <c r="D107" t="s">
        <v>167</v>
      </c>
      <c r="F107" s="16"/>
      <c r="G107" s="16"/>
      <c r="H107" s="16"/>
      <c r="K107" s="16"/>
      <c r="M107" s="16"/>
      <c r="N107" s="16"/>
      <c r="Q107" s="18"/>
      <c r="R107" s="18"/>
      <c r="S107" s="18"/>
      <c r="T107" s="18"/>
      <c r="U107" s="18"/>
      <c r="V107" s="18"/>
      <c r="W107" s="19"/>
      <c r="X107" s="18"/>
      <c r="Y107" s="5"/>
      <c r="Z107" s="5"/>
      <c r="AA107" s="5"/>
      <c r="AB107" s="16"/>
      <c r="AC107" s="16"/>
      <c r="AE107" s="5"/>
    </row>
    <row r="108" spans="1:31" x14ac:dyDescent="0.25">
      <c r="A108" s="2">
        <f t="shared" si="5"/>
        <v>103</v>
      </c>
      <c r="B108" t="s">
        <v>209</v>
      </c>
      <c r="C108" s="3" t="s">
        <v>208</v>
      </c>
      <c r="D108" t="s">
        <v>109</v>
      </c>
      <c r="F108" s="16"/>
      <c r="G108" s="16"/>
      <c r="H108" s="16"/>
      <c r="K108" s="16"/>
      <c r="M108" s="16"/>
      <c r="N108" s="16"/>
      <c r="Q108" s="18"/>
      <c r="R108" s="18"/>
      <c r="S108" s="18"/>
      <c r="T108" s="18"/>
      <c r="U108" s="18"/>
      <c r="V108" s="18"/>
      <c r="W108" s="19"/>
      <c r="X108" s="18"/>
      <c r="Y108" s="5"/>
      <c r="Z108" s="5"/>
      <c r="AA108" s="5"/>
      <c r="AB108" s="16"/>
      <c r="AC108" s="16"/>
      <c r="AE108" s="5"/>
    </row>
    <row r="109" spans="1:31" x14ac:dyDescent="0.25">
      <c r="A109" s="2">
        <f t="shared" si="5"/>
        <v>104</v>
      </c>
      <c r="B109" t="s">
        <v>210</v>
      </c>
      <c r="C109" s="3" t="s">
        <v>211</v>
      </c>
      <c r="D109" t="s">
        <v>187</v>
      </c>
      <c r="F109" s="16"/>
      <c r="G109" s="16"/>
      <c r="H109" s="16"/>
      <c r="K109" s="16"/>
      <c r="M109" s="16"/>
      <c r="N109" s="16"/>
      <c r="Q109" s="18"/>
      <c r="R109" s="18"/>
      <c r="S109" s="18"/>
      <c r="T109" s="18"/>
      <c r="U109" s="18"/>
      <c r="V109" s="18"/>
      <c r="W109" s="19"/>
      <c r="X109" s="18"/>
      <c r="Y109" s="5"/>
      <c r="Z109" s="5"/>
      <c r="AA109" s="5"/>
      <c r="AB109" s="16"/>
      <c r="AC109" s="16"/>
      <c r="AE109" s="5"/>
    </row>
    <row r="110" spans="1:31" x14ac:dyDescent="0.25">
      <c r="A110" s="2">
        <f t="shared" si="5"/>
        <v>105</v>
      </c>
      <c r="B110" t="s">
        <v>212</v>
      </c>
      <c r="C110" s="3" t="s">
        <v>213</v>
      </c>
      <c r="D110" t="s">
        <v>82</v>
      </c>
      <c r="F110" s="16"/>
      <c r="G110" s="16"/>
      <c r="H110" s="16"/>
      <c r="K110" s="16"/>
      <c r="M110" s="16"/>
      <c r="N110" s="16"/>
      <c r="Q110" s="18"/>
      <c r="R110" s="18"/>
      <c r="S110" s="18"/>
      <c r="T110" s="18"/>
      <c r="U110" s="18"/>
      <c r="V110" s="18"/>
      <c r="W110" s="19"/>
      <c r="X110" s="18"/>
      <c r="Y110" s="5"/>
      <c r="Z110" s="5"/>
      <c r="AA110" s="5"/>
      <c r="AB110" s="16"/>
      <c r="AC110" s="16"/>
      <c r="AE110" s="5"/>
    </row>
    <row r="111" spans="1:31" x14ac:dyDescent="0.25">
      <c r="A111" s="2">
        <f t="shared" si="5"/>
        <v>106</v>
      </c>
      <c r="B111" t="s">
        <v>215</v>
      </c>
      <c r="C111" s="3" t="s">
        <v>217</v>
      </c>
      <c r="D111" t="s">
        <v>216</v>
      </c>
      <c r="F111" s="16"/>
      <c r="G111" s="16"/>
      <c r="H111" s="16"/>
      <c r="K111" s="16"/>
      <c r="M111" s="16"/>
      <c r="N111" s="16"/>
      <c r="Q111" s="18"/>
      <c r="R111" s="18"/>
      <c r="S111" s="18"/>
      <c r="T111" s="18"/>
      <c r="U111" s="18"/>
      <c r="V111" s="18"/>
      <c r="W111" s="19"/>
      <c r="X111" s="18"/>
      <c r="Y111" s="5"/>
      <c r="Z111" s="5"/>
      <c r="AA111" s="5"/>
      <c r="AB111" s="16"/>
      <c r="AC111" s="16"/>
      <c r="AE111" s="5"/>
    </row>
    <row r="112" spans="1:31" x14ac:dyDescent="0.25">
      <c r="A112" s="2">
        <f t="shared" si="5"/>
        <v>107</v>
      </c>
      <c r="B112" t="s">
        <v>218</v>
      </c>
      <c r="C112" s="3" t="s">
        <v>219</v>
      </c>
      <c r="D112" t="s">
        <v>21</v>
      </c>
      <c r="F112" s="16"/>
      <c r="G112" s="16"/>
      <c r="H112" s="16"/>
      <c r="K112" s="16"/>
      <c r="M112" s="16"/>
      <c r="N112" s="16"/>
      <c r="Q112" s="18"/>
      <c r="R112" s="18"/>
      <c r="S112" s="18"/>
      <c r="T112" s="18"/>
      <c r="U112" s="18"/>
      <c r="V112" s="18"/>
      <c r="W112" s="19"/>
      <c r="X112" s="18"/>
      <c r="Y112" s="5"/>
      <c r="Z112" s="5"/>
      <c r="AA112" s="5"/>
      <c r="AB112" s="16"/>
      <c r="AC112" s="16"/>
      <c r="AE112" s="5"/>
    </row>
    <row r="113" spans="1:31" x14ac:dyDescent="0.25">
      <c r="A113" s="2">
        <f t="shared" si="5"/>
        <v>108</v>
      </c>
      <c r="B113" t="s">
        <v>220</v>
      </c>
      <c r="C113" s="3" t="s">
        <v>222</v>
      </c>
      <c r="D113" t="s">
        <v>221</v>
      </c>
      <c r="F113" s="16"/>
      <c r="G113" s="16"/>
      <c r="H113" s="16"/>
      <c r="K113" s="16"/>
      <c r="M113" s="16"/>
      <c r="N113" s="16"/>
      <c r="Q113" s="18"/>
      <c r="R113" s="18"/>
      <c r="S113" s="18"/>
      <c r="T113" s="18"/>
      <c r="U113" s="18"/>
      <c r="V113" s="18"/>
      <c r="W113" s="19"/>
      <c r="X113" s="18"/>
      <c r="Y113" s="5"/>
      <c r="Z113" s="5"/>
      <c r="AA113" s="5"/>
      <c r="AB113" s="16"/>
      <c r="AC113" s="16"/>
      <c r="AE113" s="5"/>
    </row>
    <row r="114" spans="1:31" x14ac:dyDescent="0.25">
      <c r="A114" s="2">
        <f t="shared" si="5"/>
        <v>109</v>
      </c>
      <c r="B114" t="s">
        <v>223</v>
      </c>
      <c r="C114" s="3" t="s">
        <v>224</v>
      </c>
      <c r="D114" t="s">
        <v>225</v>
      </c>
      <c r="F114" s="16"/>
      <c r="G114" s="16"/>
      <c r="H114" s="16"/>
      <c r="K114" s="16"/>
      <c r="M114" s="16"/>
      <c r="N114" s="16"/>
      <c r="Q114" s="18"/>
      <c r="R114" s="18"/>
      <c r="S114" s="18"/>
      <c r="T114" s="18"/>
      <c r="U114" s="18"/>
      <c r="V114" s="18"/>
      <c r="W114" s="19"/>
      <c r="X114" s="18"/>
      <c r="Y114" s="5"/>
      <c r="Z114" s="5"/>
      <c r="AA114" s="5"/>
      <c r="AB114" s="16"/>
      <c r="AC114" s="16"/>
      <c r="AE114" s="5"/>
    </row>
    <row r="115" spans="1:31" x14ac:dyDescent="0.25">
      <c r="A115" s="2">
        <f t="shared" si="5"/>
        <v>110</v>
      </c>
      <c r="B115" t="s">
        <v>226</v>
      </c>
      <c r="C115" s="3" t="s">
        <v>227</v>
      </c>
      <c r="D115" t="s">
        <v>109</v>
      </c>
      <c r="F115" s="16"/>
      <c r="G115" s="16"/>
      <c r="H115" s="16"/>
      <c r="K115" s="16"/>
      <c r="M115" s="16"/>
      <c r="N115" s="16"/>
      <c r="Q115" s="18"/>
      <c r="R115" s="18"/>
      <c r="S115" s="18"/>
      <c r="T115" s="18"/>
      <c r="U115" s="18"/>
      <c r="V115" s="18"/>
      <c r="W115" s="19"/>
      <c r="X115" s="18"/>
      <c r="Y115" s="5"/>
      <c r="Z115" s="5"/>
      <c r="AA115" s="5"/>
      <c r="AB115" s="16"/>
      <c r="AC115" s="16"/>
      <c r="AE115" s="5"/>
    </row>
    <row r="116" spans="1:31" x14ac:dyDescent="0.25">
      <c r="A116" s="2">
        <f t="shared" si="5"/>
        <v>111</v>
      </c>
      <c r="B116" s="8" t="s">
        <v>214</v>
      </c>
      <c r="C116" s="3" t="s">
        <v>337</v>
      </c>
      <c r="D116" t="s">
        <v>221</v>
      </c>
      <c r="E116" s="7">
        <f>+'[76]Main '!$F$2</f>
        <v>4.3620000000000001</v>
      </c>
      <c r="F116" s="16">
        <f>+'[76]Main '!$F$4*FX!C8</f>
        <v>644.11734022080009</v>
      </c>
      <c r="G116" s="16">
        <f>+('[76]Main '!$F$6-'[76]Main '!$F$5)*FX!C8</f>
        <v>368.40400000000005</v>
      </c>
      <c r="H116" s="16">
        <f>+F116+G116</f>
        <v>1012.5213402208001</v>
      </c>
      <c r="Q116" s="18"/>
      <c r="R116" s="18"/>
      <c r="S116" s="18"/>
      <c r="T116" s="18"/>
      <c r="U116" s="18"/>
      <c r="V116" s="18"/>
      <c r="W116" s="19"/>
      <c r="X116" s="18"/>
      <c r="Y116" s="5"/>
      <c r="Z116" s="5"/>
      <c r="AA116" s="5"/>
      <c r="AB116" s="16"/>
      <c r="AC116" s="16"/>
      <c r="AE116" s="5"/>
    </row>
    <row r="117" spans="1:31" x14ac:dyDescent="0.25">
      <c r="A117" s="2">
        <f t="shared" si="5"/>
        <v>112</v>
      </c>
      <c r="B117" t="s">
        <v>228</v>
      </c>
      <c r="C117" s="3" t="s">
        <v>229</v>
      </c>
      <c r="D117" t="s">
        <v>216</v>
      </c>
      <c r="F117" s="16"/>
      <c r="G117" s="16"/>
      <c r="H117" s="16"/>
      <c r="K117" s="16"/>
      <c r="M117" s="16"/>
      <c r="N117" s="16"/>
      <c r="Q117" s="18"/>
      <c r="R117" s="18"/>
      <c r="S117" s="18"/>
      <c r="T117" s="18"/>
      <c r="U117" s="18"/>
      <c r="V117" s="18"/>
      <c r="W117" s="19"/>
      <c r="X117" s="18"/>
      <c r="Y117" s="5"/>
      <c r="Z117" s="5"/>
      <c r="AA117" s="5"/>
      <c r="AB117" s="16"/>
      <c r="AC117" s="16"/>
      <c r="AE117" s="5"/>
    </row>
    <row r="118" spans="1:31" x14ac:dyDescent="0.25">
      <c r="A118" s="2">
        <f t="shared" si="5"/>
        <v>113</v>
      </c>
      <c r="B118" t="s">
        <v>230</v>
      </c>
      <c r="C118" s="3" t="s">
        <v>231</v>
      </c>
      <c r="D118" t="s">
        <v>187</v>
      </c>
      <c r="F118" s="16"/>
      <c r="G118" s="16"/>
      <c r="H118" s="16"/>
      <c r="K118" s="16"/>
      <c r="M118" s="16"/>
      <c r="N118" s="16"/>
      <c r="Q118" s="18"/>
      <c r="R118" s="18"/>
      <c r="S118" s="18"/>
      <c r="T118" s="18"/>
      <c r="U118" s="18"/>
      <c r="V118" s="18"/>
      <c r="W118" s="19"/>
      <c r="X118" s="18"/>
      <c r="Y118" s="5"/>
      <c r="Z118" s="5"/>
      <c r="AA118" s="5"/>
      <c r="AB118" s="16"/>
      <c r="AC118" s="16"/>
      <c r="AE118" s="5"/>
    </row>
    <row r="119" spans="1:31" x14ac:dyDescent="0.25">
      <c r="A119" s="2">
        <f t="shared" si="5"/>
        <v>114</v>
      </c>
      <c r="B119" t="s">
        <v>232</v>
      </c>
      <c r="C119" s="3" t="s">
        <v>233</v>
      </c>
      <c r="D119" t="s">
        <v>187</v>
      </c>
      <c r="F119" s="16"/>
      <c r="G119" s="16"/>
      <c r="H119" s="16"/>
      <c r="K119" s="16"/>
      <c r="M119" s="16"/>
      <c r="N119" s="16"/>
      <c r="Q119" s="18"/>
      <c r="R119" s="18"/>
      <c r="S119" s="18"/>
      <c r="T119" s="18"/>
      <c r="U119" s="18"/>
      <c r="V119" s="18"/>
      <c r="W119" s="19"/>
      <c r="X119" s="18"/>
      <c r="Y119" s="5"/>
      <c r="Z119" s="5"/>
      <c r="AA119" s="5"/>
      <c r="AB119" s="16"/>
      <c r="AC119" s="16"/>
      <c r="AE119" s="5"/>
    </row>
    <row r="120" spans="1:31" x14ac:dyDescent="0.25">
      <c r="A120" s="2">
        <f t="shared" si="5"/>
        <v>115</v>
      </c>
      <c r="B120" t="s">
        <v>236</v>
      </c>
      <c r="C120" s="3" t="s">
        <v>238</v>
      </c>
      <c r="D120" t="s">
        <v>237</v>
      </c>
      <c r="F120" s="16"/>
      <c r="G120" s="16"/>
      <c r="H120" s="16"/>
      <c r="K120" s="16"/>
      <c r="M120" s="16"/>
      <c r="N120" s="16"/>
      <c r="Q120" s="18"/>
      <c r="R120" s="18"/>
      <c r="S120" s="18"/>
      <c r="T120" s="18"/>
      <c r="U120" s="18"/>
      <c r="V120" s="18"/>
      <c r="W120" s="19"/>
      <c r="X120" s="18"/>
      <c r="Y120" s="5"/>
      <c r="Z120" s="5"/>
      <c r="AA120" s="5"/>
      <c r="AB120" s="16"/>
      <c r="AC120" s="16"/>
      <c r="AE120" s="5"/>
    </row>
    <row r="121" spans="1:31" x14ac:dyDescent="0.25">
      <c r="A121" s="2">
        <f t="shared" si="5"/>
        <v>116</v>
      </c>
      <c r="B121" t="s">
        <v>239</v>
      </c>
      <c r="C121" s="3" t="s">
        <v>240</v>
      </c>
      <c r="D121" t="s">
        <v>190</v>
      </c>
      <c r="F121" s="16"/>
      <c r="G121" s="16"/>
      <c r="H121" s="16"/>
      <c r="K121" s="16"/>
      <c r="M121" s="16"/>
      <c r="N121" s="16"/>
      <c r="Q121" s="18"/>
      <c r="R121" s="18"/>
      <c r="S121" s="18"/>
      <c r="T121" s="18"/>
      <c r="U121" s="18"/>
      <c r="V121" s="18"/>
      <c r="W121" s="19"/>
      <c r="X121" s="18"/>
      <c r="Y121" s="5"/>
      <c r="Z121" s="5"/>
      <c r="AA121" s="5"/>
      <c r="AB121" s="16"/>
      <c r="AC121" s="16"/>
      <c r="AE121" s="5"/>
    </row>
    <row r="122" spans="1:31" x14ac:dyDescent="0.25">
      <c r="A122" s="2">
        <f t="shared" si="5"/>
        <v>117</v>
      </c>
      <c r="B122" t="s">
        <v>241</v>
      </c>
      <c r="C122" s="3" t="s">
        <v>242</v>
      </c>
      <c r="D122" t="s">
        <v>187</v>
      </c>
      <c r="F122" s="16"/>
      <c r="G122" s="16"/>
      <c r="H122" s="16"/>
      <c r="K122" s="16"/>
      <c r="M122" s="16"/>
      <c r="N122" s="16"/>
      <c r="Q122" s="18"/>
      <c r="R122" s="18"/>
      <c r="S122" s="18"/>
      <c r="T122" s="18"/>
      <c r="U122" s="18"/>
      <c r="V122" s="18"/>
      <c r="W122" s="19"/>
      <c r="X122" s="18"/>
      <c r="Y122" s="5"/>
      <c r="Z122" s="5"/>
      <c r="AA122" s="5"/>
      <c r="AB122" s="16"/>
      <c r="AC122" s="16"/>
      <c r="AE122" s="5"/>
    </row>
    <row r="123" spans="1:31" x14ac:dyDescent="0.25">
      <c r="A123" s="2">
        <f t="shared" si="5"/>
        <v>118</v>
      </c>
      <c r="B123" s="8" t="s">
        <v>244</v>
      </c>
      <c r="C123" s="3" t="s">
        <v>243</v>
      </c>
      <c r="D123" t="s">
        <v>21</v>
      </c>
      <c r="E123" s="7">
        <f>+[77]Main!$H$2</f>
        <v>3.94</v>
      </c>
      <c r="F123" s="16">
        <f>+[77]Main!$H$4</f>
        <v>412.44010619999995</v>
      </c>
      <c r="G123" s="16">
        <f>+[77]Main!$H$6-[77]Main!$H$5</f>
        <v>242.286</v>
      </c>
      <c r="H123" s="16">
        <f>+F123+G123</f>
        <v>654.7261062</v>
      </c>
      <c r="I123" s="10" t="s">
        <v>149</v>
      </c>
      <c r="K123" s="16"/>
      <c r="M123" s="16"/>
      <c r="N123" s="16"/>
      <c r="Q123" s="18"/>
      <c r="R123" s="18"/>
      <c r="S123" s="18"/>
      <c r="T123" s="18"/>
      <c r="U123" s="18"/>
      <c r="V123" s="18"/>
      <c r="W123" s="19"/>
      <c r="X123" s="18"/>
      <c r="Y123" s="5"/>
      <c r="Z123" s="5"/>
      <c r="AA123" s="5"/>
      <c r="AB123" s="16"/>
      <c r="AC123" s="16"/>
      <c r="AE123" s="5"/>
    </row>
    <row r="124" spans="1:31" x14ac:dyDescent="0.25">
      <c r="A124" s="2">
        <f t="shared" si="5"/>
        <v>119</v>
      </c>
      <c r="B124" t="s">
        <v>245</v>
      </c>
      <c r="C124" s="3" t="s">
        <v>246</v>
      </c>
      <c r="D124" t="s">
        <v>247</v>
      </c>
      <c r="F124" s="16"/>
      <c r="G124" s="16"/>
      <c r="H124" s="16"/>
      <c r="K124" s="16"/>
      <c r="M124" s="16"/>
      <c r="N124" s="16"/>
      <c r="Q124" s="18"/>
      <c r="R124" s="18"/>
      <c r="S124" s="18"/>
      <c r="T124" s="18"/>
      <c r="U124" s="18"/>
      <c r="V124" s="18"/>
      <c r="W124" s="19"/>
      <c r="X124" s="18"/>
      <c r="Y124" s="5"/>
      <c r="Z124" s="5"/>
      <c r="AA124" s="5"/>
      <c r="AB124" s="16"/>
      <c r="AC124" s="16"/>
      <c r="AE124" s="5"/>
    </row>
    <row r="125" spans="1:31" x14ac:dyDescent="0.25">
      <c r="A125" s="2">
        <f t="shared" si="5"/>
        <v>120</v>
      </c>
      <c r="B125" t="s">
        <v>248</v>
      </c>
      <c r="C125" s="3" t="s">
        <v>249</v>
      </c>
      <c r="D125" t="s">
        <v>21</v>
      </c>
      <c r="F125" s="16"/>
      <c r="G125" s="16"/>
      <c r="H125" s="16"/>
      <c r="K125" s="16"/>
      <c r="M125" s="16"/>
      <c r="N125" s="16"/>
      <c r="Q125" s="18"/>
      <c r="R125" s="18"/>
      <c r="S125" s="18"/>
      <c r="T125" s="18"/>
      <c r="U125" s="18"/>
      <c r="V125" s="18"/>
      <c r="W125" s="19"/>
      <c r="X125" s="18"/>
      <c r="Y125" s="5"/>
      <c r="Z125" s="5"/>
      <c r="AA125" s="5"/>
      <c r="AB125" s="16"/>
      <c r="AC125" s="16"/>
      <c r="AE125" s="5"/>
    </row>
    <row r="126" spans="1:31" x14ac:dyDescent="0.25">
      <c r="A126" s="2">
        <f t="shared" si="5"/>
        <v>121</v>
      </c>
      <c r="B126" t="s">
        <v>250</v>
      </c>
      <c r="C126" s="3" t="s">
        <v>251</v>
      </c>
      <c r="D126" t="s">
        <v>187</v>
      </c>
      <c r="F126" s="16"/>
      <c r="G126" s="16"/>
      <c r="H126" s="16"/>
      <c r="K126" s="16"/>
      <c r="M126" s="16"/>
      <c r="N126" s="16"/>
      <c r="Q126" s="18"/>
      <c r="R126" s="18"/>
      <c r="S126" s="18"/>
      <c r="T126" s="18"/>
      <c r="U126" s="18"/>
      <c r="V126" s="18"/>
      <c r="W126" s="19"/>
      <c r="X126" s="18"/>
      <c r="Y126" s="5"/>
      <c r="Z126" s="5"/>
      <c r="AA126" s="5"/>
      <c r="AB126" s="16"/>
      <c r="AC126" s="16"/>
      <c r="AE126" s="5"/>
    </row>
    <row r="127" spans="1:31" x14ac:dyDescent="0.25">
      <c r="A127" s="2">
        <f t="shared" si="5"/>
        <v>122</v>
      </c>
      <c r="B127" t="s">
        <v>252</v>
      </c>
      <c r="C127" s="3" t="s">
        <v>253</v>
      </c>
      <c r="D127" t="s">
        <v>21</v>
      </c>
      <c r="F127" s="16"/>
      <c r="G127" s="16"/>
      <c r="H127" s="16"/>
      <c r="K127" s="16"/>
      <c r="M127" s="16"/>
      <c r="N127" s="16"/>
      <c r="Q127" s="18"/>
      <c r="R127" s="18"/>
      <c r="S127" s="18"/>
      <c r="T127" s="18"/>
      <c r="U127" s="18"/>
      <c r="V127" s="18"/>
      <c r="W127" s="19"/>
      <c r="X127" s="18"/>
      <c r="Y127" s="5"/>
      <c r="Z127" s="5"/>
      <c r="AA127" s="5"/>
      <c r="AB127" s="16"/>
      <c r="AC127" s="16"/>
      <c r="AE127" s="5"/>
    </row>
    <row r="128" spans="1:31" x14ac:dyDescent="0.25">
      <c r="A128" s="2">
        <f t="shared" si="5"/>
        <v>123</v>
      </c>
      <c r="B128" t="s">
        <v>254</v>
      </c>
      <c r="C128" s="4" t="s">
        <v>255</v>
      </c>
      <c r="D128" t="s">
        <v>256</v>
      </c>
      <c r="F128" s="16"/>
      <c r="G128" s="16"/>
      <c r="H128" s="16"/>
      <c r="K128" s="16"/>
      <c r="M128" s="16"/>
      <c r="N128" s="16"/>
      <c r="Q128" s="18"/>
      <c r="R128" s="18"/>
      <c r="S128" s="18"/>
      <c r="T128" s="18"/>
      <c r="U128" s="18"/>
      <c r="V128" s="18"/>
      <c r="W128" s="19"/>
      <c r="X128" s="18"/>
      <c r="Y128" s="5"/>
      <c r="Z128" s="5"/>
      <c r="AA128" s="5"/>
      <c r="AB128" s="16"/>
      <c r="AC128" s="16"/>
      <c r="AE128" s="5"/>
    </row>
    <row r="129" spans="1:31" x14ac:dyDescent="0.25">
      <c r="A129" s="2">
        <f t="shared" si="5"/>
        <v>124</v>
      </c>
      <c r="B129" t="s">
        <v>257</v>
      </c>
      <c r="C129" s="3" t="s">
        <v>258</v>
      </c>
      <c r="D129" t="s">
        <v>256</v>
      </c>
      <c r="F129" s="16"/>
      <c r="G129" s="16"/>
      <c r="H129" s="16"/>
      <c r="K129" s="16"/>
      <c r="M129" s="16"/>
      <c r="N129" s="16"/>
      <c r="Q129" s="18"/>
      <c r="R129" s="18"/>
      <c r="S129" s="18"/>
      <c r="T129" s="18"/>
      <c r="U129" s="18"/>
      <c r="V129" s="18"/>
      <c r="W129" s="19"/>
      <c r="X129" s="18"/>
      <c r="Y129" s="5"/>
      <c r="Z129" s="5"/>
      <c r="AA129" s="5"/>
      <c r="AB129" s="16"/>
      <c r="AC129" s="16"/>
      <c r="AE129" s="5"/>
    </row>
    <row r="130" spans="1:31" x14ac:dyDescent="0.25">
      <c r="A130" s="2">
        <f t="shared" si="5"/>
        <v>125</v>
      </c>
      <c r="B130" t="s">
        <v>234</v>
      </c>
      <c r="C130" s="3" t="s">
        <v>235</v>
      </c>
      <c r="D130" t="s">
        <v>21</v>
      </c>
      <c r="F130" s="16"/>
      <c r="G130" s="16"/>
      <c r="H130" s="16"/>
      <c r="Q130" s="18"/>
      <c r="R130" s="18"/>
      <c r="S130" s="18"/>
      <c r="T130" s="18"/>
      <c r="U130" s="18"/>
      <c r="V130" s="18"/>
      <c r="W130" s="19"/>
      <c r="X130" s="18"/>
      <c r="Y130" s="5"/>
      <c r="Z130" s="5"/>
      <c r="AA130" s="5"/>
      <c r="AB130" s="16"/>
      <c r="AC130" s="16"/>
      <c r="AE130" s="5"/>
    </row>
    <row r="131" spans="1:31" x14ac:dyDescent="0.25">
      <c r="A131" s="2">
        <f t="shared" si="5"/>
        <v>126</v>
      </c>
      <c r="B131" t="s">
        <v>259</v>
      </c>
      <c r="C131" s="3" t="s">
        <v>260</v>
      </c>
      <c r="D131" t="s">
        <v>187</v>
      </c>
      <c r="F131" s="16"/>
      <c r="G131" s="16"/>
      <c r="H131" s="16"/>
      <c r="K131" s="16"/>
      <c r="M131" s="16"/>
      <c r="N131" s="16"/>
      <c r="Q131" s="18"/>
      <c r="R131" s="18"/>
      <c r="S131" s="18"/>
      <c r="T131" s="18"/>
      <c r="U131" s="18"/>
      <c r="V131" s="18"/>
      <c r="W131" s="19"/>
      <c r="X131" s="18"/>
      <c r="Y131" s="5"/>
      <c r="Z131" s="5"/>
      <c r="AA131" s="5"/>
      <c r="AB131" s="16"/>
      <c r="AC131" s="16"/>
      <c r="AE131" s="5"/>
    </row>
    <row r="132" spans="1:31" x14ac:dyDescent="0.25">
      <c r="A132" s="2">
        <f t="shared" si="5"/>
        <v>127</v>
      </c>
      <c r="B132" t="s">
        <v>261</v>
      </c>
      <c r="C132" s="3" t="s">
        <v>262</v>
      </c>
      <c r="D132" t="s">
        <v>21</v>
      </c>
      <c r="F132" s="16"/>
      <c r="G132" s="16"/>
      <c r="H132" s="16"/>
      <c r="K132" s="16"/>
      <c r="M132" s="16"/>
      <c r="N132" s="16"/>
      <c r="Q132" s="18"/>
      <c r="R132" s="18"/>
      <c r="S132" s="18"/>
      <c r="T132" s="18"/>
      <c r="U132" s="18"/>
      <c r="V132" s="18"/>
      <c r="W132" s="19"/>
      <c r="X132" s="18"/>
      <c r="Y132" s="5"/>
      <c r="Z132" s="5"/>
      <c r="AA132" s="5"/>
      <c r="AB132" s="16"/>
      <c r="AC132" s="16"/>
      <c r="AE132" s="5"/>
    </row>
    <row r="133" spans="1:31" x14ac:dyDescent="0.25">
      <c r="A133" s="2">
        <f t="shared" si="5"/>
        <v>128</v>
      </c>
      <c r="B133" t="s">
        <v>263</v>
      </c>
      <c r="C133" s="3" t="s">
        <v>264</v>
      </c>
      <c r="D133" t="s">
        <v>168</v>
      </c>
      <c r="F133" s="16"/>
      <c r="G133" s="16"/>
      <c r="H133" s="16"/>
      <c r="K133" s="16"/>
      <c r="M133" s="16"/>
      <c r="N133" s="16"/>
      <c r="Q133" s="18"/>
      <c r="R133" s="18"/>
      <c r="S133" s="18"/>
      <c r="T133" s="18"/>
      <c r="U133" s="18"/>
      <c r="V133" s="18"/>
      <c r="W133" s="19"/>
      <c r="X133" s="18"/>
      <c r="Y133" s="5"/>
      <c r="Z133" s="5"/>
      <c r="AA133" s="5"/>
      <c r="AB133" s="16"/>
      <c r="AC133" s="16"/>
      <c r="AE133" s="5"/>
    </row>
    <row r="134" spans="1:31" x14ac:dyDescent="0.25">
      <c r="A134" s="2">
        <f t="shared" si="5"/>
        <v>129</v>
      </c>
      <c r="B134" t="s">
        <v>266</v>
      </c>
      <c r="C134" s="3" t="s">
        <v>265</v>
      </c>
      <c r="D134" t="s">
        <v>21</v>
      </c>
      <c r="F134" s="16"/>
      <c r="G134" s="16"/>
      <c r="H134" s="16"/>
      <c r="K134" s="16"/>
      <c r="M134" s="16"/>
      <c r="N134" s="16"/>
      <c r="Q134" s="18"/>
      <c r="R134" s="18"/>
      <c r="S134" s="18"/>
      <c r="T134" s="18"/>
      <c r="U134" s="18"/>
      <c r="V134" s="18"/>
      <c r="W134" s="19"/>
      <c r="X134" s="18"/>
      <c r="Y134" s="5"/>
      <c r="Z134" s="5"/>
      <c r="AA134" s="5"/>
      <c r="AB134" s="16"/>
      <c r="AC134" s="16"/>
      <c r="AE134" s="5"/>
    </row>
    <row r="135" spans="1:31" x14ac:dyDescent="0.25">
      <c r="A135" s="2">
        <f t="shared" si="5"/>
        <v>130</v>
      </c>
      <c r="B135" t="s">
        <v>269</v>
      </c>
      <c r="C135" s="3" t="s">
        <v>270</v>
      </c>
      <c r="D135" t="s">
        <v>20</v>
      </c>
      <c r="F135" s="16"/>
      <c r="G135" s="16"/>
      <c r="H135" s="16"/>
      <c r="K135" s="16"/>
      <c r="M135" s="16"/>
      <c r="N135" s="16"/>
      <c r="Q135" s="18"/>
      <c r="R135" s="18"/>
      <c r="S135" s="18"/>
      <c r="T135" s="18"/>
      <c r="U135" s="18"/>
      <c r="V135" s="18"/>
      <c r="W135" s="19"/>
      <c r="X135" s="18"/>
      <c r="Y135" s="5"/>
      <c r="Z135" s="5"/>
      <c r="AA135" s="5"/>
      <c r="AB135" s="16"/>
      <c r="AC135" s="16"/>
      <c r="AE135" s="5"/>
    </row>
    <row r="136" spans="1:31" x14ac:dyDescent="0.25">
      <c r="A136" s="2">
        <f t="shared" ref="A136:A181" si="6">+A135+1</f>
        <v>131</v>
      </c>
      <c r="B136" t="s">
        <v>273</v>
      </c>
      <c r="C136" s="3" t="s">
        <v>272</v>
      </c>
      <c r="D136" t="s">
        <v>271</v>
      </c>
      <c r="F136" s="16"/>
      <c r="G136" s="16"/>
      <c r="H136" s="16"/>
      <c r="K136" s="16"/>
      <c r="M136" s="16"/>
      <c r="N136" s="16"/>
      <c r="Q136" s="18"/>
      <c r="R136" s="18"/>
      <c r="S136" s="18"/>
      <c r="T136" s="18"/>
      <c r="U136" s="18"/>
      <c r="V136" s="18"/>
      <c r="W136" s="19"/>
      <c r="X136" s="18"/>
      <c r="Y136" s="5"/>
      <c r="Z136" s="5"/>
      <c r="AA136" s="5"/>
      <c r="AB136" s="16"/>
      <c r="AC136" s="16"/>
      <c r="AE136" s="5"/>
    </row>
    <row r="137" spans="1:31" x14ac:dyDescent="0.25">
      <c r="A137" s="2">
        <f t="shared" si="6"/>
        <v>132</v>
      </c>
      <c r="B137" t="s">
        <v>267</v>
      </c>
      <c r="C137" s="3" t="s">
        <v>268</v>
      </c>
      <c r="D137" t="s">
        <v>187</v>
      </c>
      <c r="F137" s="16"/>
      <c r="G137" s="16"/>
      <c r="H137" s="16"/>
      <c r="Q137" s="18"/>
      <c r="R137" s="18"/>
      <c r="S137" s="18"/>
      <c r="T137" s="18"/>
      <c r="U137" s="18"/>
      <c r="V137" s="18"/>
      <c r="W137" s="19"/>
      <c r="X137" s="18"/>
      <c r="Y137" s="5"/>
      <c r="Z137" s="5"/>
      <c r="AA137" s="5"/>
      <c r="AB137" s="16"/>
      <c r="AC137" s="16"/>
      <c r="AE137" s="5"/>
    </row>
    <row r="138" spans="1:31" x14ac:dyDescent="0.25">
      <c r="A138" s="2">
        <f t="shared" si="6"/>
        <v>133</v>
      </c>
      <c r="B138" t="s">
        <v>274</v>
      </c>
      <c r="C138" s="3" t="s">
        <v>275</v>
      </c>
      <c r="D138" t="s">
        <v>187</v>
      </c>
      <c r="F138" s="16"/>
      <c r="G138" s="16"/>
      <c r="H138" s="16"/>
      <c r="K138" s="16"/>
      <c r="M138" s="16"/>
      <c r="N138" s="16"/>
      <c r="Q138" s="18"/>
      <c r="R138" s="18"/>
      <c r="S138" s="18"/>
      <c r="T138" s="18"/>
      <c r="U138" s="18"/>
      <c r="V138" s="18"/>
      <c r="W138" s="19"/>
      <c r="X138" s="18"/>
      <c r="Y138" s="5"/>
      <c r="Z138" s="5"/>
      <c r="AA138" s="5"/>
      <c r="AB138" s="16"/>
      <c r="AC138" s="16"/>
      <c r="AE138" s="5"/>
    </row>
    <row r="139" spans="1:31" x14ac:dyDescent="0.25">
      <c r="A139" s="2">
        <f t="shared" si="6"/>
        <v>134</v>
      </c>
      <c r="B139" t="s">
        <v>276</v>
      </c>
      <c r="C139" s="3" t="s">
        <v>277</v>
      </c>
      <c r="D139" t="s">
        <v>21</v>
      </c>
      <c r="F139" s="16"/>
      <c r="G139" s="16"/>
      <c r="H139" s="16"/>
      <c r="K139" s="16"/>
      <c r="M139" s="16"/>
      <c r="N139" s="16"/>
      <c r="Q139" s="18"/>
      <c r="R139" s="18"/>
      <c r="S139" s="18"/>
      <c r="T139" s="18"/>
      <c r="U139" s="18"/>
      <c r="V139" s="18"/>
      <c r="W139" s="19"/>
      <c r="X139" s="18"/>
      <c r="Y139" s="5"/>
      <c r="Z139" s="5"/>
      <c r="AA139" s="5"/>
      <c r="AB139" s="16"/>
      <c r="AC139" s="16"/>
      <c r="AE139" s="5"/>
    </row>
    <row r="140" spans="1:31" x14ac:dyDescent="0.25">
      <c r="A140" s="2">
        <f t="shared" si="6"/>
        <v>135</v>
      </c>
      <c r="B140" t="s">
        <v>278</v>
      </c>
      <c r="C140" s="4" t="s">
        <v>279</v>
      </c>
      <c r="D140" t="s">
        <v>256</v>
      </c>
      <c r="F140" s="16"/>
      <c r="G140" s="16"/>
      <c r="H140" s="16"/>
      <c r="K140" s="16"/>
      <c r="M140" s="16"/>
      <c r="N140" s="16"/>
      <c r="Q140" s="18"/>
      <c r="R140" s="18"/>
      <c r="S140" s="18"/>
      <c r="T140" s="18"/>
      <c r="U140" s="18"/>
      <c r="V140" s="18"/>
      <c r="W140" s="19"/>
      <c r="X140" s="18"/>
      <c r="Y140" s="5"/>
      <c r="Z140" s="5"/>
      <c r="AA140" s="5"/>
      <c r="AB140" s="16"/>
      <c r="AC140" s="16"/>
      <c r="AE140" s="5"/>
    </row>
    <row r="141" spans="1:31" x14ac:dyDescent="0.25">
      <c r="A141" s="2">
        <f t="shared" si="6"/>
        <v>136</v>
      </c>
      <c r="B141" t="s">
        <v>280</v>
      </c>
      <c r="C141" s="3" t="s">
        <v>281</v>
      </c>
      <c r="D141" t="s">
        <v>21</v>
      </c>
      <c r="F141" s="16"/>
      <c r="G141" s="16"/>
      <c r="H141" s="16"/>
      <c r="K141" s="16"/>
      <c r="M141" s="16"/>
      <c r="N141" s="16"/>
      <c r="Q141" s="18"/>
      <c r="R141" s="18"/>
      <c r="S141" s="18"/>
      <c r="T141" s="18"/>
      <c r="U141" s="18"/>
      <c r="V141" s="18"/>
      <c r="W141" s="19"/>
      <c r="X141" s="18"/>
      <c r="Y141" s="5"/>
      <c r="Z141" s="5"/>
      <c r="AA141" s="5"/>
      <c r="AB141" s="16"/>
      <c r="AC141" s="16"/>
      <c r="AE141" s="5"/>
    </row>
    <row r="142" spans="1:31" x14ac:dyDescent="0.25">
      <c r="A142" s="2">
        <f t="shared" si="6"/>
        <v>137</v>
      </c>
      <c r="B142" t="s">
        <v>282</v>
      </c>
      <c r="C142" s="3" t="s">
        <v>283</v>
      </c>
      <c r="D142" t="s">
        <v>167</v>
      </c>
      <c r="F142" s="16"/>
      <c r="G142" s="16"/>
      <c r="H142" s="16"/>
      <c r="K142" s="16"/>
      <c r="M142" s="16"/>
      <c r="N142" s="16"/>
      <c r="Q142" s="18"/>
      <c r="R142" s="18"/>
      <c r="S142" s="18"/>
      <c r="T142" s="18"/>
      <c r="U142" s="18"/>
      <c r="V142" s="18"/>
      <c r="W142" s="19"/>
      <c r="X142" s="18"/>
      <c r="Y142" s="5"/>
      <c r="Z142" s="5"/>
      <c r="AA142" s="5"/>
      <c r="AB142" s="16"/>
      <c r="AC142" s="16"/>
      <c r="AE142" s="5"/>
    </row>
    <row r="143" spans="1:31" x14ac:dyDescent="0.25">
      <c r="A143" s="2">
        <f t="shared" si="6"/>
        <v>138</v>
      </c>
      <c r="B143" t="s">
        <v>284</v>
      </c>
      <c r="C143" s="3" t="s">
        <v>285</v>
      </c>
      <c r="D143" t="s">
        <v>21</v>
      </c>
      <c r="F143" s="16"/>
      <c r="G143" s="16"/>
      <c r="H143" s="16"/>
      <c r="K143" s="16"/>
      <c r="M143" s="16"/>
      <c r="N143" s="16"/>
      <c r="Q143" s="18"/>
      <c r="R143" s="18"/>
      <c r="S143" s="18"/>
      <c r="T143" s="18"/>
      <c r="U143" s="18"/>
      <c r="V143" s="18"/>
      <c r="W143" s="19"/>
      <c r="X143" s="18"/>
      <c r="Y143" s="5"/>
      <c r="Z143" s="5"/>
      <c r="AA143" s="5"/>
      <c r="AB143" s="16"/>
      <c r="AC143" s="16"/>
      <c r="AE143" s="5"/>
    </row>
    <row r="144" spans="1:31" x14ac:dyDescent="0.25">
      <c r="A144" s="2">
        <f t="shared" si="6"/>
        <v>139</v>
      </c>
      <c r="B144" t="s">
        <v>286</v>
      </c>
      <c r="C144" s="3" t="s">
        <v>287</v>
      </c>
      <c r="D144" t="s">
        <v>109</v>
      </c>
      <c r="F144" s="16"/>
      <c r="G144" s="16"/>
      <c r="H144" s="16"/>
      <c r="K144" s="16"/>
      <c r="M144" s="16"/>
      <c r="N144" s="16"/>
      <c r="Q144" s="18"/>
      <c r="R144" s="18"/>
      <c r="S144" s="18"/>
      <c r="T144" s="18"/>
      <c r="U144" s="18"/>
      <c r="V144" s="18"/>
      <c r="W144" s="19"/>
      <c r="X144" s="18"/>
      <c r="Y144" s="5"/>
      <c r="Z144" s="5"/>
      <c r="AA144" s="5"/>
      <c r="AB144" s="16"/>
      <c r="AC144" s="16"/>
      <c r="AE144" s="5"/>
    </row>
    <row r="145" spans="1:31" x14ac:dyDescent="0.25">
      <c r="A145" s="2">
        <f t="shared" si="6"/>
        <v>140</v>
      </c>
      <c r="B145" t="s">
        <v>288</v>
      </c>
      <c r="C145" s="3" t="s">
        <v>289</v>
      </c>
      <c r="D145" t="s">
        <v>21</v>
      </c>
      <c r="F145" s="16"/>
      <c r="G145" s="16"/>
      <c r="H145" s="16"/>
      <c r="K145" s="16"/>
      <c r="M145" s="16"/>
      <c r="N145" s="16"/>
      <c r="Q145" s="18"/>
      <c r="R145" s="18"/>
      <c r="S145" s="18"/>
      <c r="T145" s="18"/>
      <c r="U145" s="18"/>
      <c r="V145" s="18"/>
      <c r="W145" s="19"/>
      <c r="X145" s="18"/>
      <c r="Y145" s="5"/>
      <c r="Z145" s="5"/>
      <c r="AA145" s="5"/>
      <c r="AB145" s="16"/>
      <c r="AC145" s="16"/>
      <c r="AE145" s="5"/>
    </row>
    <row r="146" spans="1:31" x14ac:dyDescent="0.25">
      <c r="A146" s="2">
        <f t="shared" si="6"/>
        <v>141</v>
      </c>
      <c r="B146" t="s">
        <v>290</v>
      </c>
      <c r="C146" s="3" t="s">
        <v>291</v>
      </c>
      <c r="D146" t="s">
        <v>21</v>
      </c>
      <c r="F146" s="16"/>
      <c r="G146" s="16"/>
      <c r="H146" s="16"/>
      <c r="M146" s="16"/>
      <c r="N146" s="16"/>
      <c r="Q146" s="18"/>
      <c r="R146" s="18"/>
      <c r="S146" s="18"/>
      <c r="T146" s="18"/>
      <c r="U146" s="18"/>
      <c r="V146" s="18"/>
      <c r="W146" s="19"/>
      <c r="X146" s="18"/>
      <c r="Y146" s="5"/>
      <c r="Z146" s="5"/>
      <c r="AA146" s="5"/>
      <c r="AB146" s="16"/>
      <c r="AC146" s="16"/>
      <c r="AE146" s="5"/>
    </row>
    <row r="147" spans="1:31" x14ac:dyDescent="0.25">
      <c r="A147" s="2">
        <f t="shared" si="6"/>
        <v>142</v>
      </c>
      <c r="B147" t="s">
        <v>292</v>
      </c>
      <c r="C147" s="3" t="s">
        <v>293</v>
      </c>
      <c r="D147" t="s">
        <v>100</v>
      </c>
      <c r="F147" s="16"/>
      <c r="G147" s="16"/>
      <c r="H147" s="16"/>
      <c r="Q147" s="18"/>
      <c r="R147" s="18"/>
      <c r="S147" s="18"/>
      <c r="T147" s="18"/>
      <c r="U147" s="18"/>
      <c r="V147" s="18"/>
      <c r="W147" s="19"/>
      <c r="X147" s="18"/>
      <c r="Y147" s="5"/>
      <c r="Z147" s="5"/>
      <c r="AA147" s="5"/>
      <c r="AB147" s="16"/>
      <c r="AC147" s="16"/>
      <c r="AE147" s="5"/>
    </row>
    <row r="148" spans="1:31" x14ac:dyDescent="0.25">
      <c r="A148" s="2">
        <f t="shared" si="6"/>
        <v>143</v>
      </c>
      <c r="B148" t="s">
        <v>294</v>
      </c>
      <c r="C148" s="3" t="s">
        <v>295</v>
      </c>
      <c r="D148" t="s">
        <v>296</v>
      </c>
      <c r="F148" s="16"/>
      <c r="G148" s="16"/>
      <c r="H148" s="16"/>
      <c r="Q148" s="18"/>
      <c r="R148" s="18"/>
      <c r="S148" s="18"/>
      <c r="T148" s="18"/>
      <c r="U148" s="18"/>
      <c r="V148" s="18"/>
      <c r="W148" s="19"/>
      <c r="X148" s="18"/>
      <c r="Y148" s="5"/>
      <c r="Z148" s="5"/>
      <c r="AA148" s="5"/>
      <c r="AB148" s="16"/>
      <c r="AC148" s="16"/>
      <c r="AE148" s="5"/>
    </row>
    <row r="149" spans="1:31" x14ac:dyDescent="0.25">
      <c r="A149" s="2">
        <f t="shared" si="6"/>
        <v>144</v>
      </c>
      <c r="B149" t="s">
        <v>297</v>
      </c>
      <c r="C149" s="3" t="s">
        <v>298</v>
      </c>
      <c r="D149" t="s">
        <v>21</v>
      </c>
      <c r="F149" s="16"/>
      <c r="G149" s="16"/>
      <c r="H149" s="16"/>
      <c r="Q149" s="18"/>
      <c r="R149" s="18"/>
      <c r="S149" s="18"/>
      <c r="T149" s="18"/>
      <c r="U149" s="18"/>
      <c r="V149" s="18"/>
      <c r="W149" s="19"/>
      <c r="X149" s="18"/>
      <c r="Y149" s="5"/>
      <c r="Z149" s="5"/>
      <c r="AA149" s="5"/>
      <c r="AB149" s="16"/>
      <c r="AC149" s="16"/>
      <c r="AE149" s="5"/>
    </row>
    <row r="150" spans="1:31" x14ac:dyDescent="0.25">
      <c r="A150" s="2">
        <f t="shared" si="6"/>
        <v>145</v>
      </c>
      <c r="B150" t="s">
        <v>301</v>
      </c>
      <c r="C150" s="3" t="s">
        <v>302</v>
      </c>
      <c r="D150" t="s">
        <v>82</v>
      </c>
      <c r="F150" s="16"/>
      <c r="G150" s="16"/>
      <c r="H150" s="16"/>
      <c r="Q150" s="18"/>
      <c r="R150" s="18"/>
      <c r="S150" s="18"/>
      <c r="T150" s="18"/>
      <c r="U150" s="18"/>
      <c r="V150" s="18"/>
      <c r="W150" s="19"/>
      <c r="X150" s="18"/>
      <c r="Y150" s="5"/>
      <c r="Z150" s="5"/>
      <c r="AA150" s="5"/>
      <c r="AB150" s="16"/>
      <c r="AC150" s="16"/>
      <c r="AE150" s="5"/>
    </row>
    <row r="151" spans="1:31" x14ac:dyDescent="0.25">
      <c r="A151" s="2">
        <f t="shared" si="6"/>
        <v>146</v>
      </c>
      <c r="B151" t="s">
        <v>299</v>
      </c>
      <c r="C151" s="3" t="s">
        <v>300</v>
      </c>
      <c r="D151" t="s">
        <v>21</v>
      </c>
      <c r="F151" s="16"/>
      <c r="G151" s="16"/>
      <c r="H151" s="16"/>
      <c r="Q151" s="18"/>
      <c r="R151" s="18"/>
      <c r="S151" s="18"/>
      <c r="T151" s="18"/>
      <c r="U151" s="18"/>
      <c r="V151" s="18"/>
      <c r="W151" s="19"/>
      <c r="X151" s="18"/>
      <c r="Y151" s="5"/>
      <c r="Z151" s="5"/>
      <c r="AA151" s="5"/>
      <c r="AB151" s="16"/>
      <c r="AC151" s="16"/>
      <c r="AE151" s="5"/>
    </row>
    <row r="152" spans="1:31" x14ac:dyDescent="0.25">
      <c r="A152" s="2">
        <f t="shared" si="6"/>
        <v>147</v>
      </c>
      <c r="B152" t="s">
        <v>303</v>
      </c>
      <c r="C152" s="3" t="s">
        <v>304</v>
      </c>
      <c r="D152" t="s">
        <v>21</v>
      </c>
      <c r="F152" s="16"/>
      <c r="G152" s="16"/>
      <c r="H152" s="16"/>
      <c r="Q152" s="18"/>
      <c r="R152" s="18"/>
      <c r="S152" s="18"/>
      <c r="T152" s="18"/>
      <c r="U152" s="18"/>
      <c r="V152" s="18"/>
      <c r="W152" s="19"/>
      <c r="X152" s="18"/>
      <c r="Y152" s="5"/>
      <c r="Z152" s="5"/>
      <c r="AA152" s="5"/>
      <c r="AB152" s="16"/>
      <c r="AC152" s="16"/>
      <c r="AE152" s="5"/>
    </row>
    <row r="153" spans="1:31" x14ac:dyDescent="0.25">
      <c r="A153" s="2">
        <f t="shared" si="6"/>
        <v>148</v>
      </c>
      <c r="B153" t="s">
        <v>307</v>
      </c>
      <c r="C153" s="3" t="s">
        <v>306</v>
      </c>
      <c r="D153" t="s">
        <v>305</v>
      </c>
      <c r="F153" s="16"/>
      <c r="G153" s="16"/>
      <c r="H153" s="16"/>
      <c r="Q153" s="18"/>
      <c r="R153" s="18"/>
      <c r="S153" s="18"/>
      <c r="T153" s="18"/>
      <c r="U153" s="18"/>
      <c r="V153" s="18"/>
      <c r="W153" s="19"/>
      <c r="X153" s="18"/>
      <c r="Y153" s="5"/>
      <c r="Z153" s="5"/>
      <c r="AA153" s="5"/>
      <c r="AB153" s="16"/>
      <c r="AC153" s="16"/>
      <c r="AE153" s="5"/>
    </row>
    <row r="154" spans="1:31" x14ac:dyDescent="0.25">
      <c r="A154" s="2">
        <f t="shared" si="6"/>
        <v>149</v>
      </c>
      <c r="B154" s="8" t="s">
        <v>488</v>
      </c>
      <c r="C154" s="3" t="s">
        <v>489</v>
      </c>
      <c r="D154" t="s">
        <v>125</v>
      </c>
      <c r="E154" s="7">
        <f>+[78]Main!$I$2</f>
        <v>2540</v>
      </c>
      <c r="F154" s="16">
        <f>+[78]Main!$I$4*FX!C5</f>
        <v>409.27593709799999</v>
      </c>
      <c r="G154" s="16">
        <f>+([78]Main!$I$6-[78]Main!$I$5)*FX!C5</f>
        <v>-123.31619999999999</v>
      </c>
      <c r="H154" s="16">
        <f>+F154+G154</f>
        <v>285.95973709800001</v>
      </c>
      <c r="I154" s="10" t="s">
        <v>339</v>
      </c>
      <c r="Q154" s="18"/>
      <c r="R154" s="18"/>
      <c r="S154" s="18"/>
      <c r="T154" s="18"/>
      <c r="U154" s="18"/>
      <c r="V154" s="18"/>
      <c r="W154" s="19"/>
      <c r="X154" s="18"/>
      <c r="Y154" s="5"/>
      <c r="Z154" s="5"/>
      <c r="AA154" s="5"/>
      <c r="AB154" s="16"/>
      <c r="AC154" s="16"/>
      <c r="AE154" s="5"/>
    </row>
    <row r="155" spans="1:31" x14ac:dyDescent="0.25">
      <c r="A155" s="2">
        <f t="shared" si="6"/>
        <v>150</v>
      </c>
      <c r="B155" s="8" t="s">
        <v>490</v>
      </c>
      <c r="C155" s="3" t="s">
        <v>491</v>
      </c>
      <c r="D155" t="s">
        <v>21</v>
      </c>
      <c r="E155" s="7">
        <f>+[79]Main!$J$2</f>
        <v>14.08</v>
      </c>
      <c r="F155" s="16">
        <f>+[79]Main!$J$4</f>
        <v>1131.6316492799999</v>
      </c>
      <c r="G155" s="16">
        <f>+[79]Main!$J$6-[79]Main!$J$5</f>
        <v>495.9</v>
      </c>
      <c r="H155" s="16">
        <f>+F155+G155</f>
        <v>1627.5316492799998</v>
      </c>
      <c r="I155" s="10" t="s">
        <v>340</v>
      </c>
      <c r="Q155" s="18"/>
      <c r="R155" s="18"/>
      <c r="S155" s="18"/>
      <c r="T155" s="18"/>
      <c r="U155" s="18"/>
      <c r="V155" s="18"/>
      <c r="W155" s="19"/>
      <c r="X155" s="18"/>
      <c r="Y155" s="5"/>
      <c r="Z155" s="5"/>
      <c r="AA155" s="5"/>
      <c r="AB155" s="16"/>
      <c r="AC155" s="16"/>
      <c r="AE155" s="5"/>
    </row>
    <row r="156" spans="1:31" x14ac:dyDescent="0.25">
      <c r="A156" s="2">
        <f t="shared" si="6"/>
        <v>151</v>
      </c>
      <c r="B156" t="s">
        <v>493</v>
      </c>
      <c r="C156" s="3" t="s">
        <v>492</v>
      </c>
      <c r="D156" t="s">
        <v>125</v>
      </c>
      <c r="F156" s="16"/>
      <c r="G156" s="16"/>
      <c r="H156" s="16"/>
      <c r="Q156" s="18"/>
      <c r="R156" s="18"/>
      <c r="S156" s="18"/>
      <c r="T156" s="18"/>
      <c r="U156" s="18"/>
      <c r="V156" s="18"/>
      <c r="W156" s="19"/>
      <c r="X156" s="18"/>
      <c r="Y156" s="5"/>
      <c r="Z156" s="5"/>
      <c r="AA156" s="5"/>
      <c r="AB156" s="16"/>
      <c r="AC156" s="16"/>
      <c r="AE156" s="5"/>
    </row>
    <row r="157" spans="1:31" x14ac:dyDescent="0.25">
      <c r="A157" s="2">
        <f t="shared" si="6"/>
        <v>152</v>
      </c>
      <c r="B157" t="s">
        <v>494</v>
      </c>
      <c r="C157" s="3" t="s">
        <v>495</v>
      </c>
      <c r="D157" t="s">
        <v>21</v>
      </c>
      <c r="F157" s="16"/>
      <c r="G157" s="16"/>
      <c r="H157" s="16"/>
      <c r="Q157" s="18"/>
      <c r="R157" s="18"/>
      <c r="S157" s="18"/>
      <c r="T157" s="18"/>
      <c r="U157" s="18"/>
      <c r="V157" s="18"/>
      <c r="W157" s="19"/>
      <c r="X157" s="18"/>
      <c r="Y157" s="5"/>
      <c r="Z157" s="5"/>
      <c r="AA157" s="5"/>
      <c r="AB157" s="16"/>
      <c r="AC157" s="16"/>
      <c r="AE157" s="5"/>
    </row>
    <row r="158" spans="1:31" x14ac:dyDescent="0.25">
      <c r="A158" s="2">
        <f t="shared" si="6"/>
        <v>153</v>
      </c>
      <c r="B158" t="s">
        <v>496</v>
      </c>
      <c r="C158" s="3" t="s">
        <v>497</v>
      </c>
      <c r="D158" t="s">
        <v>125</v>
      </c>
      <c r="F158" s="16"/>
      <c r="G158" s="16"/>
      <c r="H158" s="16"/>
      <c r="Q158" s="18"/>
      <c r="R158" s="18"/>
      <c r="S158" s="18"/>
      <c r="T158" s="18"/>
      <c r="U158" s="18"/>
      <c r="V158" s="18"/>
      <c r="W158" s="19"/>
      <c r="X158" s="18"/>
      <c r="Y158" s="5"/>
      <c r="Z158" s="5"/>
      <c r="AA158" s="5"/>
      <c r="AB158" s="16"/>
      <c r="AC158" s="16"/>
      <c r="AE158" s="5"/>
    </row>
    <row r="159" spans="1:31" x14ac:dyDescent="0.25">
      <c r="A159" s="2">
        <f t="shared" si="6"/>
        <v>154</v>
      </c>
      <c r="B159" t="s">
        <v>498</v>
      </c>
      <c r="C159" s="3" t="s">
        <v>499</v>
      </c>
      <c r="D159" t="s">
        <v>21</v>
      </c>
      <c r="F159" s="16"/>
      <c r="G159" s="16"/>
      <c r="H159" s="16"/>
      <c r="Q159" s="18"/>
      <c r="R159" s="18"/>
      <c r="S159" s="18"/>
      <c r="T159" s="18"/>
      <c r="U159" s="18"/>
      <c r="V159" s="18"/>
      <c r="W159" s="19"/>
      <c r="X159" s="18"/>
      <c r="Y159" s="5"/>
      <c r="Z159" s="5"/>
      <c r="AA159" s="5"/>
      <c r="AB159" s="16"/>
      <c r="AC159" s="16"/>
      <c r="AE159" s="5"/>
    </row>
    <row r="160" spans="1:31" x14ac:dyDescent="0.25">
      <c r="A160" s="2">
        <f t="shared" si="6"/>
        <v>155</v>
      </c>
      <c r="B160" t="s">
        <v>500</v>
      </c>
      <c r="C160" s="3" t="s">
        <v>501</v>
      </c>
      <c r="D160" t="s">
        <v>296</v>
      </c>
      <c r="F160" s="16"/>
      <c r="G160" s="16"/>
      <c r="H160" s="16"/>
      <c r="Q160" s="18"/>
      <c r="R160" s="18"/>
      <c r="S160" s="18"/>
      <c r="T160" s="18"/>
      <c r="U160" s="18"/>
      <c r="V160" s="18"/>
      <c r="W160" s="19"/>
      <c r="X160" s="18"/>
      <c r="Y160" s="5"/>
      <c r="Z160" s="5"/>
      <c r="AA160" s="5"/>
      <c r="AB160" s="16"/>
      <c r="AC160" s="16"/>
      <c r="AE160" s="5"/>
    </row>
    <row r="161" spans="1:31" x14ac:dyDescent="0.25">
      <c r="A161" s="2">
        <f t="shared" si="6"/>
        <v>156</v>
      </c>
      <c r="B161" t="s">
        <v>502</v>
      </c>
      <c r="C161" s="3" t="s">
        <v>503</v>
      </c>
      <c r="D161" t="s">
        <v>158</v>
      </c>
      <c r="F161" s="16"/>
      <c r="G161" s="16"/>
      <c r="H161" s="16"/>
      <c r="Q161" s="18"/>
      <c r="R161" s="18"/>
      <c r="S161" s="18"/>
      <c r="T161" s="18"/>
      <c r="U161" s="18"/>
      <c r="V161" s="18"/>
      <c r="W161" s="19"/>
      <c r="X161" s="18"/>
      <c r="Y161" s="5"/>
      <c r="Z161" s="5"/>
      <c r="AA161" s="5"/>
      <c r="AB161" s="16"/>
      <c r="AC161" s="16"/>
      <c r="AE161" s="5"/>
    </row>
    <row r="162" spans="1:31" x14ac:dyDescent="0.25">
      <c r="A162" s="2">
        <f t="shared" si="6"/>
        <v>157</v>
      </c>
      <c r="B162" t="s">
        <v>504</v>
      </c>
      <c r="C162" s="3" t="s">
        <v>505</v>
      </c>
      <c r="D162" t="s">
        <v>187</v>
      </c>
      <c r="F162" s="16"/>
      <c r="G162" s="16"/>
      <c r="H162" s="16"/>
      <c r="Q162" s="18"/>
      <c r="R162" s="18"/>
      <c r="S162" s="18"/>
      <c r="T162" s="18"/>
      <c r="U162" s="18"/>
      <c r="V162" s="18"/>
      <c r="W162" s="19"/>
      <c r="X162" s="18"/>
      <c r="Y162" s="5"/>
      <c r="Z162" s="5"/>
      <c r="AA162" s="5"/>
      <c r="AB162" s="16"/>
      <c r="AC162" s="16"/>
      <c r="AE162" s="5"/>
    </row>
    <row r="163" spans="1:31" x14ac:dyDescent="0.25">
      <c r="A163" s="2">
        <f t="shared" si="6"/>
        <v>158</v>
      </c>
      <c r="B163" t="s">
        <v>507</v>
      </c>
      <c r="C163" s="3" t="s">
        <v>506</v>
      </c>
      <c r="D163" t="s">
        <v>21</v>
      </c>
      <c r="F163" s="16"/>
      <c r="G163" s="16"/>
      <c r="H163" s="16"/>
      <c r="Q163" s="18"/>
      <c r="R163" s="18"/>
      <c r="S163" s="18"/>
      <c r="T163" s="18"/>
      <c r="U163" s="18"/>
      <c r="V163" s="18"/>
      <c r="W163" s="19"/>
      <c r="X163" s="18"/>
      <c r="Y163" s="5"/>
      <c r="Z163" s="5"/>
      <c r="AA163" s="5"/>
      <c r="AB163" s="16"/>
      <c r="AC163" s="16"/>
      <c r="AE163" s="5"/>
    </row>
    <row r="164" spans="1:31" x14ac:dyDescent="0.25">
      <c r="A164" s="2">
        <f t="shared" si="6"/>
        <v>159</v>
      </c>
      <c r="B164" t="s">
        <v>508</v>
      </c>
      <c r="C164" s="3" t="s">
        <v>510</v>
      </c>
      <c r="D164" t="s">
        <v>21</v>
      </c>
      <c r="F164" s="16"/>
      <c r="G164" s="16"/>
      <c r="H164" s="16"/>
      <c r="Q164" s="18"/>
      <c r="R164" s="18"/>
      <c r="S164" s="18"/>
      <c r="T164" s="18"/>
      <c r="U164" s="18"/>
      <c r="V164" s="18"/>
      <c r="W164" s="19"/>
      <c r="X164" s="18"/>
      <c r="Y164" s="5"/>
      <c r="Z164" s="5"/>
      <c r="AA164" s="5"/>
      <c r="AB164" s="16"/>
      <c r="AC164" s="16"/>
      <c r="AE164" s="5"/>
    </row>
    <row r="165" spans="1:31" x14ac:dyDescent="0.25">
      <c r="A165" s="2">
        <f t="shared" si="6"/>
        <v>160</v>
      </c>
      <c r="B165" t="s">
        <v>509</v>
      </c>
      <c r="C165" s="3" t="s">
        <v>511</v>
      </c>
      <c r="D165" t="s">
        <v>158</v>
      </c>
      <c r="F165" s="16"/>
      <c r="G165" s="16"/>
      <c r="H165" s="16"/>
      <c r="Q165" s="18"/>
      <c r="R165" s="18"/>
      <c r="S165" s="18"/>
      <c r="T165" s="18"/>
      <c r="U165" s="18"/>
      <c r="V165" s="18"/>
      <c r="W165" s="19"/>
      <c r="X165" s="18"/>
      <c r="Y165" s="5"/>
      <c r="Z165" s="5"/>
      <c r="AA165" s="5"/>
      <c r="AB165" s="16"/>
      <c r="AC165" s="16"/>
      <c r="AE165" s="5"/>
    </row>
    <row r="166" spans="1:31" x14ac:dyDescent="0.25">
      <c r="A166" s="2">
        <f t="shared" si="6"/>
        <v>161</v>
      </c>
      <c r="B166" t="s">
        <v>512</v>
      </c>
      <c r="C166" s="3" t="s">
        <v>515</v>
      </c>
      <c r="D166" t="s">
        <v>354</v>
      </c>
      <c r="F166" s="16"/>
      <c r="G166" s="16"/>
      <c r="H166" s="16"/>
      <c r="Q166" s="18"/>
      <c r="R166" s="18"/>
      <c r="S166" s="18"/>
      <c r="T166" s="18"/>
      <c r="U166" s="18"/>
      <c r="V166" s="18"/>
      <c r="W166" s="19"/>
      <c r="X166" s="18"/>
      <c r="Y166" s="5"/>
      <c r="Z166" s="5"/>
      <c r="AA166" s="5"/>
      <c r="AB166" s="16"/>
      <c r="AC166" s="16"/>
      <c r="AE166" s="5"/>
    </row>
    <row r="167" spans="1:31" x14ac:dyDescent="0.25">
      <c r="A167" s="2">
        <f t="shared" si="6"/>
        <v>162</v>
      </c>
      <c r="B167" t="s">
        <v>513</v>
      </c>
      <c r="C167" s="3" t="s">
        <v>514</v>
      </c>
      <c r="D167" t="s">
        <v>21</v>
      </c>
      <c r="F167" s="16"/>
      <c r="G167" s="16"/>
      <c r="H167" s="16"/>
      <c r="Q167" s="18"/>
      <c r="R167" s="18"/>
      <c r="S167" s="18"/>
      <c r="T167" s="18"/>
      <c r="U167" s="18"/>
      <c r="V167" s="18"/>
      <c r="W167" s="19"/>
      <c r="X167" s="18"/>
      <c r="Y167" s="5"/>
      <c r="Z167" s="5"/>
      <c r="AA167" s="5"/>
      <c r="AB167" s="16"/>
      <c r="AC167" s="16"/>
      <c r="AE167" s="5"/>
    </row>
    <row r="168" spans="1:31" x14ac:dyDescent="0.25">
      <c r="A168" s="2">
        <f t="shared" si="6"/>
        <v>163</v>
      </c>
      <c r="B168" t="s">
        <v>516</v>
      </c>
      <c r="C168" s="3" t="s">
        <v>380</v>
      </c>
      <c r="D168" t="s">
        <v>517</v>
      </c>
      <c r="F168" s="16"/>
      <c r="G168" s="16"/>
      <c r="H168" s="16"/>
      <c r="Q168" s="18"/>
      <c r="R168" s="18"/>
      <c r="S168" s="18"/>
      <c r="T168" s="18"/>
      <c r="U168" s="18"/>
      <c r="V168" s="18"/>
      <c r="W168" s="19"/>
      <c r="X168" s="18"/>
      <c r="Y168" s="5"/>
      <c r="Z168" s="5"/>
      <c r="AA168" s="5"/>
      <c r="AB168" s="16"/>
      <c r="AC168" s="16"/>
      <c r="AE168" s="5"/>
    </row>
    <row r="169" spans="1:31" x14ac:dyDescent="0.25">
      <c r="A169" s="2">
        <f t="shared" si="6"/>
        <v>164</v>
      </c>
      <c r="B169" t="s">
        <v>518</v>
      </c>
      <c r="C169" s="3" t="s">
        <v>519</v>
      </c>
      <c r="D169" t="s">
        <v>21</v>
      </c>
      <c r="F169" s="16"/>
      <c r="G169" s="16"/>
      <c r="H169" s="16"/>
      <c r="Q169" s="18"/>
      <c r="R169" s="18"/>
      <c r="S169" s="18"/>
      <c r="T169" s="18"/>
      <c r="U169" s="18"/>
      <c r="V169" s="18"/>
      <c r="W169" s="19"/>
      <c r="X169" s="18"/>
      <c r="Y169" s="5"/>
      <c r="Z169" s="5"/>
      <c r="AA169" s="5"/>
      <c r="AB169" s="16"/>
      <c r="AC169" s="16"/>
      <c r="AE169" s="5"/>
    </row>
    <row r="170" spans="1:31" x14ac:dyDescent="0.25">
      <c r="A170" s="2">
        <f t="shared" si="6"/>
        <v>165</v>
      </c>
      <c r="B170" t="s">
        <v>520</v>
      </c>
      <c r="C170" s="3" t="s">
        <v>521</v>
      </c>
      <c r="D170" t="s">
        <v>21</v>
      </c>
      <c r="F170" s="16"/>
      <c r="G170" s="16"/>
      <c r="H170" s="16"/>
      <c r="Q170" s="18"/>
      <c r="R170" s="18"/>
      <c r="S170" s="18"/>
      <c r="T170" s="18"/>
      <c r="U170" s="18"/>
      <c r="V170" s="18"/>
      <c r="W170" s="19"/>
      <c r="X170" s="18"/>
      <c r="Y170" s="5"/>
      <c r="Z170" s="5"/>
      <c r="AA170" s="5"/>
      <c r="AB170" s="16"/>
      <c r="AC170" s="16"/>
      <c r="AE170" s="5"/>
    </row>
    <row r="171" spans="1:31" x14ac:dyDescent="0.25">
      <c r="A171" s="2">
        <f t="shared" si="6"/>
        <v>166</v>
      </c>
      <c r="B171" t="s">
        <v>522</v>
      </c>
      <c r="C171" s="3" t="s">
        <v>523</v>
      </c>
      <c r="D171" t="s">
        <v>221</v>
      </c>
      <c r="F171" s="16"/>
      <c r="G171" s="16"/>
      <c r="H171" s="16"/>
      <c r="Q171" s="18"/>
      <c r="R171" s="18"/>
      <c r="S171" s="18"/>
      <c r="T171" s="18"/>
      <c r="U171" s="18"/>
      <c r="V171" s="18"/>
      <c r="W171" s="19"/>
      <c r="X171" s="18"/>
      <c r="Y171" s="5"/>
      <c r="Z171" s="5"/>
      <c r="AA171" s="5"/>
      <c r="AB171" s="16"/>
      <c r="AC171" s="16"/>
      <c r="AE171" s="5"/>
    </row>
    <row r="172" spans="1:31" x14ac:dyDescent="0.25">
      <c r="A172" s="2">
        <f t="shared" si="6"/>
        <v>167</v>
      </c>
      <c r="B172" t="s">
        <v>524</v>
      </c>
      <c r="C172" s="3" t="s">
        <v>527</v>
      </c>
      <c r="D172" t="s">
        <v>187</v>
      </c>
      <c r="F172" s="16"/>
      <c r="G172" s="16"/>
      <c r="H172" s="16"/>
      <c r="Q172" s="18"/>
      <c r="R172" s="18"/>
      <c r="S172" s="18"/>
      <c r="T172" s="18"/>
      <c r="U172" s="18"/>
      <c r="V172" s="18"/>
      <c r="W172" s="19"/>
      <c r="X172" s="18"/>
      <c r="Y172" s="5"/>
      <c r="Z172" s="5"/>
      <c r="AA172" s="5"/>
      <c r="AB172" s="16"/>
      <c r="AC172" s="16"/>
      <c r="AE172" s="5"/>
    </row>
    <row r="173" spans="1:31" x14ac:dyDescent="0.25">
      <c r="A173" s="2">
        <f t="shared" si="6"/>
        <v>168</v>
      </c>
      <c r="B173" t="s">
        <v>525</v>
      </c>
      <c r="C173" s="3" t="s">
        <v>526</v>
      </c>
      <c r="D173" t="s">
        <v>21</v>
      </c>
      <c r="F173" s="16"/>
      <c r="G173" s="16"/>
      <c r="H173" s="16"/>
      <c r="Q173" s="18"/>
      <c r="R173" s="18"/>
      <c r="S173" s="18"/>
      <c r="T173" s="18"/>
      <c r="U173" s="18"/>
      <c r="V173" s="18"/>
      <c r="W173" s="19"/>
      <c r="X173" s="18"/>
      <c r="Y173" s="5"/>
      <c r="Z173" s="5"/>
      <c r="AA173" s="5"/>
      <c r="AB173" s="16"/>
      <c r="AC173" s="16"/>
      <c r="AE173" s="5"/>
    </row>
    <row r="174" spans="1:31" x14ac:dyDescent="0.25">
      <c r="A174" s="2">
        <f t="shared" si="6"/>
        <v>169</v>
      </c>
      <c r="B174" t="s">
        <v>528</v>
      </c>
      <c r="C174" s="3" t="s">
        <v>529</v>
      </c>
      <c r="D174" t="s">
        <v>21</v>
      </c>
      <c r="F174" s="16"/>
      <c r="G174" s="16"/>
      <c r="H174" s="16"/>
      <c r="Q174" s="18"/>
      <c r="R174" s="18"/>
      <c r="S174" s="18"/>
      <c r="T174" s="18"/>
      <c r="U174" s="18"/>
      <c r="V174" s="18"/>
      <c r="W174" s="19"/>
      <c r="X174" s="18"/>
      <c r="Y174" s="5"/>
      <c r="Z174" s="5"/>
      <c r="AA174" s="5"/>
      <c r="AB174" s="16"/>
      <c r="AC174" s="16"/>
      <c r="AE174" s="5"/>
    </row>
    <row r="175" spans="1:31" x14ac:dyDescent="0.25">
      <c r="A175" s="2">
        <f t="shared" si="6"/>
        <v>170</v>
      </c>
      <c r="B175" t="s">
        <v>530</v>
      </c>
      <c r="C175" s="3" t="s">
        <v>531</v>
      </c>
      <c r="D175" t="s">
        <v>21</v>
      </c>
      <c r="F175" s="16"/>
      <c r="G175" s="16"/>
      <c r="H175" s="16"/>
      <c r="Q175" s="18"/>
      <c r="R175" s="18"/>
      <c r="S175" s="18"/>
      <c r="T175" s="18"/>
      <c r="U175" s="18"/>
      <c r="V175" s="18"/>
      <c r="W175" s="19"/>
      <c r="X175" s="18"/>
      <c r="Y175" s="5"/>
      <c r="Z175" s="5"/>
      <c r="AA175" s="5"/>
      <c r="AB175" s="16"/>
      <c r="AC175" s="16"/>
      <c r="AE175" s="5"/>
    </row>
    <row r="176" spans="1:31" x14ac:dyDescent="0.25">
      <c r="A176" s="2">
        <f t="shared" si="6"/>
        <v>171</v>
      </c>
      <c r="B176" t="s">
        <v>532</v>
      </c>
      <c r="C176" s="3" t="s">
        <v>533</v>
      </c>
      <c r="D176" t="s">
        <v>21</v>
      </c>
      <c r="F176" s="16"/>
      <c r="G176" s="16"/>
      <c r="H176" s="16"/>
      <c r="Q176" s="18"/>
      <c r="R176" s="18"/>
      <c r="S176" s="18"/>
      <c r="T176" s="18"/>
      <c r="U176" s="18"/>
      <c r="V176" s="18"/>
      <c r="W176" s="19"/>
      <c r="X176" s="18"/>
      <c r="Y176" s="5"/>
      <c r="Z176" s="5"/>
      <c r="AA176" s="5"/>
      <c r="AB176" s="16"/>
      <c r="AC176" s="16"/>
      <c r="AE176" s="5"/>
    </row>
    <row r="177" spans="1:31" x14ac:dyDescent="0.25">
      <c r="A177" s="2">
        <f t="shared" si="6"/>
        <v>172</v>
      </c>
      <c r="B177" t="s">
        <v>534</v>
      </c>
      <c r="C177" s="3" t="s">
        <v>535</v>
      </c>
      <c r="D177" t="s">
        <v>21</v>
      </c>
      <c r="F177" s="16"/>
      <c r="G177" s="16"/>
      <c r="H177" s="16"/>
      <c r="Q177" s="18"/>
      <c r="R177" s="18"/>
      <c r="S177" s="18"/>
      <c r="T177" s="18"/>
      <c r="U177" s="18"/>
      <c r="V177" s="18"/>
      <c r="W177" s="19"/>
      <c r="X177" s="18"/>
      <c r="Y177" s="5"/>
      <c r="Z177" s="5"/>
      <c r="AA177" s="5"/>
      <c r="AB177" s="16"/>
      <c r="AC177" s="16"/>
      <c r="AE177" s="5"/>
    </row>
    <row r="178" spans="1:31" x14ac:dyDescent="0.25">
      <c r="A178" s="2">
        <f t="shared" si="6"/>
        <v>173</v>
      </c>
      <c r="B178" t="s">
        <v>536</v>
      </c>
      <c r="C178" s="3" t="s">
        <v>538</v>
      </c>
      <c r="D178" t="s">
        <v>537</v>
      </c>
      <c r="F178" s="16"/>
      <c r="G178" s="16"/>
      <c r="H178" s="16"/>
      <c r="Q178" s="18"/>
      <c r="R178" s="18"/>
      <c r="S178" s="18"/>
      <c r="T178" s="18"/>
      <c r="U178" s="18"/>
      <c r="V178" s="18"/>
      <c r="W178" s="19"/>
      <c r="X178" s="18"/>
      <c r="Y178" s="5"/>
      <c r="Z178" s="5"/>
      <c r="AA178" s="5"/>
      <c r="AB178" s="16"/>
      <c r="AC178" s="16"/>
      <c r="AE178" s="5"/>
    </row>
    <row r="179" spans="1:31" x14ac:dyDescent="0.25">
      <c r="A179" s="2">
        <f t="shared" si="6"/>
        <v>174</v>
      </c>
      <c r="B179" t="s">
        <v>539</v>
      </c>
      <c r="C179" s="3" t="s">
        <v>540</v>
      </c>
      <c r="D179" t="s">
        <v>21</v>
      </c>
      <c r="F179" s="16"/>
      <c r="G179" s="16"/>
      <c r="H179" s="16"/>
      <c r="Q179" s="18"/>
      <c r="R179" s="18"/>
      <c r="S179" s="18"/>
      <c r="T179" s="18"/>
      <c r="U179" s="18"/>
      <c r="V179" s="18"/>
      <c r="W179" s="19"/>
      <c r="X179" s="18"/>
      <c r="Y179" s="5"/>
      <c r="Z179" s="5"/>
      <c r="AA179" s="5"/>
      <c r="AB179" s="16"/>
      <c r="AC179" s="16"/>
      <c r="AE179" s="5"/>
    </row>
    <row r="180" spans="1:31" x14ac:dyDescent="0.25">
      <c r="A180" s="2">
        <f t="shared" si="6"/>
        <v>175</v>
      </c>
      <c r="B180" t="s">
        <v>541</v>
      </c>
      <c r="C180" s="3" t="s">
        <v>683</v>
      </c>
      <c r="D180" t="s">
        <v>21</v>
      </c>
      <c r="F180" s="16"/>
      <c r="G180" s="16"/>
      <c r="H180" s="16"/>
      <c r="Q180" s="18"/>
      <c r="R180" s="18"/>
      <c r="S180" s="18"/>
      <c r="T180" s="18"/>
      <c r="U180" s="18"/>
      <c r="V180" s="18"/>
      <c r="W180" s="19"/>
      <c r="X180" s="18"/>
      <c r="Y180" s="5"/>
      <c r="Z180" s="5"/>
      <c r="AA180" s="5"/>
      <c r="AB180" s="16"/>
      <c r="AC180" s="16"/>
      <c r="AE180" s="5"/>
    </row>
    <row r="181" spans="1:31" x14ac:dyDescent="0.25">
      <c r="A181" s="2">
        <f t="shared" si="6"/>
        <v>176</v>
      </c>
      <c r="B181" t="s">
        <v>542</v>
      </c>
      <c r="C181" s="3" t="s">
        <v>684</v>
      </c>
      <c r="D181" t="s">
        <v>21</v>
      </c>
      <c r="F181" s="16"/>
      <c r="G181" s="16"/>
      <c r="H181" s="16"/>
      <c r="Q181" s="18"/>
      <c r="R181" s="18"/>
      <c r="S181" s="18"/>
      <c r="T181" s="18"/>
      <c r="U181" s="18"/>
      <c r="V181" s="18"/>
      <c r="W181" s="19"/>
      <c r="X181" s="18"/>
      <c r="Y181" s="5"/>
      <c r="Z181" s="5"/>
      <c r="AA181" s="5"/>
      <c r="AB181" s="16"/>
      <c r="AC181" s="16"/>
      <c r="AE181" s="5"/>
    </row>
    <row r="182" spans="1:31" x14ac:dyDescent="0.25">
      <c r="F182" s="16"/>
      <c r="G182" s="16"/>
      <c r="H182" s="16"/>
      <c r="Q182" s="18"/>
      <c r="R182" s="18"/>
      <c r="S182" s="18"/>
      <c r="T182" s="18"/>
      <c r="U182" s="18"/>
      <c r="V182" s="18"/>
      <c r="W182" s="19"/>
      <c r="X182" s="18"/>
      <c r="Y182" s="5"/>
      <c r="Z182" s="5"/>
      <c r="AA182" s="5"/>
      <c r="AB182" s="16"/>
      <c r="AC182" s="16"/>
      <c r="AE182" s="5"/>
    </row>
    <row r="183" spans="1:31" x14ac:dyDescent="0.25">
      <c r="B183" s="13" t="s">
        <v>436</v>
      </c>
      <c r="F183" s="16"/>
      <c r="G183" s="16"/>
      <c r="H183" s="16"/>
      <c r="Q183" s="18"/>
      <c r="R183" s="18"/>
      <c r="S183" s="18"/>
      <c r="T183" s="18"/>
      <c r="U183" s="18"/>
      <c r="V183" s="18"/>
      <c r="W183" s="19"/>
      <c r="X183" s="18"/>
      <c r="Y183" s="5"/>
      <c r="Z183" s="5"/>
      <c r="AA183" s="5"/>
      <c r="AB183" s="16"/>
      <c r="AC183" s="16"/>
      <c r="AE183" s="5"/>
    </row>
    <row r="184" spans="1:31" x14ac:dyDescent="0.25">
      <c r="B184" t="s">
        <v>129</v>
      </c>
      <c r="C184" s="3" t="s">
        <v>420</v>
      </c>
      <c r="D184" t="s">
        <v>82</v>
      </c>
      <c r="E184" s="3" t="s">
        <v>417</v>
      </c>
      <c r="F184" s="16"/>
      <c r="G184" s="16"/>
      <c r="H184" s="16"/>
      <c r="Q184" s="18"/>
      <c r="R184" s="18"/>
      <c r="S184" s="18"/>
      <c r="T184" s="18"/>
      <c r="U184" s="18"/>
      <c r="V184" s="18"/>
      <c r="W184" s="19"/>
      <c r="X184" s="18"/>
      <c r="Y184" s="5"/>
      <c r="Z184" s="5"/>
      <c r="AA184" s="5"/>
      <c r="AB184" s="16"/>
      <c r="AC184" s="16"/>
      <c r="AD184" s="22">
        <v>2014</v>
      </c>
      <c r="AE184" s="5" t="s">
        <v>419</v>
      </c>
    </row>
    <row r="185" spans="1:31" x14ac:dyDescent="0.25">
      <c r="B185" t="s">
        <v>425</v>
      </c>
      <c r="C185" s="3" t="s">
        <v>487</v>
      </c>
      <c r="D185" t="s">
        <v>221</v>
      </c>
      <c r="E185" s="7" t="s">
        <v>435</v>
      </c>
      <c r="F185" s="16"/>
      <c r="G185" s="16"/>
      <c r="H185" s="23" t="s">
        <v>447</v>
      </c>
      <c r="Q185" s="18"/>
      <c r="R185" s="18"/>
      <c r="S185" s="18"/>
      <c r="T185" s="18"/>
      <c r="U185" s="18"/>
      <c r="V185" s="18"/>
      <c r="W185" s="19"/>
      <c r="X185" s="18"/>
      <c r="Y185" s="5"/>
      <c r="Z185" s="5"/>
      <c r="AA185" s="5"/>
      <c r="AB185" s="16"/>
      <c r="AC185" s="16"/>
      <c r="AE185" s="5"/>
    </row>
    <row r="186" spans="1:31" x14ac:dyDescent="0.25">
      <c r="B186" t="s">
        <v>441</v>
      </c>
      <c r="C186" s="3" t="s">
        <v>446</v>
      </c>
      <c r="F186" s="16"/>
      <c r="G186" s="16"/>
      <c r="H186" s="16"/>
      <c r="Q186" s="18"/>
      <c r="R186" s="18"/>
      <c r="S186" s="18"/>
      <c r="T186" s="18"/>
      <c r="U186" s="18"/>
      <c r="V186" s="18"/>
      <c r="W186" s="19"/>
      <c r="X186" s="18"/>
      <c r="Y186" s="5"/>
      <c r="Z186" s="5"/>
      <c r="AA186" s="5"/>
      <c r="AB186" s="16"/>
      <c r="AC186" s="16"/>
      <c r="AE186" s="5"/>
    </row>
    <row r="187" spans="1:31" x14ac:dyDescent="0.25">
      <c r="B187" t="s">
        <v>484</v>
      </c>
      <c r="C187" s="10" t="s">
        <v>485</v>
      </c>
      <c r="D187" t="s">
        <v>125</v>
      </c>
      <c r="E187" s="7" t="s">
        <v>486</v>
      </c>
      <c r="F187" s="16"/>
      <c r="G187" s="16"/>
      <c r="H187" s="16"/>
      <c r="Q187" s="18"/>
      <c r="R187" s="18"/>
      <c r="S187" s="18"/>
      <c r="T187" s="18"/>
      <c r="U187" s="18"/>
      <c r="V187" s="18"/>
      <c r="W187" s="19"/>
      <c r="X187" s="18"/>
      <c r="Y187" s="5"/>
      <c r="Z187" s="5"/>
      <c r="AA187" s="5"/>
      <c r="AB187" s="16"/>
      <c r="AC187" s="16"/>
      <c r="AE187" s="5"/>
    </row>
    <row r="188" spans="1:31" x14ac:dyDescent="0.25">
      <c r="B188" t="s">
        <v>688</v>
      </c>
      <c r="F188" s="16"/>
      <c r="G188" s="16"/>
      <c r="H188" s="16"/>
      <c r="Q188" s="18"/>
      <c r="R188" s="18"/>
      <c r="S188" s="18"/>
      <c r="T188" s="18"/>
      <c r="U188" s="18"/>
      <c r="V188" s="18"/>
      <c r="W188" s="19"/>
      <c r="X188" s="18"/>
      <c r="Y188" s="5"/>
      <c r="Z188" s="5"/>
      <c r="AA188" s="5"/>
      <c r="AB188" s="16"/>
      <c r="AC188" s="16"/>
      <c r="AE188" s="5"/>
    </row>
    <row r="189" spans="1:31" x14ac:dyDescent="0.25">
      <c r="B189" t="s">
        <v>689</v>
      </c>
      <c r="F189" s="16"/>
      <c r="G189" s="16"/>
      <c r="H189" s="16"/>
      <c r="J189" s="15"/>
      <c r="Q189" s="18"/>
      <c r="R189" s="18"/>
      <c r="S189" s="18"/>
      <c r="T189" s="18"/>
      <c r="U189" s="18"/>
      <c r="V189" s="18"/>
      <c r="W189" s="19"/>
      <c r="X189" s="18"/>
      <c r="Y189" s="5"/>
      <c r="Z189" s="5"/>
      <c r="AA189" s="5"/>
      <c r="AB189" s="16"/>
      <c r="AC189" s="16"/>
      <c r="AE189" s="5"/>
    </row>
    <row r="190" spans="1:31" x14ac:dyDescent="0.25">
      <c r="B190" t="s">
        <v>690</v>
      </c>
      <c r="F190" s="16"/>
      <c r="G190" s="16"/>
      <c r="H190" s="16"/>
      <c r="J190" s="15"/>
      <c r="Q190" s="18"/>
      <c r="R190" s="18"/>
      <c r="S190" s="18"/>
      <c r="T190" s="18"/>
      <c r="U190" s="18"/>
      <c r="V190" s="18"/>
      <c r="W190" s="19"/>
      <c r="X190" s="18"/>
      <c r="Y190" s="5"/>
      <c r="Z190" s="5"/>
      <c r="AA190" s="5"/>
      <c r="AB190" s="16"/>
      <c r="AC190" s="16"/>
      <c r="AE190" s="5"/>
    </row>
    <row r="191" spans="1:31" x14ac:dyDescent="0.25">
      <c r="B191" t="s">
        <v>691</v>
      </c>
      <c r="F191" s="16"/>
      <c r="G191" s="16"/>
      <c r="H191" s="16"/>
      <c r="J191" s="15"/>
      <c r="Q191" s="18"/>
      <c r="R191" s="18"/>
      <c r="S191" s="18"/>
      <c r="T191" s="18"/>
      <c r="U191" s="18"/>
      <c r="V191" s="18"/>
      <c r="W191" s="19"/>
      <c r="X191" s="18"/>
      <c r="Y191" s="5"/>
      <c r="Z191" s="5"/>
      <c r="AA191" s="5"/>
      <c r="AB191" s="16"/>
      <c r="AC191" s="16"/>
      <c r="AE191" s="5"/>
    </row>
    <row r="192" spans="1:31" x14ac:dyDescent="0.25">
      <c r="B192" t="s">
        <v>692</v>
      </c>
      <c r="F192" s="16"/>
      <c r="G192" s="16"/>
      <c r="H192" s="16"/>
      <c r="Q192" s="18"/>
      <c r="R192" s="18"/>
      <c r="S192" s="18"/>
      <c r="T192" s="18"/>
      <c r="U192" s="18"/>
      <c r="V192" s="18"/>
      <c r="W192" s="19"/>
      <c r="X192" s="18"/>
      <c r="Y192" s="5"/>
      <c r="Z192" s="5"/>
      <c r="AA192" s="5"/>
      <c r="AB192" s="16"/>
      <c r="AC192" s="16"/>
      <c r="AE192" s="5"/>
    </row>
    <row r="193" spans="2:31" x14ac:dyDescent="0.25">
      <c r="B193" t="s">
        <v>693</v>
      </c>
      <c r="F193" s="16"/>
      <c r="G193" s="16"/>
      <c r="H193" s="16"/>
      <c r="Q193" s="18"/>
      <c r="R193" s="18"/>
      <c r="S193" s="18"/>
      <c r="T193" s="18"/>
      <c r="U193" s="18"/>
      <c r="V193" s="18"/>
      <c r="W193" s="19"/>
      <c r="X193" s="18"/>
      <c r="Y193" s="5"/>
      <c r="Z193" s="5"/>
      <c r="AA193" s="5"/>
      <c r="AB193" s="16"/>
      <c r="AC193" s="16"/>
      <c r="AE193" s="5"/>
    </row>
    <row r="194" spans="2:31" x14ac:dyDescent="0.25">
      <c r="B194" t="s">
        <v>694</v>
      </c>
      <c r="F194" s="16"/>
      <c r="G194" s="16"/>
      <c r="H194" s="16"/>
      <c r="Q194" s="18"/>
      <c r="R194" s="18"/>
      <c r="S194" s="18"/>
      <c r="T194" s="18"/>
      <c r="U194" s="18"/>
      <c r="V194" s="18"/>
      <c r="W194" s="19"/>
      <c r="X194" s="18"/>
      <c r="Y194" s="5"/>
      <c r="Z194" s="5"/>
      <c r="AA194" s="5"/>
      <c r="AB194" s="16"/>
      <c r="AC194" s="16"/>
      <c r="AE194" s="5"/>
    </row>
    <row r="195" spans="2:31" x14ac:dyDescent="0.25">
      <c r="B195" t="s">
        <v>695</v>
      </c>
      <c r="C195"/>
      <c r="F195" s="16"/>
      <c r="G195" s="16"/>
      <c r="H195" s="16"/>
      <c r="Q195" s="18"/>
      <c r="R195" s="18"/>
      <c r="S195" s="18"/>
      <c r="T195" s="18"/>
      <c r="U195" s="18"/>
      <c r="V195" s="18"/>
      <c r="W195" s="19"/>
      <c r="X195" s="18"/>
      <c r="Y195" s="5"/>
      <c r="Z195" s="5"/>
      <c r="AA195" s="5"/>
      <c r="AB195" s="16"/>
      <c r="AC195" s="16"/>
      <c r="AE195" s="5"/>
    </row>
    <row r="196" spans="2:31" x14ac:dyDescent="0.25">
      <c r="B196" t="s">
        <v>696</v>
      </c>
      <c r="F196" s="16"/>
      <c r="G196" s="16"/>
      <c r="H196" s="16"/>
      <c r="Q196" s="18"/>
      <c r="R196" s="18"/>
      <c r="S196" s="18"/>
      <c r="T196" s="18"/>
      <c r="U196" s="18"/>
      <c r="V196" s="18"/>
      <c r="W196" s="19"/>
      <c r="X196" s="18"/>
      <c r="Y196" s="5"/>
      <c r="Z196" s="5"/>
      <c r="AA196" s="5"/>
      <c r="AB196" s="16"/>
      <c r="AC196" s="16"/>
      <c r="AE196" s="5"/>
    </row>
    <row r="197" spans="2:31" x14ac:dyDescent="0.25">
      <c r="B197" t="s">
        <v>697</v>
      </c>
      <c r="F197" s="16"/>
      <c r="G197" s="16"/>
      <c r="H197" s="16"/>
      <c r="Q197" s="18"/>
      <c r="R197" s="18"/>
      <c r="S197" s="18"/>
      <c r="T197" s="18"/>
      <c r="U197" s="18"/>
      <c r="V197" s="18"/>
      <c r="W197" s="19"/>
      <c r="X197" s="18"/>
      <c r="Y197" s="5"/>
      <c r="Z197" s="5"/>
      <c r="AA197" s="5"/>
      <c r="AB197" s="16"/>
      <c r="AC197" s="16"/>
      <c r="AE197" s="5"/>
    </row>
    <row r="198" spans="2:31" x14ac:dyDescent="0.25">
      <c r="B198" t="s">
        <v>698</v>
      </c>
      <c r="F198" s="16"/>
      <c r="G198" s="16"/>
      <c r="H198" s="16"/>
      <c r="Q198" s="18"/>
      <c r="R198" s="18"/>
      <c r="S198" s="18"/>
      <c r="T198" s="18"/>
      <c r="U198" s="18"/>
      <c r="V198" s="18"/>
      <c r="W198" s="19"/>
      <c r="X198" s="18"/>
      <c r="Y198" s="5"/>
      <c r="Z198" s="5"/>
      <c r="AA198" s="5"/>
      <c r="AB198" s="16"/>
      <c r="AC198" s="16"/>
      <c r="AE198" s="5"/>
    </row>
    <row r="199" spans="2:31" x14ac:dyDescent="0.25">
      <c r="B199" t="s">
        <v>706</v>
      </c>
      <c r="F199" s="16"/>
      <c r="G199" s="16"/>
      <c r="H199" s="16"/>
      <c r="Q199" s="18"/>
      <c r="R199" s="18"/>
      <c r="S199" s="18"/>
      <c r="T199" s="18"/>
      <c r="U199" s="18"/>
      <c r="V199" s="18"/>
      <c r="W199" s="19"/>
      <c r="X199" s="18"/>
      <c r="Y199" s="5"/>
      <c r="Z199" s="5"/>
      <c r="AA199" s="5"/>
      <c r="AB199" s="16"/>
      <c r="AC199" s="16"/>
      <c r="AE199" s="5"/>
    </row>
    <row r="200" spans="2:31" x14ac:dyDescent="0.25">
      <c r="B200" t="s">
        <v>703</v>
      </c>
      <c r="F200" s="16"/>
      <c r="G200" s="16"/>
      <c r="H200" s="16"/>
      <c r="Q200" s="18"/>
      <c r="R200" s="18"/>
      <c r="S200" s="18"/>
      <c r="T200" s="18"/>
      <c r="U200" s="18"/>
      <c r="V200" s="18"/>
      <c r="W200" s="19"/>
      <c r="X200" s="18"/>
      <c r="Y200" s="5"/>
      <c r="Z200" s="5"/>
      <c r="AA200" s="5"/>
      <c r="AB200" s="16"/>
      <c r="AC200" s="16"/>
      <c r="AE200" s="5"/>
    </row>
    <row r="201" spans="2:31" x14ac:dyDescent="0.25">
      <c r="F201" s="16"/>
      <c r="G201" s="16"/>
      <c r="H201" s="16"/>
      <c r="Q201" s="18"/>
      <c r="R201" s="18"/>
      <c r="S201" s="18"/>
      <c r="T201" s="18"/>
      <c r="U201" s="18"/>
      <c r="V201" s="18"/>
      <c r="W201" s="19"/>
      <c r="X201" s="18"/>
      <c r="Y201" s="5"/>
      <c r="Z201" s="5"/>
      <c r="AA201" s="5"/>
      <c r="AB201" s="16"/>
      <c r="AC201" s="16"/>
      <c r="AE201" s="5"/>
    </row>
    <row r="202" spans="2:31" x14ac:dyDescent="0.25">
      <c r="F202" s="16"/>
      <c r="G202" s="16"/>
      <c r="H202" s="16"/>
      <c r="Q202" s="18"/>
      <c r="R202" s="18"/>
      <c r="S202" s="18"/>
      <c r="T202" s="18"/>
      <c r="U202" s="18"/>
      <c r="V202" s="18"/>
      <c r="W202" s="19"/>
      <c r="X202" s="18"/>
      <c r="Y202" s="5"/>
      <c r="Z202" s="5"/>
      <c r="AA202" s="5"/>
      <c r="AB202" s="16"/>
      <c r="AC202" s="16"/>
      <c r="AE202" s="5"/>
    </row>
    <row r="203" spans="2:31" x14ac:dyDescent="0.25">
      <c r="F203" s="16"/>
      <c r="G203" s="16"/>
      <c r="H203" s="16"/>
      <c r="Q203" s="18"/>
      <c r="R203" s="18"/>
      <c r="S203" s="18"/>
      <c r="T203" s="18"/>
      <c r="U203" s="18"/>
      <c r="V203" s="18"/>
      <c r="W203" s="19"/>
      <c r="X203" s="18"/>
      <c r="Y203" s="5"/>
      <c r="Z203" s="5"/>
      <c r="AA203" s="5"/>
      <c r="AB203" s="16"/>
      <c r="AC203" s="16"/>
      <c r="AE203" s="5"/>
    </row>
    <row r="204" spans="2:31" x14ac:dyDescent="0.25">
      <c r="F204" s="16"/>
      <c r="G204" s="16"/>
      <c r="H204" s="16"/>
      <c r="Q204" s="18"/>
      <c r="R204" s="18"/>
      <c r="S204" s="18"/>
      <c r="T204" s="18"/>
      <c r="U204" s="18"/>
      <c r="V204" s="18"/>
      <c r="W204" s="19"/>
      <c r="X204" s="18"/>
      <c r="Y204" s="5"/>
      <c r="Z204" s="5"/>
      <c r="AA204" s="5"/>
      <c r="AB204" s="5"/>
      <c r="AC204" s="5"/>
      <c r="AE204" s="5"/>
    </row>
    <row r="205" spans="2:31" x14ac:dyDescent="0.25">
      <c r="C205" s="4"/>
      <c r="F205" s="16"/>
      <c r="G205" s="16"/>
      <c r="H205" s="16"/>
      <c r="Q205" s="18"/>
      <c r="R205" s="18"/>
      <c r="S205" s="18"/>
      <c r="T205" s="18"/>
      <c r="U205" s="18"/>
      <c r="V205" s="18"/>
      <c r="W205" s="19"/>
      <c r="X205" s="18"/>
      <c r="Y205" s="5"/>
      <c r="Z205" s="5"/>
      <c r="AA205" s="5"/>
      <c r="AB205" s="5"/>
      <c r="AC205" s="5"/>
      <c r="AE205" s="5"/>
    </row>
    <row r="206" spans="2:31" x14ac:dyDescent="0.25">
      <c r="F206" s="16"/>
      <c r="G206" s="16"/>
      <c r="H206" s="16"/>
      <c r="Q206" s="18"/>
      <c r="R206" s="18"/>
      <c r="S206" s="18"/>
      <c r="T206" s="18"/>
      <c r="U206" s="18"/>
      <c r="V206" s="18"/>
      <c r="W206" s="19"/>
      <c r="X206" s="18"/>
      <c r="Y206" s="5"/>
      <c r="Z206" s="5"/>
      <c r="AA206" s="5"/>
      <c r="AB206" s="5"/>
      <c r="AC206" s="5"/>
      <c r="AE206" s="5"/>
    </row>
    <row r="207" spans="2:31" x14ac:dyDescent="0.25">
      <c r="F207" s="16"/>
      <c r="G207" s="16"/>
      <c r="H207" s="16"/>
      <c r="Q207" s="18"/>
      <c r="R207" s="18"/>
      <c r="S207" s="18"/>
      <c r="T207" s="18"/>
      <c r="U207" s="18"/>
      <c r="V207" s="18"/>
      <c r="W207" s="19"/>
      <c r="X207" s="18"/>
      <c r="Y207" s="5"/>
      <c r="Z207" s="5"/>
      <c r="AA207" s="5"/>
      <c r="AB207" s="5"/>
      <c r="AC207" s="5"/>
      <c r="AE207" s="5"/>
    </row>
    <row r="208" spans="2:31" x14ac:dyDescent="0.25">
      <c r="F208" s="16"/>
      <c r="G208" s="16"/>
      <c r="H208" s="16"/>
      <c r="Q208" s="18"/>
      <c r="R208" s="18"/>
      <c r="S208" s="18"/>
      <c r="T208" s="18"/>
      <c r="U208" s="18"/>
      <c r="V208" s="18"/>
      <c r="W208" s="19"/>
      <c r="X208" s="18"/>
      <c r="Y208" s="5"/>
      <c r="Z208" s="5"/>
      <c r="AA208" s="5"/>
      <c r="AB208" s="5"/>
      <c r="AC208" s="5"/>
      <c r="AE208" s="5"/>
    </row>
    <row r="209" spans="6:31" x14ac:dyDescent="0.25">
      <c r="F209" s="16"/>
      <c r="G209" s="16"/>
      <c r="H209" s="16"/>
      <c r="Q209" s="18"/>
      <c r="R209" s="18"/>
      <c r="S209" s="18"/>
      <c r="T209" s="18"/>
      <c r="U209" s="18"/>
      <c r="V209" s="18"/>
      <c r="W209" s="19"/>
      <c r="X209" s="18"/>
      <c r="Y209" s="5"/>
      <c r="Z209" s="5"/>
      <c r="AA209" s="5"/>
      <c r="AB209" s="5"/>
      <c r="AC209" s="5"/>
      <c r="AE209" s="5"/>
    </row>
    <row r="210" spans="6:31" x14ac:dyDescent="0.25">
      <c r="F210" s="16"/>
      <c r="G210" s="16"/>
      <c r="H210" s="16"/>
      <c r="Y210" s="5"/>
      <c r="Z210" s="5"/>
      <c r="AA210" s="5"/>
      <c r="AB210" s="5"/>
      <c r="AC210" s="5"/>
      <c r="AE210" s="5"/>
    </row>
    <row r="211" spans="6:31" x14ac:dyDescent="0.25">
      <c r="Y211" s="5"/>
      <c r="Z211" s="5"/>
      <c r="AA211" s="5"/>
      <c r="AB211" s="5"/>
      <c r="AC211" s="5"/>
      <c r="AE211" s="5"/>
    </row>
    <row r="212" spans="6:31" x14ac:dyDescent="0.25">
      <c r="Y212" s="5"/>
      <c r="Z212" s="5"/>
      <c r="AA212" s="5"/>
      <c r="AB212" s="5"/>
      <c r="AC212" s="5"/>
      <c r="AE212" s="5"/>
    </row>
  </sheetData>
  <autoFilter ref="A1:AE181" xr:uid="{87FBAEA3-CFE3-4821-A533-830373FE4419}"/>
  <dataConsolidate function="varp"/>
  <hyperlinks>
    <hyperlink ref="B31" r:id="rId1" xr:uid="{02A4F589-028F-4FB5-99AC-E90D661BE402}"/>
    <hyperlink ref="B7" r:id="rId2" xr:uid="{DA1AA612-FC13-4B8F-91DB-8176F965797C}"/>
    <hyperlink ref="B11" r:id="rId3" xr:uid="{91FAA1A1-E352-4FDE-B643-6A57A69F937B}"/>
    <hyperlink ref="B19" r:id="rId4" xr:uid="{2BBDF59A-9C71-40A3-80BB-A2879EADA016}"/>
    <hyperlink ref="B8" r:id="rId5" xr:uid="{4AE9E397-5013-4F4B-9E72-DC4EEAFDDCA9}"/>
    <hyperlink ref="B6" r:id="rId6" xr:uid="{708A6D55-5F0B-4113-9678-05E38D6E6AD0}"/>
    <hyperlink ref="B20" r:id="rId7" xr:uid="{07D1BA71-B6C8-469E-89BF-859A429F549B}"/>
    <hyperlink ref="B16" r:id="rId8" xr:uid="{AFEB9FCD-7E7F-40CD-AC8F-A74D174AEFB7}"/>
    <hyperlink ref="B9" r:id="rId9" xr:uid="{D6690880-A2F1-4D6A-A3AE-CD9AEE2C6469}"/>
    <hyperlink ref="B15" r:id="rId10" xr:uid="{D0AC59F5-1338-40A1-B1F0-BACE833D397F}"/>
    <hyperlink ref="B10" r:id="rId11" xr:uid="{BCE06377-B4D2-4BEB-ACF5-3D9E592BB39F}"/>
    <hyperlink ref="B23" r:id="rId12" xr:uid="{E0507867-6D69-402B-B198-3C0969661ECB}"/>
    <hyperlink ref="B18" r:id="rId13" xr:uid="{A8B7CF06-D912-447E-8B65-51DA1BB2A12F}"/>
    <hyperlink ref="B17" r:id="rId14" xr:uid="{65DC1C50-10A9-4D75-A4EE-346DCA4BD9D0}"/>
    <hyperlink ref="B36" r:id="rId15" xr:uid="{30E4AC6D-BFF7-4ED3-BEF6-68D15E596103}"/>
    <hyperlink ref="B12" r:id="rId16" xr:uid="{13799701-6CC0-4C2D-8B02-BE133CF59D1D}"/>
    <hyperlink ref="B14" r:id="rId17" xr:uid="{C18D7EBB-E67A-46B1-9D43-883D23AF16BA}"/>
    <hyperlink ref="B37" r:id="rId18" xr:uid="{F78AF2CB-A23C-4A06-B6FD-9AF083489B77}"/>
    <hyperlink ref="B13" r:id="rId19" xr:uid="{E53E4761-94E2-48A9-8FE1-83DB075778F5}"/>
    <hyperlink ref="B40" r:id="rId20" xr:uid="{D076FDB6-042E-45AE-80AB-84C2AF7BFD24}"/>
    <hyperlink ref="B44" r:id="rId21" xr:uid="{BEA60493-DB25-49CC-9617-7BC147DE6046}"/>
    <hyperlink ref="B28" r:id="rId22" xr:uid="{A5F3C5DD-C50A-461E-A802-901C30FC4AED}"/>
    <hyperlink ref="B30" r:id="rId23" xr:uid="{6C4E7FEA-B06B-4D33-A6EC-DAA26CF99103}"/>
    <hyperlink ref="B69" r:id="rId24" xr:uid="{E1E5057A-FB94-4EE8-8C2D-49C785E4A80C}"/>
    <hyperlink ref="B123" r:id="rId25" xr:uid="{E92A3788-94AD-417E-8776-3F0F8AC77A42}"/>
    <hyperlink ref="B116" r:id="rId26" xr:uid="{A7CE59DA-3463-404A-A8C2-238D8E927C0C}"/>
    <hyperlink ref="B24" r:id="rId27" xr:uid="{2DD5D1C5-CFA9-4E46-8DE3-9BB27A9D2F4F}"/>
    <hyperlink ref="B25" r:id="rId28" xr:uid="{36C6C067-6005-47A5-BA2E-0017E9C49A7E}"/>
    <hyperlink ref="B46" r:id="rId29" xr:uid="{F19D427D-4B33-4DA0-BCE1-89FD4C6A45EC}"/>
    <hyperlink ref="B35" r:id="rId30" xr:uid="{5C245786-AA85-4953-851D-06DA1FA10587}"/>
    <hyperlink ref="B34" r:id="rId31" xr:uid="{AD18BB1C-58BD-4F47-892B-ADA4BA01E802}"/>
    <hyperlink ref="B26" r:id="rId32" xr:uid="{EB7B0C3D-3EDD-4CAB-B153-20C5E95CE006}"/>
    <hyperlink ref="B32" r:id="rId33" xr:uid="{CD0D820D-0833-4D39-A05F-97E7FFD504B7}"/>
    <hyperlink ref="B51" r:id="rId34" xr:uid="{E9F9E6EF-3847-43CC-8B5C-2BC41A0CC07E}"/>
    <hyperlink ref="B38" r:id="rId35" xr:uid="{D8956061-AB17-4B6B-803A-64172A05FE3A}"/>
    <hyperlink ref="B55" r:id="rId36" xr:uid="{24CAB4D1-71F3-4368-A959-9C0632EC3D9A}"/>
    <hyperlink ref="B48" r:id="rId37" xr:uid="{029D5307-8102-4CB6-B35D-B4F46F774686}"/>
    <hyperlink ref="B39" r:id="rId38" xr:uid="{8A883763-542F-442E-A4F4-1A077BBCCEDE}"/>
    <hyperlink ref="B52" r:id="rId39" xr:uid="{E3DA2CA9-AF5D-4261-9FE3-E067CCF082BD}"/>
    <hyperlink ref="B42" r:id="rId40" xr:uid="{33E2B044-5D50-4F04-961F-525520CFC949}"/>
    <hyperlink ref="B54" r:id="rId41" xr:uid="{8E09D427-792A-4FC3-B3DF-CB26E0CA0BC3}"/>
    <hyperlink ref="B58" r:id="rId42" xr:uid="{B092C32F-2D89-459B-A708-B04AD2F01D4C}"/>
    <hyperlink ref="B59" r:id="rId43" xr:uid="{01A62E6A-E7FD-4CB9-82F5-EB6FC8005F2E}"/>
    <hyperlink ref="B41" r:id="rId44" xr:uid="{2FE4F564-45B9-4F43-A3C0-CBB7F12E0E2B}"/>
    <hyperlink ref="B70" r:id="rId45" xr:uid="{A6631746-D2F5-429D-B430-F960719F4B1B}"/>
    <hyperlink ref="B57" r:id="rId46" xr:uid="{12FCC991-7F5A-4354-9FC3-18FDDDD8CE6C}"/>
    <hyperlink ref="B43" r:id="rId47" xr:uid="{3678BBCA-4E85-489B-84A4-A96D66BD4DB7}"/>
    <hyperlink ref="B65" r:id="rId48" xr:uid="{16947ACE-701E-44C1-AF75-3EA38C4C5B8C}"/>
    <hyperlink ref="B67" r:id="rId49" xr:uid="{D3C0B1DE-A1B6-46E3-96D4-776763C4C12C}"/>
    <hyperlink ref="B97" r:id="rId50" xr:uid="{5116DC3D-2E22-4FD5-87CC-672F34607BD0}"/>
    <hyperlink ref="B63" r:id="rId51" xr:uid="{08D98261-5571-4864-9733-0D7138EAA897}"/>
    <hyperlink ref="B64" r:id="rId52" xr:uid="{D7E79091-C7A2-45DE-916D-56A0FD914013}"/>
    <hyperlink ref="B68" r:id="rId53" xr:uid="{EF2F445E-1926-4AB0-A70B-B691FAE11F60}"/>
    <hyperlink ref="B45" r:id="rId54" xr:uid="{6D063377-AAF9-420D-9153-AAB05E2306AF}"/>
    <hyperlink ref="B47" r:id="rId55" xr:uid="{8E113288-22BB-4688-9859-D8FC8E4CA92E}"/>
    <hyperlink ref="B66" r:id="rId56" xr:uid="{B4CF0632-88BC-4F9A-9B0A-5DED84CE4631}"/>
    <hyperlink ref="B50" r:id="rId57" xr:uid="{F8EA7F1A-44B5-4295-A6F1-AD2B31F3F1B4}"/>
    <hyperlink ref="B27" r:id="rId58" xr:uid="{14D7DA13-D196-4716-BFA5-90CAA4803DBF}"/>
    <hyperlink ref="B33" r:id="rId59" xr:uid="{E164BA59-FE82-4D86-AC56-85FCE19DCEF3}"/>
    <hyperlink ref="B71" r:id="rId60" xr:uid="{12C906AB-4ECE-448C-A0C8-D125C0FDC483}"/>
    <hyperlink ref="B49" r:id="rId61" xr:uid="{5CFFEEDA-443B-4241-9004-46F04203EB5D}"/>
    <hyperlink ref="B101" r:id="rId62" xr:uid="{4862BAA8-03CD-461A-86AA-BFE03BD16FE8}"/>
    <hyperlink ref="B29" r:id="rId63" xr:uid="{D9574424-1E4D-4274-B909-7AF308B1F5D0}"/>
    <hyperlink ref="B95" r:id="rId64" xr:uid="{3CB2341C-EF0A-41F5-A91F-BAD5318AEFE8}"/>
    <hyperlink ref="B21" r:id="rId65" xr:uid="{B9FBA509-EC12-4F94-ADD9-B5D8B5212EBC}"/>
    <hyperlink ref="B91" r:id="rId66" xr:uid="{821D9FDF-A581-40A7-B11E-05093F625ED5}"/>
    <hyperlink ref="B53" r:id="rId67" xr:uid="{811F7861-4819-4F4D-8210-313978606080}"/>
    <hyperlink ref="B56" r:id="rId68" xr:uid="{F91FADA3-ABFA-40CE-92D9-B80EB489FD9E}"/>
    <hyperlink ref="B62" r:id="rId69" xr:uid="{C4A97CFD-0C0F-40B8-A24A-A8248374855D}"/>
    <hyperlink ref="B61" r:id="rId70" xr:uid="{B3CD1BD6-9FE2-4DA0-A1EE-6BD10B95B9DE}"/>
    <hyperlink ref="B83" r:id="rId71" xr:uid="{3AC13755-9832-40EC-9F0A-53A8EFCB9DB1}"/>
    <hyperlink ref="B96" r:id="rId72" xr:uid="{ECB85E2C-A720-4B5A-9287-9CA9D3D2C9C4}"/>
    <hyperlink ref="B89" r:id="rId73" xr:uid="{CAAC2080-5FBE-44CA-808F-4B541C1D2CCF}"/>
    <hyperlink ref="B90" r:id="rId74" xr:uid="{1395A0AA-7229-4956-8971-93FF745372A8}"/>
    <hyperlink ref="B100" r:id="rId75" xr:uid="{6F78A718-A38C-4547-82E0-BC3AA6087414}"/>
    <hyperlink ref="B60" r:id="rId76" xr:uid="{A69FE8E2-231D-48F0-A835-078603A9B766}"/>
    <hyperlink ref="B22" r:id="rId77" xr:uid="{568F05A9-6D0C-4F83-9B4F-EADBE5B3D36E}"/>
    <hyperlink ref="B155" r:id="rId78" xr:uid="{9178234D-93D7-4722-B414-1ED85B69D113}"/>
    <hyperlink ref="B154" r:id="rId79" xr:uid="{5AF15AA0-C03A-41B5-87FB-E2EC2E8EDE78}"/>
  </hyperlinks>
  <pageMargins left="0.7" right="0.7" top="0.75" bottom="0.75" header="0.3" footer="0.3"/>
  <pageSetup orientation="portrait"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0551-CB3F-4934-973D-CF415D563A72}">
  <dimension ref="A1:AH41"/>
  <sheetViews>
    <sheetView zoomScale="200" zoomScaleNormal="200" workbookViewId="0">
      <pane ySplit="3" topLeftCell="A4" activePane="bottomLeft" state="frozen"/>
      <selection pane="bottomLeft" activeCell="A18" sqref="A18"/>
    </sheetView>
  </sheetViews>
  <sheetFormatPr defaultRowHeight="15" x14ac:dyDescent="0.25"/>
  <cols>
    <col min="1" max="1" width="4.42578125" customWidth="1"/>
    <col min="2" max="2" width="30.42578125" customWidth="1"/>
    <col min="9" max="9" width="9.140625" style="10"/>
  </cols>
  <sheetData>
    <row r="1" spans="1:34" x14ac:dyDescent="0.25">
      <c r="A1" s="8" t="s">
        <v>468</v>
      </c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451</v>
      </c>
      <c r="J3" s="31" t="s">
        <v>452</v>
      </c>
      <c r="K3" s="32" t="s">
        <v>148</v>
      </c>
      <c r="L3" s="33" t="s">
        <v>95</v>
      </c>
      <c r="M3" s="32" t="s">
        <v>146</v>
      </c>
      <c r="N3" s="32" t="s">
        <v>147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442</v>
      </c>
      <c r="AC3" s="30" t="s">
        <v>443</v>
      </c>
      <c r="AD3" s="35" t="s">
        <v>401</v>
      </c>
      <c r="AE3" s="33" t="s">
        <v>96</v>
      </c>
      <c r="AF3" s="30"/>
      <c r="AG3" s="30"/>
      <c r="AH3" s="36" t="s">
        <v>127</v>
      </c>
    </row>
    <row r="4" spans="1:34" x14ac:dyDescent="0.25">
      <c r="A4" s="2">
        <v>1</v>
      </c>
      <c r="B4" s="8" t="s">
        <v>10</v>
      </c>
      <c r="C4" t="s">
        <v>12</v>
      </c>
      <c r="D4" t="s">
        <v>21</v>
      </c>
      <c r="F4" s="16"/>
      <c r="G4" s="16"/>
      <c r="H4" s="16"/>
    </row>
    <row r="5" spans="1:34" x14ac:dyDescent="0.25">
      <c r="A5" s="2">
        <f>+A4+1</f>
        <v>2</v>
      </c>
      <c r="B5" s="8" t="s">
        <v>13</v>
      </c>
      <c r="C5" t="s">
        <v>14</v>
      </c>
      <c r="D5" t="s">
        <v>82</v>
      </c>
      <c r="F5" s="16"/>
      <c r="G5" s="16"/>
      <c r="H5" s="16"/>
    </row>
    <row r="6" spans="1:34" x14ac:dyDescent="0.25">
      <c r="A6" s="2">
        <f t="shared" ref="A6:A39" si="0">+A5+1</f>
        <v>3</v>
      </c>
      <c r="B6" s="8" t="s">
        <v>699</v>
      </c>
      <c r="C6" t="s">
        <v>106</v>
      </c>
      <c r="D6" t="s">
        <v>553</v>
      </c>
      <c r="F6" s="16"/>
      <c r="G6" s="16"/>
      <c r="H6" s="16"/>
    </row>
    <row r="7" spans="1:34" x14ac:dyDescent="0.25">
      <c r="A7" s="2">
        <f t="shared" si="0"/>
        <v>4</v>
      </c>
      <c r="B7" s="8" t="s">
        <v>700</v>
      </c>
      <c r="C7" s="3" t="s">
        <v>456</v>
      </c>
      <c r="D7" t="s">
        <v>463</v>
      </c>
      <c r="F7" s="16"/>
      <c r="G7" s="16"/>
      <c r="H7" s="16"/>
    </row>
    <row r="8" spans="1:34" x14ac:dyDescent="0.25">
      <c r="A8" s="2">
        <f t="shared" si="0"/>
        <v>5</v>
      </c>
      <c r="B8" s="8" t="s">
        <v>701</v>
      </c>
      <c r="C8" t="s">
        <v>17</v>
      </c>
      <c r="D8" t="s">
        <v>21</v>
      </c>
      <c r="F8" s="16"/>
      <c r="G8" s="16"/>
      <c r="H8" s="16"/>
    </row>
    <row r="9" spans="1:34" x14ac:dyDescent="0.25">
      <c r="A9" s="2">
        <f t="shared" si="0"/>
        <v>6</v>
      </c>
      <c r="B9" s="8" t="s">
        <v>30</v>
      </c>
      <c r="C9" s="3" t="s">
        <v>384</v>
      </c>
      <c r="D9" t="s">
        <v>125</v>
      </c>
      <c r="F9" s="16"/>
      <c r="G9" s="16"/>
      <c r="H9" s="16"/>
    </row>
    <row r="10" spans="1:34" x14ac:dyDescent="0.25">
      <c r="A10" s="2">
        <f t="shared" si="0"/>
        <v>7</v>
      </c>
      <c r="B10" s="8" t="s">
        <v>702</v>
      </c>
      <c r="C10" t="s">
        <v>23</v>
      </c>
      <c r="D10" t="s">
        <v>85</v>
      </c>
      <c r="F10" s="16"/>
      <c r="G10" s="16"/>
      <c r="H10" s="16"/>
    </row>
    <row r="11" spans="1:34" x14ac:dyDescent="0.25">
      <c r="A11" s="2">
        <f t="shared" si="0"/>
        <v>8</v>
      </c>
      <c r="B11" s="8" t="s">
        <v>423</v>
      </c>
      <c r="C11" s="3" t="s">
        <v>424</v>
      </c>
      <c r="D11" t="s">
        <v>216</v>
      </c>
      <c r="F11" s="16"/>
      <c r="G11" s="16"/>
      <c r="H11" s="16"/>
    </row>
    <row r="12" spans="1:34" x14ac:dyDescent="0.25">
      <c r="A12" s="2">
        <f t="shared" si="0"/>
        <v>9</v>
      </c>
      <c r="B12" s="8" t="s">
        <v>703</v>
      </c>
      <c r="C12" t="s">
        <v>29</v>
      </c>
      <c r="D12" t="s">
        <v>21</v>
      </c>
      <c r="F12" s="16"/>
      <c r="G12" s="16"/>
      <c r="H12" s="16"/>
    </row>
    <row r="13" spans="1:34" x14ac:dyDescent="0.25">
      <c r="A13" s="2">
        <f t="shared" si="0"/>
        <v>10</v>
      </c>
      <c r="B13" s="8" t="s">
        <v>38</v>
      </c>
      <c r="C13" s="3" t="s">
        <v>39</v>
      </c>
      <c r="D13" t="s">
        <v>553</v>
      </c>
      <c r="F13" s="16"/>
      <c r="G13" s="16"/>
      <c r="H13" s="16"/>
    </row>
    <row r="14" spans="1:34" x14ac:dyDescent="0.25">
      <c r="A14" s="2">
        <f t="shared" si="0"/>
        <v>11</v>
      </c>
      <c r="B14" s="8" t="s">
        <v>314</v>
      </c>
      <c r="C14" t="s">
        <v>315</v>
      </c>
      <c r="D14" t="s">
        <v>221</v>
      </c>
      <c r="F14" s="16"/>
      <c r="G14" s="16"/>
      <c r="H14" s="16"/>
    </row>
    <row r="15" spans="1:34" x14ac:dyDescent="0.25">
      <c r="A15" s="2">
        <f t="shared" si="0"/>
        <v>12</v>
      </c>
      <c r="B15" s="8" t="s">
        <v>390</v>
      </c>
      <c r="C15" s="3" t="s">
        <v>461</v>
      </c>
      <c r="D15" t="s">
        <v>463</v>
      </c>
      <c r="F15" s="16"/>
      <c r="G15" s="16"/>
      <c r="H15" s="16"/>
    </row>
    <row r="16" spans="1:34" x14ac:dyDescent="0.25">
      <c r="A16" s="2">
        <f t="shared" si="0"/>
        <v>13</v>
      </c>
      <c r="B16" s="8" t="s">
        <v>35</v>
      </c>
      <c r="C16" t="s">
        <v>387</v>
      </c>
      <c r="D16" t="s">
        <v>82</v>
      </c>
      <c r="F16" s="16"/>
      <c r="G16" s="16"/>
      <c r="H16" s="16"/>
    </row>
    <row r="17" spans="1:9" x14ac:dyDescent="0.25">
      <c r="A17" s="2">
        <f t="shared" si="0"/>
        <v>14</v>
      </c>
      <c r="B17" s="8" t="s">
        <v>58</v>
      </c>
      <c r="C17" t="s">
        <v>60</v>
      </c>
      <c r="D17" t="s">
        <v>21</v>
      </c>
      <c r="F17" s="16"/>
      <c r="G17" s="16"/>
      <c r="H17" s="16"/>
    </row>
    <row r="18" spans="1:9" x14ac:dyDescent="0.25">
      <c r="A18" s="2">
        <f t="shared" si="0"/>
        <v>15</v>
      </c>
      <c r="B18" t="s">
        <v>704</v>
      </c>
      <c r="C18" t="s">
        <v>282</v>
      </c>
      <c r="D18" t="s">
        <v>21</v>
      </c>
      <c r="F18" s="16"/>
      <c r="G18" s="16"/>
      <c r="H18" s="16"/>
    </row>
    <row r="19" spans="1:9" x14ac:dyDescent="0.25">
      <c r="A19" s="2">
        <f t="shared" si="0"/>
        <v>16</v>
      </c>
      <c r="B19" s="8" t="s">
        <v>490</v>
      </c>
      <c r="C19" t="s">
        <v>491</v>
      </c>
      <c r="D19" t="s">
        <v>21</v>
      </c>
      <c r="F19" s="16"/>
      <c r="G19" s="16"/>
      <c r="H19" s="16"/>
    </row>
    <row r="20" spans="1:9" x14ac:dyDescent="0.25">
      <c r="A20" s="2">
        <f t="shared" si="0"/>
        <v>17</v>
      </c>
      <c r="B20" s="8" t="s">
        <v>494</v>
      </c>
      <c r="C20" t="s">
        <v>495</v>
      </c>
      <c r="D20" t="s">
        <v>21</v>
      </c>
      <c r="E20">
        <f>+[80]Main!$J$2</f>
        <v>180.8</v>
      </c>
      <c r="F20" s="16">
        <f>+[80]Main!$J$4</f>
        <v>14437.908028799999</v>
      </c>
      <c r="G20" s="16">
        <f>+[80]Main!$J$6-[80]Main!$J$5</f>
        <v>-205.72299999999996</v>
      </c>
      <c r="H20" s="16">
        <f>+F20+G20</f>
        <v>14232.185028799999</v>
      </c>
      <c r="I20" s="10" t="s">
        <v>340</v>
      </c>
    </row>
    <row r="21" spans="1:9" x14ac:dyDescent="0.25">
      <c r="A21" s="2">
        <f t="shared" si="0"/>
        <v>18</v>
      </c>
      <c r="B21" s="8" t="s">
        <v>705</v>
      </c>
      <c r="C21" s="3" t="s">
        <v>489</v>
      </c>
      <c r="D21" t="s">
        <v>125</v>
      </c>
      <c r="F21" s="16"/>
      <c r="G21" s="16"/>
      <c r="H21" s="16"/>
    </row>
    <row r="22" spans="1:9" x14ac:dyDescent="0.25">
      <c r="A22" s="2">
        <f t="shared" si="0"/>
        <v>19</v>
      </c>
      <c r="B22" t="s">
        <v>496</v>
      </c>
      <c r="C22" t="s">
        <v>497</v>
      </c>
      <c r="D22" t="s">
        <v>125</v>
      </c>
      <c r="F22" s="16"/>
      <c r="G22" s="16"/>
      <c r="H22" s="16"/>
    </row>
    <row r="23" spans="1:9" x14ac:dyDescent="0.25">
      <c r="A23" s="2">
        <f t="shared" si="0"/>
        <v>20</v>
      </c>
      <c r="B23" t="s">
        <v>709</v>
      </c>
      <c r="C23" t="s">
        <v>499</v>
      </c>
      <c r="D23" t="s">
        <v>21</v>
      </c>
      <c r="F23" s="16"/>
      <c r="G23" s="16"/>
      <c r="H23" s="16"/>
    </row>
    <row r="24" spans="1:9" x14ac:dyDescent="0.25">
      <c r="A24" s="2">
        <f t="shared" si="0"/>
        <v>21</v>
      </c>
      <c r="B24" t="s">
        <v>711</v>
      </c>
      <c r="C24" t="s">
        <v>712</v>
      </c>
      <c r="D24" t="s">
        <v>21</v>
      </c>
      <c r="F24" s="16"/>
      <c r="G24" s="16"/>
      <c r="H24" s="16"/>
    </row>
    <row r="25" spans="1:9" x14ac:dyDescent="0.25">
      <c r="A25" s="2">
        <f t="shared" si="0"/>
        <v>22</v>
      </c>
      <c r="B25" t="s">
        <v>713</v>
      </c>
      <c r="C25" t="s">
        <v>529</v>
      </c>
      <c r="D25" t="s">
        <v>21</v>
      </c>
      <c r="F25" s="16"/>
      <c r="G25" s="16"/>
      <c r="H25" s="16"/>
    </row>
    <row r="26" spans="1:9" x14ac:dyDescent="0.25">
      <c r="A26" s="2">
        <f t="shared" si="0"/>
        <v>23</v>
      </c>
      <c r="B26" s="8" t="s">
        <v>714</v>
      </c>
      <c r="C26" t="s">
        <v>43</v>
      </c>
      <c r="D26" t="s">
        <v>21</v>
      </c>
      <c r="F26" s="16"/>
      <c r="G26" s="16"/>
      <c r="H26" s="16"/>
    </row>
    <row r="27" spans="1:9" x14ac:dyDescent="0.25">
      <c r="A27" s="2">
        <f t="shared" si="0"/>
        <v>24</v>
      </c>
      <c r="B27" t="s">
        <v>532</v>
      </c>
      <c r="C27" t="s">
        <v>533</v>
      </c>
      <c r="D27" t="s">
        <v>21</v>
      </c>
      <c r="F27" s="16"/>
      <c r="G27" s="16"/>
      <c r="H27" s="16"/>
    </row>
    <row r="28" spans="1:9" x14ac:dyDescent="0.25">
      <c r="A28" s="2">
        <f t="shared" si="0"/>
        <v>25</v>
      </c>
      <c r="B28" t="s">
        <v>715</v>
      </c>
      <c r="C28" t="s">
        <v>716</v>
      </c>
      <c r="D28" t="s">
        <v>167</v>
      </c>
      <c r="F28" s="16"/>
      <c r="G28" s="16"/>
      <c r="H28" s="16"/>
    </row>
    <row r="29" spans="1:9" x14ac:dyDescent="0.25">
      <c r="A29" s="2">
        <f t="shared" si="0"/>
        <v>26</v>
      </c>
      <c r="B29" t="s">
        <v>717</v>
      </c>
      <c r="C29" t="s">
        <v>164</v>
      </c>
      <c r="D29" t="s">
        <v>256</v>
      </c>
      <c r="F29" s="16"/>
      <c r="G29" s="16"/>
      <c r="H29" s="16"/>
    </row>
    <row r="30" spans="1:9" x14ac:dyDescent="0.25">
      <c r="A30" s="2">
        <f t="shared" si="0"/>
        <v>27</v>
      </c>
      <c r="B30" t="s">
        <v>530</v>
      </c>
      <c r="C30" t="s">
        <v>531</v>
      </c>
      <c r="D30" t="s">
        <v>21</v>
      </c>
      <c r="F30" s="16"/>
      <c r="G30" s="16"/>
      <c r="H30" s="16"/>
    </row>
    <row r="31" spans="1:9" x14ac:dyDescent="0.25">
      <c r="A31" s="2">
        <f t="shared" si="0"/>
        <v>28</v>
      </c>
      <c r="B31" t="s">
        <v>718</v>
      </c>
      <c r="C31" t="s">
        <v>719</v>
      </c>
      <c r="D31" t="s">
        <v>21</v>
      </c>
      <c r="F31" s="16"/>
      <c r="G31" s="16"/>
      <c r="H31" s="16"/>
    </row>
    <row r="32" spans="1:9" x14ac:dyDescent="0.25">
      <c r="A32" s="2">
        <f t="shared" si="0"/>
        <v>29</v>
      </c>
      <c r="B32" t="s">
        <v>720</v>
      </c>
      <c r="C32" t="s">
        <v>535</v>
      </c>
      <c r="D32" t="s">
        <v>21</v>
      </c>
      <c r="F32" s="16"/>
      <c r="G32" s="16"/>
      <c r="H32" s="16"/>
    </row>
    <row r="33" spans="1:8" x14ac:dyDescent="0.25">
      <c r="A33" s="2">
        <f t="shared" si="0"/>
        <v>30</v>
      </c>
      <c r="B33" t="s">
        <v>536</v>
      </c>
      <c r="C33" t="s">
        <v>538</v>
      </c>
      <c r="D33" t="s">
        <v>537</v>
      </c>
      <c r="F33" s="16"/>
      <c r="G33" s="16"/>
      <c r="H33" s="16"/>
    </row>
    <row r="34" spans="1:8" x14ac:dyDescent="0.25">
      <c r="A34" s="2">
        <f t="shared" si="0"/>
        <v>31</v>
      </c>
      <c r="B34" t="s">
        <v>539</v>
      </c>
      <c r="C34" t="s">
        <v>540</v>
      </c>
      <c r="D34" t="s">
        <v>21</v>
      </c>
      <c r="F34" s="16"/>
      <c r="G34" s="16"/>
      <c r="H34" s="16"/>
    </row>
    <row r="35" spans="1:8" x14ac:dyDescent="0.25">
      <c r="A35" s="2">
        <f t="shared" si="0"/>
        <v>32</v>
      </c>
      <c r="B35" t="s">
        <v>721</v>
      </c>
      <c r="C35" t="s">
        <v>724</v>
      </c>
      <c r="D35" t="s">
        <v>21</v>
      </c>
      <c r="F35" s="16"/>
      <c r="G35" s="16"/>
      <c r="H35" s="16"/>
    </row>
    <row r="36" spans="1:8" x14ac:dyDescent="0.25">
      <c r="A36" s="2">
        <f t="shared" si="0"/>
        <v>33</v>
      </c>
      <c r="B36" t="s">
        <v>722</v>
      </c>
      <c r="C36" t="s">
        <v>723</v>
      </c>
      <c r="D36" t="s">
        <v>21</v>
      </c>
      <c r="F36" s="16"/>
      <c r="G36" s="16"/>
      <c r="H36" s="16"/>
    </row>
    <row r="37" spans="1:8" x14ac:dyDescent="0.25">
      <c r="A37" s="2">
        <f t="shared" si="0"/>
        <v>34</v>
      </c>
      <c r="F37" s="16"/>
      <c r="G37" s="16"/>
      <c r="H37" s="16"/>
    </row>
    <row r="38" spans="1:8" x14ac:dyDescent="0.25">
      <c r="A38" s="2">
        <f t="shared" si="0"/>
        <v>35</v>
      </c>
      <c r="F38" s="16"/>
      <c r="G38" s="16"/>
      <c r="H38" s="16"/>
    </row>
    <row r="39" spans="1:8" x14ac:dyDescent="0.25">
      <c r="A39" s="2">
        <f t="shared" si="0"/>
        <v>36</v>
      </c>
      <c r="F39" s="16"/>
      <c r="G39" s="16"/>
      <c r="H39" s="16"/>
    </row>
    <row r="40" spans="1:8" x14ac:dyDescent="0.25">
      <c r="F40" s="16"/>
      <c r="G40" s="16"/>
      <c r="H40" s="16"/>
    </row>
    <row r="41" spans="1:8" x14ac:dyDescent="0.25">
      <c r="F41" s="16"/>
      <c r="G41" s="16"/>
      <c r="H41" s="16"/>
    </row>
  </sheetData>
  <hyperlinks>
    <hyperlink ref="A1" location="Fashion!A1" display="Main" xr:uid="{3AEBBA14-0BED-4CCC-8C91-8C92B0BC04A6}"/>
    <hyperlink ref="B4" r:id="rId1" xr:uid="{BDD06D7C-6214-484F-BD75-9E2578E87F1D}"/>
    <hyperlink ref="B5" r:id="rId2" xr:uid="{D0D45C6D-D005-431D-88EE-48B0F919F9FD}"/>
    <hyperlink ref="B6" r:id="rId3" xr:uid="{0A3DB026-BF02-4A08-BB56-A1547A274F1C}"/>
    <hyperlink ref="B9" r:id="rId4" xr:uid="{6737FACC-6C23-4B73-B728-10E59B020A6D}"/>
    <hyperlink ref="B8" r:id="rId5" xr:uid="{1FF8A75E-1B83-44EE-BF6E-ECFBB21BAA71}"/>
    <hyperlink ref="B7" r:id="rId6" xr:uid="{FD8CDE51-CBCA-4903-9591-A411929AE979}"/>
    <hyperlink ref="B10" r:id="rId7" xr:uid="{52277005-A567-43DB-A59D-9F27EBD5A1F8}"/>
    <hyperlink ref="B11" r:id="rId8" xr:uid="{375CA3F5-0971-4B88-AE18-2FA8725E19B9}"/>
    <hyperlink ref="B12" r:id="rId9" xr:uid="{E476A2CA-4FD1-40FA-9E73-294BDACAE2B4}"/>
    <hyperlink ref="B13" r:id="rId10" xr:uid="{8BDBC31C-41A3-46BB-9DE7-EE0A44EF77CC}"/>
    <hyperlink ref="B19" r:id="rId11" xr:uid="{FDB36EFD-8D8C-4474-8161-EAA5D3DE0FD6}"/>
    <hyperlink ref="B14" r:id="rId12" xr:uid="{386E338F-1014-4D13-B1BC-4E190265AAB1}"/>
    <hyperlink ref="B15" r:id="rId13" xr:uid="{70B8A604-8070-409A-BFF3-871073E05A08}"/>
    <hyperlink ref="B16" r:id="rId14" xr:uid="{CAB9993E-7F07-4C4D-ACFE-3B0A30849A03}"/>
    <hyperlink ref="B17" r:id="rId15" xr:uid="{24469372-6ACC-417E-804F-2A8B1B6E6AB5}"/>
    <hyperlink ref="B21" r:id="rId16" xr:uid="{B4E6A469-D2EF-43F5-B5CF-01609BCAA6FC}"/>
    <hyperlink ref="B26" r:id="rId17" xr:uid="{CEF96C79-A827-4C97-970D-9A875ACC84CC}"/>
    <hyperlink ref="B20" r:id="rId18" xr:uid="{1DA019F2-3D84-463D-9303-3FCC495D12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203DF-4C0A-43B2-976A-D46975A18CF0}">
  <dimension ref="A1:AH11"/>
  <sheetViews>
    <sheetView zoomScale="200" zoomScaleNormal="200" workbookViewId="0">
      <selection activeCell="F7" sqref="F7"/>
    </sheetView>
  </sheetViews>
  <sheetFormatPr defaultRowHeight="15" x14ac:dyDescent="0.25"/>
  <cols>
    <col min="1" max="1" width="4.42578125" customWidth="1"/>
    <col min="2" max="2" width="15.140625" bestFit="1" customWidth="1"/>
  </cols>
  <sheetData>
    <row r="1" spans="1:34" x14ac:dyDescent="0.25">
      <c r="A1" s="8" t="s">
        <v>468</v>
      </c>
    </row>
    <row r="2" spans="1:34" x14ac:dyDescent="0.25">
      <c r="A2" t="s">
        <v>469</v>
      </c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451</v>
      </c>
      <c r="J3" s="31" t="s">
        <v>452</v>
      </c>
      <c r="K3" s="32" t="s">
        <v>148</v>
      </c>
      <c r="L3" s="33" t="s">
        <v>95</v>
      </c>
      <c r="M3" s="32" t="s">
        <v>146</v>
      </c>
      <c r="N3" s="32" t="s">
        <v>147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442</v>
      </c>
      <c r="AC3" s="30" t="s">
        <v>443</v>
      </c>
      <c r="AD3" s="35" t="s">
        <v>401</v>
      </c>
      <c r="AE3" s="33" t="s">
        <v>96</v>
      </c>
      <c r="AF3" s="30"/>
      <c r="AG3" s="30"/>
      <c r="AH3" s="36" t="s">
        <v>127</v>
      </c>
    </row>
    <row r="4" spans="1:34" x14ac:dyDescent="0.25">
      <c r="A4" s="2">
        <v>1</v>
      </c>
      <c r="B4" s="8" t="s">
        <v>103</v>
      </c>
      <c r="C4" s="3" t="s">
        <v>104</v>
      </c>
      <c r="D4" t="s">
        <v>21</v>
      </c>
      <c r="E4" s="7">
        <v>124.5</v>
      </c>
      <c r="F4" s="16">
        <v>141681</v>
      </c>
      <c r="G4" s="16">
        <v>-2469</v>
      </c>
      <c r="H4" s="16">
        <v>139212</v>
      </c>
      <c r="I4" s="12" t="s">
        <v>427</v>
      </c>
      <c r="J4" s="15">
        <v>45798</v>
      </c>
      <c r="K4" s="7">
        <v>54217</v>
      </c>
      <c r="L4" s="9">
        <v>0.09</v>
      </c>
      <c r="M4" s="16">
        <v>5797</v>
      </c>
      <c r="N4" s="16">
        <v>4474</v>
      </c>
      <c r="O4" s="9">
        <v>0.28999999999999998</v>
      </c>
      <c r="P4" s="9">
        <v>0.11</v>
      </c>
      <c r="Q4" s="18">
        <v>24</v>
      </c>
      <c r="R4" s="19"/>
      <c r="S4" s="18">
        <v>2</v>
      </c>
      <c r="T4" s="18"/>
      <c r="U4" s="18">
        <v>14</v>
      </c>
      <c r="V4" s="18">
        <v>2</v>
      </c>
      <c r="W4" s="19">
        <v>17</v>
      </c>
      <c r="X4" s="18"/>
      <c r="Y4" s="5">
        <v>0.56999999999999995</v>
      </c>
      <c r="Z4" s="5">
        <v>0.28999999999999998</v>
      </c>
      <c r="AA4" s="5">
        <v>0.28999999999999998</v>
      </c>
      <c r="AB4" s="16">
        <v>4952</v>
      </c>
      <c r="AC4" s="16"/>
      <c r="AD4" s="22">
        <v>1987</v>
      </c>
      <c r="AE4" s="5" t="s">
        <v>119</v>
      </c>
    </row>
    <row r="5" spans="1:34" x14ac:dyDescent="0.25">
      <c r="A5" s="2">
        <f>+A4+1</f>
        <v>2</v>
      </c>
      <c r="B5" s="20" t="s">
        <v>308</v>
      </c>
      <c r="C5" s="3" t="s">
        <v>311</v>
      </c>
      <c r="D5" t="s">
        <v>21</v>
      </c>
      <c r="E5" s="7">
        <v>292.68</v>
      </c>
      <c r="F5" s="16">
        <v>18579.62025072</v>
      </c>
      <c r="G5" s="16">
        <v>855.73500000000013</v>
      </c>
      <c r="H5" s="16">
        <v>19435.35525072</v>
      </c>
      <c r="I5" s="12" t="s">
        <v>149</v>
      </c>
      <c r="J5" s="15">
        <v>45723</v>
      </c>
      <c r="K5" s="7"/>
      <c r="L5" s="9"/>
      <c r="M5" s="16"/>
      <c r="N5" s="16"/>
      <c r="O5" s="9"/>
      <c r="P5" s="9"/>
      <c r="Q5" s="18"/>
      <c r="R5" s="18"/>
      <c r="S5" s="18"/>
      <c r="T5" s="18"/>
      <c r="U5" s="18"/>
      <c r="V5" s="18"/>
      <c r="W5" s="19"/>
      <c r="X5" s="18"/>
      <c r="Y5" s="5"/>
      <c r="Z5" s="5"/>
      <c r="AA5" s="5"/>
      <c r="AB5" s="16"/>
      <c r="AC5" s="16"/>
      <c r="AD5" s="22">
        <v>1972</v>
      </c>
      <c r="AE5" s="5" t="s">
        <v>119</v>
      </c>
    </row>
    <row r="6" spans="1:34" x14ac:dyDescent="0.25">
      <c r="A6" s="2">
        <f>+A5+1</f>
        <v>3</v>
      </c>
      <c r="B6" s="20" t="s">
        <v>309</v>
      </c>
      <c r="C6" s="3" t="s">
        <v>310</v>
      </c>
      <c r="D6" t="s">
        <v>221</v>
      </c>
      <c r="E6" s="7">
        <v>101.55</v>
      </c>
      <c r="F6" s="16">
        <v>15871.712567999999</v>
      </c>
      <c r="G6" s="16">
        <v>880.27599999999995</v>
      </c>
      <c r="H6" s="16">
        <v>16751.988568000001</v>
      </c>
      <c r="I6" s="12" t="s">
        <v>149</v>
      </c>
      <c r="J6" s="15">
        <v>45736</v>
      </c>
      <c r="K6" s="7"/>
      <c r="L6" s="9"/>
      <c r="M6" s="7"/>
      <c r="N6" s="7"/>
      <c r="O6" s="9"/>
      <c r="P6" s="9"/>
      <c r="Q6" s="18"/>
      <c r="R6" s="18"/>
      <c r="S6" s="18"/>
      <c r="T6" s="18"/>
      <c r="U6" s="18"/>
      <c r="V6" s="18"/>
      <c r="W6" s="19"/>
      <c r="X6" s="18"/>
      <c r="Y6" s="5"/>
      <c r="Z6" s="5"/>
      <c r="AA6" s="5"/>
      <c r="AB6" s="16"/>
      <c r="AC6" s="16"/>
      <c r="AD6" s="22">
        <v>1864</v>
      </c>
      <c r="AE6" s="5" t="s">
        <v>119</v>
      </c>
    </row>
    <row r="7" spans="1:34" x14ac:dyDescent="0.25">
      <c r="A7" s="2">
        <f t="shared" ref="A7:A11" si="0">+A6+1</f>
        <v>4</v>
      </c>
      <c r="B7" s="8" t="s">
        <v>128</v>
      </c>
      <c r="C7" s="3" t="s">
        <v>418</v>
      </c>
      <c r="D7" t="s">
        <v>82</v>
      </c>
      <c r="E7" s="7">
        <v>32.299999999999997</v>
      </c>
      <c r="F7" s="16">
        <v>8703.6872000000003</v>
      </c>
      <c r="G7" s="16">
        <v>-912.08</v>
      </c>
      <c r="H7" s="16">
        <v>7791.6072000000004</v>
      </c>
      <c r="I7" s="12" t="s">
        <v>439</v>
      </c>
      <c r="J7" s="15"/>
      <c r="K7" s="7"/>
      <c r="L7" s="9"/>
      <c r="M7" s="7"/>
      <c r="N7" s="7"/>
      <c r="O7" s="9"/>
      <c r="P7" s="9"/>
      <c r="Q7" s="18"/>
      <c r="R7" s="18"/>
      <c r="S7" s="18"/>
      <c r="T7" s="18"/>
      <c r="U7" s="18"/>
      <c r="V7" s="18"/>
      <c r="W7" s="19"/>
      <c r="X7" s="18"/>
      <c r="Y7" s="5"/>
      <c r="Z7" s="5"/>
      <c r="AA7" s="5"/>
      <c r="AB7" s="16"/>
      <c r="AC7" s="16"/>
      <c r="AD7" s="22">
        <v>2008</v>
      </c>
      <c r="AE7" s="5" t="s">
        <v>419</v>
      </c>
    </row>
    <row r="8" spans="1:34" x14ac:dyDescent="0.25">
      <c r="A8" s="2">
        <f t="shared" si="0"/>
        <v>5</v>
      </c>
      <c r="B8" s="8" t="s">
        <v>326</v>
      </c>
      <c r="C8" s="3" t="s">
        <v>328</v>
      </c>
      <c r="D8" t="s">
        <v>327</v>
      </c>
      <c r="E8" s="7">
        <v>27.8</v>
      </c>
      <c r="F8" s="16">
        <v>5512.4063999999998</v>
      </c>
      <c r="G8" s="16">
        <v>392.36399999999998</v>
      </c>
      <c r="H8" s="16">
        <v>5904.7703999999994</v>
      </c>
      <c r="I8" s="10" t="s">
        <v>340</v>
      </c>
      <c r="J8" s="15">
        <v>45804</v>
      </c>
      <c r="K8" s="16"/>
      <c r="L8" s="9"/>
      <c r="M8" s="16"/>
      <c r="N8" s="16"/>
      <c r="O8" s="9"/>
      <c r="P8" s="9"/>
      <c r="Q8" s="18"/>
      <c r="R8" s="18"/>
      <c r="S8" s="18"/>
      <c r="T8" s="18"/>
      <c r="U8" s="18"/>
      <c r="V8" s="18"/>
      <c r="W8" s="19"/>
      <c r="X8" s="18"/>
      <c r="Y8" s="5"/>
      <c r="Z8" s="5"/>
      <c r="AA8" s="5"/>
      <c r="AB8" s="16"/>
      <c r="AC8" s="16"/>
      <c r="AD8" s="22">
        <v>1956</v>
      </c>
      <c r="AE8" s="5" t="s">
        <v>119</v>
      </c>
    </row>
    <row r="9" spans="1:34" x14ac:dyDescent="0.25">
      <c r="A9" s="2">
        <f t="shared" si="0"/>
        <v>6</v>
      </c>
      <c r="B9" s="8" t="s">
        <v>448</v>
      </c>
      <c r="C9" s="3" t="s">
        <v>348</v>
      </c>
      <c r="D9" t="s">
        <v>21</v>
      </c>
      <c r="E9" s="7">
        <v>24.29</v>
      </c>
      <c r="F9" s="16">
        <v>4005.5894754400001</v>
      </c>
      <c r="G9" s="16">
        <v>2220</v>
      </c>
      <c r="H9" s="16">
        <v>6225.5894754399997</v>
      </c>
      <c r="I9" s="10"/>
      <c r="K9" s="7"/>
      <c r="L9" s="9"/>
      <c r="M9" s="7"/>
      <c r="N9" s="7"/>
      <c r="O9" s="9"/>
      <c r="P9" s="9"/>
      <c r="Q9" s="18"/>
      <c r="R9" s="18"/>
      <c r="S9" s="18"/>
      <c r="T9" s="18"/>
      <c r="U9" s="18"/>
      <c r="V9" s="18"/>
      <c r="W9" s="19"/>
      <c r="X9" s="18"/>
      <c r="Y9" s="5"/>
      <c r="Z9" s="5"/>
      <c r="AA9" s="5"/>
      <c r="AB9" s="16"/>
      <c r="AC9" s="16"/>
      <c r="AD9" s="22"/>
      <c r="AE9" s="5" t="s">
        <v>119</v>
      </c>
    </row>
    <row r="10" spans="1:34" x14ac:dyDescent="0.25">
      <c r="A10" s="2">
        <f t="shared" si="0"/>
        <v>7</v>
      </c>
      <c r="B10" s="8" t="s">
        <v>163</v>
      </c>
      <c r="C10" s="3" t="s">
        <v>396</v>
      </c>
      <c r="D10" t="s">
        <v>21</v>
      </c>
      <c r="E10" s="7">
        <v>34.99</v>
      </c>
      <c r="F10" s="16">
        <v>2750.9694340999999</v>
      </c>
      <c r="G10" s="16">
        <v>1257</v>
      </c>
      <c r="H10" s="16">
        <v>4007.9694340999999</v>
      </c>
      <c r="I10" s="12" t="s">
        <v>339</v>
      </c>
      <c r="J10" s="15">
        <v>45722</v>
      </c>
      <c r="K10" s="7"/>
      <c r="L10" s="9"/>
      <c r="M10" s="7"/>
      <c r="N10" s="7"/>
      <c r="O10" s="9"/>
      <c r="P10" s="9"/>
      <c r="Q10" s="18"/>
      <c r="R10" s="18"/>
      <c r="S10" s="18"/>
      <c r="T10" s="18"/>
      <c r="U10" s="18"/>
      <c r="V10" s="18"/>
      <c r="W10" s="19"/>
      <c r="X10" s="18"/>
      <c r="Y10" s="5"/>
      <c r="Z10" s="5"/>
      <c r="AA10" s="5"/>
      <c r="AB10" s="16"/>
      <c r="AC10" s="16"/>
      <c r="AD10" s="22">
        <v>1977</v>
      </c>
      <c r="AE10" s="5" t="s">
        <v>119</v>
      </c>
    </row>
    <row r="11" spans="1:34" x14ac:dyDescent="0.25">
      <c r="A11" s="2">
        <f t="shared" si="0"/>
        <v>8</v>
      </c>
      <c r="B11" s="8" t="s">
        <v>171</v>
      </c>
      <c r="C11" s="3" t="s">
        <v>172</v>
      </c>
      <c r="D11" t="s">
        <v>21</v>
      </c>
      <c r="E11" s="7">
        <v>24.73</v>
      </c>
      <c r="F11" s="16">
        <v>1761.5194085300002</v>
      </c>
      <c r="G11" s="16">
        <v>-256.60000000000002</v>
      </c>
      <c r="H11" s="16">
        <v>1504.9194085300001</v>
      </c>
      <c r="I11" s="10" t="s">
        <v>340</v>
      </c>
      <c r="K11" s="16"/>
      <c r="L11" s="9"/>
      <c r="M11" s="16"/>
      <c r="N11" s="16"/>
      <c r="O11" s="9"/>
      <c r="P11" s="9"/>
      <c r="Q11" s="18"/>
      <c r="R11" s="18"/>
      <c r="S11" s="18"/>
      <c r="T11" s="18"/>
      <c r="U11" s="18"/>
      <c r="V11" s="18"/>
      <c r="W11" s="19"/>
      <c r="X11" s="18"/>
      <c r="Y11" s="5"/>
      <c r="Z11" s="5"/>
      <c r="AA11" s="5"/>
      <c r="AB11" s="16"/>
      <c r="AC11" s="16"/>
      <c r="AD11" s="22">
        <v>2003</v>
      </c>
      <c r="AE11" s="5" t="s">
        <v>119</v>
      </c>
    </row>
  </sheetData>
  <hyperlinks>
    <hyperlink ref="A1" location="Fashion!A1" display="Main" xr:uid="{8F1CCE42-8C42-4BE9-998F-DE8D53FBC595}"/>
    <hyperlink ref="B4" r:id="rId1" xr:uid="{58DFCEB2-46D7-4A32-96F4-62AA133CB0D1}"/>
    <hyperlink ref="B5" r:id="rId2" xr:uid="{9CCA0A2A-6928-4693-8C38-F0FF395331F1}"/>
    <hyperlink ref="B6" r:id="rId3" xr:uid="{61FBA8BC-93C3-4FAD-AEEB-715CA6C3606F}"/>
    <hyperlink ref="B7" r:id="rId4" xr:uid="{609B7AF9-671C-4C0F-ACCE-4B8932214A2D}"/>
    <hyperlink ref="B8" r:id="rId5" xr:uid="{B7394782-0C0C-4077-8CF8-F7D9035C82D6}"/>
    <hyperlink ref="B9" r:id="rId6" xr:uid="{49F2C437-B3A2-4E5F-9894-2F7ED0D12BEF}"/>
    <hyperlink ref="B10" r:id="rId7" xr:uid="{1322DD5E-1915-4868-A233-BF7F0FB3384F}"/>
    <hyperlink ref="B11" r:id="rId8" xr:uid="{99E167C7-B107-48C0-8B7B-A4B94481BE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AF2D-0F5F-41CB-A4FA-60433C4DB52C}">
  <dimension ref="A1:T54"/>
  <sheetViews>
    <sheetView zoomScale="200" zoomScaleNormal="200" workbookViewId="0">
      <selection activeCell="B2" sqref="B2"/>
    </sheetView>
  </sheetViews>
  <sheetFormatPr defaultRowHeight="15" x14ac:dyDescent="0.25"/>
  <cols>
    <col min="1" max="1" width="5.42578125" bestFit="1" customWidth="1"/>
    <col min="2" max="2" width="20.7109375" bestFit="1" customWidth="1"/>
    <col min="3" max="3" width="12.42578125" customWidth="1"/>
  </cols>
  <sheetData>
    <row r="1" spans="1:20" x14ac:dyDescent="0.25">
      <c r="A1" s="8" t="s">
        <v>468</v>
      </c>
    </row>
    <row r="2" spans="1:20" x14ac:dyDescent="0.25">
      <c r="A2" t="s">
        <v>469</v>
      </c>
    </row>
    <row r="3" spans="1:20" x14ac:dyDescent="0.25">
      <c r="A3" s="29" t="s">
        <v>317</v>
      </c>
      <c r="B3" s="30" t="s">
        <v>2</v>
      </c>
      <c r="C3" s="31" t="s">
        <v>466</v>
      </c>
      <c r="D3" s="30" t="s">
        <v>19</v>
      </c>
      <c r="E3" s="37" t="s">
        <v>4</v>
      </c>
      <c r="F3" s="38" t="s">
        <v>5</v>
      </c>
      <c r="G3" s="38" t="s">
        <v>87</v>
      </c>
      <c r="H3" s="38" t="s">
        <v>6</v>
      </c>
      <c r="I3" s="32" t="s">
        <v>451</v>
      </c>
      <c r="J3" s="39" t="s">
        <v>467</v>
      </c>
      <c r="K3" s="37"/>
      <c r="L3" s="40"/>
      <c r="M3" s="37"/>
      <c r="N3" s="37"/>
      <c r="O3" s="40"/>
      <c r="P3" s="40"/>
      <c r="Q3" s="30"/>
      <c r="R3" s="30"/>
      <c r="S3" s="30"/>
      <c r="T3" s="36"/>
    </row>
    <row r="4" spans="1:20" x14ac:dyDescent="0.25">
      <c r="A4" s="2">
        <v>1</v>
      </c>
      <c r="B4" s="8" t="s">
        <v>139</v>
      </c>
      <c r="C4" s="3" t="s">
        <v>140</v>
      </c>
      <c r="D4" t="s">
        <v>20</v>
      </c>
      <c r="E4" s="7">
        <f>+[81]Main!$I$2</f>
        <v>257.3</v>
      </c>
      <c r="F4" s="16">
        <f>+[81]Main!$I$4*FX!C3</f>
        <v>121467.16982951201</v>
      </c>
      <c r="G4" s="16">
        <f>+([81]Main!$I$6-[81]Main!$I$5)*FX!C3</f>
        <v>7610.72</v>
      </c>
      <c r="H4" s="16">
        <f>+F4+G4</f>
        <v>129077.88982951202</v>
      </c>
      <c r="I4" s="10" t="s">
        <v>340</v>
      </c>
      <c r="J4" s="15">
        <v>45770</v>
      </c>
      <c r="K4" s="7"/>
      <c r="L4" s="9"/>
      <c r="M4" s="7"/>
      <c r="N4" s="7"/>
      <c r="O4" s="9"/>
      <c r="P4" s="9"/>
    </row>
    <row r="5" spans="1:20" x14ac:dyDescent="0.25">
      <c r="A5" s="2">
        <f>+A4+1</f>
        <v>2</v>
      </c>
      <c r="B5" s="8" t="s">
        <v>83</v>
      </c>
      <c r="C5" s="3" t="s">
        <v>84</v>
      </c>
      <c r="D5" t="s">
        <v>85</v>
      </c>
      <c r="E5" s="7">
        <f>+[82]Main!$J$2</f>
        <v>166.7</v>
      </c>
      <c r="F5" s="16">
        <f>+[82]Main!$J$5*FX!C7</f>
        <v>116111.59100800003</v>
      </c>
      <c r="G5" s="16">
        <f>+([82]Main!$J$7-[82]Main!$J$6)*FX!C7</f>
        <v>-8980.1600000000017</v>
      </c>
      <c r="H5" s="16">
        <f t="shared" ref="H5:H6" si="0">+F5+G5</f>
        <v>107131.43100800003</v>
      </c>
      <c r="I5" s="10" t="s">
        <v>336</v>
      </c>
      <c r="J5" s="15">
        <v>45793</v>
      </c>
      <c r="K5" s="7"/>
      <c r="L5" s="9"/>
      <c r="M5" s="7"/>
      <c r="N5" s="7"/>
      <c r="O5" s="9"/>
      <c r="P5" s="9"/>
    </row>
    <row r="6" spans="1:20" x14ac:dyDescent="0.25">
      <c r="A6" s="2">
        <f>+A7+1</f>
        <v>4</v>
      </c>
      <c r="B6" s="8" t="s">
        <v>708</v>
      </c>
      <c r="C6" s="3" t="s">
        <v>710</v>
      </c>
      <c r="D6" t="s">
        <v>21</v>
      </c>
      <c r="E6" s="7">
        <f>+[83]Main!$K$2</f>
        <v>63.49</v>
      </c>
      <c r="F6" s="16">
        <f>+[83]Main!$K$4</f>
        <v>22840.653210200002</v>
      </c>
      <c r="G6" s="16">
        <f>+([83]Main!$K$6-[83]Main!$K$5)</f>
        <v>4670</v>
      </c>
      <c r="H6" s="16">
        <f t="shared" si="0"/>
        <v>27510.653210200002</v>
      </c>
      <c r="I6" s="10" t="s">
        <v>382</v>
      </c>
      <c r="J6" s="15"/>
      <c r="K6" s="7"/>
      <c r="L6" s="9"/>
      <c r="M6" s="7"/>
      <c r="N6" s="7"/>
      <c r="O6" s="9"/>
      <c r="P6" s="9"/>
    </row>
    <row r="7" spans="1:20" x14ac:dyDescent="0.25">
      <c r="A7" s="2">
        <f>+A5+1</f>
        <v>3</v>
      </c>
      <c r="B7" s="8" t="s">
        <v>426</v>
      </c>
      <c r="C7" s="3" t="s">
        <v>445</v>
      </c>
      <c r="D7" t="s">
        <v>85</v>
      </c>
      <c r="E7" s="7">
        <f>+[84]Main!$I$3</f>
        <v>148.05000000000001</v>
      </c>
      <c r="F7" s="16">
        <f>+[84]Main!$I$5*FX!C7</f>
        <v>8556.8152924800015</v>
      </c>
      <c r="G7" s="16">
        <f>+([84]Main!$I$7-[84]Main!$I$6)*FX!C7</f>
        <v>-1538.88</v>
      </c>
      <c r="H7" s="16">
        <f>+F7+G7</f>
        <v>7017.9352924800014</v>
      </c>
      <c r="I7" s="10" t="s">
        <v>340</v>
      </c>
      <c r="J7" s="15"/>
      <c r="K7" s="7"/>
      <c r="L7" s="9"/>
      <c r="M7" s="7"/>
      <c r="N7" s="7"/>
      <c r="O7" s="9"/>
      <c r="P7" s="9"/>
    </row>
    <row r="8" spans="1:20" x14ac:dyDescent="0.25">
      <c r="A8" s="2">
        <f>+A6+1</f>
        <v>5</v>
      </c>
      <c r="B8" t="s">
        <v>141</v>
      </c>
      <c r="C8" s="3" t="s">
        <v>142</v>
      </c>
      <c r="D8" t="s">
        <v>187</v>
      </c>
      <c r="E8" s="7"/>
      <c r="F8" s="16"/>
      <c r="G8" s="16"/>
      <c r="H8" s="16"/>
      <c r="I8" s="10"/>
      <c r="K8" s="7"/>
      <c r="L8" s="9"/>
      <c r="M8" s="7"/>
      <c r="N8" s="7"/>
      <c r="O8" s="9"/>
      <c r="P8" s="9"/>
    </row>
    <row r="9" spans="1:20" x14ac:dyDescent="0.25">
      <c r="A9" s="2">
        <f t="shared" ref="A9:A54" si="1">+A8+1</f>
        <v>6</v>
      </c>
      <c r="B9" t="s">
        <v>143</v>
      </c>
      <c r="C9" s="3" t="s">
        <v>145</v>
      </c>
      <c r="D9" t="s">
        <v>144</v>
      </c>
      <c r="E9" s="7"/>
      <c r="F9" s="16"/>
      <c r="G9" s="16"/>
      <c r="H9" s="16"/>
      <c r="I9" s="10"/>
      <c r="K9" s="7"/>
      <c r="L9" s="9"/>
      <c r="M9" s="7"/>
      <c r="N9" s="7"/>
      <c r="O9" s="9"/>
      <c r="P9" s="9"/>
    </row>
    <row r="10" spans="1:20" x14ac:dyDescent="0.25">
      <c r="A10" s="2">
        <f t="shared" si="1"/>
        <v>7</v>
      </c>
      <c r="B10" t="s">
        <v>341</v>
      </c>
      <c r="C10" s="3" t="s">
        <v>342</v>
      </c>
      <c r="D10" t="s">
        <v>463</v>
      </c>
      <c r="E10" s="7"/>
      <c r="F10" s="16"/>
      <c r="G10" s="16"/>
      <c r="H10" s="16"/>
      <c r="I10" s="10"/>
      <c r="K10" s="7"/>
      <c r="L10" s="9"/>
      <c r="M10" s="7"/>
      <c r="N10" s="7"/>
      <c r="O10" s="9"/>
      <c r="P10" s="9"/>
    </row>
    <row r="11" spans="1:20" x14ac:dyDescent="0.25">
      <c r="A11" s="2">
        <f t="shared" si="1"/>
        <v>8</v>
      </c>
      <c r="B11" t="s">
        <v>344</v>
      </c>
      <c r="C11" t="s">
        <v>343</v>
      </c>
      <c r="D11" t="s">
        <v>21</v>
      </c>
      <c r="E11" s="7"/>
      <c r="F11" s="16"/>
      <c r="G11" s="16"/>
      <c r="H11" s="16"/>
      <c r="I11" s="10"/>
      <c r="K11" s="7"/>
      <c r="L11" s="9"/>
      <c r="M11" s="7"/>
      <c r="N11" s="7"/>
      <c r="O11" s="9"/>
      <c r="P11" s="9"/>
    </row>
    <row r="12" spans="1:20" x14ac:dyDescent="0.25">
      <c r="A12" s="2">
        <f t="shared" si="1"/>
        <v>9</v>
      </c>
      <c r="B12" t="s">
        <v>345</v>
      </c>
      <c r="C12" s="3" t="s">
        <v>346</v>
      </c>
      <c r="D12" t="s">
        <v>187</v>
      </c>
      <c r="E12" s="7"/>
      <c r="F12" s="16"/>
      <c r="G12" s="16"/>
      <c r="H12" s="16"/>
      <c r="I12" s="10"/>
      <c r="K12" s="7"/>
      <c r="L12" s="9"/>
      <c r="M12" s="7"/>
      <c r="N12" s="7"/>
      <c r="O12" s="9"/>
      <c r="P12" s="9"/>
    </row>
    <row r="13" spans="1:20" x14ac:dyDescent="0.25">
      <c r="A13" s="2">
        <f t="shared" si="1"/>
        <v>10</v>
      </c>
      <c r="B13" t="s">
        <v>347</v>
      </c>
      <c r="C13" s="3" t="s">
        <v>348</v>
      </c>
      <c r="D13" t="s">
        <v>21</v>
      </c>
      <c r="E13" s="7"/>
      <c r="F13" s="16"/>
      <c r="G13" s="16"/>
      <c r="H13" s="16"/>
      <c r="I13" s="10"/>
      <c r="K13" s="7"/>
      <c r="L13" s="9"/>
      <c r="M13" s="7"/>
      <c r="N13" s="7"/>
      <c r="O13" s="9"/>
      <c r="P13" s="9"/>
    </row>
    <row r="14" spans="1:20" x14ac:dyDescent="0.25">
      <c r="A14" s="2">
        <f t="shared" si="1"/>
        <v>11</v>
      </c>
      <c r="B14" t="s">
        <v>350</v>
      </c>
      <c r="C14" s="3" t="s">
        <v>351</v>
      </c>
      <c r="D14" t="s">
        <v>349</v>
      </c>
      <c r="E14" s="7"/>
      <c r="F14" s="16"/>
      <c r="G14" s="16"/>
      <c r="H14" s="16"/>
      <c r="I14" s="10"/>
      <c r="K14" s="7"/>
      <c r="L14" s="9"/>
      <c r="M14" s="7"/>
      <c r="N14" s="7"/>
      <c r="O14" s="9"/>
      <c r="P14" s="9"/>
    </row>
    <row r="15" spans="1:20" x14ac:dyDescent="0.25">
      <c r="A15" s="2">
        <f t="shared" si="1"/>
        <v>12</v>
      </c>
      <c r="B15" t="s">
        <v>352</v>
      </c>
      <c r="C15" s="3" t="s">
        <v>353</v>
      </c>
      <c r="D15" t="s">
        <v>354</v>
      </c>
      <c r="E15" s="7"/>
      <c r="F15" s="16"/>
      <c r="G15" s="16"/>
      <c r="H15" s="16"/>
      <c r="I15" s="10"/>
      <c r="K15" s="7"/>
      <c r="L15" s="9"/>
      <c r="M15" s="7"/>
      <c r="N15" s="7"/>
      <c r="O15" s="9"/>
      <c r="P15" s="9"/>
    </row>
    <row r="16" spans="1:20" x14ac:dyDescent="0.25">
      <c r="A16" s="2">
        <f t="shared" si="1"/>
        <v>13</v>
      </c>
      <c r="B16" t="s">
        <v>355</v>
      </c>
      <c r="C16" s="3" t="s">
        <v>357</v>
      </c>
      <c r="D16" t="s">
        <v>356</v>
      </c>
      <c r="E16" s="7"/>
      <c r="F16" s="16"/>
      <c r="G16" s="16"/>
      <c r="H16" s="16"/>
      <c r="I16" s="10"/>
      <c r="K16" s="7"/>
      <c r="L16" s="9"/>
      <c r="M16" s="7"/>
      <c r="N16" s="7"/>
      <c r="O16" s="9"/>
      <c r="P16" s="9"/>
    </row>
    <row r="17" spans="1:16" x14ac:dyDescent="0.25">
      <c r="A17" s="2">
        <f t="shared" si="1"/>
        <v>14</v>
      </c>
      <c r="B17" t="s">
        <v>358</v>
      </c>
      <c r="C17" s="3" t="s">
        <v>359</v>
      </c>
      <c r="D17" t="s">
        <v>167</v>
      </c>
      <c r="E17" s="7"/>
      <c r="F17" s="16"/>
      <c r="G17" s="16"/>
      <c r="H17" s="16"/>
      <c r="I17" s="10"/>
      <c r="K17" s="7"/>
      <c r="L17" s="9"/>
      <c r="M17" s="7"/>
      <c r="N17" s="7"/>
      <c r="O17" s="9"/>
      <c r="P17" s="9"/>
    </row>
    <row r="18" spans="1:16" x14ac:dyDescent="0.25">
      <c r="A18" s="2">
        <f t="shared" si="1"/>
        <v>15</v>
      </c>
      <c r="B18" t="s">
        <v>360</v>
      </c>
      <c r="C18" s="3" t="s">
        <v>213</v>
      </c>
      <c r="D18" t="s">
        <v>82</v>
      </c>
      <c r="E18" s="7"/>
      <c r="F18" s="16"/>
      <c r="G18" s="16"/>
      <c r="H18" s="16"/>
      <c r="I18" s="10"/>
      <c r="K18" s="7"/>
      <c r="L18" s="9"/>
      <c r="M18" s="7"/>
      <c r="N18" s="7"/>
      <c r="O18" s="9"/>
      <c r="P18" s="9"/>
    </row>
    <row r="19" spans="1:16" x14ac:dyDescent="0.25">
      <c r="A19" s="2">
        <f t="shared" si="1"/>
        <v>16</v>
      </c>
      <c r="B19" t="s">
        <v>361</v>
      </c>
      <c r="C19" s="3" t="s">
        <v>362</v>
      </c>
      <c r="D19" t="s">
        <v>187</v>
      </c>
      <c r="E19" s="7"/>
      <c r="F19" s="16"/>
      <c r="G19" s="16"/>
      <c r="H19" s="16"/>
      <c r="I19" s="10"/>
      <c r="K19" s="7"/>
      <c r="L19" s="9"/>
      <c r="M19" s="7"/>
      <c r="N19" s="7"/>
      <c r="O19" s="9"/>
      <c r="P19" s="9"/>
    </row>
    <row r="20" spans="1:16" x14ac:dyDescent="0.25">
      <c r="A20" s="2">
        <f t="shared" si="1"/>
        <v>17</v>
      </c>
      <c r="B20" t="s">
        <v>363</v>
      </c>
      <c r="C20" s="3" t="s">
        <v>373</v>
      </c>
      <c r="D20" t="s">
        <v>187</v>
      </c>
      <c r="E20" s="7"/>
      <c r="F20" s="16"/>
      <c r="G20" s="16"/>
      <c r="H20" s="16"/>
      <c r="I20" s="10"/>
      <c r="K20" s="7"/>
      <c r="L20" s="9"/>
      <c r="M20" s="7"/>
      <c r="N20" s="7"/>
      <c r="O20" s="9"/>
      <c r="P20" s="9"/>
    </row>
    <row r="21" spans="1:16" x14ac:dyDescent="0.25">
      <c r="A21" s="2">
        <f t="shared" si="1"/>
        <v>18</v>
      </c>
      <c r="B21" t="s">
        <v>364</v>
      </c>
      <c r="C21" s="4" t="s">
        <v>374</v>
      </c>
      <c r="D21" t="s">
        <v>256</v>
      </c>
      <c r="E21" s="7"/>
      <c r="F21" s="16"/>
      <c r="G21" s="16"/>
      <c r="H21" s="16"/>
      <c r="I21" s="10"/>
      <c r="K21" s="7"/>
      <c r="L21" s="9"/>
      <c r="M21" s="7"/>
      <c r="N21" s="7"/>
      <c r="O21" s="9"/>
      <c r="P21" s="9"/>
    </row>
    <row r="22" spans="1:16" x14ac:dyDescent="0.25">
      <c r="A22" s="2">
        <f t="shared" si="1"/>
        <v>19</v>
      </c>
      <c r="B22" t="s">
        <v>365</v>
      </c>
      <c r="C22" s="3" t="s">
        <v>375</v>
      </c>
      <c r="D22" t="s">
        <v>21</v>
      </c>
      <c r="E22" s="7"/>
      <c r="F22" s="16"/>
      <c r="G22" s="16"/>
      <c r="H22" s="16"/>
      <c r="I22" s="10"/>
      <c r="K22" s="7"/>
      <c r="L22" s="9"/>
      <c r="M22" s="7"/>
      <c r="N22" s="7"/>
      <c r="O22" s="9"/>
      <c r="P22" s="9"/>
    </row>
    <row r="23" spans="1:16" x14ac:dyDescent="0.25">
      <c r="A23" s="2">
        <f t="shared" si="1"/>
        <v>20</v>
      </c>
      <c r="B23" t="s">
        <v>366</v>
      </c>
      <c r="C23" s="3" t="s">
        <v>238</v>
      </c>
      <c r="D23" t="s">
        <v>237</v>
      </c>
      <c r="E23" s="7"/>
      <c r="F23" s="16"/>
      <c r="G23" s="16"/>
      <c r="H23" s="16"/>
      <c r="I23" s="10"/>
      <c r="K23" s="7"/>
      <c r="L23" s="9"/>
      <c r="M23" s="7"/>
      <c r="N23" s="7"/>
      <c r="O23" s="9"/>
      <c r="P23" s="9"/>
    </row>
    <row r="24" spans="1:16" x14ac:dyDescent="0.25">
      <c r="A24" s="2">
        <f t="shared" si="1"/>
        <v>21</v>
      </c>
      <c r="B24" t="s">
        <v>367</v>
      </c>
      <c r="C24" s="3" t="s">
        <v>376</v>
      </c>
      <c r="D24" t="s">
        <v>225</v>
      </c>
      <c r="E24" s="7"/>
      <c r="F24" s="16"/>
      <c r="G24" s="16"/>
      <c r="H24" s="16"/>
      <c r="I24" s="10"/>
      <c r="K24" s="7"/>
      <c r="L24" s="9"/>
      <c r="M24" s="7"/>
      <c r="N24" s="7"/>
      <c r="O24" s="9"/>
      <c r="P24" s="9"/>
    </row>
    <row r="25" spans="1:16" x14ac:dyDescent="0.25">
      <c r="A25" s="2">
        <f t="shared" si="1"/>
        <v>22</v>
      </c>
      <c r="B25" t="s">
        <v>368</v>
      </c>
      <c r="C25" s="3" t="s">
        <v>377</v>
      </c>
      <c r="D25" t="s">
        <v>354</v>
      </c>
      <c r="E25" s="7"/>
      <c r="F25" s="16"/>
      <c r="G25" s="16"/>
      <c r="H25" s="16"/>
      <c r="I25" s="10"/>
      <c r="K25" s="7"/>
      <c r="L25" s="9"/>
      <c r="M25" s="7"/>
      <c r="N25" s="7"/>
      <c r="O25" s="9"/>
      <c r="P25" s="9"/>
    </row>
    <row r="26" spans="1:16" x14ac:dyDescent="0.25">
      <c r="A26" s="2">
        <f t="shared" si="1"/>
        <v>23</v>
      </c>
      <c r="B26" t="s">
        <v>369</v>
      </c>
      <c r="C26" s="3" t="s">
        <v>378</v>
      </c>
      <c r="D26" t="s">
        <v>85</v>
      </c>
      <c r="E26" s="7"/>
      <c r="F26" s="16"/>
      <c r="G26" s="16"/>
      <c r="H26" s="16"/>
      <c r="I26" s="10"/>
      <c r="K26" s="7"/>
      <c r="L26" s="9"/>
      <c r="M26" s="7"/>
      <c r="N26" s="7"/>
      <c r="O26" s="9"/>
      <c r="P26" s="9"/>
    </row>
    <row r="27" spans="1:16" x14ac:dyDescent="0.25">
      <c r="A27" s="2">
        <f t="shared" si="1"/>
        <v>24</v>
      </c>
      <c r="B27" t="s">
        <v>370</v>
      </c>
      <c r="C27" s="3" t="s">
        <v>379</v>
      </c>
      <c r="D27" t="s">
        <v>82</v>
      </c>
      <c r="E27" s="7"/>
      <c r="I27" s="10"/>
      <c r="K27" s="7"/>
      <c r="L27" s="9"/>
      <c r="M27" s="7"/>
      <c r="N27" s="7"/>
      <c r="O27" s="9"/>
      <c r="P27" s="9"/>
    </row>
    <row r="28" spans="1:16" x14ac:dyDescent="0.25">
      <c r="A28" s="2">
        <f t="shared" si="1"/>
        <v>25</v>
      </c>
      <c r="B28" t="s">
        <v>371</v>
      </c>
      <c r="C28" s="3" t="s">
        <v>270</v>
      </c>
      <c r="D28" t="s">
        <v>20</v>
      </c>
      <c r="E28" s="7"/>
      <c r="I28" s="10"/>
      <c r="K28" s="7"/>
      <c r="L28" s="9"/>
      <c r="M28" s="7"/>
      <c r="N28" s="7"/>
      <c r="O28" s="9"/>
      <c r="P28" s="9"/>
    </row>
    <row r="29" spans="1:16" x14ac:dyDescent="0.25">
      <c r="A29" s="2">
        <f t="shared" si="1"/>
        <v>26</v>
      </c>
      <c r="B29" t="s">
        <v>372</v>
      </c>
      <c r="C29" s="3" t="s">
        <v>380</v>
      </c>
      <c r="D29" t="s">
        <v>463</v>
      </c>
      <c r="E29" s="7"/>
      <c r="I29" s="10"/>
      <c r="K29" s="7"/>
      <c r="L29" s="9"/>
      <c r="M29" s="7"/>
      <c r="N29" s="7"/>
      <c r="O29" s="9"/>
      <c r="P29" s="9"/>
    </row>
    <row r="30" spans="1:16" x14ac:dyDescent="0.25">
      <c r="A30" s="2">
        <f t="shared" si="1"/>
        <v>27</v>
      </c>
      <c r="B30" t="s">
        <v>434</v>
      </c>
      <c r="C30" s="3" t="s">
        <v>687</v>
      </c>
      <c r="E30" s="7"/>
      <c r="I30" s="10"/>
      <c r="K30" s="7"/>
      <c r="L30" s="9"/>
      <c r="M30" s="7"/>
      <c r="N30" s="7"/>
      <c r="O30" s="9"/>
      <c r="P30" s="9"/>
    </row>
    <row r="31" spans="1:16" x14ac:dyDescent="0.25">
      <c r="A31" s="2">
        <f t="shared" si="1"/>
        <v>28</v>
      </c>
      <c r="B31" t="s">
        <v>550</v>
      </c>
      <c r="C31" s="3" t="s">
        <v>549</v>
      </c>
      <c r="D31" t="s">
        <v>125</v>
      </c>
      <c r="E31" s="7"/>
      <c r="I31" s="10"/>
      <c r="K31" s="7"/>
      <c r="L31" s="9"/>
      <c r="M31" s="7"/>
      <c r="N31" s="7"/>
      <c r="O31" s="9"/>
      <c r="P31" s="9"/>
    </row>
    <row r="32" spans="1:16" x14ac:dyDescent="0.25">
      <c r="A32" s="2">
        <f t="shared" si="1"/>
        <v>29</v>
      </c>
      <c r="B32" t="s">
        <v>546</v>
      </c>
      <c r="C32" s="3" t="s">
        <v>547</v>
      </c>
      <c r="D32" t="s">
        <v>21</v>
      </c>
    </row>
    <row r="33" spans="1:4" x14ac:dyDescent="0.25">
      <c r="A33" s="2">
        <f t="shared" si="1"/>
        <v>30</v>
      </c>
      <c r="B33" t="s">
        <v>545</v>
      </c>
      <c r="C33" s="3" t="s">
        <v>548</v>
      </c>
      <c r="D33" t="s">
        <v>82</v>
      </c>
    </row>
    <row r="34" spans="1:4" x14ac:dyDescent="0.25">
      <c r="A34" s="2">
        <f t="shared" si="1"/>
        <v>31</v>
      </c>
      <c r="B34" t="s">
        <v>551</v>
      </c>
      <c r="C34" s="3" t="s">
        <v>552</v>
      </c>
      <c r="D34" t="s">
        <v>553</v>
      </c>
    </row>
    <row r="35" spans="1:4" x14ac:dyDescent="0.25">
      <c r="A35" s="2">
        <f t="shared" si="1"/>
        <v>32</v>
      </c>
      <c r="B35" t="s">
        <v>554</v>
      </c>
      <c r="C35" s="3" t="s">
        <v>555</v>
      </c>
      <c r="D35" t="s">
        <v>21</v>
      </c>
    </row>
    <row r="36" spans="1:4" x14ac:dyDescent="0.25">
      <c r="A36" s="2">
        <f t="shared" si="1"/>
        <v>33</v>
      </c>
      <c r="B36" t="s">
        <v>556</v>
      </c>
      <c r="C36" s="3" t="s">
        <v>557</v>
      </c>
      <c r="D36" t="s">
        <v>21</v>
      </c>
    </row>
    <row r="37" spans="1:4" x14ac:dyDescent="0.25">
      <c r="A37" s="2">
        <f t="shared" si="1"/>
        <v>34</v>
      </c>
      <c r="B37" t="s">
        <v>558</v>
      </c>
      <c r="C37" s="3" t="s">
        <v>559</v>
      </c>
      <c r="D37" t="s">
        <v>109</v>
      </c>
    </row>
    <row r="38" spans="1:4" x14ac:dyDescent="0.25">
      <c r="A38" s="2">
        <f t="shared" si="1"/>
        <v>35</v>
      </c>
      <c r="B38" t="s">
        <v>560</v>
      </c>
      <c r="C38" s="3" t="s">
        <v>561</v>
      </c>
      <c r="D38" t="s">
        <v>125</v>
      </c>
    </row>
    <row r="39" spans="1:4" x14ac:dyDescent="0.25">
      <c r="A39" s="2">
        <f t="shared" si="1"/>
        <v>36</v>
      </c>
      <c r="B39" t="s">
        <v>562</v>
      </c>
      <c r="C39" s="3" t="s">
        <v>563</v>
      </c>
      <c r="D39" t="s">
        <v>167</v>
      </c>
    </row>
    <row r="40" spans="1:4" x14ac:dyDescent="0.25">
      <c r="A40" s="2">
        <f t="shared" si="1"/>
        <v>37</v>
      </c>
      <c r="B40" t="s">
        <v>564</v>
      </c>
      <c r="C40" s="3" t="s">
        <v>565</v>
      </c>
      <c r="D40" t="s">
        <v>553</v>
      </c>
    </row>
    <row r="41" spans="1:4" x14ac:dyDescent="0.25">
      <c r="A41" s="2">
        <f t="shared" si="1"/>
        <v>38</v>
      </c>
      <c r="B41" t="s">
        <v>566</v>
      </c>
      <c r="C41" s="3" t="s">
        <v>567</v>
      </c>
      <c r="D41" t="s">
        <v>82</v>
      </c>
    </row>
    <row r="42" spans="1:4" x14ac:dyDescent="0.25">
      <c r="A42" s="2">
        <f t="shared" si="1"/>
        <v>39</v>
      </c>
      <c r="B42" t="s">
        <v>568</v>
      </c>
      <c r="C42" s="3" t="s">
        <v>569</v>
      </c>
      <c r="D42" t="s">
        <v>21</v>
      </c>
    </row>
    <row r="43" spans="1:4" x14ac:dyDescent="0.25">
      <c r="A43" s="2">
        <f t="shared" si="1"/>
        <v>40</v>
      </c>
      <c r="B43" t="s">
        <v>543</v>
      </c>
      <c r="C43" s="3" t="s">
        <v>685</v>
      </c>
      <c r="D43" t="s">
        <v>221</v>
      </c>
    </row>
    <row r="44" spans="1:4" x14ac:dyDescent="0.25">
      <c r="A44" s="2">
        <f t="shared" si="1"/>
        <v>41</v>
      </c>
      <c r="B44" t="s">
        <v>544</v>
      </c>
      <c r="C44" s="3" t="s">
        <v>686</v>
      </c>
      <c r="D44" t="s">
        <v>21</v>
      </c>
    </row>
    <row r="45" spans="1:4" x14ac:dyDescent="0.25">
      <c r="A45" s="2">
        <f t="shared" si="1"/>
        <v>42</v>
      </c>
      <c r="B45" t="s">
        <v>570</v>
      </c>
      <c r="C45" t="s">
        <v>571</v>
      </c>
      <c r="D45" t="s">
        <v>85</v>
      </c>
    </row>
    <row r="46" spans="1:4" x14ac:dyDescent="0.25">
      <c r="A46" s="2">
        <f t="shared" si="1"/>
        <v>43</v>
      </c>
      <c r="B46" t="s">
        <v>572</v>
      </c>
      <c r="C46" t="s">
        <v>573</v>
      </c>
      <c r="D46" t="s">
        <v>21</v>
      </c>
    </row>
    <row r="47" spans="1:4" x14ac:dyDescent="0.25">
      <c r="A47" s="2">
        <f t="shared" si="1"/>
        <v>44</v>
      </c>
      <c r="B47" t="s">
        <v>574</v>
      </c>
      <c r="C47" t="s">
        <v>575</v>
      </c>
      <c r="D47" t="s">
        <v>82</v>
      </c>
    </row>
    <row r="48" spans="1:4" x14ac:dyDescent="0.25">
      <c r="A48" s="2">
        <f t="shared" si="1"/>
        <v>45</v>
      </c>
      <c r="B48" t="s">
        <v>576</v>
      </c>
      <c r="C48" t="s">
        <v>577</v>
      </c>
      <c r="D48" t="s">
        <v>100</v>
      </c>
    </row>
    <row r="49" spans="1:4" x14ac:dyDescent="0.25">
      <c r="A49" s="2">
        <f t="shared" si="1"/>
        <v>46</v>
      </c>
      <c r="B49" t="s">
        <v>344</v>
      </c>
      <c r="C49" t="s">
        <v>343</v>
      </c>
      <c r="D49" t="s">
        <v>21</v>
      </c>
    </row>
    <row r="50" spans="1:4" x14ac:dyDescent="0.25">
      <c r="A50" s="2">
        <f t="shared" si="1"/>
        <v>47</v>
      </c>
      <c r="B50" t="s">
        <v>578</v>
      </c>
      <c r="C50" t="s">
        <v>579</v>
      </c>
      <c r="D50" t="s">
        <v>21</v>
      </c>
    </row>
    <row r="51" spans="1:4" x14ac:dyDescent="0.25">
      <c r="A51" s="2">
        <f t="shared" si="1"/>
        <v>48</v>
      </c>
      <c r="B51" t="s">
        <v>580</v>
      </c>
      <c r="C51" t="s">
        <v>581</v>
      </c>
      <c r="D51" t="s">
        <v>20</v>
      </c>
    </row>
    <row r="52" spans="1:4" x14ac:dyDescent="0.25">
      <c r="A52" s="2">
        <f t="shared" si="1"/>
        <v>49</v>
      </c>
      <c r="B52" t="s">
        <v>582</v>
      </c>
      <c r="C52" t="s">
        <v>583</v>
      </c>
      <c r="D52" t="s">
        <v>125</v>
      </c>
    </row>
    <row r="53" spans="1:4" x14ac:dyDescent="0.25">
      <c r="A53" s="2">
        <f t="shared" si="1"/>
        <v>50</v>
      </c>
      <c r="B53" t="s">
        <v>584</v>
      </c>
      <c r="C53" t="s">
        <v>585</v>
      </c>
      <c r="D53" t="s">
        <v>225</v>
      </c>
    </row>
    <row r="54" spans="1:4" x14ac:dyDescent="0.25">
      <c r="A54" s="2">
        <f t="shared" si="1"/>
        <v>51</v>
      </c>
      <c r="B54" t="s">
        <v>586</v>
      </c>
      <c r="C54" t="s">
        <v>587</v>
      </c>
      <c r="D54" t="s">
        <v>589</v>
      </c>
    </row>
  </sheetData>
  <hyperlinks>
    <hyperlink ref="B4" r:id="rId1" xr:uid="{1FF2BF39-7C4A-4FFE-8877-0A2B82342685}"/>
    <hyperlink ref="B5" r:id="rId2" xr:uid="{A13BACF4-FCB7-4838-B121-5FB6EB623E7F}"/>
    <hyperlink ref="B7" r:id="rId3" xr:uid="{FAD9654E-5148-4908-A030-912BD7FF7F00}"/>
    <hyperlink ref="A1" location="Fashion!A1" display="Main" xr:uid="{19556E51-CA85-4291-B229-E37B5A1E9A7E}"/>
    <hyperlink ref="B6" r:id="rId4" xr:uid="{59764142-B88C-431F-8FD4-D5C44A73AE45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B318-5BA2-4BBA-A200-FE3B9D2C3D7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1EC5-F720-4AB1-9031-7261BEEF1FBA}">
  <dimension ref="A1:D4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5" x14ac:dyDescent="0.25"/>
  <cols>
    <col min="1" max="1" width="4.5703125" customWidth="1"/>
    <col min="2" max="2" width="27.140625" customWidth="1"/>
  </cols>
  <sheetData>
    <row r="1" spans="1:4" x14ac:dyDescent="0.25">
      <c r="A1" s="8" t="s">
        <v>468</v>
      </c>
    </row>
    <row r="2" spans="1:4" x14ac:dyDescent="0.25">
      <c r="A2" s="2" t="s">
        <v>1</v>
      </c>
      <c r="B2" t="s">
        <v>2</v>
      </c>
      <c r="C2" t="s">
        <v>466</v>
      </c>
      <c r="D2" t="s">
        <v>19</v>
      </c>
    </row>
    <row r="3" spans="1:4" x14ac:dyDescent="0.25">
      <c r="A3" s="2">
        <v>1</v>
      </c>
      <c r="B3" t="s">
        <v>590</v>
      </c>
      <c r="C3" t="s">
        <v>591</v>
      </c>
      <c r="D3" t="s">
        <v>21</v>
      </c>
    </row>
    <row r="4" spans="1:4" x14ac:dyDescent="0.25">
      <c r="A4" s="2">
        <f>+A3+1</f>
        <v>2</v>
      </c>
      <c r="B4" t="s">
        <v>592</v>
      </c>
      <c r="C4" t="s">
        <v>593</v>
      </c>
      <c r="D4" t="s">
        <v>21</v>
      </c>
    </row>
    <row r="5" spans="1:4" x14ac:dyDescent="0.25">
      <c r="A5" s="2">
        <f t="shared" ref="A5:A48" si="0">+A4+1</f>
        <v>3</v>
      </c>
      <c r="B5" t="s">
        <v>594</v>
      </c>
      <c r="C5" t="s">
        <v>595</v>
      </c>
      <c r="D5" t="s">
        <v>21</v>
      </c>
    </row>
    <row r="6" spans="1:4" x14ac:dyDescent="0.25">
      <c r="A6" s="2">
        <f t="shared" si="0"/>
        <v>4</v>
      </c>
      <c r="B6" t="s">
        <v>596</v>
      </c>
      <c r="C6" t="s">
        <v>597</v>
      </c>
      <c r="D6" t="s">
        <v>354</v>
      </c>
    </row>
    <row r="7" spans="1:4" x14ac:dyDescent="0.25">
      <c r="A7" s="2">
        <f t="shared" si="0"/>
        <v>5</v>
      </c>
      <c r="B7" t="s">
        <v>598</v>
      </c>
      <c r="C7" t="s">
        <v>599</v>
      </c>
      <c r="D7" t="s">
        <v>21</v>
      </c>
    </row>
    <row r="8" spans="1:4" x14ac:dyDescent="0.25">
      <c r="A8" s="2">
        <f t="shared" si="0"/>
        <v>6</v>
      </c>
      <c r="B8" t="s">
        <v>600</v>
      </c>
      <c r="C8" t="s">
        <v>601</v>
      </c>
      <c r="D8" t="s">
        <v>21</v>
      </c>
    </row>
    <row r="9" spans="1:4" x14ac:dyDescent="0.25">
      <c r="A9" s="2">
        <f t="shared" si="0"/>
        <v>7</v>
      </c>
      <c r="B9" t="s">
        <v>602</v>
      </c>
      <c r="C9" t="s">
        <v>603</v>
      </c>
      <c r="D9" t="s">
        <v>21</v>
      </c>
    </row>
    <row r="10" spans="1:4" x14ac:dyDescent="0.25">
      <c r="A10" s="2">
        <f t="shared" si="0"/>
        <v>8</v>
      </c>
      <c r="B10" t="s">
        <v>604</v>
      </c>
      <c r="C10" t="s">
        <v>605</v>
      </c>
      <c r="D10" t="s">
        <v>21</v>
      </c>
    </row>
    <row r="11" spans="1:4" x14ac:dyDescent="0.25">
      <c r="A11" s="2">
        <f t="shared" si="0"/>
        <v>9</v>
      </c>
      <c r="B11" t="s">
        <v>606</v>
      </c>
      <c r="C11" t="s">
        <v>607</v>
      </c>
      <c r="D11" t="s">
        <v>109</v>
      </c>
    </row>
    <row r="12" spans="1:4" x14ac:dyDescent="0.25">
      <c r="A12" s="2">
        <f t="shared" si="0"/>
        <v>10</v>
      </c>
      <c r="B12" t="s">
        <v>608</v>
      </c>
      <c r="C12" t="s">
        <v>609</v>
      </c>
      <c r="D12" t="s">
        <v>21</v>
      </c>
    </row>
    <row r="13" spans="1:4" x14ac:dyDescent="0.25">
      <c r="A13" s="2">
        <f t="shared" si="0"/>
        <v>11</v>
      </c>
      <c r="B13" t="s">
        <v>610</v>
      </c>
      <c r="C13" t="s">
        <v>611</v>
      </c>
      <c r="D13" t="s">
        <v>21</v>
      </c>
    </row>
    <row r="14" spans="1:4" x14ac:dyDescent="0.25">
      <c r="A14" s="2">
        <f t="shared" si="0"/>
        <v>12</v>
      </c>
      <c r="B14" t="s">
        <v>612</v>
      </c>
      <c r="C14" t="s">
        <v>613</v>
      </c>
      <c r="D14" t="s">
        <v>553</v>
      </c>
    </row>
    <row r="15" spans="1:4" x14ac:dyDescent="0.25">
      <c r="A15" s="2">
        <f t="shared" si="0"/>
        <v>13</v>
      </c>
      <c r="B15" t="s">
        <v>614</v>
      </c>
      <c r="C15" t="s">
        <v>615</v>
      </c>
      <c r="D15" t="s">
        <v>21</v>
      </c>
    </row>
    <row r="16" spans="1:4" x14ac:dyDescent="0.25">
      <c r="A16" s="2">
        <f t="shared" si="0"/>
        <v>14</v>
      </c>
      <c r="B16" t="s">
        <v>616</v>
      </c>
      <c r="C16" t="s">
        <v>617</v>
      </c>
      <c r="D16" t="s">
        <v>354</v>
      </c>
    </row>
    <row r="17" spans="1:4" x14ac:dyDescent="0.25">
      <c r="A17" s="2">
        <f t="shared" si="0"/>
        <v>15</v>
      </c>
      <c r="B17" t="s">
        <v>618</v>
      </c>
      <c r="C17" t="s">
        <v>619</v>
      </c>
      <c r="D17" t="s">
        <v>679</v>
      </c>
    </row>
    <row r="18" spans="1:4" x14ac:dyDescent="0.25">
      <c r="A18" s="2">
        <f t="shared" si="0"/>
        <v>16</v>
      </c>
      <c r="B18" t="s">
        <v>620</v>
      </c>
      <c r="C18" t="s">
        <v>621</v>
      </c>
      <c r="D18" t="s">
        <v>21</v>
      </c>
    </row>
    <row r="19" spans="1:4" x14ac:dyDescent="0.25">
      <c r="A19" s="2">
        <f t="shared" si="0"/>
        <v>17</v>
      </c>
      <c r="B19" t="s">
        <v>622</v>
      </c>
      <c r="C19" t="s">
        <v>623</v>
      </c>
      <c r="D19" t="s">
        <v>225</v>
      </c>
    </row>
    <row r="20" spans="1:4" x14ac:dyDescent="0.25">
      <c r="A20" s="2">
        <f t="shared" si="0"/>
        <v>18</v>
      </c>
      <c r="B20" t="s">
        <v>624</v>
      </c>
      <c r="C20" t="s">
        <v>625</v>
      </c>
      <c r="D20" t="s">
        <v>680</v>
      </c>
    </row>
    <row r="21" spans="1:4" x14ac:dyDescent="0.25">
      <c r="A21" s="2">
        <f t="shared" si="0"/>
        <v>19</v>
      </c>
      <c r="B21" t="s">
        <v>626</v>
      </c>
    </row>
    <row r="22" spans="1:4" x14ac:dyDescent="0.25">
      <c r="A22" s="2">
        <f t="shared" si="0"/>
        <v>20</v>
      </c>
      <c r="B22" t="s">
        <v>627</v>
      </c>
      <c r="C22" t="s">
        <v>628</v>
      </c>
      <c r="D22" t="s">
        <v>125</v>
      </c>
    </row>
    <row r="23" spans="1:4" x14ac:dyDescent="0.25">
      <c r="A23" s="2">
        <f t="shared" si="0"/>
        <v>21</v>
      </c>
      <c r="B23" t="s">
        <v>629</v>
      </c>
      <c r="C23" t="s">
        <v>630</v>
      </c>
      <c r="D23" t="s">
        <v>537</v>
      </c>
    </row>
    <row r="24" spans="1:4" x14ac:dyDescent="0.25">
      <c r="A24" s="2">
        <f t="shared" si="0"/>
        <v>22</v>
      </c>
      <c r="B24" t="s">
        <v>631</v>
      </c>
      <c r="C24" t="s">
        <v>632</v>
      </c>
      <c r="D24" t="s">
        <v>221</v>
      </c>
    </row>
    <row r="25" spans="1:4" x14ac:dyDescent="0.25">
      <c r="A25" s="2">
        <f t="shared" si="0"/>
        <v>23</v>
      </c>
      <c r="B25" t="s">
        <v>633</v>
      </c>
      <c r="C25" t="s">
        <v>634</v>
      </c>
      <c r="D25" t="s">
        <v>681</v>
      </c>
    </row>
    <row r="26" spans="1:4" x14ac:dyDescent="0.25">
      <c r="A26" s="2">
        <f t="shared" si="0"/>
        <v>24</v>
      </c>
      <c r="B26" t="s">
        <v>635</v>
      </c>
      <c r="C26" t="s">
        <v>636</v>
      </c>
      <c r="D26" t="s">
        <v>21</v>
      </c>
    </row>
    <row r="27" spans="1:4" x14ac:dyDescent="0.25">
      <c r="A27" s="2">
        <f t="shared" si="0"/>
        <v>25</v>
      </c>
      <c r="B27" t="s">
        <v>637</v>
      </c>
      <c r="C27" t="s">
        <v>638</v>
      </c>
      <c r="D27" t="s">
        <v>82</v>
      </c>
    </row>
    <row r="28" spans="1:4" x14ac:dyDescent="0.25">
      <c r="A28" s="2">
        <f t="shared" si="0"/>
        <v>26</v>
      </c>
      <c r="B28" t="s">
        <v>639</v>
      </c>
      <c r="C28" t="s">
        <v>640</v>
      </c>
      <c r="D28" t="s">
        <v>21</v>
      </c>
    </row>
    <row r="29" spans="1:4" x14ac:dyDescent="0.25">
      <c r="A29" s="2">
        <f t="shared" si="0"/>
        <v>27</v>
      </c>
      <c r="B29" t="s">
        <v>641</v>
      </c>
      <c r="C29" t="s">
        <v>642</v>
      </c>
      <c r="D29" t="s">
        <v>109</v>
      </c>
    </row>
    <row r="30" spans="1:4" x14ac:dyDescent="0.25">
      <c r="A30" s="2">
        <f t="shared" si="0"/>
        <v>28</v>
      </c>
      <c r="B30" t="s">
        <v>643</v>
      </c>
      <c r="C30" t="s">
        <v>644</v>
      </c>
      <c r="D30" t="s">
        <v>167</v>
      </c>
    </row>
    <row r="31" spans="1:4" x14ac:dyDescent="0.25">
      <c r="A31" s="2">
        <f t="shared" si="0"/>
        <v>29</v>
      </c>
      <c r="B31" t="s">
        <v>645</v>
      </c>
      <c r="C31" t="s">
        <v>646</v>
      </c>
      <c r="D31" t="s">
        <v>682</v>
      </c>
    </row>
    <row r="32" spans="1:4" x14ac:dyDescent="0.25">
      <c r="A32" s="2">
        <f t="shared" si="0"/>
        <v>30</v>
      </c>
      <c r="B32" t="s">
        <v>647</v>
      </c>
      <c r="C32" t="s">
        <v>648</v>
      </c>
      <c r="D32" t="s">
        <v>21</v>
      </c>
    </row>
    <row r="33" spans="1:4" x14ac:dyDescent="0.25">
      <c r="A33" s="2">
        <f t="shared" si="0"/>
        <v>31</v>
      </c>
      <c r="B33" t="s">
        <v>649</v>
      </c>
      <c r="C33" t="s">
        <v>650</v>
      </c>
      <c r="D33" t="s">
        <v>82</v>
      </c>
    </row>
    <row r="34" spans="1:4" x14ac:dyDescent="0.25">
      <c r="A34" s="2">
        <f t="shared" si="0"/>
        <v>32</v>
      </c>
      <c r="B34" t="s">
        <v>651</v>
      </c>
      <c r="C34" t="s">
        <v>652</v>
      </c>
      <c r="D34" t="s">
        <v>21</v>
      </c>
    </row>
    <row r="35" spans="1:4" x14ac:dyDescent="0.25">
      <c r="A35" s="2">
        <f t="shared" si="0"/>
        <v>33</v>
      </c>
      <c r="B35" t="s">
        <v>653</v>
      </c>
      <c r="C35" t="s">
        <v>654</v>
      </c>
      <c r="D35" t="s">
        <v>21</v>
      </c>
    </row>
    <row r="36" spans="1:4" x14ac:dyDescent="0.25">
      <c r="A36" s="2">
        <f t="shared" si="0"/>
        <v>34</v>
      </c>
      <c r="B36" t="s">
        <v>655</v>
      </c>
      <c r="C36" t="s">
        <v>656</v>
      </c>
      <c r="D36" t="s">
        <v>681</v>
      </c>
    </row>
    <row r="37" spans="1:4" x14ac:dyDescent="0.25">
      <c r="A37" s="2">
        <f t="shared" si="0"/>
        <v>35</v>
      </c>
      <c r="B37" t="s">
        <v>657</v>
      </c>
      <c r="C37" t="s">
        <v>658</v>
      </c>
      <c r="D37" t="s">
        <v>681</v>
      </c>
    </row>
    <row r="38" spans="1:4" x14ac:dyDescent="0.25">
      <c r="A38" s="2">
        <f t="shared" si="0"/>
        <v>36</v>
      </c>
      <c r="B38" t="s">
        <v>659</v>
      </c>
      <c r="C38" t="s">
        <v>660</v>
      </c>
      <c r="D38" t="s">
        <v>21</v>
      </c>
    </row>
    <row r="39" spans="1:4" x14ac:dyDescent="0.25">
      <c r="A39" s="2">
        <f t="shared" si="0"/>
        <v>37</v>
      </c>
      <c r="B39" t="s">
        <v>661</v>
      </c>
      <c r="C39" t="s">
        <v>662</v>
      </c>
      <c r="D39" t="s">
        <v>463</v>
      </c>
    </row>
    <row r="40" spans="1:4" x14ac:dyDescent="0.25">
      <c r="A40" s="2">
        <f t="shared" si="0"/>
        <v>38</v>
      </c>
      <c r="B40" t="s">
        <v>663</v>
      </c>
      <c r="C40" t="s">
        <v>664</v>
      </c>
      <c r="D40" t="s">
        <v>21</v>
      </c>
    </row>
    <row r="41" spans="1:4" x14ac:dyDescent="0.25">
      <c r="A41" s="2">
        <f t="shared" si="0"/>
        <v>39</v>
      </c>
      <c r="B41" t="s">
        <v>665</v>
      </c>
      <c r="C41" t="s">
        <v>666</v>
      </c>
      <c r="D41" t="s">
        <v>21</v>
      </c>
    </row>
    <row r="42" spans="1:4" x14ac:dyDescent="0.25">
      <c r="A42" s="2">
        <f t="shared" si="0"/>
        <v>40</v>
      </c>
      <c r="B42" t="s">
        <v>667</v>
      </c>
      <c r="C42" t="s">
        <v>668</v>
      </c>
      <c r="D42" t="s">
        <v>588</v>
      </c>
    </row>
    <row r="43" spans="1:4" x14ac:dyDescent="0.25">
      <c r="A43" s="2">
        <f t="shared" si="0"/>
        <v>41</v>
      </c>
      <c r="B43" t="s">
        <v>669</v>
      </c>
      <c r="C43" t="s">
        <v>670</v>
      </c>
      <c r="D43" t="s">
        <v>167</v>
      </c>
    </row>
    <row r="44" spans="1:4" x14ac:dyDescent="0.25">
      <c r="A44" s="2">
        <f t="shared" si="0"/>
        <v>42</v>
      </c>
      <c r="B44" t="s">
        <v>671</v>
      </c>
      <c r="C44" t="s">
        <v>672</v>
      </c>
      <c r="D44" t="s">
        <v>681</v>
      </c>
    </row>
    <row r="45" spans="1:4" x14ac:dyDescent="0.25">
      <c r="A45" s="2">
        <f t="shared" si="0"/>
        <v>43</v>
      </c>
      <c r="B45" t="s">
        <v>673</v>
      </c>
      <c r="C45" t="s">
        <v>674</v>
      </c>
      <c r="D45" t="s">
        <v>21</v>
      </c>
    </row>
    <row r="46" spans="1:4" x14ac:dyDescent="0.25">
      <c r="A46" s="2">
        <f t="shared" si="0"/>
        <v>44</v>
      </c>
      <c r="B46" t="s">
        <v>675</v>
      </c>
      <c r="C46" t="s">
        <v>676</v>
      </c>
      <c r="D46" t="s">
        <v>21</v>
      </c>
    </row>
    <row r="47" spans="1:4" x14ac:dyDescent="0.25">
      <c r="A47" s="2">
        <f t="shared" si="0"/>
        <v>45</v>
      </c>
      <c r="B47" t="s">
        <v>677</v>
      </c>
      <c r="C47" t="s">
        <v>678</v>
      </c>
      <c r="D47" t="s">
        <v>21</v>
      </c>
    </row>
    <row r="48" spans="1:4" x14ac:dyDescent="0.25">
      <c r="A48" s="2">
        <f t="shared" si="0"/>
        <v>46</v>
      </c>
    </row>
  </sheetData>
  <hyperlinks>
    <hyperlink ref="A1" location="Fashion!A1" display="Main" xr:uid="{04C532B0-6493-461C-9A72-03209778558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721E-8381-4599-A817-7308E9F2867F}">
  <dimension ref="B3:C12"/>
  <sheetViews>
    <sheetView zoomScale="200" zoomScaleNormal="200" workbookViewId="0">
      <selection activeCell="B13" sqref="B13"/>
    </sheetView>
  </sheetViews>
  <sheetFormatPr defaultRowHeight="15" x14ac:dyDescent="0.25"/>
  <cols>
    <col min="1" max="1" width="3.7109375" customWidth="1"/>
    <col min="2" max="2" width="18" bestFit="1" customWidth="1"/>
    <col min="3" max="3" width="34.42578125" customWidth="1"/>
  </cols>
  <sheetData>
    <row r="3" spans="2:3" x14ac:dyDescent="0.25">
      <c r="B3" t="s">
        <v>428</v>
      </c>
      <c r="C3" t="s">
        <v>430</v>
      </c>
    </row>
    <row r="4" spans="2:3" x14ac:dyDescent="0.25">
      <c r="B4" t="s">
        <v>429</v>
      </c>
      <c r="C4" t="s">
        <v>431</v>
      </c>
    </row>
    <row r="5" spans="2:3" x14ac:dyDescent="0.25">
      <c r="B5" t="s">
        <v>432</v>
      </c>
      <c r="C5" t="s">
        <v>433</v>
      </c>
    </row>
    <row r="6" spans="2:3" x14ac:dyDescent="0.25">
      <c r="B6" t="s">
        <v>470</v>
      </c>
      <c r="C6" t="s">
        <v>476</v>
      </c>
    </row>
    <row r="7" spans="2:3" x14ac:dyDescent="0.25">
      <c r="B7" t="s">
        <v>471</v>
      </c>
      <c r="C7" t="s">
        <v>477</v>
      </c>
    </row>
    <row r="8" spans="2:3" x14ac:dyDescent="0.25">
      <c r="B8" t="s">
        <v>472</v>
      </c>
      <c r="C8" t="s">
        <v>474</v>
      </c>
    </row>
    <row r="9" spans="2:3" x14ac:dyDescent="0.25">
      <c r="B9" t="s">
        <v>473</v>
      </c>
      <c r="C9" t="s">
        <v>475</v>
      </c>
    </row>
    <row r="10" spans="2:3" x14ac:dyDescent="0.25">
      <c r="B10" t="s">
        <v>478</v>
      </c>
      <c r="C10" t="s">
        <v>479</v>
      </c>
    </row>
    <row r="11" spans="2:3" x14ac:dyDescent="0.25">
      <c r="B11" t="s">
        <v>480</v>
      </c>
      <c r="C11" t="s">
        <v>481</v>
      </c>
    </row>
    <row r="12" spans="2:3" x14ac:dyDescent="0.25">
      <c r="B12" t="s">
        <v>482</v>
      </c>
      <c r="C12" t="s">
        <v>483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85E6-43A5-4E02-9D6A-CBFE460AC0A7}">
  <dimension ref="B2:C15"/>
  <sheetViews>
    <sheetView zoomScale="200" zoomScaleNormal="200" workbookViewId="0">
      <selection activeCell="C10" sqref="C10"/>
    </sheetView>
  </sheetViews>
  <sheetFormatPr defaultColWidth="8.85546875" defaultRowHeight="15" x14ac:dyDescent="0.25"/>
  <cols>
    <col min="1" max="1" width="4.7109375" customWidth="1"/>
    <col min="2" max="2" width="20.28515625" bestFit="1" customWidth="1"/>
  </cols>
  <sheetData>
    <row r="2" spans="2:3" x14ac:dyDescent="0.25">
      <c r="B2" s="14" t="s">
        <v>130</v>
      </c>
      <c r="C2" s="3"/>
    </row>
    <row r="3" spans="2:3" x14ac:dyDescent="0.25">
      <c r="B3" t="s">
        <v>122</v>
      </c>
      <c r="C3" s="11">
        <v>1.04</v>
      </c>
    </row>
    <row r="4" spans="2:3" x14ac:dyDescent="0.25">
      <c r="B4" t="s">
        <v>121</v>
      </c>
      <c r="C4" s="11">
        <v>9.5000000000000001E-2</v>
      </c>
    </row>
    <row r="5" spans="2:3" x14ac:dyDescent="0.25">
      <c r="B5" t="s">
        <v>120</v>
      </c>
      <c r="C5" s="11">
        <v>6.3E-3</v>
      </c>
    </row>
    <row r="6" spans="2:3" x14ac:dyDescent="0.25">
      <c r="B6" t="s">
        <v>123</v>
      </c>
      <c r="C6" s="11">
        <v>0.14000000000000001</v>
      </c>
    </row>
    <row r="7" spans="2:3" x14ac:dyDescent="0.25">
      <c r="B7" t="s">
        <v>131</v>
      </c>
      <c r="C7" s="11">
        <v>1.1200000000000001</v>
      </c>
    </row>
    <row r="8" spans="2:3" x14ac:dyDescent="0.25">
      <c r="B8" t="s">
        <v>338</v>
      </c>
      <c r="C8" s="11">
        <v>1.24</v>
      </c>
    </row>
    <row r="9" spans="2:3" x14ac:dyDescent="0.25">
      <c r="B9" t="s">
        <v>381</v>
      </c>
      <c r="C9" s="11">
        <v>0.14000000000000001</v>
      </c>
    </row>
    <row r="10" spans="2:3" x14ac:dyDescent="0.25">
      <c r="B10" t="s">
        <v>391</v>
      </c>
      <c r="C10" s="11">
        <v>0.92</v>
      </c>
    </row>
    <row r="11" spans="2:3" x14ac:dyDescent="0.25">
      <c r="B11" t="s">
        <v>393</v>
      </c>
      <c r="C11" s="11">
        <v>0.25</v>
      </c>
    </row>
    <row r="12" spans="2:3" x14ac:dyDescent="0.25">
      <c r="B12" t="s">
        <v>395</v>
      </c>
      <c r="C12" s="11">
        <v>1.0999999999999999E-2</v>
      </c>
    </row>
    <row r="13" spans="2:3" x14ac:dyDescent="0.25">
      <c r="B13" t="s">
        <v>398</v>
      </c>
      <c r="C13" s="11">
        <v>0.69</v>
      </c>
    </row>
    <row r="14" spans="2:3" x14ac:dyDescent="0.25">
      <c r="B14" t="s">
        <v>399</v>
      </c>
      <c r="C14" s="11">
        <v>5.3999999999999999E-2</v>
      </c>
    </row>
    <row r="15" spans="2:3" x14ac:dyDescent="0.25">
      <c r="B15" t="s">
        <v>444</v>
      </c>
      <c r="C15" s="11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Fashion</vt:lpstr>
      <vt:lpstr>Sports</vt:lpstr>
      <vt:lpstr>Retail</vt:lpstr>
      <vt:lpstr>Accessoires</vt:lpstr>
      <vt:lpstr>Luxury</vt:lpstr>
      <vt:lpstr>Furniture</vt:lpstr>
      <vt:lpstr>Glossar</vt:lpstr>
      <vt:lpstr>FX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Settje</dc:creator>
  <cp:keywords/>
  <dc:description/>
  <cp:lastModifiedBy>Oscar Settje</cp:lastModifiedBy>
  <cp:revision/>
  <dcterms:created xsi:type="dcterms:W3CDTF">2024-05-29T15:27:25Z</dcterms:created>
  <dcterms:modified xsi:type="dcterms:W3CDTF">2025-06-16T16:15:58Z</dcterms:modified>
  <cp:category/>
  <cp:contentStatus/>
</cp:coreProperties>
</file>