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etaModels\"/>
    </mc:Choice>
  </mc:AlternateContent>
  <xr:revisionPtr revIDLastSave="0" documentId="13_ncr:1_{2D75BC44-0DDF-44D1-B926-12A203C814FD}" xr6:coauthVersionLast="47" xr6:coauthVersionMax="47" xr10:uidLastSave="{00000000-0000-0000-0000-000000000000}"/>
  <bookViews>
    <workbookView xWindow="225" yWindow="3900" windowWidth="38175" windowHeight="15240" xr2:uid="{E414CA5C-78F9-4930-AC5C-325CFFA496F2}"/>
  </bookViews>
  <sheets>
    <sheet name="Main" sheetId="1" r:id="rId1"/>
    <sheet name="Gaming" sheetId="4" r:id="rId2"/>
    <sheet name="Media" sheetId="3" r:id="rId3"/>
    <sheet name="FX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xlnm._FilterDatabase" localSheetId="0" hidden="1">Main!$A$1:$J$112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G46" i="1" l="1"/>
  <c r="F46" i="1"/>
  <c r="E46" i="1"/>
  <c r="G17" i="3"/>
  <c r="F17" i="3"/>
  <c r="E17" i="3"/>
  <c r="G18" i="4"/>
  <c r="F18" i="4"/>
  <c r="G17" i="4"/>
  <c r="F17" i="4"/>
  <c r="G16" i="4"/>
  <c r="F16" i="4"/>
  <c r="G15" i="4"/>
  <c r="F15" i="4"/>
  <c r="G14" i="4"/>
  <c r="F14" i="4"/>
  <c r="G9" i="4"/>
  <c r="F9" i="4"/>
  <c r="G8" i="4"/>
  <c r="F8" i="4"/>
  <c r="H17" i="3" l="1"/>
  <c r="H46" i="1"/>
  <c r="G7" i="4"/>
  <c r="F7" i="4"/>
  <c r="G6" i="4"/>
  <c r="F6" i="4"/>
  <c r="G21" i="1"/>
  <c r="F21" i="1"/>
  <c r="E21" i="1"/>
  <c r="G10" i="1"/>
  <c r="F10" i="1"/>
  <c r="E10" i="1"/>
  <c r="G9" i="1"/>
  <c r="F9" i="1"/>
  <c r="E9" i="1"/>
  <c r="G5" i="1" l="1"/>
  <c r="F5" i="1"/>
  <c r="E5" i="1"/>
  <c r="G7" i="1" l="1"/>
  <c r="F7" i="1"/>
  <c r="E7" i="1"/>
  <c r="G78" i="3"/>
  <c r="F78" i="3"/>
  <c r="E78" i="3"/>
  <c r="G15" i="3"/>
  <c r="F15" i="3"/>
  <c r="E15" i="3"/>
  <c r="G14" i="3"/>
  <c r="F14" i="3"/>
  <c r="E14" i="3"/>
  <c r="G13" i="3"/>
  <c r="F13" i="3"/>
  <c r="E13" i="3"/>
  <c r="G11" i="3"/>
  <c r="F11" i="3"/>
  <c r="E11" i="3"/>
  <c r="G8" i="3"/>
  <c r="F8" i="3"/>
  <c r="E8" i="3"/>
  <c r="G7" i="3"/>
  <c r="F7" i="3"/>
  <c r="E7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G4" i="3"/>
  <c r="F4" i="3"/>
  <c r="E4" i="3"/>
  <c r="H11" i="3" l="1"/>
  <c r="H8" i="3"/>
  <c r="H14" i="3"/>
  <c r="H15" i="3"/>
  <c r="H7" i="3"/>
  <c r="H13" i="3"/>
  <c r="H4" i="3"/>
  <c r="H78" i="3"/>
  <c r="G21" i="4" l="1"/>
  <c r="F21" i="4"/>
  <c r="E21" i="4"/>
  <c r="E18" i="4"/>
  <c r="H17" i="4"/>
  <c r="E17" i="4"/>
  <c r="H16" i="4"/>
  <c r="E16" i="4"/>
  <c r="H15" i="4"/>
  <c r="E15" i="4"/>
  <c r="E14" i="4"/>
  <c r="G13" i="4"/>
  <c r="F13" i="4"/>
  <c r="H13" i="4" s="1"/>
  <c r="E13" i="4"/>
  <c r="G12" i="4"/>
  <c r="F12" i="4"/>
  <c r="E12" i="4"/>
  <c r="G11" i="4"/>
  <c r="F11" i="4"/>
  <c r="E11" i="4"/>
  <c r="G10" i="4"/>
  <c r="F10" i="4"/>
  <c r="E10" i="4"/>
  <c r="H9" i="4"/>
  <c r="E9" i="4"/>
  <c r="H8" i="4"/>
  <c r="E8" i="4"/>
  <c r="H7" i="4"/>
  <c r="E7" i="4"/>
  <c r="H6" i="4"/>
  <c r="E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G5" i="4"/>
  <c r="F5" i="4"/>
  <c r="E5" i="4"/>
  <c r="H12" i="4" l="1"/>
  <c r="H21" i="4"/>
  <c r="H10" i="4"/>
  <c r="H11" i="4"/>
  <c r="H5" i="4"/>
  <c r="H14" i="4"/>
  <c r="H18" i="4"/>
  <c r="G56" i="1"/>
  <c r="F56" i="1"/>
  <c r="E56" i="1"/>
  <c r="G28" i="1"/>
  <c r="F28" i="1"/>
  <c r="E28" i="1"/>
  <c r="G104" i="1"/>
  <c r="F104" i="1"/>
  <c r="E104" i="1"/>
  <c r="G31" i="1"/>
  <c r="F31" i="1"/>
  <c r="H31" i="1" s="1"/>
  <c r="E31" i="1"/>
  <c r="H56" i="1" l="1"/>
  <c r="H104" i="1"/>
  <c r="H28" i="1"/>
  <c r="G29" i="1"/>
  <c r="F29" i="1"/>
  <c r="E29" i="1"/>
  <c r="G38" i="1"/>
  <c r="F38" i="1"/>
  <c r="E38" i="1"/>
  <c r="H21" i="1" l="1"/>
  <c r="H10" i="1"/>
  <c r="H29" i="1"/>
  <c r="H38" i="1"/>
  <c r="G109" i="1"/>
  <c r="F109" i="1"/>
  <c r="E109" i="1"/>
  <c r="G107" i="1"/>
  <c r="F107" i="1"/>
  <c r="E107" i="1"/>
  <c r="A109" i="1"/>
  <c r="A110" i="1" s="1"/>
  <c r="A111" i="1" s="1"/>
  <c r="A112" i="1" s="1"/>
  <c r="G49" i="1"/>
  <c r="F49" i="1"/>
  <c r="E49" i="1"/>
  <c r="G20" i="1"/>
  <c r="F20" i="1"/>
  <c r="E20" i="1"/>
  <c r="H109" i="1" l="1"/>
  <c r="H107" i="1"/>
  <c r="H8" i="1"/>
  <c r="H7" i="1"/>
  <c r="H20" i="1"/>
  <c r="H9" i="1"/>
  <c r="H49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6" i="1"/>
  <c r="A5" i="1"/>
  <c r="G6" i="1"/>
  <c r="F6" i="1"/>
  <c r="E6" i="1"/>
  <c r="G40" i="1"/>
  <c r="F40" i="1"/>
  <c r="E40" i="1"/>
  <c r="H6" i="1" l="1"/>
  <c r="H40" i="1"/>
  <c r="G19" i="1"/>
  <c r="F19" i="1"/>
  <c r="E19" i="1"/>
  <c r="H19" i="1" l="1"/>
  <c r="G16" i="1"/>
  <c r="F16" i="1"/>
  <c r="E16" i="1"/>
  <c r="H16" i="1" l="1"/>
  <c r="G15" i="1"/>
  <c r="F15" i="1"/>
  <c r="E15" i="1"/>
  <c r="H15" i="1" l="1"/>
  <c r="G26" i="1"/>
  <c r="F26" i="1"/>
  <c r="E26" i="1"/>
  <c r="G17" i="1"/>
  <c r="F17" i="1"/>
  <c r="E17" i="1"/>
  <c r="H26" i="1" l="1"/>
  <c r="H17" i="1"/>
  <c r="G25" i="1"/>
  <c r="F25" i="1"/>
  <c r="E25" i="1"/>
  <c r="H25" i="1" l="1"/>
  <c r="G22" i="1"/>
  <c r="F22" i="1"/>
  <c r="E22" i="1"/>
  <c r="G23" i="1"/>
  <c r="F23" i="1"/>
  <c r="E23" i="1"/>
  <c r="F4" i="1"/>
  <c r="G4" i="1"/>
  <c r="E4" i="1"/>
  <c r="H22" i="1" l="1"/>
  <c r="H4" i="1"/>
  <c r="H23" i="1"/>
  <c r="H5" i="1" l="1"/>
</calcChain>
</file>

<file path=xl/sharedStrings.xml><?xml version="1.0" encoding="utf-8"?>
<sst xmlns="http://schemas.openxmlformats.org/spreadsheetml/2006/main" count="737" uniqueCount="478">
  <si>
    <t>Name</t>
  </si>
  <si>
    <t>TCKR</t>
  </si>
  <si>
    <t>Disney Company</t>
  </si>
  <si>
    <t>DIS</t>
  </si>
  <si>
    <t>Price</t>
  </si>
  <si>
    <t>EV</t>
  </si>
  <si>
    <t>Netflix</t>
  </si>
  <si>
    <t>number in mio USD</t>
  </si>
  <si>
    <t>NFLX</t>
  </si>
  <si>
    <t>Comcast</t>
  </si>
  <si>
    <t>CMCSA</t>
  </si>
  <si>
    <t>Sony</t>
  </si>
  <si>
    <t>SONY</t>
  </si>
  <si>
    <t>Spotify</t>
  </si>
  <si>
    <t>SPOT</t>
  </si>
  <si>
    <t>Nintedno</t>
  </si>
  <si>
    <t>7974.T</t>
  </si>
  <si>
    <t>Sea (Garena)</t>
  </si>
  <si>
    <t>SE</t>
  </si>
  <si>
    <t>NetEase</t>
  </si>
  <si>
    <t>NTES</t>
  </si>
  <si>
    <t>Country</t>
  </si>
  <si>
    <t>US</t>
  </si>
  <si>
    <t>JAP</t>
  </si>
  <si>
    <t>SWE</t>
  </si>
  <si>
    <t>SING</t>
  </si>
  <si>
    <t>CHI</t>
  </si>
  <si>
    <t>Universal Music</t>
  </si>
  <si>
    <t>NE</t>
  </si>
  <si>
    <t>UMG.AS</t>
  </si>
  <si>
    <t>Flutter Entertainment</t>
  </si>
  <si>
    <t>FLUT</t>
  </si>
  <si>
    <t>IRE</t>
  </si>
  <si>
    <t>Naspers</t>
  </si>
  <si>
    <t>NPSNY</t>
  </si>
  <si>
    <t>SA</t>
  </si>
  <si>
    <t>Electronic Arts</t>
  </si>
  <si>
    <t>EA</t>
  </si>
  <si>
    <t>Roblox</t>
  </si>
  <si>
    <t>RBLX</t>
  </si>
  <si>
    <t>Las Vegas Sands</t>
  </si>
  <si>
    <t>LVS</t>
  </si>
  <si>
    <t>Oriental Land</t>
  </si>
  <si>
    <t>4661.T</t>
  </si>
  <si>
    <t>Take 2 Interactive</t>
  </si>
  <si>
    <t>TTWO</t>
  </si>
  <si>
    <t xml:space="preserve">Live Nation </t>
  </si>
  <si>
    <t>LYV</t>
  </si>
  <si>
    <t>Aristocat</t>
  </si>
  <si>
    <t>ALL.AX</t>
  </si>
  <si>
    <t>AUS</t>
  </si>
  <si>
    <t>Warner Bros</t>
  </si>
  <si>
    <t>WBD</t>
  </si>
  <si>
    <t>Net Debt</t>
  </si>
  <si>
    <t>Formula One Group</t>
  </si>
  <si>
    <t>FWONK</t>
  </si>
  <si>
    <t xml:space="preserve">Tencent Music </t>
  </si>
  <si>
    <t>TME</t>
  </si>
  <si>
    <t>DraftKings</t>
  </si>
  <si>
    <t>DKNG</t>
  </si>
  <si>
    <t>Warner Music Group</t>
  </si>
  <si>
    <t>WMG</t>
  </si>
  <si>
    <t>Evolution Gaming</t>
  </si>
  <si>
    <t>EVO.ST</t>
  </si>
  <si>
    <t>Bandai Namco</t>
  </si>
  <si>
    <t>7832.T</t>
  </si>
  <si>
    <t>Konami Holdings</t>
  </si>
  <si>
    <t>Nexon</t>
  </si>
  <si>
    <t>9766.T</t>
  </si>
  <si>
    <t>3659.T</t>
  </si>
  <si>
    <t>TKO Group</t>
  </si>
  <si>
    <t>TKO</t>
  </si>
  <si>
    <t>MGM Resorts</t>
  </si>
  <si>
    <t>MGM</t>
  </si>
  <si>
    <t>Churchill Downs</t>
  </si>
  <si>
    <t>CHDN</t>
  </si>
  <si>
    <t>Endeavour Group</t>
  </si>
  <si>
    <t>DER</t>
  </si>
  <si>
    <t>International Games</t>
  </si>
  <si>
    <t>Wynn Resorts</t>
  </si>
  <si>
    <t>WYNN</t>
  </si>
  <si>
    <t>3293.T</t>
  </si>
  <si>
    <t>TWN</t>
  </si>
  <si>
    <t xml:space="preserve">CTS Eventim </t>
  </si>
  <si>
    <t>EVD.F</t>
  </si>
  <si>
    <t>GER</t>
  </si>
  <si>
    <t>Hasbro</t>
  </si>
  <si>
    <t>HAS</t>
  </si>
  <si>
    <t>Light&amp;Wonder</t>
  </si>
  <si>
    <t>LNW</t>
  </si>
  <si>
    <t>Paramount Global</t>
  </si>
  <si>
    <t>PARA</t>
  </si>
  <si>
    <t>Francaise des Jeux</t>
  </si>
  <si>
    <t>FDJ.VI</t>
  </si>
  <si>
    <t>FRA</t>
  </si>
  <si>
    <t>Ceasars Entertainment</t>
  </si>
  <si>
    <t>CZR</t>
  </si>
  <si>
    <t>Genting Singapore</t>
  </si>
  <si>
    <t>G13.SI</t>
  </si>
  <si>
    <t>Toho Co.</t>
  </si>
  <si>
    <t>9602.T</t>
  </si>
  <si>
    <t>Kunlun Tech</t>
  </si>
  <si>
    <t>300418.SZ</t>
  </si>
  <si>
    <t>Boyd Gaming</t>
  </si>
  <si>
    <t>BYD</t>
  </si>
  <si>
    <t>Ryman Hospitality Prop</t>
  </si>
  <si>
    <t>RHP</t>
  </si>
  <si>
    <t>Liberty Live Group</t>
  </si>
  <si>
    <t>LLYVA</t>
  </si>
  <si>
    <t>Mattel</t>
  </si>
  <si>
    <t>MAT</t>
  </si>
  <si>
    <t>OPAP</t>
  </si>
  <si>
    <t>OPAP.AT</t>
  </si>
  <si>
    <t>GRE</t>
  </si>
  <si>
    <t>Kingsoft</t>
  </si>
  <si>
    <t>3888.HK</t>
  </si>
  <si>
    <t xml:space="preserve">Entain </t>
  </si>
  <si>
    <t>ENT.L</t>
  </si>
  <si>
    <t>IM</t>
  </si>
  <si>
    <t>Zheijang Century Huatong</t>
  </si>
  <si>
    <t>002602.SZ</t>
  </si>
  <si>
    <t>SK</t>
  </si>
  <si>
    <t>Sportradar</t>
  </si>
  <si>
    <t>SRAD</t>
  </si>
  <si>
    <t>SWI</t>
  </si>
  <si>
    <t>Nexstar Media Group</t>
  </si>
  <si>
    <t>NXST</t>
  </si>
  <si>
    <t>MAC</t>
  </si>
  <si>
    <t>MGM China Holdings</t>
  </si>
  <si>
    <t>2282.HK</t>
  </si>
  <si>
    <t>Cedar Fair</t>
  </si>
  <si>
    <t>FUN</t>
  </si>
  <si>
    <t>37 Interactive Entertainment</t>
  </si>
  <si>
    <t>002555.SZ</t>
  </si>
  <si>
    <t>Red Rock Resort</t>
  </si>
  <si>
    <t>RRR</t>
  </si>
  <si>
    <t>MBC Group Co.</t>
  </si>
  <si>
    <t>4072.SR</t>
  </si>
  <si>
    <t>#</t>
  </si>
  <si>
    <t>Square Enix</t>
  </si>
  <si>
    <t>9684.T</t>
  </si>
  <si>
    <t>Sega Sammy Holdings</t>
  </si>
  <si>
    <t>6460.T</t>
  </si>
  <si>
    <t>Kingnet Network</t>
  </si>
  <si>
    <t>002517.SZ</t>
  </si>
  <si>
    <t xml:space="preserve">Cinemark Theatres </t>
  </si>
  <si>
    <t>CNK</t>
  </si>
  <si>
    <t>Koei Techmo</t>
  </si>
  <si>
    <t>3635.T</t>
  </si>
  <si>
    <t>Embracer Group</t>
  </si>
  <si>
    <t>EMBRAC-B.ST</t>
  </si>
  <si>
    <t>International Game Tech</t>
  </si>
  <si>
    <t>IGT</t>
  </si>
  <si>
    <t>UK</t>
  </si>
  <si>
    <t>Cyber Agent</t>
  </si>
  <si>
    <t>4751.T</t>
  </si>
  <si>
    <t>Giant Network Group</t>
  </si>
  <si>
    <t>002558.SZ</t>
  </si>
  <si>
    <t>Lottomatica Group</t>
  </si>
  <si>
    <t>LTMC.MI</t>
  </si>
  <si>
    <t>ITA</t>
  </si>
  <si>
    <t>Genting Berhad</t>
  </si>
  <si>
    <t>3182.KL</t>
  </si>
  <si>
    <t>MAL</t>
  </si>
  <si>
    <t>Super Group</t>
  </si>
  <si>
    <t>SGHC</t>
  </si>
  <si>
    <t>GUE</t>
  </si>
  <si>
    <t>Rush Street Interactive</t>
  </si>
  <si>
    <t>RSI</t>
  </si>
  <si>
    <t>United Parks &amp; Resorts</t>
  </si>
  <si>
    <t>PRKS</t>
  </si>
  <si>
    <t>Penn National Gaming</t>
  </si>
  <si>
    <t>PENN</t>
  </si>
  <si>
    <t>Groupe Lagardere</t>
  </si>
  <si>
    <t>MMB.PA</t>
  </si>
  <si>
    <t>Netmarble</t>
  </si>
  <si>
    <t>251270.KS</t>
  </si>
  <si>
    <t>Genting Malaysia Berhad</t>
  </si>
  <si>
    <t>4715.KL</t>
  </si>
  <si>
    <t xml:space="preserve">Zheojang Jinke Tom </t>
  </si>
  <si>
    <t>300459.SZ</t>
  </si>
  <si>
    <t>Perfect World Enter.</t>
  </si>
  <si>
    <t>002624.SZ</t>
  </si>
  <si>
    <t xml:space="preserve">Playtech </t>
  </si>
  <si>
    <t>PTEC.L</t>
  </si>
  <si>
    <t>Kadokawa</t>
  </si>
  <si>
    <t>9468.T</t>
  </si>
  <si>
    <t>MultiChoice Group</t>
  </si>
  <si>
    <t>MCG.JO</t>
  </si>
  <si>
    <t>Playtika</t>
  </si>
  <si>
    <t>PLTK</t>
  </si>
  <si>
    <t>ISR</t>
  </si>
  <si>
    <t>Kindred Group</t>
  </si>
  <si>
    <t>KIND-SDB.ST</t>
  </si>
  <si>
    <t>MALTA</t>
  </si>
  <si>
    <t>Shift Up</t>
  </si>
  <si>
    <t>462870.KS</t>
  </si>
  <si>
    <t>Ncsoft</t>
  </si>
  <si>
    <t>036570.KS</t>
  </si>
  <si>
    <t>SJM Holding</t>
  </si>
  <si>
    <t>0880.HK</t>
  </si>
  <si>
    <t>HK</t>
  </si>
  <si>
    <t>Melco Resorts</t>
  </si>
  <si>
    <t>MLCO</t>
  </si>
  <si>
    <t>Spin Master</t>
  </si>
  <si>
    <t>TOY.TO</t>
  </si>
  <si>
    <t>CAN</t>
  </si>
  <si>
    <t>Toei Company</t>
  </si>
  <si>
    <t>9605.T</t>
  </si>
  <si>
    <t>DeNA</t>
  </si>
  <si>
    <t>2423.T</t>
  </si>
  <si>
    <t xml:space="preserve">Lionsgate Studios </t>
  </si>
  <si>
    <t xml:space="preserve">LION </t>
  </si>
  <si>
    <t>Kangwon Land</t>
  </si>
  <si>
    <t>035250.KS</t>
  </si>
  <si>
    <t>G-bits Netowrk Tech</t>
  </si>
  <si>
    <t>603444.SS</t>
  </si>
  <si>
    <t>Ourpalm</t>
  </si>
  <si>
    <t>300315.SZ</t>
  </si>
  <si>
    <t>MFE</t>
  </si>
  <si>
    <t>MFEA.MI</t>
  </si>
  <si>
    <t xml:space="preserve">Paradox Interactive </t>
  </si>
  <si>
    <t>PDX.ST</t>
  </si>
  <si>
    <t>IQIYI</t>
  </si>
  <si>
    <t>IQ</t>
  </si>
  <si>
    <t>Bettson AB</t>
  </si>
  <si>
    <t>BETS-B.ST</t>
  </si>
  <si>
    <t>Ubisoft</t>
  </si>
  <si>
    <t>UBI.PA</t>
  </si>
  <si>
    <t xml:space="preserve">Bowlero </t>
  </si>
  <si>
    <t xml:space="preserve">BOWL </t>
  </si>
  <si>
    <t>HYBE</t>
  </si>
  <si>
    <t>352820.KS</t>
  </si>
  <si>
    <t>PSM.F</t>
  </si>
  <si>
    <t>Pro 7</t>
  </si>
  <si>
    <t>Imax Group</t>
  </si>
  <si>
    <t>IMAX</t>
  </si>
  <si>
    <t>Maddison Square Garden</t>
  </si>
  <si>
    <t>MSGE</t>
  </si>
  <si>
    <t>Last Upt.</t>
  </si>
  <si>
    <t>Q324</t>
  </si>
  <si>
    <t>FQ225</t>
  </si>
  <si>
    <t>FQ125</t>
  </si>
  <si>
    <t>YEN/USD</t>
  </si>
  <si>
    <t>FQ224</t>
  </si>
  <si>
    <t>Market Cap</t>
  </si>
  <si>
    <t>EUR/USD</t>
  </si>
  <si>
    <t>Q424</t>
  </si>
  <si>
    <t>Manchester United</t>
  </si>
  <si>
    <t>MANU</t>
  </si>
  <si>
    <t xml:space="preserve">Juventus Turin </t>
  </si>
  <si>
    <t>JUVE.MI</t>
  </si>
  <si>
    <t>Borussia Dortmund</t>
  </si>
  <si>
    <t>BVB.F</t>
  </si>
  <si>
    <t>Eagle Football Group</t>
  </si>
  <si>
    <t>EFG.PA</t>
  </si>
  <si>
    <t>Celtic</t>
  </si>
  <si>
    <t>CCPC.L</t>
  </si>
  <si>
    <t xml:space="preserve">Sporting Lissabon </t>
  </si>
  <si>
    <t>SCP.LS</t>
  </si>
  <si>
    <t>POR</t>
  </si>
  <si>
    <t>GBP/USD</t>
  </si>
  <si>
    <t>Q125</t>
  </si>
  <si>
    <t>Nxt Upd.</t>
  </si>
  <si>
    <t>Streaming Serivce</t>
  </si>
  <si>
    <t>Media, Streaming, Parks</t>
  </si>
  <si>
    <t>Consumer Electronics</t>
  </si>
  <si>
    <t>Game Developer</t>
  </si>
  <si>
    <t>Gambling</t>
  </si>
  <si>
    <t>Tickets</t>
  </si>
  <si>
    <t xml:space="preserve">Production </t>
  </si>
  <si>
    <t>Media, Sports</t>
  </si>
  <si>
    <t>Music Label</t>
  </si>
  <si>
    <t>Games/Board Games</t>
  </si>
  <si>
    <t>Notes</t>
  </si>
  <si>
    <t>Production Company</t>
  </si>
  <si>
    <t>Toy</t>
  </si>
  <si>
    <t>Sports</t>
  </si>
  <si>
    <t>FQ325</t>
  </si>
  <si>
    <t>AUD/USD</t>
  </si>
  <si>
    <t>Online Casino</t>
  </si>
  <si>
    <t>numbers in mio USD</t>
  </si>
  <si>
    <t>Tickr</t>
  </si>
  <si>
    <t>MarketCap</t>
  </si>
  <si>
    <t>Update</t>
  </si>
  <si>
    <t>Game Developers</t>
  </si>
  <si>
    <t>Microsoft</t>
  </si>
  <si>
    <t>MSFT</t>
  </si>
  <si>
    <t>Tencent</t>
  </si>
  <si>
    <t>TECHY</t>
  </si>
  <si>
    <t>Nintendo</t>
  </si>
  <si>
    <t>7974T</t>
  </si>
  <si>
    <t>FQ324</t>
  </si>
  <si>
    <t>Net Ease</t>
  </si>
  <si>
    <t xml:space="preserve">Take Two </t>
  </si>
  <si>
    <t>Q224</t>
  </si>
  <si>
    <t>Aristocrat</t>
  </si>
  <si>
    <t>Q325</t>
  </si>
  <si>
    <t>Distributors</t>
  </si>
  <si>
    <t>Gamestop</t>
  </si>
  <si>
    <t>GME</t>
  </si>
  <si>
    <t>Ticker</t>
  </si>
  <si>
    <t>MC</t>
  </si>
  <si>
    <t>Updated</t>
  </si>
  <si>
    <t>Thomson Reuters</t>
  </si>
  <si>
    <t>TRI</t>
  </si>
  <si>
    <t>CA</t>
  </si>
  <si>
    <t>SAF</t>
  </si>
  <si>
    <t>Warner Bros Disc.</t>
  </si>
  <si>
    <t>Fox Corp</t>
  </si>
  <si>
    <t>FOX</t>
  </si>
  <si>
    <t>BCE</t>
  </si>
  <si>
    <t>Rogers Com.</t>
  </si>
  <si>
    <t>RCI</t>
  </si>
  <si>
    <t>News Corp</t>
  </si>
  <si>
    <t>NWS</t>
  </si>
  <si>
    <t>Endevaor Group</t>
  </si>
  <si>
    <t>EDR</t>
  </si>
  <si>
    <t>Trump Media</t>
  </si>
  <si>
    <t>DJT</t>
  </si>
  <si>
    <t>New York Times</t>
  </si>
  <si>
    <t>NYT</t>
  </si>
  <si>
    <t>Paramount</t>
  </si>
  <si>
    <t>Schibsted</t>
  </si>
  <si>
    <t>SCHA.OL</t>
  </si>
  <si>
    <t>NOR</t>
  </si>
  <si>
    <t>Liberty Live</t>
  </si>
  <si>
    <t>Saudi R&amp;M Group</t>
  </si>
  <si>
    <t>4210.SR</t>
  </si>
  <si>
    <t>SR</t>
  </si>
  <si>
    <t>Quebecor</t>
  </si>
  <si>
    <t>QBR-B.TO</t>
  </si>
  <si>
    <t>MBC Group</t>
  </si>
  <si>
    <t>Nexstar Media</t>
  </si>
  <si>
    <t>RTL</t>
  </si>
  <si>
    <t>RTL.F</t>
  </si>
  <si>
    <t>LU</t>
  </si>
  <si>
    <t xml:space="preserve">Nippon Television </t>
  </si>
  <si>
    <t>9404.T</t>
  </si>
  <si>
    <t>Millicom</t>
  </si>
  <si>
    <t>TIGO</t>
  </si>
  <si>
    <t>Graham Holdings</t>
  </si>
  <si>
    <t>GHC</t>
  </si>
  <si>
    <t>IAC</t>
  </si>
  <si>
    <t>Travel+Leisure</t>
  </si>
  <si>
    <t>TNL</t>
  </si>
  <si>
    <t>ITV plc</t>
  </si>
  <si>
    <t>ITV.L</t>
  </si>
  <si>
    <t>Peloton</t>
  </si>
  <si>
    <t>PTON</t>
  </si>
  <si>
    <t>Sun TV</t>
  </si>
  <si>
    <t>SUNTV.NS</t>
  </si>
  <si>
    <t>IND</t>
  </si>
  <si>
    <t>Groupe Lagardräre</t>
  </si>
  <si>
    <t>FR</t>
  </si>
  <si>
    <t>Tenga</t>
  </si>
  <si>
    <t>TGNA</t>
  </si>
  <si>
    <t>MultiChoice</t>
  </si>
  <si>
    <t>John Wiley</t>
  </si>
  <si>
    <t>Ziff Davis</t>
  </si>
  <si>
    <t>ZD</t>
  </si>
  <si>
    <t>TX Group</t>
  </si>
  <si>
    <t>TXGN.SW</t>
  </si>
  <si>
    <t>SW</t>
  </si>
  <si>
    <t>Cogeco</t>
  </si>
  <si>
    <t>CCA.TO</t>
  </si>
  <si>
    <t>MFE.MI</t>
  </si>
  <si>
    <t>Elang Mahkota</t>
  </si>
  <si>
    <t>EMTK.JK</t>
  </si>
  <si>
    <t>NOS</t>
  </si>
  <si>
    <t>NOS.LS</t>
  </si>
  <si>
    <t>TF1</t>
  </si>
  <si>
    <t>TFI.PA</t>
  </si>
  <si>
    <t>Groupe M6</t>
  </si>
  <si>
    <t>MMT.PA</t>
  </si>
  <si>
    <t>fuboTV</t>
  </si>
  <si>
    <t>FUBO</t>
  </si>
  <si>
    <t>Sanoma</t>
  </si>
  <si>
    <t>SANOMA.HE</t>
  </si>
  <si>
    <t>FI</t>
  </si>
  <si>
    <t>Zee Entertainment</t>
  </si>
  <si>
    <t>ZEEL,NS</t>
  </si>
  <si>
    <t xml:space="preserve">IN </t>
  </si>
  <si>
    <t>Nine Entertainment</t>
  </si>
  <si>
    <t>NEC.AX</t>
  </si>
  <si>
    <t>AU</t>
  </si>
  <si>
    <t>Future plc</t>
  </si>
  <si>
    <t>FUTR.L</t>
  </si>
  <si>
    <t>ProSieben</t>
  </si>
  <si>
    <t>GE</t>
  </si>
  <si>
    <t>Cars.com</t>
  </si>
  <si>
    <t>CARS</t>
  </si>
  <si>
    <t>Networj 18</t>
  </si>
  <si>
    <t>NETWORK18.NS</t>
  </si>
  <si>
    <t>IN</t>
  </si>
  <si>
    <t>Mediaset ESPN</t>
  </si>
  <si>
    <t>TL5.MC</t>
  </si>
  <si>
    <t>SP</t>
  </si>
  <si>
    <t>Televisa</t>
  </si>
  <si>
    <t>TV</t>
  </si>
  <si>
    <t>MEX</t>
  </si>
  <si>
    <t>Alma Media</t>
  </si>
  <si>
    <t>ALM.HE</t>
  </si>
  <si>
    <t>Gannet</t>
  </si>
  <si>
    <t>GCI</t>
  </si>
  <si>
    <t>Daily Journal</t>
  </si>
  <si>
    <t>DJCO</t>
  </si>
  <si>
    <t xml:space="preserve">Scholastic </t>
  </si>
  <si>
    <t>SCHL</t>
  </si>
  <si>
    <t>TV Tokio</t>
  </si>
  <si>
    <t>9413.T</t>
  </si>
  <si>
    <t>Weathernews</t>
  </si>
  <si>
    <t>4825.T</t>
  </si>
  <si>
    <t>Reservoir Media</t>
  </si>
  <si>
    <t>RSVR</t>
  </si>
  <si>
    <t>Gree</t>
  </si>
  <si>
    <t>3632.T</t>
  </si>
  <si>
    <t>RCS Media</t>
  </si>
  <si>
    <t>RCS.MI</t>
  </si>
  <si>
    <t>AMC Networks</t>
  </si>
  <si>
    <t>AMCX</t>
  </si>
  <si>
    <t>Gray Television</t>
  </si>
  <si>
    <t>GTN</t>
  </si>
  <si>
    <t>Stingray Corp</t>
  </si>
  <si>
    <t>RAY-A.TO</t>
  </si>
  <si>
    <t>Cairo Comm</t>
  </si>
  <si>
    <t>CAI.MI</t>
  </si>
  <si>
    <t>iHeart Media</t>
  </si>
  <si>
    <t>IHRT</t>
  </si>
  <si>
    <t>Viaplay Group</t>
  </si>
  <si>
    <t>VPLAY-B.ST</t>
  </si>
  <si>
    <t xml:space="preserve">Entravision </t>
  </si>
  <si>
    <t>EVC</t>
  </si>
  <si>
    <t>AlphaPolis</t>
  </si>
  <si>
    <t>9467.T</t>
  </si>
  <si>
    <t>E.W.Scripps</t>
  </si>
  <si>
    <t>SSP</t>
  </si>
  <si>
    <t>Jagran Prakashan</t>
  </si>
  <si>
    <t>JAGRAN.NS</t>
  </si>
  <si>
    <t>Dish TV</t>
  </si>
  <si>
    <t>DISHTV.NS</t>
  </si>
  <si>
    <t>Television Broadcast</t>
  </si>
  <si>
    <t>TVB</t>
  </si>
  <si>
    <t>Bushiroad</t>
  </si>
  <si>
    <t>7803.T</t>
  </si>
  <si>
    <t>Roularta Media Corp</t>
  </si>
  <si>
    <t>ROU.BR</t>
  </si>
  <si>
    <t>BE</t>
  </si>
  <si>
    <t>GTPL Hathaway</t>
  </si>
  <si>
    <t>GTPL.NS</t>
  </si>
  <si>
    <t>PLBY Group</t>
  </si>
  <si>
    <t>PLBY</t>
  </si>
  <si>
    <t>Townsquare Media</t>
  </si>
  <si>
    <t>TSQ</t>
  </si>
  <si>
    <t>Squirrel Media</t>
  </si>
  <si>
    <t>SQRL.MC</t>
  </si>
  <si>
    <t>ARN Media</t>
  </si>
  <si>
    <t>A1N.AX</t>
  </si>
  <si>
    <t>Basteu</t>
  </si>
  <si>
    <t>BST.DE</t>
  </si>
  <si>
    <t>NZME</t>
  </si>
  <si>
    <t>NZM.NZ</t>
  </si>
  <si>
    <t>NZ</t>
  </si>
  <si>
    <t>Buzfeed</t>
  </si>
  <si>
    <t>BZFD</t>
  </si>
  <si>
    <t>Gaia</t>
  </si>
  <si>
    <t>GAIA</t>
  </si>
  <si>
    <t>Edel SE</t>
  </si>
  <si>
    <t>Lee Enterprise</t>
  </si>
  <si>
    <t>LEE</t>
  </si>
  <si>
    <t>Postmedia Network</t>
  </si>
  <si>
    <t>PNC-A.TO</t>
  </si>
  <si>
    <t>Main</t>
  </si>
  <si>
    <t>Entertainment  Universe</t>
  </si>
  <si>
    <t>RMB/USD</t>
  </si>
  <si>
    <t>Q225</t>
  </si>
  <si>
    <t>PSKY</t>
  </si>
  <si>
    <t>FQ126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</si>
</sst>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[Red]#,##0.0"/>
    <numFmt numFmtId="165" formatCode="#,##0;[Red]#,##0"/>
    <numFmt numFmtId="166" formatCode="#,##0;\(#,##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6" fontId="0" fillId="0" borderId="0" xfId="0" applyNumberFormat="1"/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/>
    <xf numFmtId="0" fontId="0" fillId="2" borderId="3" xfId="0" applyFill="1" applyBorder="1"/>
    <xf numFmtId="0" fontId="3" fillId="0" borderId="0" xfId="0" applyFont="1"/>
    <xf numFmtId="166" fontId="4" fillId="0" borderId="0" xfId="0" applyNumberFormat="1" applyFont="1"/>
    <xf numFmtId="164" fontId="0" fillId="0" borderId="0" xfId="0" applyNumberFormat="1" applyAlignment="1">
      <alignment horizontal="right"/>
    </xf>
    <xf numFmtId="0" fontId="0" fillId="2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calcChain" Target="calcChain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FLX.xlsx" TargetMode="External"/><Relationship Id="rId1" Type="http://schemas.openxmlformats.org/officeDocument/2006/relationships/externalLinkPath" Target="/1.Finance/Anaylsen/Models/NFLX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VS.xlsx" TargetMode="External"/><Relationship Id="rId1" Type="http://schemas.openxmlformats.org/officeDocument/2006/relationships/externalLinkPath" Target="/1.Finance/Anaylsen/Models/LV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TWO.xlsx" TargetMode="External"/><Relationship Id="rId1" Type="http://schemas.openxmlformats.org/officeDocument/2006/relationships/externalLinkPath" Target="/1.Finance/Anaylsen/Models/TTWO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YV.xlsx" TargetMode="External"/><Relationship Id="rId1" Type="http://schemas.openxmlformats.org/officeDocument/2006/relationships/externalLinkPath" Target="/1.Finance/Anaylsen/Models/LYV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LL.AX.xlsx" TargetMode="External"/><Relationship Id="rId1" Type="http://schemas.openxmlformats.org/officeDocument/2006/relationships/externalLinkPath" Target="/1.Finance/Anaylsen/Models/ALL.AX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BD.xlsx" TargetMode="External"/><Relationship Id="rId1" Type="http://schemas.openxmlformats.org/officeDocument/2006/relationships/externalLinkPath" Target="/1.Finance/Anaylsen/Models/WBD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WONK.xlsx" TargetMode="External"/><Relationship Id="rId1" Type="http://schemas.openxmlformats.org/officeDocument/2006/relationships/externalLinkPath" Target="/1.Finance/Anaylsen/Models/FWONK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KNG.xlsx" TargetMode="External"/><Relationship Id="rId1" Type="http://schemas.openxmlformats.org/officeDocument/2006/relationships/externalLinkPath" Target="/1.Finance/Anaylsen/Models/DKNG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MG.xlsx" TargetMode="External"/><Relationship Id="rId1" Type="http://schemas.openxmlformats.org/officeDocument/2006/relationships/externalLinkPath" Target="/1.Finance/Anaylsen/Models/WMG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832.T.xlsx" TargetMode="External"/><Relationship Id="rId1" Type="http://schemas.openxmlformats.org/officeDocument/2006/relationships/externalLinkPath" Target="/1.Finance/Anaylsen/Models/7832.T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766.T.xlsx" TargetMode="External"/><Relationship Id="rId1" Type="http://schemas.openxmlformats.org/officeDocument/2006/relationships/externalLinkPath" Target="/1.Finance/Anaylsen/Models/9766.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IS.xlsx" TargetMode="External"/><Relationship Id="rId1" Type="http://schemas.openxmlformats.org/officeDocument/2006/relationships/externalLinkPath" Target="/1.Finance/Anaylsen/Models/DIS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KO.xlsx" TargetMode="External"/><Relationship Id="rId1" Type="http://schemas.openxmlformats.org/officeDocument/2006/relationships/externalLinkPath" Target="/1.Finance/Anaylsen/Models/TK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AS.xlsx" TargetMode="External"/><Relationship Id="rId1" Type="http://schemas.openxmlformats.org/officeDocument/2006/relationships/externalLinkPath" Target="/1.Finance/Anaylsen/Models/HAS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RA.xlsx" TargetMode="External"/><Relationship Id="rId1" Type="http://schemas.openxmlformats.org/officeDocument/2006/relationships/externalLinkPath" Target="/1.Finance/Anaylsen/Models/PARA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YD.xlsx" TargetMode="External"/><Relationship Id="rId1" Type="http://schemas.openxmlformats.org/officeDocument/2006/relationships/externalLinkPath" Target="/1.Finance/Anaylsen/Models/BYD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T.xlsx" TargetMode="External"/><Relationship Id="rId1" Type="http://schemas.openxmlformats.org/officeDocument/2006/relationships/externalLinkPath" Target="/1.Finance/Anaylsen/Models/MAT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XST.xlsx" TargetMode="External"/><Relationship Id="rId1" Type="http://schemas.openxmlformats.org/officeDocument/2006/relationships/externalLinkPath" Target="/1.Finance/Anaylsen/Models/NXST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GE.xlsx" TargetMode="External"/><Relationship Id="rId1" Type="http://schemas.openxmlformats.org/officeDocument/2006/relationships/externalLinkPath" Target="/1.Finance/Anaylsen/Models/MSGE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NU.xlsx" TargetMode="External"/><Relationship Id="rId1" Type="http://schemas.openxmlformats.org/officeDocument/2006/relationships/externalLinkPath" Target="/1.Finance/Anaylsen/Models/MANU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VB.F.xlsx" TargetMode="External"/><Relationship Id="rId1" Type="http://schemas.openxmlformats.org/officeDocument/2006/relationships/externalLinkPath" Target="/1.Finance/Anaylsen/Models/BVB.F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FT.xlsx" TargetMode="External"/><Relationship Id="rId1" Type="http://schemas.openxmlformats.org/officeDocument/2006/relationships/externalLinkPath" Target="/1.Finance/Anaylsen/Models/MSF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MCSA.xlsx" TargetMode="External"/><Relationship Id="rId1" Type="http://schemas.openxmlformats.org/officeDocument/2006/relationships/externalLinkPath" Target="/1.Finance/Anaylsen/Models/CMCSA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ECHY.xlsx" TargetMode="External"/><Relationship Id="rId1" Type="http://schemas.openxmlformats.org/officeDocument/2006/relationships/externalLinkPath" Target="/1.Finance/Anaylsen/Models/TECHY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659.T.xlsx" TargetMode="External"/><Relationship Id="rId1" Type="http://schemas.openxmlformats.org/officeDocument/2006/relationships/externalLinkPath" Target="/1.Finance/Anaylsen/Models/3659.T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TES.xlsx" TargetMode="External"/><Relationship Id="rId1" Type="http://schemas.openxmlformats.org/officeDocument/2006/relationships/externalLinkPath" Target="/1.Finance/Anaylsen/Models/NTES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BI.PA.xlsx" TargetMode="External"/><Relationship Id="rId1" Type="http://schemas.openxmlformats.org/officeDocument/2006/relationships/externalLinkPath" Target="/1.Finance/Anaylsen/Models/UBI.PA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ME.xlsx" TargetMode="External"/><Relationship Id="rId1" Type="http://schemas.openxmlformats.org/officeDocument/2006/relationships/externalLinkPath" Target="/1.Finance/Anaylsen/Models/GME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OX.xlsx" TargetMode="External"/><Relationship Id="rId1" Type="http://schemas.openxmlformats.org/officeDocument/2006/relationships/externalLinkPath" Target="/1.Finance/Anaylsen/Models/FOX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WS.xlsx" TargetMode="External"/><Relationship Id="rId1" Type="http://schemas.openxmlformats.org/officeDocument/2006/relationships/externalLinkPath" Target="/1.Finance/Anaylsen/Models/NWS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JT.xlsx" TargetMode="External"/><Relationship Id="rId1" Type="http://schemas.openxmlformats.org/officeDocument/2006/relationships/externalLinkPath" Target="/1.Finance/Anaylsen/Models/DJT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YT.xlsx" TargetMode="External"/><Relationship Id="rId1" Type="http://schemas.openxmlformats.org/officeDocument/2006/relationships/externalLinkPath" Target="/1.Finance/Anaylsen/Models/NYT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LYVA.xlsx" TargetMode="External"/><Relationship Id="rId1" Type="http://schemas.openxmlformats.org/officeDocument/2006/relationships/externalLinkPath" Target="/1.Finance/Anaylsen/Models/LLYV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ONY.xlsx" TargetMode="External"/><Relationship Id="rId1" Type="http://schemas.openxmlformats.org/officeDocument/2006/relationships/externalLinkPath" Target="/1.Finance/Anaylsen/Models/SONY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LBY.xlsx" TargetMode="External"/><Relationship Id="rId1" Type="http://schemas.openxmlformats.org/officeDocument/2006/relationships/externalLinkPath" Target="/1.Finance/Anaylsen/Models/PLBY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POT.xlsx" TargetMode="External"/><Relationship Id="rId1" Type="http://schemas.openxmlformats.org/officeDocument/2006/relationships/externalLinkPath" Target="/1.Finance/Anaylsen/Models/SPOT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74.T.xlsx" TargetMode="External"/><Relationship Id="rId1" Type="http://schemas.openxmlformats.org/officeDocument/2006/relationships/externalLinkPath" Target="/1.Finance/Anaylsen/Models/7974.T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E.xlsx" TargetMode="External"/><Relationship Id="rId1" Type="http://schemas.openxmlformats.org/officeDocument/2006/relationships/externalLinkPath" Target="/1.Finance/Anaylsen/Models/SE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A.xlsx" TargetMode="External"/><Relationship Id="rId1" Type="http://schemas.openxmlformats.org/officeDocument/2006/relationships/externalLinkPath" Target="/1.Finance/Anaylsen/Models/E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BLX.xlsx" TargetMode="External"/><Relationship Id="rId1" Type="http://schemas.openxmlformats.org/officeDocument/2006/relationships/externalLinkPath" Target="/1.Finance/Anaylsen/Models/RB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treaming"/>
    </sheetNames>
    <sheetDataSet>
      <sheetData sheetId="0">
        <row r="3">
          <cell r="I3">
            <v>1253.22</v>
          </cell>
        </row>
        <row r="5">
          <cell r="I5">
            <v>532882.92942000006</v>
          </cell>
        </row>
        <row r="6">
          <cell r="I6">
            <v>8390.52</v>
          </cell>
        </row>
        <row r="7">
          <cell r="I7">
            <v>14453.206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51.15</v>
          </cell>
        </row>
        <row r="4">
          <cell r="G4">
            <v>37085.089004699999</v>
          </cell>
        </row>
        <row r="5">
          <cell r="G5">
            <v>4208</v>
          </cell>
        </row>
        <row r="6">
          <cell r="G6">
            <v>14012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L3">
            <v>228.01</v>
          </cell>
        </row>
        <row r="5">
          <cell r="L5">
            <v>42061.053038120001</v>
          </cell>
        </row>
        <row r="6">
          <cell r="L6">
            <v>2035.1</v>
          </cell>
        </row>
        <row r="7">
          <cell r="L7">
            <v>3065.1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134.9</v>
          </cell>
        </row>
        <row r="4">
          <cell r="H4">
            <v>31344.512106500002</v>
          </cell>
        </row>
        <row r="5">
          <cell r="H5">
            <v>5489.9189999999999</v>
          </cell>
        </row>
        <row r="6">
          <cell r="H6">
            <v>6254.8919999999998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66.67</v>
          </cell>
        </row>
        <row r="4">
          <cell r="I4">
            <v>42432.227438630005</v>
          </cell>
        </row>
        <row r="5">
          <cell r="I5">
            <v>943.8</v>
          </cell>
        </row>
        <row r="6">
          <cell r="I6">
            <v>2084.1999999999998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11.87</v>
          </cell>
        </row>
        <row r="4">
          <cell r="H4">
            <v>29387.416987339999</v>
          </cell>
        </row>
        <row r="5">
          <cell r="H5">
            <v>4888</v>
          </cell>
        </row>
        <row r="6">
          <cell r="H6">
            <v>34632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95</v>
          </cell>
        </row>
        <row r="5">
          <cell r="G5">
            <v>23679.881450000001</v>
          </cell>
        </row>
        <row r="6">
          <cell r="G6">
            <v>2956</v>
          </cell>
        </row>
        <row r="7">
          <cell r="G7">
            <v>4548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45.96</v>
          </cell>
        </row>
        <row r="4">
          <cell r="G4">
            <v>22817.764463160001</v>
          </cell>
        </row>
        <row r="5">
          <cell r="G5">
            <v>1261.9690000000001</v>
          </cell>
        </row>
        <row r="6">
          <cell r="G6">
            <v>592.70400000000006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35.83</v>
          </cell>
        </row>
        <row r="4">
          <cell r="H4">
            <v>18644.53591988</v>
          </cell>
        </row>
        <row r="5">
          <cell r="H5">
            <v>802</v>
          </cell>
        </row>
        <row r="6">
          <cell r="H6">
            <v>3955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5241</v>
          </cell>
        </row>
        <row r="4">
          <cell r="I4">
            <v>3428838.103683</v>
          </cell>
        </row>
        <row r="5">
          <cell r="I5">
            <v>321868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16735</v>
          </cell>
        </row>
        <row r="4">
          <cell r="I4">
            <v>2268554.6620899998</v>
          </cell>
        </row>
        <row r="5">
          <cell r="I5">
            <v>285700</v>
          </cell>
        </row>
        <row r="6">
          <cell r="I6">
            <v>59895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Segments"/>
      <sheetName val="Model"/>
      <sheetName val="Branche"/>
      <sheetName val="Ratios"/>
      <sheetName val="DCF"/>
      <sheetName val="Discount Rate"/>
      <sheetName val="Multiple Valuation"/>
      <sheetName val="Liquidationvalue"/>
    </sheetNames>
    <sheetDataSet>
      <sheetData sheetId="0">
        <row r="2">
          <cell r="K2">
            <v>115.68</v>
          </cell>
        </row>
        <row r="4">
          <cell r="K4">
            <v>207984.98580144002</v>
          </cell>
        </row>
        <row r="5">
          <cell r="K5">
            <v>5367</v>
          </cell>
        </row>
        <row r="6">
          <cell r="K6">
            <v>36531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184.82</v>
          </cell>
        </row>
        <row r="4">
          <cell r="J4">
            <v>15180.539270520001</v>
          </cell>
        </row>
        <row r="5">
          <cell r="J5">
            <v>535.06100000000004</v>
          </cell>
        </row>
        <row r="6">
          <cell r="J6">
            <v>2749.3140000000003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65.319999999999993</v>
          </cell>
        </row>
        <row r="4">
          <cell r="H4">
            <v>9114.1865409199982</v>
          </cell>
        </row>
        <row r="5">
          <cell r="H5">
            <v>695</v>
          </cell>
        </row>
        <row r="6">
          <cell r="H6">
            <v>3380.8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13.8</v>
          </cell>
        </row>
        <row r="4">
          <cell r="I4">
            <v>9315</v>
          </cell>
        </row>
        <row r="5">
          <cell r="I5">
            <v>2739</v>
          </cell>
        </row>
        <row r="6">
          <cell r="I6">
            <v>14514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77.77</v>
          </cell>
        </row>
        <row r="4">
          <cell r="I4">
            <v>6330.7175316000003</v>
          </cell>
        </row>
        <row r="5">
          <cell r="I5">
            <v>311.50299999999999</v>
          </cell>
        </row>
        <row r="6">
          <cell r="I6">
            <v>3516.5740000000001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18.07</v>
          </cell>
        </row>
        <row r="4">
          <cell r="G4">
            <v>6087.7829999999994</v>
          </cell>
        </row>
        <row r="5">
          <cell r="G5">
            <v>723.53200000000004</v>
          </cell>
        </row>
        <row r="6">
          <cell r="G6">
            <v>2333.2600000000002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183.2</v>
          </cell>
        </row>
        <row r="4">
          <cell r="I4">
            <v>5589.2865391999994</v>
          </cell>
        </row>
        <row r="5">
          <cell r="I5">
            <v>144</v>
          </cell>
        </row>
        <row r="6">
          <cell r="I6">
            <v>6523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33.76</v>
          </cell>
        </row>
        <row r="4">
          <cell r="I4">
            <v>1615.1327198399999</v>
          </cell>
        </row>
        <row r="5">
          <cell r="I5">
            <v>55.219000000000001</v>
          </cell>
        </row>
        <row r="6">
          <cell r="I6">
            <v>609.07600000000002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15.92</v>
          </cell>
        </row>
        <row r="5">
          <cell r="H5">
            <v>2183.3765784000002</v>
          </cell>
        </row>
        <row r="6">
          <cell r="H6">
            <v>149.55799999999999</v>
          </cell>
        </row>
        <row r="7">
          <cell r="H7">
            <v>714.03099999999995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3.28</v>
          </cell>
        </row>
        <row r="4">
          <cell r="I4">
            <v>362.09960159999997</v>
          </cell>
        </row>
        <row r="5">
          <cell r="I5">
            <v>4.45</v>
          </cell>
        </row>
        <row r="6">
          <cell r="I6">
            <v>53.811999999999998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559.02</v>
          </cell>
        </row>
        <row r="4">
          <cell r="H4">
            <v>4155288.66918858</v>
          </cell>
        </row>
        <row r="5">
          <cell r="H5">
            <v>94565</v>
          </cell>
        </row>
        <row r="6">
          <cell r="H6">
            <v>40152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34.549999999999997</v>
          </cell>
        </row>
        <row r="4">
          <cell r="I4">
            <v>129621.37067784999</v>
          </cell>
        </row>
        <row r="5">
          <cell r="I5">
            <v>8593</v>
          </cell>
        </row>
        <row r="6">
          <cell r="I6">
            <v>99122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373.4</v>
          </cell>
        </row>
        <row r="4">
          <cell r="G4">
            <v>3396543.4839999997</v>
          </cell>
        </row>
        <row r="5">
          <cell r="G5">
            <v>343463</v>
          </cell>
        </row>
        <row r="6">
          <cell r="G6">
            <v>194367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2123</v>
          </cell>
        </row>
        <row r="4">
          <cell r="I4">
            <v>1785783.8434039999</v>
          </cell>
        </row>
        <row r="5">
          <cell r="I5">
            <v>331931</v>
          </cell>
        </row>
        <row r="6">
          <cell r="I6">
            <v>1089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5">
          <cell r="H5">
            <v>465223.39418400003</v>
          </cell>
        </row>
        <row r="6">
          <cell r="H6">
            <v>126824.66499999999</v>
          </cell>
        </row>
        <row r="7">
          <cell r="H7">
            <v>12233.047999999999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12.11</v>
          </cell>
        </row>
        <row r="4">
          <cell r="H4">
            <v>1554.924</v>
          </cell>
        </row>
        <row r="5">
          <cell r="H5">
            <v>1205.2</v>
          </cell>
        </row>
        <row r="6">
          <cell r="H6">
            <v>2509.8000000000002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21.7</v>
          </cell>
        </row>
        <row r="4">
          <cell r="J4">
            <v>9701.7223876999997</v>
          </cell>
        </row>
        <row r="5">
          <cell r="J5">
            <v>4774.8999999999996</v>
          </cell>
        </row>
        <row r="6">
          <cell r="J6">
            <v>16.899999999999999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50.5</v>
          </cell>
        </row>
        <row r="4">
          <cell r="I4">
            <v>22898.106829</v>
          </cell>
        </row>
        <row r="5">
          <cell r="I5">
            <v>3322</v>
          </cell>
        </row>
        <row r="6">
          <cell r="I6">
            <v>7200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30.44</v>
          </cell>
        </row>
        <row r="4">
          <cell r="I4">
            <v>17310.539416759999</v>
          </cell>
        </row>
        <row r="5">
          <cell r="I5">
            <v>1778</v>
          </cell>
        </row>
        <row r="6">
          <cell r="I6">
            <v>2900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41.21</v>
          </cell>
        </row>
        <row r="4">
          <cell r="H4">
            <v>8939.4565020800001</v>
          </cell>
        </row>
        <row r="5">
          <cell r="H5">
            <v>672.87819999999999</v>
          </cell>
        </row>
        <row r="6">
          <cell r="H6">
            <v>9.4335000000000004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52.09</v>
          </cell>
        </row>
        <row r="4">
          <cell r="H4">
            <v>8540.3870921399994</v>
          </cell>
        </row>
        <row r="5">
          <cell r="H5">
            <v>492.94499999999999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K2">
            <v>78.55</v>
          </cell>
        </row>
        <row r="4">
          <cell r="K4">
            <v>7215.2325581999994</v>
          </cell>
        </row>
        <row r="5">
          <cell r="K5">
            <v>3147</v>
          </cell>
        </row>
        <row r="6">
          <cell r="K6">
            <v>4564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3214</v>
          </cell>
        </row>
        <row r="4">
          <cell r="H4">
            <v>19525963.200247999</v>
          </cell>
        </row>
        <row r="5">
          <cell r="H5">
            <v>2127399</v>
          </cell>
        </row>
        <row r="6">
          <cell r="H6">
            <v>4088433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1.2</v>
          </cell>
        </row>
        <row r="4">
          <cell r="H4">
            <v>112.4964828</v>
          </cell>
        </row>
        <row r="5">
          <cell r="H5">
            <v>31.004000000000001</v>
          </cell>
        </row>
        <row r="6">
          <cell r="H6">
            <v>176.57499999999999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627.5</v>
          </cell>
        </row>
        <row r="5">
          <cell r="H5">
            <v>128905.4418725</v>
          </cell>
        </row>
        <row r="6">
          <cell r="H6">
            <v>8344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10935</v>
          </cell>
        </row>
        <row r="4">
          <cell r="I4">
            <v>14201175.15</v>
          </cell>
        </row>
        <row r="5">
          <cell r="I5">
            <v>1484350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141.63</v>
          </cell>
        </row>
        <row r="4">
          <cell r="I4">
            <v>82151.979704910002</v>
          </cell>
        </row>
        <row r="5">
          <cell r="I5">
            <v>4060.3239999999996</v>
          </cell>
        </row>
        <row r="6">
          <cell r="I6">
            <v>5073.8320000000003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173.3</v>
          </cell>
        </row>
        <row r="4">
          <cell r="I4">
            <v>43360.925609900005</v>
          </cell>
        </row>
        <row r="5">
          <cell r="I5">
            <v>1630</v>
          </cell>
        </row>
        <row r="6">
          <cell r="I6">
            <v>400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58.14</v>
          </cell>
        </row>
        <row r="4">
          <cell r="H4">
            <v>38796.821127900002</v>
          </cell>
        </row>
        <row r="5">
          <cell r="H5">
            <v>2409.5450000000001</v>
          </cell>
        </row>
        <row r="6">
          <cell r="H6">
            <v>1006.371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Models\LVS.xlsx" TargetMode="External"/><Relationship Id="rId13" Type="http://schemas.openxmlformats.org/officeDocument/2006/relationships/hyperlink" Target="..\Models\LYV.xlsx" TargetMode="External"/><Relationship Id="rId18" Type="http://schemas.openxmlformats.org/officeDocument/2006/relationships/hyperlink" Target="..\Models\MANU.xlsx" TargetMode="External"/><Relationship Id="rId26" Type="http://schemas.openxmlformats.org/officeDocument/2006/relationships/hyperlink" Target="..\Models\7832.T.xlsx" TargetMode="External"/><Relationship Id="rId3" Type="http://schemas.openxmlformats.org/officeDocument/2006/relationships/hyperlink" Target="..\Models\FWONK.xlsx" TargetMode="External"/><Relationship Id="rId21" Type="http://schemas.openxmlformats.org/officeDocument/2006/relationships/hyperlink" Target="..\Models\SE.xlsx" TargetMode="External"/><Relationship Id="rId7" Type="http://schemas.openxmlformats.org/officeDocument/2006/relationships/hyperlink" Target="..\Models\DKNG.xlsx" TargetMode="External"/><Relationship Id="rId12" Type="http://schemas.openxmlformats.org/officeDocument/2006/relationships/hyperlink" Target="..\Models\CMCSA.xlsx" TargetMode="External"/><Relationship Id="rId17" Type="http://schemas.openxmlformats.org/officeDocument/2006/relationships/hyperlink" Target="..\Models\MAT.xlsx" TargetMode="External"/><Relationship Id="rId25" Type="http://schemas.openxmlformats.org/officeDocument/2006/relationships/hyperlink" Target="..\Models\MSGE.xlsx" TargetMode="External"/><Relationship Id="rId2" Type="http://schemas.openxmlformats.org/officeDocument/2006/relationships/hyperlink" Target="..\Models\NFLX.xlsx" TargetMode="External"/><Relationship Id="rId16" Type="http://schemas.openxmlformats.org/officeDocument/2006/relationships/hyperlink" Target="..\Models\7974.T.xlsx" TargetMode="External"/><Relationship Id="rId20" Type="http://schemas.openxmlformats.org/officeDocument/2006/relationships/hyperlink" Target="..\Models\HAS.xlsx" TargetMode="External"/><Relationship Id="rId1" Type="http://schemas.openxmlformats.org/officeDocument/2006/relationships/hyperlink" Target="..\Models\DIS.xlsx" TargetMode="External"/><Relationship Id="rId6" Type="http://schemas.openxmlformats.org/officeDocument/2006/relationships/hyperlink" Target="..\Models\RBLX.xlsx" TargetMode="External"/><Relationship Id="rId11" Type="http://schemas.openxmlformats.org/officeDocument/2006/relationships/hyperlink" Target="..\Models\PARA.xlsx" TargetMode="External"/><Relationship Id="rId24" Type="http://schemas.openxmlformats.org/officeDocument/2006/relationships/hyperlink" Target="..\Models\TKO.xlsx" TargetMode="External"/><Relationship Id="rId5" Type="http://schemas.openxmlformats.org/officeDocument/2006/relationships/hyperlink" Target="..\Models\TTWO.xlsx" TargetMode="External"/><Relationship Id="rId15" Type="http://schemas.openxmlformats.org/officeDocument/2006/relationships/hyperlink" Target="..\Models\SPOT.xlsx" TargetMode="External"/><Relationship Id="rId23" Type="http://schemas.openxmlformats.org/officeDocument/2006/relationships/hyperlink" Target="..\Models\ALL.AX.xlsx" TargetMode="External"/><Relationship Id="rId28" Type="http://schemas.openxmlformats.org/officeDocument/2006/relationships/hyperlink" Target="..\Models\BYD.xlsx" TargetMode="External"/><Relationship Id="rId10" Type="http://schemas.openxmlformats.org/officeDocument/2006/relationships/hyperlink" Target="..\Models\EA.xlsx" TargetMode="External"/><Relationship Id="rId19" Type="http://schemas.openxmlformats.org/officeDocument/2006/relationships/hyperlink" Target="..\Models\BVB.F.xlsx" TargetMode="External"/><Relationship Id="rId4" Type="http://schemas.openxmlformats.org/officeDocument/2006/relationships/hyperlink" Target="..\Models\WBD.xlsx" TargetMode="External"/><Relationship Id="rId9" Type="http://schemas.openxmlformats.org/officeDocument/2006/relationships/hyperlink" Target="..\Models\WMG.xlsx" TargetMode="External"/><Relationship Id="rId14" Type="http://schemas.openxmlformats.org/officeDocument/2006/relationships/hyperlink" Target="..\Models\SONY.xlsx" TargetMode="External"/><Relationship Id="rId22" Type="http://schemas.openxmlformats.org/officeDocument/2006/relationships/hyperlink" Target="..\Models\9766.T.xlsx" TargetMode="External"/><Relationship Id="rId27" Type="http://schemas.openxmlformats.org/officeDocument/2006/relationships/hyperlink" Target="..\Models\NXST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TECHY.xlsx" TargetMode="External"/><Relationship Id="rId13" Type="http://schemas.openxmlformats.org/officeDocument/2006/relationships/hyperlink" Target="..\Models\GME.xlsx" TargetMode="External"/><Relationship Id="rId3" Type="http://schemas.openxmlformats.org/officeDocument/2006/relationships/hyperlink" Target="..\Models\TTWO.xlsx" TargetMode="External"/><Relationship Id="rId7" Type="http://schemas.openxmlformats.org/officeDocument/2006/relationships/hyperlink" Target="..\Models\9766.T.xlsx" TargetMode="External"/><Relationship Id="rId12" Type="http://schemas.openxmlformats.org/officeDocument/2006/relationships/hyperlink" Target="..\Models\ALL.AX.xlsx" TargetMode="External"/><Relationship Id="rId2" Type="http://schemas.openxmlformats.org/officeDocument/2006/relationships/hyperlink" Target="..\Models\EA.xlsx" TargetMode="External"/><Relationship Id="rId1" Type="http://schemas.openxmlformats.org/officeDocument/2006/relationships/hyperlink" Target="..\Models\RBLX.xlsx" TargetMode="External"/><Relationship Id="rId6" Type="http://schemas.openxmlformats.org/officeDocument/2006/relationships/hyperlink" Target="..\Models\7832.T.xlsx" TargetMode="External"/><Relationship Id="rId11" Type="http://schemas.openxmlformats.org/officeDocument/2006/relationships/hyperlink" Target="..\Models\SE.xlsx" TargetMode="External"/><Relationship Id="rId5" Type="http://schemas.openxmlformats.org/officeDocument/2006/relationships/hyperlink" Target="..\Models\MSFT.xlsx" TargetMode="External"/><Relationship Id="rId15" Type="http://schemas.openxmlformats.org/officeDocument/2006/relationships/hyperlink" Target="..\Models\NTES.xlsx" TargetMode="External"/><Relationship Id="rId10" Type="http://schemas.openxmlformats.org/officeDocument/2006/relationships/hyperlink" Target="..\Models\7974.T.xlsx" TargetMode="External"/><Relationship Id="rId4" Type="http://schemas.openxmlformats.org/officeDocument/2006/relationships/hyperlink" Target="..\Models\UBI.PA.xlsx" TargetMode="External"/><Relationship Id="rId9" Type="http://schemas.openxmlformats.org/officeDocument/2006/relationships/hyperlink" Target="..\Models\SONY.xlsx" TargetMode="External"/><Relationship Id="rId14" Type="http://schemas.openxmlformats.org/officeDocument/2006/relationships/hyperlink" Target="..\Models\3659.T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FOX.xlsx" TargetMode="External"/><Relationship Id="rId3" Type="http://schemas.openxmlformats.org/officeDocument/2006/relationships/hyperlink" Target="..\Models\NYT.xlsx" TargetMode="External"/><Relationship Id="rId7" Type="http://schemas.openxmlformats.org/officeDocument/2006/relationships/hyperlink" Target="..\Models\CMCSA.xlsx" TargetMode="External"/><Relationship Id="rId2" Type="http://schemas.openxmlformats.org/officeDocument/2006/relationships/hyperlink" Target="..\Models\PLBY.xlsx" TargetMode="External"/><Relationship Id="rId1" Type="http://schemas.openxmlformats.org/officeDocument/2006/relationships/hyperlink" Target="..\Models\WBD.xlsx" TargetMode="External"/><Relationship Id="rId6" Type="http://schemas.openxmlformats.org/officeDocument/2006/relationships/hyperlink" Target="..\Models\PARA.xlsx" TargetMode="External"/><Relationship Id="rId5" Type="http://schemas.openxmlformats.org/officeDocument/2006/relationships/hyperlink" Target="..\Models\DJT.xlsx" TargetMode="External"/><Relationship Id="rId4" Type="http://schemas.openxmlformats.org/officeDocument/2006/relationships/hyperlink" Target="..\Models\NWS.xlsx" TargetMode="External"/><Relationship Id="rId9" Type="http://schemas.openxmlformats.org/officeDocument/2006/relationships/hyperlink" Target="..\Models\LLYV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669C-2C43-405D-A4FE-FB3FBD95AFDE}">
  <dimension ref="A1:W224"/>
  <sheetViews>
    <sheetView tabSelected="1" zoomScale="196" zoomScaleNormal="196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8.85546875" defaultRowHeight="15" x14ac:dyDescent="0.25"/>
  <cols>
    <col min="1" max="1" width="4.28515625" style="2" customWidth="1"/>
    <col min="2" max="2" width="21.140625" bestFit="1" customWidth="1"/>
    <col min="6" max="6" width="10.7109375" bestFit="1" customWidth="1"/>
    <col min="7" max="7" width="8.85546875" customWidth="1"/>
    <col min="8" max="8" width="10.7109375" bestFit="1" customWidth="1"/>
  </cols>
  <sheetData>
    <row r="1" spans="1:23" x14ac:dyDescent="0.25">
      <c r="A1" s="3" t="s">
        <v>473</v>
      </c>
    </row>
    <row r="2" spans="1:23" x14ac:dyDescent="0.25">
      <c r="A2" s="5" t="s">
        <v>7</v>
      </c>
    </row>
    <row r="3" spans="1:23" x14ac:dyDescent="0.25">
      <c r="A3" s="14" t="s">
        <v>138</v>
      </c>
      <c r="B3" s="15" t="s">
        <v>0</v>
      </c>
      <c r="C3" s="15" t="s">
        <v>1</v>
      </c>
      <c r="D3" s="15" t="s">
        <v>21</v>
      </c>
      <c r="E3" s="16" t="s">
        <v>4</v>
      </c>
      <c r="F3" s="17" t="s">
        <v>245</v>
      </c>
      <c r="G3" s="17" t="s">
        <v>53</v>
      </c>
      <c r="H3" s="17" t="s">
        <v>5</v>
      </c>
      <c r="I3" s="16" t="s">
        <v>239</v>
      </c>
      <c r="J3" s="16" t="s">
        <v>263</v>
      </c>
      <c r="K3" s="16"/>
      <c r="L3" s="16"/>
      <c r="M3" s="16"/>
      <c r="N3" s="16"/>
      <c r="O3" s="16"/>
      <c r="P3" s="16"/>
      <c r="Q3" s="16"/>
      <c r="R3" s="16"/>
      <c r="S3" s="17" t="s">
        <v>274</v>
      </c>
      <c r="T3" s="15"/>
      <c r="U3" s="15"/>
      <c r="V3" s="15"/>
      <c r="W3" s="18"/>
    </row>
    <row r="4" spans="1:23" x14ac:dyDescent="0.25">
      <c r="A4" s="2">
        <v>1</v>
      </c>
      <c r="B4" s="6" t="s">
        <v>6</v>
      </c>
      <c r="C4" t="s">
        <v>8</v>
      </c>
      <c r="D4" t="s">
        <v>22</v>
      </c>
      <c r="E4" s="1">
        <f>+[1]Main!$I$3</f>
        <v>1253.22</v>
      </c>
      <c r="F4" s="9">
        <f>+[1]Main!$I$5</f>
        <v>532882.92942000006</v>
      </c>
      <c r="G4" s="9">
        <f>+[1]Main!$I$7-[1]Main!$I$6</f>
        <v>6062.6859999999997</v>
      </c>
      <c r="H4" s="9">
        <f>+F4+G4</f>
        <v>538945.61542000005</v>
      </c>
      <c r="I4" s="10" t="s">
        <v>262</v>
      </c>
      <c r="S4" t="s">
        <v>264</v>
      </c>
    </row>
    <row r="5" spans="1:23" x14ac:dyDescent="0.25">
      <c r="A5" s="2">
        <f>+A4+1</f>
        <v>2</v>
      </c>
      <c r="B5" s="4" t="s">
        <v>2</v>
      </c>
      <c r="C5" t="s">
        <v>3</v>
      </c>
      <c r="D5" t="s">
        <v>22</v>
      </c>
      <c r="E5" s="1">
        <f>+[2]Main!$K$2</f>
        <v>115.68</v>
      </c>
      <c r="F5" s="9">
        <f>+[2]Main!$K$4</f>
        <v>207984.98580144002</v>
      </c>
      <c r="G5" s="9">
        <f>+[2]Main!$K$6-[2]Main!$K$5</f>
        <v>31164</v>
      </c>
      <c r="H5" s="9">
        <f t="shared" ref="H5:H10" si="0">+F5+G5</f>
        <v>239148.98580144002</v>
      </c>
      <c r="I5" s="10" t="s">
        <v>297</v>
      </c>
      <c r="J5" s="12">
        <v>45966</v>
      </c>
      <c r="S5" t="s">
        <v>265</v>
      </c>
    </row>
    <row r="6" spans="1:23" x14ac:dyDescent="0.25">
      <c r="A6" s="2">
        <f t="shared" ref="A6:A69" si="1">+A5+1</f>
        <v>3</v>
      </c>
      <c r="B6" s="6" t="s">
        <v>9</v>
      </c>
      <c r="C6" t="s">
        <v>10</v>
      </c>
      <c r="D6" t="s">
        <v>22</v>
      </c>
      <c r="E6" s="1">
        <f>+[3]Main!$I$2</f>
        <v>34.549999999999997</v>
      </c>
      <c r="F6" s="9">
        <f>+[3]Main!$I$4</f>
        <v>129621.37067784999</v>
      </c>
      <c r="G6" s="9">
        <f>+[3]Main!$I$6-[3]Main!$I$5</f>
        <v>90529</v>
      </c>
      <c r="H6" s="9">
        <f t="shared" si="0"/>
        <v>220150.37067784998</v>
      </c>
      <c r="I6" s="10" t="s">
        <v>262</v>
      </c>
      <c r="S6" t="s">
        <v>265</v>
      </c>
    </row>
    <row r="7" spans="1:23" x14ac:dyDescent="0.25">
      <c r="A7" s="2">
        <f t="shared" si="1"/>
        <v>4</v>
      </c>
      <c r="B7" s="6" t="s">
        <v>11</v>
      </c>
      <c r="C7" t="s">
        <v>12</v>
      </c>
      <c r="D7" t="s">
        <v>23</v>
      </c>
      <c r="E7" s="1">
        <f>+[4]Main!$H$2</f>
        <v>3214</v>
      </c>
      <c r="F7" s="9">
        <f>+[4]Main!$H$4*FX!C2</f>
        <v>124966.1644815872</v>
      </c>
      <c r="G7" s="9">
        <f>+([4]Main!$H$6-[4]Main!$H$5)*FX!C2</f>
        <v>12550.617600000001</v>
      </c>
      <c r="H7" s="9">
        <f t="shared" si="0"/>
        <v>137516.78208158721</v>
      </c>
      <c r="I7" s="10" t="s">
        <v>244</v>
      </c>
      <c r="S7" t="s">
        <v>266</v>
      </c>
    </row>
    <row r="8" spans="1:23" x14ac:dyDescent="0.25">
      <c r="A8" s="2">
        <f t="shared" si="1"/>
        <v>5</v>
      </c>
      <c r="B8" s="6" t="s">
        <v>13</v>
      </c>
      <c r="C8" t="s">
        <v>14</v>
      </c>
      <c r="D8" t="s">
        <v>24</v>
      </c>
      <c r="E8" s="1">
        <f>+[5]Main!$H$2</f>
        <v>627.5</v>
      </c>
      <c r="F8" s="9">
        <f>+[5]Main!$H$5*FX!C3</f>
        <v>132772.605128675</v>
      </c>
      <c r="G8" s="9">
        <f>+([5]Main!$H$7-[5]Main!$H$6)*FX!C3</f>
        <v>-8594.32</v>
      </c>
      <c r="H8" s="9">
        <f t="shared" si="0"/>
        <v>124178.28512867499</v>
      </c>
      <c r="I8" s="10" t="s">
        <v>247</v>
      </c>
      <c r="S8" t="s">
        <v>264</v>
      </c>
    </row>
    <row r="9" spans="1:23" x14ac:dyDescent="0.25">
      <c r="A9" s="2">
        <f t="shared" si="1"/>
        <v>6</v>
      </c>
      <c r="B9" s="6" t="s">
        <v>15</v>
      </c>
      <c r="C9" t="s">
        <v>16</v>
      </c>
      <c r="D9" t="s">
        <v>23</v>
      </c>
      <c r="E9" s="1">
        <f>+[6]Main!$I$2</f>
        <v>10935</v>
      </c>
      <c r="F9" s="9">
        <f>+[6]Main!$I$4*FX!C2</f>
        <v>90887.520960000009</v>
      </c>
      <c r="G9" s="9">
        <f>+([6]Main!$I$6-[6]Main!$I$5)*FX!C2</f>
        <v>-9499.84</v>
      </c>
      <c r="H9" s="9">
        <f t="shared" si="0"/>
        <v>81387.680960000012</v>
      </c>
      <c r="I9" s="10" t="s">
        <v>244</v>
      </c>
      <c r="S9" t="s">
        <v>266</v>
      </c>
    </row>
    <row r="10" spans="1:23" x14ac:dyDescent="0.25">
      <c r="A10" s="2">
        <f t="shared" si="1"/>
        <v>7</v>
      </c>
      <c r="B10" s="6" t="s">
        <v>17</v>
      </c>
      <c r="C10" t="s">
        <v>18</v>
      </c>
      <c r="D10" t="s">
        <v>25</v>
      </c>
      <c r="E10" s="1">
        <f>+[7]Main!$I$2</f>
        <v>141.63</v>
      </c>
      <c r="F10" s="9">
        <f>+[7]Main!$I$4</f>
        <v>82151.979704910002</v>
      </c>
      <c r="G10" s="9">
        <f>+[7]Main!$I$6-[7]Main!$I$5</f>
        <v>1013.5080000000007</v>
      </c>
      <c r="H10" s="9">
        <f t="shared" si="0"/>
        <v>83165.487704910003</v>
      </c>
      <c r="I10" s="10" t="s">
        <v>247</v>
      </c>
    </row>
    <row r="11" spans="1:23" x14ac:dyDescent="0.25">
      <c r="A11" s="2">
        <f t="shared" si="1"/>
        <v>8</v>
      </c>
      <c r="B11" t="s">
        <v>19</v>
      </c>
      <c r="C11" t="s">
        <v>20</v>
      </c>
      <c r="D11" t="s">
        <v>26</v>
      </c>
      <c r="E11" s="1"/>
      <c r="F11" s="9"/>
      <c r="G11" s="9"/>
      <c r="H11" s="9"/>
      <c r="I11" s="10"/>
    </row>
    <row r="12" spans="1:23" x14ac:dyDescent="0.25">
      <c r="A12" s="2">
        <f t="shared" si="1"/>
        <v>9</v>
      </c>
      <c r="B12" t="s">
        <v>27</v>
      </c>
      <c r="C12" t="s">
        <v>29</v>
      </c>
      <c r="D12" t="s">
        <v>28</v>
      </c>
      <c r="E12" s="1"/>
      <c r="F12" s="9"/>
      <c r="G12" s="9"/>
      <c r="H12" s="9"/>
      <c r="I12" s="10"/>
    </row>
    <row r="13" spans="1:23" x14ac:dyDescent="0.25">
      <c r="A13" s="2">
        <f t="shared" si="1"/>
        <v>10</v>
      </c>
      <c r="B13" t="s">
        <v>30</v>
      </c>
      <c r="C13" t="s">
        <v>31</v>
      </c>
      <c r="D13" t="s">
        <v>32</v>
      </c>
      <c r="E13" s="1"/>
      <c r="F13" s="9"/>
      <c r="G13" s="9"/>
      <c r="H13" s="9"/>
      <c r="I13" s="10"/>
    </row>
    <row r="14" spans="1:23" x14ac:dyDescent="0.25">
      <c r="A14" s="2">
        <f t="shared" si="1"/>
        <v>11</v>
      </c>
      <c r="B14" t="s">
        <v>33</v>
      </c>
      <c r="C14" t="s">
        <v>34</v>
      </c>
      <c r="D14" t="s">
        <v>35</v>
      </c>
      <c r="E14" s="1"/>
      <c r="F14" s="9"/>
      <c r="G14" s="9"/>
      <c r="H14" s="9"/>
      <c r="I14" s="10"/>
    </row>
    <row r="15" spans="1:23" x14ac:dyDescent="0.25">
      <c r="A15" s="2">
        <f t="shared" si="1"/>
        <v>12</v>
      </c>
      <c r="B15" s="6" t="s">
        <v>36</v>
      </c>
      <c r="C15" t="s">
        <v>37</v>
      </c>
      <c r="D15" t="s">
        <v>22</v>
      </c>
      <c r="E15" s="1">
        <f>+[8]Main!$I$2</f>
        <v>173.3</v>
      </c>
      <c r="F15" s="9">
        <f>+[8]Main!$I$4</f>
        <v>43360.925609900005</v>
      </c>
      <c r="G15" s="9">
        <f>+[8]Main!$I$6-[8]Main!$I$5</f>
        <v>-1230</v>
      </c>
      <c r="H15" s="9">
        <f>+F15+G15</f>
        <v>42130.925609900005</v>
      </c>
      <c r="I15" s="10" t="s">
        <v>477</v>
      </c>
      <c r="J15" s="12">
        <v>45958</v>
      </c>
      <c r="S15" t="s">
        <v>267</v>
      </c>
    </row>
    <row r="16" spans="1:23" x14ac:dyDescent="0.25">
      <c r="A16" s="2">
        <f t="shared" si="1"/>
        <v>13</v>
      </c>
      <c r="B16" s="6" t="s">
        <v>38</v>
      </c>
      <c r="C16" t="s">
        <v>39</v>
      </c>
      <c r="D16" t="s">
        <v>22</v>
      </c>
      <c r="E16" s="1">
        <f>+[9]Main!$H$2</f>
        <v>58.14</v>
      </c>
      <c r="F16" s="9">
        <f>+[9]Main!$H$4</f>
        <v>38796.821127900002</v>
      </c>
      <c r="G16" s="9">
        <f>+[9]Main!$H$6-[9]Main!$H$5</f>
        <v>-1403.174</v>
      </c>
      <c r="H16" s="9">
        <f>+F16+G16</f>
        <v>37393.647127900003</v>
      </c>
      <c r="I16" s="10" t="s">
        <v>240</v>
      </c>
      <c r="S16" t="s">
        <v>267</v>
      </c>
    </row>
    <row r="17" spans="1:19" x14ac:dyDescent="0.25">
      <c r="A17" s="2">
        <f t="shared" si="1"/>
        <v>14</v>
      </c>
      <c r="B17" s="6" t="s">
        <v>40</v>
      </c>
      <c r="C17" t="s">
        <v>41</v>
      </c>
      <c r="D17" t="s">
        <v>22</v>
      </c>
      <c r="E17" s="1">
        <f>+[10]Main!$G$2</f>
        <v>51.15</v>
      </c>
      <c r="F17" s="9">
        <f>+[10]Main!$G$4</f>
        <v>37085.089004699999</v>
      </c>
      <c r="G17" s="9">
        <f>+[10]Main!$G$6-[10]Main!$G$5</f>
        <v>9804</v>
      </c>
      <c r="H17" s="9">
        <f>+F17+G17</f>
        <v>46889.089004699999</v>
      </c>
      <c r="I17" s="10" t="s">
        <v>240</v>
      </c>
      <c r="S17" t="s">
        <v>268</v>
      </c>
    </row>
    <row r="18" spans="1:19" x14ac:dyDescent="0.25">
      <c r="A18" s="2">
        <f t="shared" si="1"/>
        <v>15</v>
      </c>
      <c r="B18" t="s">
        <v>42</v>
      </c>
      <c r="C18" t="s">
        <v>43</v>
      </c>
      <c r="D18" t="s">
        <v>23</v>
      </c>
      <c r="F18" s="9"/>
      <c r="G18" s="9"/>
      <c r="H18" s="9"/>
      <c r="I18" s="10"/>
    </row>
    <row r="19" spans="1:19" x14ac:dyDescent="0.25">
      <c r="A19" s="2">
        <f t="shared" si="1"/>
        <v>16</v>
      </c>
      <c r="B19" s="6" t="s">
        <v>44</v>
      </c>
      <c r="C19" t="s">
        <v>45</v>
      </c>
      <c r="D19" t="s">
        <v>22</v>
      </c>
      <c r="E19">
        <f>+[11]Main!$L$3</f>
        <v>228.01</v>
      </c>
      <c r="F19" s="9">
        <f>+[11]Main!$L$5</f>
        <v>42061.053038120001</v>
      </c>
      <c r="G19" s="9">
        <f>+[11]Main!$L$7-[11]Main!$L$6</f>
        <v>1030</v>
      </c>
      <c r="H19" s="9">
        <f>+F19+G19</f>
        <v>43091.053038120001</v>
      </c>
      <c r="I19" s="10" t="s">
        <v>477</v>
      </c>
      <c r="S19" t="s">
        <v>267</v>
      </c>
    </row>
    <row r="20" spans="1:19" x14ac:dyDescent="0.25">
      <c r="A20" s="2">
        <f t="shared" si="1"/>
        <v>17</v>
      </c>
      <c r="B20" s="6" t="s">
        <v>46</v>
      </c>
      <c r="C20" t="s">
        <v>47</v>
      </c>
      <c r="D20" t="s">
        <v>22</v>
      </c>
      <c r="E20" s="11">
        <f>+[12]Main!$H$2</f>
        <v>134.9</v>
      </c>
      <c r="F20" s="9">
        <f>+[12]Main!$H$4</f>
        <v>31344.512106500002</v>
      </c>
      <c r="G20" s="9">
        <f>+[12]Main!$H$6-[12]Main!$H$5</f>
        <v>764.97299999999996</v>
      </c>
      <c r="H20" s="9">
        <f>+F20+G20</f>
        <v>32109.485106500004</v>
      </c>
      <c r="I20" s="10" t="s">
        <v>240</v>
      </c>
      <c r="S20" t="s">
        <v>269</v>
      </c>
    </row>
    <row r="21" spans="1:19" x14ac:dyDescent="0.25">
      <c r="A21" s="2">
        <f t="shared" si="1"/>
        <v>18</v>
      </c>
      <c r="B21" s="6" t="s">
        <v>48</v>
      </c>
      <c r="C21" t="s">
        <v>49</v>
      </c>
      <c r="D21" t="s">
        <v>50</v>
      </c>
      <c r="E21">
        <f>+[13]Main!$I$2</f>
        <v>66.67</v>
      </c>
      <c r="F21" s="9">
        <f>+[13]Main!$I$4*FX!C5</f>
        <v>26732.303286336904</v>
      </c>
      <c r="G21" s="9">
        <f>+([13]Main!$I$6-[13]Main!$I$5)*FX!C5</f>
        <v>718.45199999999988</v>
      </c>
      <c r="H21" s="9">
        <f>+F21+G21</f>
        <v>27450.755286336906</v>
      </c>
      <c r="I21" s="10" t="s">
        <v>247</v>
      </c>
      <c r="S21" t="s">
        <v>280</v>
      </c>
    </row>
    <row r="22" spans="1:19" x14ac:dyDescent="0.25">
      <c r="A22" s="2">
        <f t="shared" si="1"/>
        <v>19</v>
      </c>
      <c r="B22" s="6" t="s">
        <v>51</v>
      </c>
      <c r="C22" t="s">
        <v>52</v>
      </c>
      <c r="D22" t="s">
        <v>22</v>
      </c>
      <c r="E22">
        <f>+[14]Main!$H$2</f>
        <v>11.87</v>
      </c>
      <c r="F22" s="9">
        <f>+[14]Main!$H$4</f>
        <v>29387.416987339999</v>
      </c>
      <c r="G22" s="9">
        <f>+[14]Main!$H$6-[14]Main!$H$5</f>
        <v>29744</v>
      </c>
      <c r="H22" s="9">
        <f>+F22+G22</f>
        <v>59131.416987339995</v>
      </c>
      <c r="I22" s="10" t="s">
        <v>475</v>
      </c>
      <c r="J22" s="12">
        <v>45967</v>
      </c>
      <c r="S22" t="s">
        <v>270</v>
      </c>
    </row>
    <row r="23" spans="1:19" x14ac:dyDescent="0.25">
      <c r="A23" s="2">
        <f t="shared" si="1"/>
        <v>20</v>
      </c>
      <c r="B23" s="6" t="s">
        <v>54</v>
      </c>
      <c r="C23" t="s">
        <v>55</v>
      </c>
      <c r="D23" t="s">
        <v>22</v>
      </c>
      <c r="E23">
        <f>+[15]Main!$G$3</f>
        <v>95</v>
      </c>
      <c r="F23" s="9">
        <f>+[15]Main!$G$5</f>
        <v>23679.881450000001</v>
      </c>
      <c r="G23" s="9">
        <f>+[15]Main!$G$7-[15]Main!$G$6</f>
        <v>1592</v>
      </c>
      <c r="H23" s="9">
        <f>+F23+G23</f>
        <v>25271.881450000001</v>
      </c>
      <c r="I23" s="10" t="s">
        <v>247</v>
      </c>
      <c r="S23" t="s">
        <v>271</v>
      </c>
    </row>
    <row r="24" spans="1:19" x14ac:dyDescent="0.25">
      <c r="A24" s="2">
        <f t="shared" si="1"/>
        <v>21</v>
      </c>
      <c r="B24" t="s">
        <v>56</v>
      </c>
      <c r="C24" t="s">
        <v>57</v>
      </c>
      <c r="D24" t="s">
        <v>26</v>
      </c>
      <c r="F24" s="9"/>
      <c r="G24" s="9"/>
      <c r="H24" s="9"/>
      <c r="I24" s="10"/>
    </row>
    <row r="25" spans="1:19" x14ac:dyDescent="0.25">
      <c r="A25" s="2">
        <f t="shared" si="1"/>
        <v>22</v>
      </c>
      <c r="B25" s="6" t="s">
        <v>58</v>
      </c>
      <c r="C25" t="s">
        <v>59</v>
      </c>
      <c r="D25" t="s">
        <v>22</v>
      </c>
      <c r="E25">
        <f>+[16]Main!$G$2</f>
        <v>45.96</v>
      </c>
      <c r="F25" s="9">
        <f>+[16]Main!$G$4</f>
        <v>22817.764463160001</v>
      </c>
      <c r="G25" s="9">
        <f>+[16]Main!$G$6-[16]Main!$G$5</f>
        <v>-669.26499999999999</v>
      </c>
      <c r="H25" s="9">
        <f>+F25+G25</f>
        <v>22148.499463160002</v>
      </c>
      <c r="I25" s="10" t="s">
        <v>475</v>
      </c>
      <c r="S25" t="s">
        <v>268</v>
      </c>
    </row>
    <row r="26" spans="1:19" x14ac:dyDescent="0.25">
      <c r="A26" s="2">
        <f t="shared" si="1"/>
        <v>23</v>
      </c>
      <c r="B26" s="6" t="s">
        <v>60</v>
      </c>
      <c r="C26" t="s">
        <v>61</v>
      </c>
      <c r="D26" t="s">
        <v>22</v>
      </c>
      <c r="E26">
        <f>+[17]Main!$H$2</f>
        <v>35.83</v>
      </c>
      <c r="F26" s="9">
        <f>+[17]Main!$H$4</f>
        <v>18644.53591988</v>
      </c>
      <c r="G26" s="9">
        <f>+[17]Main!$H$6-[17]Main!$H$5</f>
        <v>3153</v>
      </c>
      <c r="H26" s="9">
        <f>+F26+G26</f>
        <v>21797.53591988</v>
      </c>
      <c r="I26" s="10" t="s">
        <v>242</v>
      </c>
      <c r="S26" t="s">
        <v>272</v>
      </c>
    </row>
    <row r="27" spans="1:19" x14ac:dyDescent="0.25">
      <c r="A27" s="2">
        <f t="shared" si="1"/>
        <v>24</v>
      </c>
      <c r="B27" t="s">
        <v>62</v>
      </c>
      <c r="C27" t="s">
        <v>63</v>
      </c>
      <c r="D27" t="s">
        <v>24</v>
      </c>
      <c r="F27" s="9"/>
      <c r="G27" s="9"/>
      <c r="H27" s="9"/>
      <c r="I27" s="10"/>
    </row>
    <row r="28" spans="1:19" x14ac:dyDescent="0.25">
      <c r="A28" s="2">
        <f t="shared" si="1"/>
        <v>25</v>
      </c>
      <c r="B28" s="6" t="s">
        <v>64</v>
      </c>
      <c r="C28" t="s">
        <v>65</v>
      </c>
      <c r="D28" t="s">
        <v>23</v>
      </c>
      <c r="E28" s="13">
        <f>+[18]Main!$I$2</f>
        <v>5241</v>
      </c>
      <c r="F28" s="9">
        <f>+[18]Main!$I$4*FX!C2</f>
        <v>21944.563863571202</v>
      </c>
      <c r="G28" s="9">
        <f>+([18]Main!$I$6-[18]Main!$I$5)*FX!C2</f>
        <v>-2059.9551999999999</v>
      </c>
      <c r="H28" s="9">
        <f>+F28+G28</f>
        <v>19884.608663571202</v>
      </c>
      <c r="I28" s="10"/>
    </row>
    <row r="29" spans="1:19" x14ac:dyDescent="0.25">
      <c r="A29" s="2">
        <f t="shared" si="1"/>
        <v>26</v>
      </c>
      <c r="B29" s="6" t="s">
        <v>66</v>
      </c>
      <c r="C29" t="s">
        <v>68</v>
      </c>
      <c r="D29" t="s">
        <v>23</v>
      </c>
      <c r="E29" s="13">
        <f>+[19]Main!$I$2</f>
        <v>16735</v>
      </c>
      <c r="F29" s="9">
        <f>+[19]Main!$I$4*FX!C2</f>
        <v>14518.749837375999</v>
      </c>
      <c r="G29" s="9">
        <f>+([19]Main!$I$6-[19]Main!$I$5)*FX!C2</f>
        <v>-1445.152</v>
      </c>
      <c r="H29" s="9">
        <f>+F29+G29</f>
        <v>13073.597837375999</v>
      </c>
      <c r="I29" s="10" t="s">
        <v>278</v>
      </c>
    </row>
    <row r="30" spans="1:19" x14ac:dyDescent="0.25">
      <c r="A30" s="2">
        <f t="shared" si="1"/>
        <v>27</v>
      </c>
      <c r="B30" t="s">
        <v>67</v>
      </c>
      <c r="C30" t="s">
        <v>69</v>
      </c>
      <c r="D30" t="s">
        <v>23</v>
      </c>
      <c r="F30" s="9"/>
      <c r="G30" s="9"/>
      <c r="H30" s="9"/>
      <c r="I30" s="10"/>
    </row>
    <row r="31" spans="1:19" x14ac:dyDescent="0.25">
      <c r="A31" s="2">
        <f t="shared" si="1"/>
        <v>28</v>
      </c>
      <c r="B31" s="6" t="s">
        <v>70</v>
      </c>
      <c r="C31" t="s">
        <v>71</v>
      </c>
      <c r="D31" t="s">
        <v>22</v>
      </c>
      <c r="E31">
        <f>+[20]Main!$J$2</f>
        <v>184.82</v>
      </c>
      <c r="F31" s="9">
        <f>+[20]Main!$J$4</f>
        <v>15180.539270520001</v>
      </c>
      <c r="G31" s="9">
        <f>+[20]Main!$J$6-[20]Main!$J$5</f>
        <v>2214.2530000000002</v>
      </c>
      <c r="H31" s="9">
        <f>+F31+G31</f>
        <v>17394.79227052</v>
      </c>
      <c r="I31" s="10" t="s">
        <v>475</v>
      </c>
    </row>
    <row r="32" spans="1:19" x14ac:dyDescent="0.25">
      <c r="A32" s="2">
        <f t="shared" si="1"/>
        <v>29</v>
      </c>
      <c r="B32" t="s">
        <v>72</v>
      </c>
      <c r="C32" t="s">
        <v>73</v>
      </c>
      <c r="D32" t="s">
        <v>22</v>
      </c>
      <c r="F32" s="9"/>
      <c r="G32" s="9"/>
      <c r="H32" s="9"/>
      <c r="I32" s="10"/>
    </row>
    <row r="33" spans="1:19" x14ac:dyDescent="0.25">
      <c r="A33" s="2">
        <f t="shared" si="1"/>
        <v>30</v>
      </c>
      <c r="B33" t="s">
        <v>74</v>
      </c>
      <c r="C33" t="s">
        <v>75</v>
      </c>
      <c r="D33" t="s">
        <v>22</v>
      </c>
      <c r="F33" s="9"/>
      <c r="G33" s="9"/>
      <c r="H33" s="9"/>
      <c r="I33" s="10"/>
    </row>
    <row r="34" spans="1:19" x14ac:dyDescent="0.25">
      <c r="A34" s="2">
        <f t="shared" si="1"/>
        <v>31</v>
      </c>
      <c r="B34" t="s">
        <v>76</v>
      </c>
      <c r="C34" t="s">
        <v>77</v>
      </c>
      <c r="D34" t="s">
        <v>22</v>
      </c>
      <c r="F34" s="9"/>
      <c r="G34" s="9"/>
      <c r="H34" s="9"/>
      <c r="I34" s="10"/>
    </row>
    <row r="35" spans="1:19" x14ac:dyDescent="0.25">
      <c r="A35" s="2">
        <f t="shared" si="1"/>
        <v>32</v>
      </c>
      <c r="B35" t="s">
        <v>79</v>
      </c>
      <c r="C35" t="s">
        <v>80</v>
      </c>
      <c r="D35" t="s">
        <v>22</v>
      </c>
      <c r="F35" s="9"/>
      <c r="G35" s="9"/>
      <c r="H35" s="9"/>
      <c r="I35" s="10"/>
    </row>
    <row r="36" spans="1:19" x14ac:dyDescent="0.25">
      <c r="A36" s="2">
        <f t="shared" si="1"/>
        <v>33</v>
      </c>
      <c r="B36" t="s">
        <v>78</v>
      </c>
      <c r="C36" t="s">
        <v>81</v>
      </c>
      <c r="D36" t="s">
        <v>82</v>
      </c>
      <c r="F36" s="9"/>
      <c r="G36" s="9"/>
      <c r="H36" s="9"/>
      <c r="I36" s="10"/>
    </row>
    <row r="37" spans="1:19" x14ac:dyDescent="0.25">
      <c r="A37" s="2">
        <f t="shared" si="1"/>
        <v>34</v>
      </c>
      <c r="B37" t="s">
        <v>83</v>
      </c>
      <c r="C37" t="s">
        <v>84</v>
      </c>
      <c r="D37" t="s">
        <v>85</v>
      </c>
      <c r="F37" s="9"/>
      <c r="G37" s="9"/>
      <c r="H37" s="9"/>
      <c r="I37" s="10"/>
    </row>
    <row r="38" spans="1:19" x14ac:dyDescent="0.25">
      <c r="A38" s="2">
        <f t="shared" si="1"/>
        <v>35</v>
      </c>
      <c r="B38" s="6" t="s">
        <v>86</v>
      </c>
      <c r="C38" t="s">
        <v>87</v>
      </c>
      <c r="D38" t="s">
        <v>22</v>
      </c>
      <c r="E38">
        <f>+[21]Main!$H$2</f>
        <v>65.319999999999993</v>
      </c>
      <c r="F38" s="9">
        <f>+[21]Main!$H$4</f>
        <v>9114.1865409199982</v>
      </c>
      <c r="G38" s="9">
        <f>+[21]Main!$H$6-[21]Main!$H$5</f>
        <v>2685.8</v>
      </c>
      <c r="H38" s="9">
        <f>+F38+G38</f>
        <v>11799.986540919999</v>
      </c>
      <c r="I38" s="10" t="s">
        <v>247</v>
      </c>
      <c r="S38" t="s">
        <v>273</v>
      </c>
    </row>
    <row r="39" spans="1:19" x14ac:dyDescent="0.25">
      <c r="A39" s="2">
        <f t="shared" si="1"/>
        <v>36</v>
      </c>
      <c r="B39" t="s">
        <v>88</v>
      </c>
      <c r="C39" t="s">
        <v>89</v>
      </c>
      <c r="D39" t="s">
        <v>22</v>
      </c>
      <c r="F39" s="9"/>
      <c r="G39" s="9"/>
      <c r="H39" s="9"/>
      <c r="I39" s="10"/>
    </row>
    <row r="40" spans="1:19" x14ac:dyDescent="0.25">
      <c r="A40" s="2">
        <f t="shared" si="1"/>
        <v>37</v>
      </c>
      <c r="B40" s="6" t="s">
        <v>90</v>
      </c>
      <c r="C40" t="s">
        <v>476</v>
      </c>
      <c r="D40" t="s">
        <v>22</v>
      </c>
      <c r="E40">
        <f>+[22]Main!$I$2</f>
        <v>13.8</v>
      </c>
      <c r="F40" s="9">
        <f>+[22]Main!$I$4</f>
        <v>9315</v>
      </c>
      <c r="G40" s="9">
        <f>+[22]Main!$I$6-[22]Main!$I$5</f>
        <v>11775</v>
      </c>
      <c r="H40" s="9">
        <f>+F40+G40</f>
        <v>21090</v>
      </c>
      <c r="I40" s="10" t="s">
        <v>247</v>
      </c>
      <c r="S40" t="s">
        <v>275</v>
      </c>
    </row>
    <row r="41" spans="1:19" x14ac:dyDescent="0.25">
      <c r="A41" s="2">
        <f t="shared" si="1"/>
        <v>38</v>
      </c>
      <c r="B41" t="s">
        <v>92</v>
      </c>
      <c r="C41" t="s">
        <v>93</v>
      </c>
      <c r="D41" t="s">
        <v>94</v>
      </c>
      <c r="F41" s="9"/>
      <c r="G41" s="9"/>
      <c r="H41" s="9"/>
      <c r="I41" s="10"/>
    </row>
    <row r="42" spans="1:19" x14ac:dyDescent="0.25">
      <c r="A42" s="2">
        <f t="shared" si="1"/>
        <v>39</v>
      </c>
      <c r="B42" t="s">
        <v>95</v>
      </c>
      <c r="C42" t="s">
        <v>96</v>
      </c>
      <c r="D42" t="s">
        <v>22</v>
      </c>
      <c r="F42" s="9"/>
      <c r="G42" s="9"/>
      <c r="H42" s="9"/>
      <c r="I42" s="10"/>
    </row>
    <row r="43" spans="1:19" x14ac:dyDescent="0.25">
      <c r="A43" s="2">
        <f t="shared" si="1"/>
        <v>40</v>
      </c>
      <c r="B43" t="s">
        <v>97</v>
      </c>
      <c r="C43" t="s">
        <v>98</v>
      </c>
      <c r="D43" t="s">
        <v>25</v>
      </c>
      <c r="F43" s="9"/>
      <c r="G43" s="9"/>
      <c r="H43" s="9"/>
      <c r="I43" s="10"/>
    </row>
    <row r="44" spans="1:19" x14ac:dyDescent="0.25">
      <c r="A44" s="2">
        <f t="shared" si="1"/>
        <v>41</v>
      </c>
      <c r="B44" t="s">
        <v>99</v>
      </c>
      <c r="C44" t="s">
        <v>100</v>
      </c>
      <c r="D44" t="s">
        <v>23</v>
      </c>
      <c r="F44" s="9"/>
      <c r="G44" s="9"/>
      <c r="H44" s="9"/>
      <c r="I44" s="10"/>
    </row>
    <row r="45" spans="1:19" x14ac:dyDescent="0.25">
      <c r="A45" s="2">
        <f t="shared" si="1"/>
        <v>42</v>
      </c>
      <c r="B45" t="s">
        <v>101</v>
      </c>
      <c r="C45" t="s">
        <v>102</v>
      </c>
      <c r="D45" t="s">
        <v>26</v>
      </c>
      <c r="F45" s="9"/>
      <c r="G45" s="9"/>
      <c r="H45" s="9"/>
      <c r="I45" s="10"/>
    </row>
    <row r="46" spans="1:19" x14ac:dyDescent="0.25">
      <c r="A46" s="2">
        <f t="shared" si="1"/>
        <v>43</v>
      </c>
      <c r="B46" s="6" t="s">
        <v>103</v>
      </c>
      <c r="C46" t="s">
        <v>104</v>
      </c>
      <c r="D46" t="s">
        <v>22</v>
      </c>
      <c r="E46">
        <f>+[23]Main!$I$2</f>
        <v>77.77</v>
      </c>
      <c r="F46" s="9">
        <f>+[23]Main!$I$4</f>
        <v>6330.7175316000003</v>
      </c>
      <c r="G46" s="9">
        <f>+[23]Main!$I$6-[23]Main!$I$5</f>
        <v>3205.0709999999999</v>
      </c>
      <c r="H46" s="9">
        <f>+F46+G46</f>
        <v>9535.7885315999993</v>
      </c>
      <c r="I46" s="10" t="s">
        <v>262</v>
      </c>
    </row>
    <row r="47" spans="1:19" x14ac:dyDescent="0.25">
      <c r="A47" s="2">
        <f t="shared" si="1"/>
        <v>44</v>
      </c>
      <c r="B47" t="s">
        <v>105</v>
      </c>
      <c r="C47" t="s">
        <v>106</v>
      </c>
      <c r="D47" t="s">
        <v>22</v>
      </c>
      <c r="F47" s="9"/>
      <c r="G47" s="9"/>
      <c r="H47" s="9"/>
      <c r="I47" s="10"/>
    </row>
    <row r="48" spans="1:19" x14ac:dyDescent="0.25">
      <c r="A48" s="2">
        <f t="shared" si="1"/>
        <v>45</v>
      </c>
      <c r="B48" t="s">
        <v>107</v>
      </c>
      <c r="C48" t="s">
        <v>108</v>
      </c>
      <c r="D48" t="s">
        <v>22</v>
      </c>
      <c r="F48" s="9"/>
      <c r="G48" s="9"/>
      <c r="H48" s="9"/>
      <c r="I48" s="10"/>
    </row>
    <row r="49" spans="1:19" x14ac:dyDescent="0.25">
      <c r="A49" s="2">
        <f t="shared" si="1"/>
        <v>46</v>
      </c>
      <c r="B49" s="6" t="s">
        <v>109</v>
      </c>
      <c r="C49" t="s">
        <v>110</v>
      </c>
      <c r="D49" t="s">
        <v>22</v>
      </c>
      <c r="E49">
        <f>+[24]Main!$G$2</f>
        <v>18.07</v>
      </c>
      <c r="F49" s="9">
        <f>+[24]Main!$G$4</f>
        <v>6087.7829999999994</v>
      </c>
      <c r="G49" s="9">
        <f>+[24]Main!$G$6-[24]Main!$G$5</f>
        <v>1609.7280000000001</v>
      </c>
      <c r="H49" s="9">
        <f>+F49+G49</f>
        <v>7697.5109999999995</v>
      </c>
      <c r="I49" s="10" t="s">
        <v>240</v>
      </c>
      <c r="S49" t="s">
        <v>276</v>
      </c>
    </row>
    <row r="50" spans="1:19" x14ac:dyDescent="0.25">
      <c r="A50" s="2">
        <f t="shared" si="1"/>
        <v>47</v>
      </c>
      <c r="B50" t="s">
        <v>111</v>
      </c>
      <c r="C50" t="s">
        <v>112</v>
      </c>
      <c r="D50" t="s">
        <v>113</v>
      </c>
      <c r="F50" s="9"/>
      <c r="G50" s="9"/>
      <c r="H50" s="9"/>
      <c r="I50" s="10"/>
    </row>
    <row r="51" spans="1:19" x14ac:dyDescent="0.25">
      <c r="A51" s="2">
        <f t="shared" si="1"/>
        <v>48</v>
      </c>
      <c r="B51" t="s">
        <v>114</v>
      </c>
      <c r="C51" t="s">
        <v>115</v>
      </c>
      <c r="D51" t="s">
        <v>26</v>
      </c>
      <c r="F51" s="9"/>
      <c r="G51" s="9"/>
      <c r="H51" s="9"/>
      <c r="I51" s="10"/>
    </row>
    <row r="52" spans="1:19" x14ac:dyDescent="0.25">
      <c r="A52" s="2">
        <f t="shared" si="1"/>
        <v>49</v>
      </c>
      <c r="B52" t="s">
        <v>116</v>
      </c>
      <c r="C52" t="s">
        <v>117</v>
      </c>
      <c r="D52" t="s">
        <v>118</v>
      </c>
      <c r="F52" s="9"/>
      <c r="G52" s="9"/>
      <c r="H52" s="9"/>
      <c r="I52" s="10"/>
    </row>
    <row r="53" spans="1:19" x14ac:dyDescent="0.25">
      <c r="A53" s="2">
        <f t="shared" si="1"/>
        <v>50</v>
      </c>
      <c r="B53" t="s">
        <v>231</v>
      </c>
      <c r="C53" t="s">
        <v>232</v>
      </c>
      <c r="D53" t="s">
        <v>121</v>
      </c>
      <c r="F53" s="9"/>
      <c r="G53" s="9"/>
      <c r="H53" s="9"/>
      <c r="I53" s="10"/>
    </row>
    <row r="54" spans="1:19" x14ac:dyDescent="0.25">
      <c r="A54" s="2">
        <f t="shared" si="1"/>
        <v>51</v>
      </c>
      <c r="B54" t="s">
        <v>119</v>
      </c>
      <c r="C54" s="7" t="s">
        <v>120</v>
      </c>
      <c r="D54" t="s">
        <v>121</v>
      </c>
      <c r="F54" s="9"/>
      <c r="G54" s="9"/>
      <c r="H54" s="9"/>
      <c r="I54" s="10"/>
    </row>
    <row r="55" spans="1:19" x14ac:dyDescent="0.25">
      <c r="A55" s="2">
        <f t="shared" si="1"/>
        <v>52</v>
      </c>
      <c r="B55" t="s">
        <v>122</v>
      </c>
      <c r="C55" t="s">
        <v>123</v>
      </c>
      <c r="D55" t="s">
        <v>124</v>
      </c>
      <c r="F55" s="9"/>
      <c r="G55" s="9"/>
      <c r="H55" s="9"/>
      <c r="I55" s="10"/>
    </row>
    <row r="56" spans="1:19" x14ac:dyDescent="0.25">
      <c r="A56" s="2">
        <f t="shared" si="1"/>
        <v>53</v>
      </c>
      <c r="B56" s="6" t="s">
        <v>125</v>
      </c>
      <c r="C56" t="s">
        <v>126</v>
      </c>
      <c r="D56" t="s">
        <v>22</v>
      </c>
      <c r="E56">
        <f>+[25]Main!$I$2</f>
        <v>183.2</v>
      </c>
      <c r="F56" s="9">
        <f>+[25]Main!$I$4</f>
        <v>5589.2865391999994</v>
      </c>
      <c r="G56" s="9">
        <f>+[25]Main!$I$6-[25]Main!$I$5</f>
        <v>6379</v>
      </c>
      <c r="H56" s="9">
        <f>+F56+G56</f>
        <v>11968.286539199999</v>
      </c>
      <c r="I56" s="10" t="s">
        <v>247</v>
      </c>
    </row>
    <row r="57" spans="1:19" x14ac:dyDescent="0.25">
      <c r="A57" s="2">
        <f t="shared" si="1"/>
        <v>54</v>
      </c>
      <c r="B57" t="s">
        <v>128</v>
      </c>
      <c r="C57" t="s">
        <v>129</v>
      </c>
      <c r="D57" t="s">
        <v>127</v>
      </c>
      <c r="F57" s="9"/>
      <c r="G57" s="9"/>
      <c r="H57" s="9"/>
      <c r="I57" s="10"/>
    </row>
    <row r="58" spans="1:19" x14ac:dyDescent="0.25">
      <c r="A58" s="2">
        <f t="shared" si="1"/>
        <v>55</v>
      </c>
      <c r="B58" t="s">
        <v>130</v>
      </c>
      <c r="C58" t="s">
        <v>131</v>
      </c>
      <c r="D58" t="s">
        <v>22</v>
      </c>
      <c r="F58" s="9"/>
      <c r="G58" s="9"/>
      <c r="H58" s="9"/>
      <c r="I58" s="10"/>
    </row>
    <row r="59" spans="1:19" x14ac:dyDescent="0.25">
      <c r="A59" s="2">
        <f t="shared" si="1"/>
        <v>56</v>
      </c>
      <c r="B59" t="s">
        <v>132</v>
      </c>
      <c r="C59" s="7" t="s">
        <v>133</v>
      </c>
      <c r="D59" t="s">
        <v>26</v>
      </c>
      <c r="F59" s="9"/>
      <c r="G59" s="9"/>
      <c r="H59" s="9"/>
      <c r="I59" s="10"/>
    </row>
    <row r="60" spans="1:19" x14ac:dyDescent="0.25">
      <c r="A60" s="2">
        <f t="shared" si="1"/>
        <v>57</v>
      </c>
      <c r="B60" t="s">
        <v>134</v>
      </c>
      <c r="C60" t="s">
        <v>135</v>
      </c>
      <c r="D60" t="s">
        <v>22</v>
      </c>
      <c r="F60" s="9"/>
      <c r="G60" s="9"/>
      <c r="H60" s="9"/>
      <c r="I60" s="10"/>
    </row>
    <row r="61" spans="1:19" x14ac:dyDescent="0.25">
      <c r="A61" s="2">
        <f t="shared" si="1"/>
        <v>58</v>
      </c>
      <c r="B61" t="s">
        <v>136</v>
      </c>
      <c r="C61" t="s">
        <v>137</v>
      </c>
      <c r="D61" t="s">
        <v>35</v>
      </c>
      <c r="F61" s="9"/>
      <c r="G61" s="9"/>
      <c r="H61" s="9"/>
      <c r="I61" s="10"/>
    </row>
    <row r="62" spans="1:19" x14ac:dyDescent="0.25">
      <c r="A62" s="2">
        <f t="shared" si="1"/>
        <v>59</v>
      </c>
      <c r="B62" t="s">
        <v>139</v>
      </c>
      <c r="C62" t="s">
        <v>140</v>
      </c>
      <c r="D62" t="s">
        <v>23</v>
      </c>
      <c r="F62" s="9"/>
      <c r="G62" s="9"/>
      <c r="H62" s="9"/>
      <c r="I62" s="10"/>
    </row>
    <row r="63" spans="1:19" x14ac:dyDescent="0.25">
      <c r="A63" s="2">
        <f t="shared" si="1"/>
        <v>60</v>
      </c>
      <c r="B63" t="s">
        <v>141</v>
      </c>
      <c r="C63" t="s">
        <v>142</v>
      </c>
      <c r="D63" t="s">
        <v>23</v>
      </c>
      <c r="F63" s="9"/>
      <c r="G63" s="9"/>
      <c r="H63" s="9"/>
      <c r="I63" s="10"/>
    </row>
    <row r="64" spans="1:19" x14ac:dyDescent="0.25">
      <c r="A64" s="2">
        <f t="shared" si="1"/>
        <v>61</v>
      </c>
      <c r="B64" t="s">
        <v>143</v>
      </c>
      <c r="C64" s="7" t="s">
        <v>144</v>
      </c>
      <c r="D64" t="s">
        <v>26</v>
      </c>
      <c r="F64" s="9"/>
      <c r="G64" s="9"/>
      <c r="H64" s="9"/>
      <c r="I64" s="10"/>
    </row>
    <row r="65" spans="1:9" x14ac:dyDescent="0.25">
      <c r="A65" s="2">
        <f t="shared" si="1"/>
        <v>62</v>
      </c>
      <c r="B65" t="s">
        <v>145</v>
      </c>
      <c r="C65" t="s">
        <v>146</v>
      </c>
      <c r="D65" t="s">
        <v>22</v>
      </c>
      <c r="F65" s="9"/>
      <c r="G65" s="9"/>
      <c r="H65" s="9"/>
      <c r="I65" s="10"/>
    </row>
    <row r="66" spans="1:9" x14ac:dyDescent="0.25">
      <c r="A66" s="2">
        <f t="shared" si="1"/>
        <v>63</v>
      </c>
      <c r="B66" t="s">
        <v>147</v>
      </c>
      <c r="C66" t="s">
        <v>148</v>
      </c>
      <c r="D66" t="s">
        <v>23</v>
      </c>
      <c r="F66" s="9"/>
      <c r="G66" s="9"/>
      <c r="H66" s="9"/>
      <c r="I66" s="10"/>
    </row>
    <row r="67" spans="1:9" x14ac:dyDescent="0.25">
      <c r="A67" s="2">
        <f t="shared" si="1"/>
        <v>64</v>
      </c>
      <c r="B67" t="s">
        <v>149</v>
      </c>
      <c r="C67" t="s">
        <v>150</v>
      </c>
      <c r="D67" t="s">
        <v>24</v>
      </c>
      <c r="F67" s="9"/>
      <c r="G67" s="9"/>
      <c r="H67" s="9"/>
      <c r="I67" s="10"/>
    </row>
    <row r="68" spans="1:9" x14ac:dyDescent="0.25">
      <c r="A68" s="2">
        <f t="shared" si="1"/>
        <v>65</v>
      </c>
      <c r="B68" t="s">
        <v>151</v>
      </c>
      <c r="C68" t="s">
        <v>152</v>
      </c>
      <c r="D68" t="s">
        <v>153</v>
      </c>
      <c r="F68" s="9"/>
      <c r="G68" s="9"/>
      <c r="H68" s="9"/>
      <c r="I68" s="10"/>
    </row>
    <row r="69" spans="1:9" x14ac:dyDescent="0.25">
      <c r="A69" s="2">
        <f t="shared" si="1"/>
        <v>66</v>
      </c>
      <c r="B69" t="s">
        <v>154</v>
      </c>
      <c r="C69" t="s">
        <v>155</v>
      </c>
      <c r="D69" t="s">
        <v>23</v>
      </c>
      <c r="F69" s="9"/>
      <c r="G69" s="9"/>
      <c r="H69" s="9"/>
      <c r="I69" s="10"/>
    </row>
    <row r="70" spans="1:9" x14ac:dyDescent="0.25">
      <c r="A70" s="2">
        <f t="shared" ref="A70:A112" si="2">+A69+1</f>
        <v>67</v>
      </c>
      <c r="B70" t="s">
        <v>156</v>
      </c>
      <c r="C70" s="7" t="s">
        <v>157</v>
      </c>
      <c r="D70" t="s">
        <v>26</v>
      </c>
      <c r="F70" s="9"/>
      <c r="G70" s="9"/>
      <c r="H70" s="9"/>
      <c r="I70" s="10"/>
    </row>
    <row r="71" spans="1:9" x14ac:dyDescent="0.25">
      <c r="A71" s="2">
        <f t="shared" si="2"/>
        <v>68</v>
      </c>
      <c r="B71" t="s">
        <v>158</v>
      </c>
      <c r="C71" t="s">
        <v>159</v>
      </c>
      <c r="D71" t="s">
        <v>160</v>
      </c>
      <c r="F71" s="9"/>
      <c r="G71" s="9"/>
      <c r="H71" s="9"/>
      <c r="I71" s="10"/>
    </row>
    <row r="72" spans="1:9" x14ac:dyDescent="0.25">
      <c r="A72" s="2">
        <f t="shared" si="2"/>
        <v>69</v>
      </c>
      <c r="B72" t="s">
        <v>161</v>
      </c>
      <c r="C72" t="s">
        <v>162</v>
      </c>
      <c r="D72" t="s">
        <v>163</v>
      </c>
      <c r="F72" s="9"/>
      <c r="G72" s="9"/>
      <c r="H72" s="9"/>
      <c r="I72" s="10"/>
    </row>
    <row r="73" spans="1:9" x14ac:dyDescent="0.25">
      <c r="A73" s="2">
        <f t="shared" si="2"/>
        <v>70</v>
      </c>
      <c r="B73" t="s">
        <v>164</v>
      </c>
      <c r="C73" t="s">
        <v>165</v>
      </c>
      <c r="D73" t="s">
        <v>166</v>
      </c>
      <c r="F73" s="9"/>
      <c r="G73" s="9"/>
      <c r="H73" s="9"/>
      <c r="I73" s="10"/>
    </row>
    <row r="74" spans="1:9" x14ac:dyDescent="0.25">
      <c r="A74" s="2">
        <f t="shared" si="2"/>
        <v>71</v>
      </c>
      <c r="B74" t="s">
        <v>167</v>
      </c>
      <c r="C74" t="s">
        <v>168</v>
      </c>
      <c r="D74" t="s">
        <v>22</v>
      </c>
      <c r="F74" s="9"/>
      <c r="G74" s="9"/>
      <c r="H74" s="9"/>
      <c r="I74" s="10"/>
    </row>
    <row r="75" spans="1:9" x14ac:dyDescent="0.25">
      <c r="A75" s="2">
        <f t="shared" si="2"/>
        <v>72</v>
      </c>
      <c r="B75" t="s">
        <v>169</v>
      </c>
      <c r="C75" t="s">
        <v>170</v>
      </c>
      <c r="D75" t="s">
        <v>22</v>
      </c>
      <c r="F75" s="9"/>
      <c r="G75" s="9"/>
      <c r="H75" s="9"/>
      <c r="I75" s="10"/>
    </row>
    <row r="76" spans="1:9" x14ac:dyDescent="0.25">
      <c r="A76" s="2">
        <f t="shared" si="2"/>
        <v>73</v>
      </c>
      <c r="B76" t="s">
        <v>171</v>
      </c>
      <c r="C76" t="s">
        <v>172</v>
      </c>
      <c r="D76" t="s">
        <v>22</v>
      </c>
      <c r="F76" s="9"/>
      <c r="G76" s="9"/>
      <c r="H76" s="9"/>
      <c r="I76" s="10"/>
    </row>
    <row r="77" spans="1:9" x14ac:dyDescent="0.25">
      <c r="A77" s="2">
        <f t="shared" si="2"/>
        <v>74</v>
      </c>
      <c r="B77" t="s">
        <v>173</v>
      </c>
      <c r="C77" t="s">
        <v>174</v>
      </c>
      <c r="D77" t="s">
        <v>94</v>
      </c>
      <c r="F77" s="9"/>
      <c r="G77" s="9"/>
      <c r="H77" s="9"/>
      <c r="I77" s="10"/>
    </row>
    <row r="78" spans="1:9" x14ac:dyDescent="0.25">
      <c r="A78" s="2">
        <f t="shared" si="2"/>
        <v>75</v>
      </c>
      <c r="B78" t="s">
        <v>175</v>
      </c>
      <c r="C78" t="s">
        <v>176</v>
      </c>
      <c r="D78" t="s">
        <v>121</v>
      </c>
      <c r="F78" s="9"/>
      <c r="G78" s="9"/>
      <c r="H78" s="9"/>
      <c r="I78" s="10"/>
    </row>
    <row r="79" spans="1:9" x14ac:dyDescent="0.25">
      <c r="A79" s="2">
        <f t="shared" si="2"/>
        <v>76</v>
      </c>
      <c r="B79" t="s">
        <v>177</v>
      </c>
      <c r="C79" t="s">
        <v>178</v>
      </c>
      <c r="D79" t="s">
        <v>163</v>
      </c>
      <c r="F79" s="9"/>
      <c r="G79" s="9"/>
      <c r="H79" s="9"/>
      <c r="I79" s="10"/>
    </row>
    <row r="80" spans="1:9" x14ac:dyDescent="0.25">
      <c r="A80" s="2">
        <f t="shared" si="2"/>
        <v>77</v>
      </c>
      <c r="B80" t="s">
        <v>179</v>
      </c>
      <c r="C80" t="s">
        <v>180</v>
      </c>
      <c r="D80" t="s">
        <v>26</v>
      </c>
      <c r="F80" s="9"/>
      <c r="G80" s="9"/>
      <c r="H80" s="9"/>
      <c r="I80" s="10"/>
    </row>
    <row r="81" spans="1:9" x14ac:dyDescent="0.25">
      <c r="A81" s="2">
        <f t="shared" si="2"/>
        <v>78</v>
      </c>
      <c r="B81" t="s">
        <v>181</v>
      </c>
      <c r="C81" s="7" t="s">
        <v>182</v>
      </c>
      <c r="D81" t="s">
        <v>26</v>
      </c>
      <c r="F81" s="9"/>
      <c r="G81" s="9"/>
      <c r="H81" s="9"/>
      <c r="I81" s="10"/>
    </row>
    <row r="82" spans="1:9" x14ac:dyDescent="0.25">
      <c r="A82" s="2">
        <f t="shared" si="2"/>
        <v>79</v>
      </c>
      <c r="B82" t="s">
        <v>183</v>
      </c>
      <c r="C82" t="s">
        <v>184</v>
      </c>
      <c r="D82" t="s">
        <v>118</v>
      </c>
      <c r="F82" s="9"/>
      <c r="G82" s="9"/>
      <c r="H82" s="9"/>
      <c r="I82" s="10"/>
    </row>
    <row r="83" spans="1:9" x14ac:dyDescent="0.25">
      <c r="A83" s="2">
        <f t="shared" si="2"/>
        <v>80</v>
      </c>
      <c r="B83" t="s">
        <v>185</v>
      </c>
      <c r="C83" t="s">
        <v>186</v>
      </c>
      <c r="D83" t="s">
        <v>23</v>
      </c>
      <c r="F83" s="9"/>
      <c r="G83" s="9"/>
      <c r="H83" s="9"/>
      <c r="I83" s="10"/>
    </row>
    <row r="84" spans="1:9" x14ac:dyDescent="0.25">
      <c r="A84" s="2">
        <f t="shared" si="2"/>
        <v>81</v>
      </c>
      <c r="B84" t="s">
        <v>187</v>
      </c>
      <c r="C84" t="s">
        <v>188</v>
      </c>
      <c r="D84" t="s">
        <v>35</v>
      </c>
      <c r="F84" s="9"/>
      <c r="G84" s="9"/>
      <c r="H84" s="9"/>
      <c r="I84" s="10"/>
    </row>
    <row r="85" spans="1:9" x14ac:dyDescent="0.25">
      <c r="A85" s="2">
        <f t="shared" si="2"/>
        <v>82</v>
      </c>
      <c r="B85" t="s">
        <v>189</v>
      </c>
      <c r="C85" t="s">
        <v>190</v>
      </c>
      <c r="D85" t="s">
        <v>191</v>
      </c>
      <c r="F85" s="9"/>
      <c r="G85" s="9"/>
      <c r="H85" s="9"/>
      <c r="I85" s="10"/>
    </row>
    <row r="86" spans="1:9" x14ac:dyDescent="0.25">
      <c r="A86" s="2">
        <f t="shared" si="2"/>
        <v>83</v>
      </c>
      <c r="B86" t="s">
        <v>192</v>
      </c>
      <c r="C86" t="s">
        <v>193</v>
      </c>
      <c r="D86" t="s">
        <v>194</v>
      </c>
      <c r="F86" s="9"/>
      <c r="G86" s="9"/>
      <c r="H86" s="9"/>
      <c r="I86" s="10"/>
    </row>
    <row r="87" spans="1:9" x14ac:dyDescent="0.25">
      <c r="A87" s="2">
        <f t="shared" si="2"/>
        <v>84</v>
      </c>
      <c r="B87" t="s">
        <v>195</v>
      </c>
      <c r="C87" t="s">
        <v>196</v>
      </c>
      <c r="D87" t="s">
        <v>121</v>
      </c>
      <c r="F87" s="9"/>
      <c r="G87" s="9"/>
      <c r="H87" s="9"/>
      <c r="I87" s="10"/>
    </row>
    <row r="88" spans="1:9" x14ac:dyDescent="0.25">
      <c r="A88" s="2">
        <f t="shared" si="2"/>
        <v>85</v>
      </c>
      <c r="B88" t="s">
        <v>197</v>
      </c>
      <c r="C88" s="7" t="s">
        <v>198</v>
      </c>
      <c r="D88" t="s">
        <v>121</v>
      </c>
      <c r="F88" s="9"/>
      <c r="G88" s="9"/>
      <c r="H88" s="9"/>
      <c r="I88" s="10"/>
    </row>
    <row r="89" spans="1:9" x14ac:dyDescent="0.25">
      <c r="A89" s="2">
        <f t="shared" si="2"/>
        <v>86</v>
      </c>
      <c r="B89" t="s">
        <v>199</v>
      </c>
      <c r="C89" s="7" t="s">
        <v>200</v>
      </c>
      <c r="D89" t="s">
        <v>201</v>
      </c>
      <c r="F89" s="9"/>
      <c r="G89" s="9"/>
      <c r="H89" s="9"/>
      <c r="I89" s="10"/>
    </row>
    <row r="90" spans="1:9" x14ac:dyDescent="0.25">
      <c r="A90" s="2">
        <f t="shared" si="2"/>
        <v>87</v>
      </c>
      <c r="B90" t="s">
        <v>202</v>
      </c>
      <c r="C90" t="s">
        <v>203</v>
      </c>
      <c r="D90" t="s">
        <v>201</v>
      </c>
      <c r="F90" s="9"/>
      <c r="G90" s="9"/>
      <c r="H90" s="9"/>
    </row>
    <row r="91" spans="1:9" x14ac:dyDescent="0.25">
      <c r="A91" s="2">
        <f t="shared" si="2"/>
        <v>88</v>
      </c>
      <c r="B91" t="s">
        <v>204</v>
      </c>
      <c r="C91" t="s">
        <v>205</v>
      </c>
      <c r="D91" t="s">
        <v>206</v>
      </c>
      <c r="F91" s="9"/>
      <c r="G91" s="9"/>
      <c r="H91" s="9"/>
    </row>
    <row r="92" spans="1:9" x14ac:dyDescent="0.25">
      <c r="A92" s="2">
        <f t="shared" si="2"/>
        <v>89</v>
      </c>
      <c r="B92" t="s">
        <v>207</v>
      </c>
      <c r="C92" t="s">
        <v>208</v>
      </c>
      <c r="D92" t="s">
        <v>23</v>
      </c>
      <c r="F92" s="9"/>
      <c r="G92" s="9"/>
      <c r="H92" s="9"/>
    </row>
    <row r="93" spans="1:9" x14ac:dyDescent="0.25">
      <c r="A93" s="2">
        <f t="shared" si="2"/>
        <v>90</v>
      </c>
      <c r="B93" t="s">
        <v>209</v>
      </c>
      <c r="C93" t="s">
        <v>210</v>
      </c>
      <c r="D93" t="s">
        <v>23</v>
      </c>
      <c r="F93" s="9"/>
      <c r="G93" s="9"/>
      <c r="H93" s="9"/>
    </row>
    <row r="94" spans="1:9" x14ac:dyDescent="0.25">
      <c r="A94" s="2">
        <f t="shared" si="2"/>
        <v>91</v>
      </c>
      <c r="B94" t="s">
        <v>211</v>
      </c>
      <c r="C94" t="s">
        <v>212</v>
      </c>
      <c r="D94" t="s">
        <v>22</v>
      </c>
      <c r="F94" s="9"/>
      <c r="G94" s="9"/>
      <c r="H94" s="9"/>
    </row>
    <row r="95" spans="1:9" x14ac:dyDescent="0.25">
      <c r="A95" s="2">
        <f t="shared" si="2"/>
        <v>92</v>
      </c>
      <c r="B95" t="s">
        <v>213</v>
      </c>
      <c r="C95" s="7" t="s">
        <v>214</v>
      </c>
      <c r="D95" t="s">
        <v>121</v>
      </c>
      <c r="F95" s="9"/>
      <c r="G95" s="9"/>
      <c r="H95" s="9"/>
    </row>
    <row r="96" spans="1:9" x14ac:dyDescent="0.25">
      <c r="A96" s="2">
        <f t="shared" si="2"/>
        <v>93</v>
      </c>
      <c r="B96" t="s">
        <v>215</v>
      </c>
      <c r="C96" t="s">
        <v>216</v>
      </c>
      <c r="D96" t="s">
        <v>26</v>
      </c>
      <c r="F96" s="9"/>
      <c r="G96" s="9"/>
      <c r="H96" s="9"/>
    </row>
    <row r="97" spans="1:19" x14ac:dyDescent="0.25">
      <c r="A97" s="2">
        <f t="shared" si="2"/>
        <v>94</v>
      </c>
      <c r="B97" t="s">
        <v>217</v>
      </c>
      <c r="C97" t="s">
        <v>218</v>
      </c>
      <c r="D97" t="s">
        <v>26</v>
      </c>
      <c r="F97" s="9"/>
      <c r="G97" s="9"/>
      <c r="H97" s="9"/>
    </row>
    <row r="98" spans="1:19" x14ac:dyDescent="0.25">
      <c r="A98" s="2">
        <f t="shared" si="2"/>
        <v>95</v>
      </c>
      <c r="B98" t="s">
        <v>219</v>
      </c>
      <c r="C98" t="s">
        <v>220</v>
      </c>
      <c r="D98" t="s">
        <v>160</v>
      </c>
      <c r="F98" s="9"/>
      <c r="G98" s="9"/>
      <c r="H98" s="9"/>
    </row>
    <row r="99" spans="1:19" x14ac:dyDescent="0.25">
      <c r="A99" s="2">
        <f t="shared" si="2"/>
        <v>96</v>
      </c>
      <c r="B99" t="s">
        <v>221</v>
      </c>
      <c r="C99" t="s">
        <v>222</v>
      </c>
      <c r="D99" t="s">
        <v>24</v>
      </c>
      <c r="F99" s="9"/>
      <c r="G99" s="9"/>
      <c r="H99" s="9"/>
    </row>
    <row r="100" spans="1:19" x14ac:dyDescent="0.25">
      <c r="A100" s="2">
        <f t="shared" si="2"/>
        <v>97</v>
      </c>
      <c r="B100" t="s">
        <v>223</v>
      </c>
      <c r="C100" t="s">
        <v>224</v>
      </c>
      <c r="D100" t="s">
        <v>26</v>
      </c>
      <c r="F100" s="9"/>
      <c r="G100" s="9"/>
      <c r="H100" s="9"/>
    </row>
    <row r="101" spans="1:19" x14ac:dyDescent="0.25">
      <c r="A101" s="2">
        <f t="shared" si="2"/>
        <v>98</v>
      </c>
      <c r="B101" t="s">
        <v>225</v>
      </c>
      <c r="C101" t="s">
        <v>226</v>
      </c>
      <c r="D101" t="s">
        <v>24</v>
      </c>
      <c r="F101" s="9"/>
      <c r="G101" s="9"/>
      <c r="H101" s="9"/>
    </row>
    <row r="102" spans="1:19" x14ac:dyDescent="0.25">
      <c r="A102" s="2">
        <f t="shared" si="2"/>
        <v>99</v>
      </c>
      <c r="B102" t="s">
        <v>227</v>
      </c>
      <c r="C102" t="s">
        <v>228</v>
      </c>
      <c r="D102" t="s">
        <v>94</v>
      </c>
      <c r="F102" s="9"/>
      <c r="G102" s="9"/>
      <c r="H102" s="9"/>
    </row>
    <row r="103" spans="1:19" x14ac:dyDescent="0.25">
      <c r="A103" s="2">
        <f t="shared" si="2"/>
        <v>100</v>
      </c>
      <c r="B103" t="s">
        <v>229</v>
      </c>
      <c r="C103" t="s">
        <v>230</v>
      </c>
      <c r="D103" t="s">
        <v>22</v>
      </c>
      <c r="F103" s="9"/>
      <c r="G103" s="9"/>
      <c r="H103" s="9"/>
    </row>
    <row r="104" spans="1:19" x14ac:dyDescent="0.25">
      <c r="A104" s="2">
        <f t="shared" si="2"/>
        <v>101</v>
      </c>
      <c r="B104" s="6" t="s">
        <v>237</v>
      </c>
      <c r="C104" t="s">
        <v>238</v>
      </c>
      <c r="D104" t="s">
        <v>22</v>
      </c>
      <c r="E104">
        <f>+[26]Main!$I$2</f>
        <v>33.76</v>
      </c>
      <c r="F104" s="9">
        <f>+[26]Main!$I$4</f>
        <v>1615.1327198399999</v>
      </c>
      <c r="G104" s="9">
        <f>+[26]Main!$I$6-[26]Main!$I$5</f>
        <v>553.85699999999997</v>
      </c>
      <c r="H104" s="9">
        <f>+F104+G104</f>
        <v>2168.9897198399999</v>
      </c>
      <c r="I104" s="10" t="s">
        <v>241</v>
      </c>
    </row>
    <row r="105" spans="1:19" x14ac:dyDescent="0.25">
      <c r="A105" s="2">
        <f t="shared" si="2"/>
        <v>102</v>
      </c>
      <c r="B105" t="s">
        <v>235</v>
      </c>
      <c r="C105" t="s">
        <v>236</v>
      </c>
      <c r="D105" t="s">
        <v>206</v>
      </c>
      <c r="F105" s="9"/>
      <c r="G105" s="9"/>
      <c r="H105" s="9"/>
    </row>
    <row r="106" spans="1:19" x14ac:dyDescent="0.25">
      <c r="A106" s="2">
        <f t="shared" si="2"/>
        <v>103</v>
      </c>
      <c r="B106" t="s">
        <v>234</v>
      </c>
      <c r="C106" t="s">
        <v>233</v>
      </c>
      <c r="D106" t="s">
        <v>85</v>
      </c>
      <c r="F106" s="9"/>
      <c r="G106" s="9"/>
      <c r="H106" s="9"/>
    </row>
    <row r="107" spans="1:19" x14ac:dyDescent="0.25">
      <c r="A107" s="2">
        <f t="shared" si="2"/>
        <v>104</v>
      </c>
      <c r="B107" s="6" t="s">
        <v>248</v>
      </c>
      <c r="C107" t="s">
        <v>249</v>
      </c>
      <c r="D107" t="s">
        <v>153</v>
      </c>
      <c r="E107">
        <f>+[27]Main!$H$2</f>
        <v>15.92</v>
      </c>
      <c r="F107" s="9">
        <f>+[27]Main!$H$5*FX!C4</f>
        <v>2707.3869572160002</v>
      </c>
      <c r="G107" s="9">
        <f>+([27]Main!$H$7-[27]Main!$H$6)*FX!C4</f>
        <v>699.94651999999996</v>
      </c>
      <c r="H107" s="9">
        <f>+F107+G107</f>
        <v>3407.3334772160001</v>
      </c>
      <c r="I107" s="10" t="s">
        <v>262</v>
      </c>
      <c r="S107" t="s">
        <v>277</v>
      </c>
    </row>
    <row r="108" spans="1:19" x14ac:dyDescent="0.25">
      <c r="A108" s="2">
        <f t="shared" si="2"/>
        <v>105</v>
      </c>
      <c r="B108" t="s">
        <v>250</v>
      </c>
      <c r="C108" t="s">
        <v>251</v>
      </c>
      <c r="D108" t="s">
        <v>160</v>
      </c>
      <c r="F108" s="9"/>
      <c r="G108" s="9"/>
      <c r="H108" s="9"/>
    </row>
    <row r="109" spans="1:19" x14ac:dyDescent="0.25">
      <c r="A109" s="2">
        <f t="shared" si="2"/>
        <v>106</v>
      </c>
      <c r="B109" s="6" t="s">
        <v>252</v>
      </c>
      <c r="C109" t="s">
        <v>253</v>
      </c>
      <c r="D109" t="s">
        <v>85</v>
      </c>
      <c r="E109">
        <f>+[28]Main!$I$2</f>
        <v>3.28</v>
      </c>
      <c r="F109" s="9">
        <f>+[28]Main!$I$4*FX!C3</f>
        <v>372.96258964800001</v>
      </c>
      <c r="G109" s="9">
        <f>+([28]Main!$I$6-[28]Main!$I$5)*FX!C3</f>
        <v>50.842859999999995</v>
      </c>
      <c r="H109" s="9">
        <f>+F109+G109</f>
        <v>423.80544964799998</v>
      </c>
      <c r="I109" s="10" t="s">
        <v>242</v>
      </c>
      <c r="S109" t="s">
        <v>277</v>
      </c>
    </row>
    <row r="110" spans="1:19" x14ac:dyDescent="0.25">
      <c r="A110" s="2">
        <f t="shared" si="2"/>
        <v>107</v>
      </c>
      <c r="B110" t="s">
        <v>254</v>
      </c>
      <c r="C110" t="s">
        <v>255</v>
      </c>
      <c r="D110" t="s">
        <v>94</v>
      </c>
      <c r="F110" s="8"/>
      <c r="G110" s="8"/>
      <c r="H110" s="8"/>
    </row>
    <row r="111" spans="1:19" x14ac:dyDescent="0.25">
      <c r="A111" s="2">
        <f t="shared" si="2"/>
        <v>108</v>
      </c>
      <c r="B111" t="s">
        <v>256</v>
      </c>
      <c r="C111" t="s">
        <v>257</v>
      </c>
      <c r="D111" t="s">
        <v>153</v>
      </c>
      <c r="F111" s="8"/>
      <c r="G111" s="8"/>
      <c r="H111" s="8"/>
    </row>
    <row r="112" spans="1:19" x14ac:dyDescent="0.25">
      <c r="A112" s="2">
        <f t="shared" si="2"/>
        <v>109</v>
      </c>
      <c r="B112" t="s">
        <v>258</v>
      </c>
      <c r="C112" t="s">
        <v>259</v>
      </c>
      <c r="D112" t="s">
        <v>260</v>
      </c>
      <c r="F112" s="8"/>
      <c r="G112" s="8"/>
      <c r="H112" s="8"/>
    </row>
    <row r="113" spans="6:8" x14ac:dyDescent="0.25">
      <c r="F113" s="8"/>
      <c r="G113" s="8"/>
      <c r="H113" s="8"/>
    </row>
    <row r="114" spans="6:8" x14ac:dyDescent="0.25">
      <c r="F114" s="8"/>
      <c r="G114" s="8"/>
      <c r="H114" s="8"/>
    </row>
    <row r="115" spans="6:8" x14ac:dyDescent="0.25">
      <c r="F115" s="8"/>
      <c r="G115" s="8"/>
      <c r="H115" s="8"/>
    </row>
    <row r="116" spans="6:8" x14ac:dyDescent="0.25">
      <c r="F116" s="8"/>
      <c r="G116" s="8"/>
      <c r="H116" s="8"/>
    </row>
    <row r="117" spans="6:8" x14ac:dyDescent="0.25">
      <c r="F117" s="8"/>
      <c r="G117" s="8"/>
      <c r="H117" s="8"/>
    </row>
    <row r="118" spans="6:8" x14ac:dyDescent="0.25">
      <c r="F118" s="8"/>
      <c r="G118" s="8"/>
      <c r="H118" s="8"/>
    </row>
    <row r="119" spans="6:8" x14ac:dyDescent="0.25">
      <c r="F119" s="8"/>
      <c r="G119" s="8"/>
      <c r="H119" s="8"/>
    </row>
    <row r="120" spans="6:8" x14ac:dyDescent="0.25">
      <c r="F120" s="8"/>
      <c r="G120" s="8"/>
      <c r="H120" s="8"/>
    </row>
    <row r="121" spans="6:8" x14ac:dyDescent="0.25">
      <c r="F121" s="8"/>
      <c r="G121" s="8"/>
      <c r="H121" s="8"/>
    </row>
    <row r="122" spans="6:8" x14ac:dyDescent="0.25">
      <c r="F122" s="8"/>
      <c r="G122" s="8"/>
      <c r="H122" s="8"/>
    </row>
    <row r="123" spans="6:8" x14ac:dyDescent="0.25">
      <c r="F123" s="8"/>
      <c r="G123" s="8"/>
      <c r="H123" s="8"/>
    </row>
    <row r="124" spans="6:8" x14ac:dyDescent="0.25">
      <c r="F124" s="8"/>
      <c r="G124" s="8"/>
      <c r="H124" s="8"/>
    </row>
    <row r="125" spans="6:8" x14ac:dyDescent="0.25">
      <c r="F125" s="8"/>
      <c r="G125" s="8"/>
      <c r="H125" s="8"/>
    </row>
    <row r="126" spans="6:8" x14ac:dyDescent="0.25">
      <c r="F126" s="8"/>
      <c r="G126" s="8"/>
      <c r="H126" s="8"/>
    </row>
    <row r="127" spans="6:8" x14ac:dyDescent="0.25">
      <c r="F127" s="8"/>
      <c r="G127" s="8"/>
      <c r="H127" s="8"/>
    </row>
    <row r="128" spans="6:8" x14ac:dyDescent="0.25">
      <c r="F128" s="8"/>
      <c r="G128" s="8"/>
      <c r="H128" s="8"/>
    </row>
    <row r="129" spans="6:8" x14ac:dyDescent="0.25">
      <c r="F129" s="8"/>
      <c r="G129" s="8"/>
      <c r="H129" s="8"/>
    </row>
    <row r="130" spans="6:8" x14ac:dyDescent="0.25">
      <c r="F130" s="8"/>
      <c r="G130" s="8"/>
      <c r="H130" s="8"/>
    </row>
    <row r="131" spans="6:8" x14ac:dyDescent="0.25">
      <c r="F131" s="8"/>
      <c r="G131" s="8"/>
      <c r="H131" s="8"/>
    </row>
    <row r="132" spans="6:8" x14ac:dyDescent="0.25">
      <c r="F132" s="8"/>
      <c r="G132" s="8"/>
      <c r="H132" s="8"/>
    </row>
    <row r="133" spans="6:8" x14ac:dyDescent="0.25">
      <c r="F133" s="8"/>
      <c r="G133" s="8"/>
      <c r="H133" s="8"/>
    </row>
    <row r="134" spans="6:8" x14ac:dyDescent="0.25">
      <c r="F134" s="8"/>
      <c r="G134" s="8"/>
      <c r="H134" s="8"/>
    </row>
    <row r="135" spans="6:8" x14ac:dyDescent="0.25">
      <c r="F135" s="8"/>
      <c r="G135" s="8"/>
      <c r="H135" s="8"/>
    </row>
    <row r="136" spans="6:8" x14ac:dyDescent="0.25">
      <c r="F136" s="8"/>
      <c r="G136" s="8"/>
      <c r="H136" s="8"/>
    </row>
    <row r="137" spans="6:8" x14ac:dyDescent="0.25">
      <c r="F137" s="8"/>
      <c r="G137" s="8"/>
      <c r="H137" s="8"/>
    </row>
    <row r="138" spans="6:8" x14ac:dyDescent="0.25">
      <c r="F138" s="8"/>
      <c r="G138" s="8"/>
      <c r="H138" s="8"/>
    </row>
    <row r="139" spans="6:8" x14ac:dyDescent="0.25">
      <c r="F139" s="8"/>
      <c r="G139" s="8"/>
      <c r="H139" s="8"/>
    </row>
    <row r="140" spans="6:8" x14ac:dyDescent="0.25">
      <c r="F140" s="8"/>
      <c r="G140" s="8"/>
      <c r="H140" s="8"/>
    </row>
    <row r="141" spans="6:8" x14ac:dyDescent="0.25">
      <c r="F141" s="8"/>
      <c r="G141" s="8"/>
      <c r="H141" s="8"/>
    </row>
    <row r="142" spans="6:8" x14ac:dyDescent="0.25">
      <c r="F142" s="8"/>
      <c r="G142" s="8"/>
      <c r="H142" s="8"/>
    </row>
    <row r="143" spans="6:8" x14ac:dyDescent="0.25">
      <c r="F143" s="8"/>
      <c r="G143" s="8"/>
      <c r="H143" s="8"/>
    </row>
    <row r="144" spans="6:8" x14ac:dyDescent="0.25">
      <c r="F144" s="8"/>
      <c r="G144" s="8"/>
      <c r="H144" s="8"/>
    </row>
    <row r="145" spans="6:8" x14ac:dyDescent="0.25">
      <c r="F145" s="8"/>
      <c r="G145" s="8"/>
      <c r="H145" s="8"/>
    </row>
    <row r="146" spans="6:8" x14ac:dyDescent="0.25">
      <c r="F146" s="8"/>
      <c r="G146" s="8"/>
      <c r="H146" s="8"/>
    </row>
    <row r="147" spans="6:8" x14ac:dyDescent="0.25">
      <c r="F147" s="8"/>
      <c r="G147" s="8"/>
      <c r="H147" s="8"/>
    </row>
    <row r="148" spans="6:8" x14ac:dyDescent="0.25">
      <c r="F148" s="8"/>
      <c r="G148" s="8"/>
      <c r="H148" s="8"/>
    </row>
    <row r="149" spans="6:8" x14ac:dyDescent="0.25">
      <c r="F149" s="8"/>
      <c r="G149" s="8"/>
      <c r="H149" s="8"/>
    </row>
    <row r="150" spans="6:8" x14ac:dyDescent="0.25">
      <c r="F150" s="8"/>
      <c r="G150" s="8"/>
      <c r="H150" s="8"/>
    </row>
    <row r="151" spans="6:8" x14ac:dyDescent="0.25">
      <c r="F151" s="8"/>
      <c r="G151" s="8"/>
      <c r="H151" s="8"/>
    </row>
    <row r="152" spans="6:8" x14ac:dyDescent="0.25">
      <c r="F152" s="8"/>
      <c r="G152" s="8"/>
      <c r="H152" s="8"/>
    </row>
    <row r="153" spans="6:8" x14ac:dyDescent="0.25">
      <c r="F153" s="8"/>
      <c r="G153" s="8"/>
      <c r="H153" s="8"/>
    </row>
    <row r="154" spans="6:8" x14ac:dyDescent="0.25">
      <c r="F154" s="8"/>
      <c r="G154" s="8"/>
      <c r="H154" s="8"/>
    </row>
    <row r="155" spans="6:8" x14ac:dyDescent="0.25">
      <c r="F155" s="8"/>
      <c r="G155" s="8"/>
      <c r="H155" s="8"/>
    </row>
    <row r="156" spans="6:8" x14ac:dyDescent="0.25">
      <c r="F156" s="8"/>
      <c r="G156" s="8"/>
      <c r="H156" s="8"/>
    </row>
    <row r="157" spans="6:8" x14ac:dyDescent="0.25">
      <c r="F157" s="8"/>
      <c r="G157" s="8"/>
      <c r="H157" s="8"/>
    </row>
    <row r="158" spans="6:8" x14ac:dyDescent="0.25">
      <c r="F158" s="8"/>
      <c r="G158" s="8"/>
      <c r="H158" s="8"/>
    </row>
    <row r="159" spans="6:8" x14ac:dyDescent="0.25">
      <c r="F159" s="8"/>
      <c r="G159" s="8"/>
      <c r="H159" s="8"/>
    </row>
    <row r="160" spans="6:8" x14ac:dyDescent="0.25">
      <c r="F160" s="8"/>
      <c r="G160" s="8"/>
      <c r="H160" s="8"/>
    </row>
    <row r="161" spans="6:8" x14ac:dyDescent="0.25">
      <c r="F161" s="8"/>
      <c r="G161" s="8"/>
      <c r="H161" s="8"/>
    </row>
    <row r="162" spans="6:8" x14ac:dyDescent="0.25">
      <c r="F162" s="8"/>
      <c r="G162" s="8"/>
      <c r="H162" s="8"/>
    </row>
    <row r="163" spans="6:8" x14ac:dyDescent="0.25">
      <c r="F163" s="8"/>
      <c r="G163" s="8"/>
      <c r="H163" s="8"/>
    </row>
    <row r="164" spans="6:8" x14ac:dyDescent="0.25">
      <c r="F164" s="8"/>
      <c r="G164" s="8"/>
      <c r="H164" s="8"/>
    </row>
    <row r="165" spans="6:8" x14ac:dyDescent="0.25">
      <c r="F165" s="8"/>
      <c r="G165" s="8"/>
      <c r="H165" s="8"/>
    </row>
    <row r="166" spans="6:8" x14ac:dyDescent="0.25">
      <c r="F166" s="8"/>
      <c r="G166" s="8"/>
      <c r="H166" s="8"/>
    </row>
    <row r="167" spans="6:8" x14ac:dyDescent="0.25">
      <c r="F167" s="8"/>
      <c r="G167" s="8"/>
      <c r="H167" s="8"/>
    </row>
    <row r="168" spans="6:8" x14ac:dyDescent="0.25">
      <c r="F168" s="8"/>
      <c r="G168" s="8"/>
      <c r="H168" s="8"/>
    </row>
    <row r="169" spans="6:8" x14ac:dyDescent="0.25">
      <c r="F169" s="8"/>
      <c r="G169" s="8"/>
      <c r="H169" s="8"/>
    </row>
    <row r="170" spans="6:8" x14ac:dyDescent="0.25">
      <c r="F170" s="8"/>
      <c r="G170" s="8"/>
      <c r="H170" s="8"/>
    </row>
    <row r="171" spans="6:8" x14ac:dyDescent="0.25">
      <c r="F171" s="8"/>
      <c r="G171" s="8"/>
      <c r="H171" s="8"/>
    </row>
    <row r="172" spans="6:8" x14ac:dyDescent="0.25">
      <c r="F172" s="8"/>
      <c r="G172" s="8"/>
      <c r="H172" s="8"/>
    </row>
    <row r="173" spans="6:8" x14ac:dyDescent="0.25">
      <c r="F173" s="8"/>
      <c r="G173" s="8"/>
      <c r="H173" s="8"/>
    </row>
    <row r="174" spans="6:8" x14ac:dyDescent="0.25">
      <c r="F174" s="8"/>
      <c r="G174" s="8"/>
      <c r="H174" s="8"/>
    </row>
    <row r="175" spans="6:8" x14ac:dyDescent="0.25">
      <c r="F175" s="8"/>
      <c r="G175" s="8"/>
      <c r="H175" s="8"/>
    </row>
    <row r="176" spans="6:8" x14ac:dyDescent="0.25">
      <c r="F176" s="8"/>
      <c r="G176" s="8"/>
      <c r="H176" s="8"/>
    </row>
    <row r="177" spans="6:8" x14ac:dyDescent="0.25">
      <c r="F177" s="8"/>
      <c r="G177" s="8"/>
      <c r="H177" s="8"/>
    </row>
    <row r="178" spans="6:8" x14ac:dyDescent="0.25">
      <c r="F178" s="8"/>
      <c r="G178" s="8"/>
      <c r="H178" s="8"/>
    </row>
    <row r="179" spans="6:8" x14ac:dyDescent="0.25">
      <c r="F179" s="8"/>
      <c r="G179" s="8"/>
      <c r="H179" s="8"/>
    </row>
    <row r="180" spans="6:8" x14ac:dyDescent="0.25">
      <c r="F180" s="8"/>
      <c r="G180" s="8"/>
      <c r="H180" s="8"/>
    </row>
    <row r="181" spans="6:8" x14ac:dyDescent="0.25">
      <c r="F181" s="8"/>
      <c r="G181" s="8"/>
      <c r="H181" s="8"/>
    </row>
    <row r="182" spans="6:8" x14ac:dyDescent="0.25">
      <c r="F182" s="8"/>
      <c r="G182" s="8"/>
      <c r="H182" s="8"/>
    </row>
    <row r="183" spans="6:8" x14ac:dyDescent="0.25">
      <c r="F183" s="8"/>
      <c r="G183" s="8"/>
      <c r="H183" s="8"/>
    </row>
    <row r="184" spans="6:8" x14ac:dyDescent="0.25">
      <c r="F184" s="8"/>
      <c r="G184" s="8"/>
      <c r="H184" s="8"/>
    </row>
    <row r="185" spans="6:8" x14ac:dyDescent="0.25">
      <c r="F185" s="8"/>
      <c r="G185" s="8"/>
      <c r="H185" s="8"/>
    </row>
    <row r="186" spans="6:8" x14ac:dyDescent="0.25">
      <c r="F186" s="8"/>
      <c r="G186" s="8"/>
      <c r="H186" s="8"/>
    </row>
    <row r="187" spans="6:8" x14ac:dyDescent="0.25">
      <c r="F187" s="8"/>
      <c r="G187" s="8"/>
      <c r="H187" s="8"/>
    </row>
    <row r="188" spans="6:8" x14ac:dyDescent="0.25">
      <c r="F188" s="8"/>
      <c r="G188" s="8"/>
      <c r="H188" s="8"/>
    </row>
    <row r="189" spans="6:8" x14ac:dyDescent="0.25">
      <c r="F189" s="8"/>
      <c r="G189" s="8"/>
      <c r="H189" s="8"/>
    </row>
    <row r="190" spans="6:8" x14ac:dyDescent="0.25">
      <c r="F190" s="8"/>
      <c r="G190" s="8"/>
      <c r="H190" s="8"/>
    </row>
    <row r="191" spans="6:8" x14ac:dyDescent="0.25">
      <c r="F191" s="8"/>
      <c r="G191" s="8"/>
      <c r="H191" s="8"/>
    </row>
    <row r="192" spans="6:8" x14ac:dyDescent="0.25">
      <c r="F192" s="8"/>
      <c r="G192" s="8"/>
      <c r="H192" s="8"/>
    </row>
    <row r="193" spans="6:8" x14ac:dyDescent="0.25">
      <c r="F193" s="8"/>
      <c r="G193" s="8"/>
      <c r="H193" s="8"/>
    </row>
    <row r="194" spans="6:8" x14ac:dyDescent="0.25">
      <c r="F194" s="8"/>
      <c r="G194" s="8"/>
      <c r="H194" s="8"/>
    </row>
    <row r="195" spans="6:8" x14ac:dyDescent="0.25">
      <c r="F195" s="8"/>
      <c r="G195" s="8"/>
      <c r="H195" s="8"/>
    </row>
    <row r="196" spans="6:8" x14ac:dyDescent="0.25">
      <c r="F196" s="8"/>
      <c r="G196" s="8"/>
      <c r="H196" s="8"/>
    </row>
    <row r="197" spans="6:8" x14ac:dyDescent="0.25">
      <c r="F197" s="8"/>
      <c r="G197" s="8"/>
      <c r="H197" s="8"/>
    </row>
    <row r="198" spans="6:8" x14ac:dyDescent="0.25">
      <c r="F198" s="8"/>
      <c r="G198" s="8"/>
      <c r="H198" s="8"/>
    </row>
    <row r="199" spans="6:8" x14ac:dyDescent="0.25">
      <c r="F199" s="8"/>
      <c r="G199" s="8"/>
      <c r="H199" s="8"/>
    </row>
    <row r="200" spans="6:8" x14ac:dyDescent="0.25">
      <c r="F200" s="8"/>
      <c r="G200" s="8"/>
      <c r="H200" s="8"/>
    </row>
    <row r="201" spans="6:8" x14ac:dyDescent="0.25">
      <c r="F201" s="8"/>
      <c r="G201" s="8"/>
      <c r="H201" s="8"/>
    </row>
    <row r="202" spans="6:8" x14ac:dyDescent="0.25">
      <c r="F202" s="8"/>
      <c r="G202" s="8"/>
      <c r="H202" s="8"/>
    </row>
    <row r="203" spans="6:8" x14ac:dyDescent="0.25">
      <c r="F203" s="8"/>
      <c r="G203" s="8"/>
      <c r="H203" s="8"/>
    </row>
    <row r="204" spans="6:8" x14ac:dyDescent="0.25">
      <c r="F204" s="8"/>
      <c r="G204" s="8"/>
      <c r="H204" s="8"/>
    </row>
    <row r="205" spans="6:8" x14ac:dyDescent="0.25">
      <c r="F205" s="8"/>
      <c r="G205" s="8"/>
      <c r="H205" s="8"/>
    </row>
    <row r="206" spans="6:8" x14ac:dyDescent="0.25">
      <c r="F206" s="8"/>
      <c r="G206" s="8"/>
      <c r="H206" s="8"/>
    </row>
    <row r="207" spans="6:8" x14ac:dyDescent="0.25">
      <c r="F207" s="8"/>
      <c r="G207" s="8"/>
      <c r="H207" s="8"/>
    </row>
    <row r="208" spans="6:8" x14ac:dyDescent="0.25">
      <c r="F208" s="8"/>
      <c r="G208" s="8"/>
      <c r="H208" s="8"/>
    </row>
    <row r="209" spans="6:8" x14ac:dyDescent="0.25">
      <c r="F209" s="8"/>
      <c r="G209" s="8"/>
      <c r="H209" s="8"/>
    </row>
    <row r="210" spans="6:8" x14ac:dyDescent="0.25">
      <c r="F210" s="8"/>
      <c r="G210" s="8"/>
      <c r="H210" s="8"/>
    </row>
    <row r="211" spans="6:8" x14ac:dyDescent="0.25">
      <c r="F211" s="8"/>
      <c r="G211" s="8"/>
      <c r="H211" s="8"/>
    </row>
    <row r="212" spans="6:8" x14ac:dyDescent="0.25">
      <c r="F212" s="8"/>
      <c r="G212" s="8"/>
      <c r="H212" s="8"/>
    </row>
    <row r="213" spans="6:8" x14ac:dyDescent="0.25">
      <c r="F213" s="8"/>
      <c r="G213" s="8"/>
      <c r="H213" s="8"/>
    </row>
    <row r="214" spans="6:8" x14ac:dyDescent="0.25">
      <c r="F214" s="8"/>
      <c r="G214" s="8"/>
      <c r="H214" s="8"/>
    </row>
    <row r="215" spans="6:8" x14ac:dyDescent="0.25">
      <c r="F215" s="8"/>
      <c r="G215" s="8"/>
      <c r="H215" s="8"/>
    </row>
    <row r="216" spans="6:8" x14ac:dyDescent="0.25">
      <c r="F216" s="8"/>
      <c r="G216" s="8"/>
      <c r="H216" s="8"/>
    </row>
    <row r="217" spans="6:8" x14ac:dyDescent="0.25">
      <c r="F217" s="8"/>
      <c r="G217" s="8"/>
      <c r="H217" s="8"/>
    </row>
    <row r="218" spans="6:8" x14ac:dyDescent="0.25">
      <c r="F218" s="8"/>
      <c r="G218" s="8"/>
      <c r="H218" s="8"/>
    </row>
    <row r="219" spans="6:8" x14ac:dyDescent="0.25">
      <c r="F219" s="8"/>
      <c r="G219" s="8"/>
      <c r="H219" s="8"/>
    </row>
    <row r="220" spans="6:8" x14ac:dyDescent="0.25">
      <c r="F220" s="8"/>
      <c r="G220" s="8"/>
      <c r="H220" s="8"/>
    </row>
    <row r="221" spans="6:8" x14ac:dyDescent="0.25">
      <c r="F221" s="8"/>
      <c r="G221" s="8"/>
      <c r="H221" s="8"/>
    </row>
    <row r="222" spans="6:8" x14ac:dyDescent="0.25">
      <c r="F222" s="8"/>
      <c r="G222" s="8"/>
      <c r="H222" s="8"/>
    </row>
    <row r="223" spans="6:8" x14ac:dyDescent="0.25">
      <c r="F223" s="8"/>
      <c r="G223" s="8"/>
      <c r="H223" s="8"/>
    </row>
    <row r="224" spans="6:8" x14ac:dyDescent="0.25">
      <c r="F224" s="8"/>
      <c r="G224" s="8"/>
      <c r="H224" s="8"/>
    </row>
  </sheetData>
  <hyperlinks>
    <hyperlink ref="B5" r:id="rId1" xr:uid="{28DCB031-FE72-4DDD-A270-8F54C33B0D07}"/>
    <hyperlink ref="B4" r:id="rId2" xr:uid="{26E5ABC1-BB04-437E-9206-F1C20901DED0}"/>
    <hyperlink ref="B23" r:id="rId3" xr:uid="{90530EB5-2052-4CB4-AF13-B31111EBF67A}"/>
    <hyperlink ref="B22" r:id="rId4" xr:uid="{7F153815-6E43-4099-8156-DC87E23678F8}"/>
    <hyperlink ref="B19" r:id="rId5" xr:uid="{5DC12985-47BA-47C6-AD3C-158905087A9F}"/>
    <hyperlink ref="B16" r:id="rId6" xr:uid="{EF84B852-0E40-42BE-B540-DAB2CF38A7D8}"/>
    <hyperlink ref="B25" r:id="rId7" xr:uid="{0B1A5131-7333-432D-A872-CF71A7AC0540}"/>
    <hyperlink ref="B17" r:id="rId8" xr:uid="{B0DA5556-145A-4727-8860-850C98EAB410}"/>
    <hyperlink ref="B26" r:id="rId9" xr:uid="{1C45EE99-8D08-4692-8B5C-4824C1CCC008}"/>
    <hyperlink ref="B15" r:id="rId10" xr:uid="{6B4B6886-7033-490D-8BAB-89F16B58D022}"/>
    <hyperlink ref="B40" r:id="rId11" xr:uid="{01B4B332-C402-42FD-907A-B7441FE22791}"/>
    <hyperlink ref="B6" r:id="rId12" xr:uid="{29A8336F-7A8A-440D-81B6-8D61FB9E952D}"/>
    <hyperlink ref="B20" r:id="rId13" xr:uid="{34693E39-C404-4A29-AF6E-04DFA48973B1}"/>
    <hyperlink ref="B7" r:id="rId14" xr:uid="{AEC84F4B-AC96-4B2C-9742-70964CE88355}"/>
    <hyperlink ref="B8" r:id="rId15" xr:uid="{555CADF4-767E-4280-A32C-DE081D369605}"/>
    <hyperlink ref="B9" r:id="rId16" xr:uid="{ED0367BF-991D-42F3-9917-454450529D69}"/>
    <hyperlink ref="B49" r:id="rId17" xr:uid="{A2CCB87B-50A6-4FAC-A784-BCC99C531A0C}"/>
    <hyperlink ref="B107" r:id="rId18" xr:uid="{924ECF37-F972-4517-97AA-A46CB7071D84}"/>
    <hyperlink ref="B109" r:id="rId19" xr:uid="{32F77D75-54CA-47B0-850A-36529751389F}"/>
    <hyperlink ref="B38" r:id="rId20" xr:uid="{56071FD0-D9F8-4DBC-B271-5B6B3208455E}"/>
    <hyperlink ref="B10" r:id="rId21" xr:uid="{4E90805E-1BC8-4B3F-BBEA-AFE55F664C5A}"/>
    <hyperlink ref="B29" r:id="rId22" xr:uid="{C7A221F5-614C-4C4A-B853-965FC1172BC6}"/>
    <hyperlink ref="B21" r:id="rId23" xr:uid="{36029B94-59A5-4E11-BE00-520EEA9982EA}"/>
    <hyperlink ref="B31" r:id="rId24" xr:uid="{456E081E-4795-42B4-A042-215BC3BDE8AD}"/>
    <hyperlink ref="B104" r:id="rId25" xr:uid="{6D51229C-82B9-4B3B-8BCD-7E2D8D8D1697}"/>
    <hyperlink ref="B28" r:id="rId26" xr:uid="{725EC800-EAC4-45CD-844A-DCF52C2E49D3}"/>
    <hyperlink ref="B56" r:id="rId27" xr:uid="{34044582-871E-46CA-BEE4-6F8CE2992A03}"/>
    <hyperlink ref="B46" r:id="rId28" xr:uid="{373784ED-2071-41B3-AA12-4F7A1FE107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9CA2-CEEF-4FD9-95A4-95A07D05EBFE}">
  <dimension ref="A1:K22"/>
  <sheetViews>
    <sheetView zoomScale="200" zoomScaleNormal="200" workbookViewId="0">
      <selection activeCell="G13" sqref="G13"/>
    </sheetView>
  </sheetViews>
  <sheetFormatPr defaultRowHeight="15" x14ac:dyDescent="0.25"/>
  <cols>
    <col min="1" max="1" width="4.42578125" customWidth="1"/>
    <col min="2" max="2" width="16.42578125" bestFit="1" customWidth="1"/>
    <col min="6" max="6" width="10.7109375" bestFit="1" customWidth="1"/>
    <col min="8" max="8" width="9.5703125" bestFit="1" customWidth="1"/>
  </cols>
  <sheetData>
    <row r="1" spans="1:11" x14ac:dyDescent="0.25">
      <c r="A1" s="6" t="s">
        <v>472</v>
      </c>
    </row>
    <row r="2" spans="1:11" x14ac:dyDescent="0.25">
      <c r="A2" t="s">
        <v>281</v>
      </c>
    </row>
    <row r="3" spans="1:11" x14ac:dyDescent="0.25">
      <c r="A3" s="14" t="s">
        <v>138</v>
      </c>
      <c r="B3" s="15" t="s">
        <v>0</v>
      </c>
      <c r="C3" s="15" t="s">
        <v>282</v>
      </c>
      <c r="D3" s="15" t="s">
        <v>21</v>
      </c>
      <c r="E3" s="15" t="s">
        <v>4</v>
      </c>
      <c r="F3" s="15" t="s">
        <v>283</v>
      </c>
      <c r="G3" s="15" t="s">
        <v>53</v>
      </c>
      <c r="H3" s="15" t="s">
        <v>5</v>
      </c>
      <c r="I3" s="15" t="s">
        <v>284</v>
      </c>
      <c r="J3" s="19"/>
      <c r="K3" s="20"/>
    </row>
    <row r="4" spans="1:11" x14ac:dyDescent="0.25">
      <c r="B4" s="20" t="s">
        <v>285</v>
      </c>
      <c r="C4" s="1"/>
      <c r="D4" s="1"/>
      <c r="E4" s="21"/>
      <c r="F4" s="21"/>
      <c r="G4" s="21"/>
      <c r="H4" s="21"/>
      <c r="I4" s="22"/>
      <c r="J4" s="1"/>
      <c r="K4" s="1"/>
    </row>
    <row r="5" spans="1:11" x14ac:dyDescent="0.25">
      <c r="A5" s="2">
        <v>1</v>
      </c>
      <c r="B5" s="6" t="s">
        <v>286</v>
      </c>
      <c r="C5" s="1" t="s">
        <v>287</v>
      </c>
      <c r="D5" s="1" t="s">
        <v>22</v>
      </c>
      <c r="E5" s="21">
        <f>+[29]Main!$H$2</f>
        <v>559.02</v>
      </c>
      <c r="F5" s="21">
        <f>+[29]Main!$H$4</f>
        <v>4155288.66918858</v>
      </c>
      <c r="G5" s="21">
        <f>+[29]Main!$H$6-[29]Main!$H$5</f>
        <v>-54413</v>
      </c>
      <c r="H5" s="21">
        <f t="shared" ref="H5:H18" si="0">+F5+G5</f>
        <v>4100875.66918858</v>
      </c>
      <c r="I5" s="22" t="s">
        <v>241</v>
      </c>
      <c r="J5" s="1"/>
      <c r="K5" s="1"/>
    </row>
    <row r="6" spans="1:11" x14ac:dyDescent="0.25">
      <c r="A6" s="2">
        <f>+A5+1</f>
        <v>2</v>
      </c>
      <c r="B6" s="6" t="s">
        <v>288</v>
      </c>
      <c r="C6" t="s">
        <v>289</v>
      </c>
      <c r="D6" t="s">
        <v>26</v>
      </c>
      <c r="E6" s="21">
        <f>+[30]Main!$G$2</f>
        <v>373.4</v>
      </c>
      <c r="F6" s="21">
        <f>+[30]Main!$G$4*FX!C6</f>
        <v>475516.08776000002</v>
      </c>
      <c r="G6" s="21">
        <f>+([30]Main!$G$6-[30]Main!$G$5)*FX!C6</f>
        <v>-20873.440000000002</v>
      </c>
      <c r="H6" s="21">
        <f t="shared" si="0"/>
        <v>454642.64776000002</v>
      </c>
      <c r="I6" s="10" t="s">
        <v>240</v>
      </c>
    </row>
    <row r="7" spans="1:11" x14ac:dyDescent="0.25">
      <c r="A7" s="2">
        <f t="shared" ref="A7:A18" si="1">+A6+1</f>
        <v>3</v>
      </c>
      <c r="B7" s="6" t="s">
        <v>11</v>
      </c>
      <c r="C7" t="s">
        <v>12</v>
      </c>
      <c r="D7" t="s">
        <v>23</v>
      </c>
      <c r="E7" s="21">
        <f>+[4]Main!$H$2</f>
        <v>3214</v>
      </c>
      <c r="F7" s="21">
        <f>+[4]Main!$H$4*FX!C2</f>
        <v>124966.1644815872</v>
      </c>
      <c r="G7" s="21">
        <f>+([4]Main!$H$6-[4]Main!$H$5)*FX!C2</f>
        <v>12550.617600000001</v>
      </c>
      <c r="H7" s="21">
        <f t="shared" si="0"/>
        <v>137516.78208158721</v>
      </c>
      <c r="I7" s="10" t="s">
        <v>244</v>
      </c>
    </row>
    <row r="8" spans="1:11" x14ac:dyDescent="0.25">
      <c r="A8" s="2">
        <f t="shared" si="1"/>
        <v>4</v>
      </c>
      <c r="B8" s="6" t="s">
        <v>290</v>
      </c>
      <c r="C8" t="s">
        <v>291</v>
      </c>
      <c r="D8" t="s">
        <v>23</v>
      </c>
      <c r="E8" s="21">
        <f>+[6]Main!$I$2</f>
        <v>10935</v>
      </c>
      <c r="F8" s="21">
        <f>+[6]Main!$I$4*FX!C2</f>
        <v>90887.520960000009</v>
      </c>
      <c r="G8" s="21">
        <f>+([6]Main!$I$6-[6]Main!$I$5)*FX!C2</f>
        <v>-9499.84</v>
      </c>
      <c r="H8" s="21">
        <f t="shared" si="0"/>
        <v>81387.680960000012</v>
      </c>
      <c r="I8" s="10" t="s">
        <v>292</v>
      </c>
    </row>
    <row r="9" spans="1:11" x14ac:dyDescent="0.25">
      <c r="A9" s="2">
        <f t="shared" si="1"/>
        <v>5</v>
      </c>
      <c r="B9" s="6" t="s">
        <v>293</v>
      </c>
      <c r="C9" t="s">
        <v>20</v>
      </c>
      <c r="D9" t="s">
        <v>26</v>
      </c>
      <c r="E9" s="21">
        <f>+[31]Main!$I$2</f>
        <v>2123</v>
      </c>
      <c r="F9" s="21">
        <f>+[32]Main!$H$5*FX!C6</f>
        <v>65131.275185760009</v>
      </c>
      <c r="G9" s="21">
        <f>+([32]Main!$H$7-[32]Main!$H$6)*FX!C6</f>
        <v>-16042.82638</v>
      </c>
      <c r="H9" s="21">
        <f t="shared" si="0"/>
        <v>49088.44880576001</v>
      </c>
      <c r="I9" s="10" t="s">
        <v>247</v>
      </c>
    </row>
    <row r="10" spans="1:11" x14ac:dyDescent="0.25">
      <c r="A10" s="2">
        <f t="shared" si="1"/>
        <v>6</v>
      </c>
      <c r="B10" s="6" t="s">
        <v>17</v>
      </c>
      <c r="C10" t="s">
        <v>18</v>
      </c>
      <c r="D10" t="s">
        <v>25</v>
      </c>
      <c r="E10" s="21">
        <f>+[7]Main!$I$2</f>
        <v>141.63</v>
      </c>
      <c r="F10" s="21">
        <f>+[7]Main!$I$4</f>
        <v>82151.979704910002</v>
      </c>
      <c r="G10" s="21">
        <f>+[7]Main!$I$6-[7]Main!$I$5</f>
        <v>1013.5080000000007</v>
      </c>
      <c r="H10" s="21">
        <f t="shared" si="0"/>
        <v>83165.487704910003</v>
      </c>
      <c r="I10" s="10" t="s">
        <v>247</v>
      </c>
    </row>
    <row r="11" spans="1:11" x14ac:dyDescent="0.25">
      <c r="A11" s="2">
        <f t="shared" si="1"/>
        <v>7</v>
      </c>
      <c r="B11" s="6" t="s">
        <v>36</v>
      </c>
      <c r="C11" t="s">
        <v>37</v>
      </c>
      <c r="D11" t="s">
        <v>22</v>
      </c>
      <c r="E11" s="21">
        <f>+[8]Main!$I$2</f>
        <v>173.3</v>
      </c>
      <c r="F11" s="21">
        <f>+[8]Main!$I$4</f>
        <v>43360.925609900005</v>
      </c>
      <c r="G11" s="21">
        <f>+[8]Main!$I$6-[8]Main!$I$5</f>
        <v>-1230</v>
      </c>
      <c r="H11" s="21">
        <f t="shared" si="0"/>
        <v>42130.925609900005</v>
      </c>
      <c r="I11" s="10" t="s">
        <v>241</v>
      </c>
    </row>
    <row r="12" spans="1:11" x14ac:dyDescent="0.25">
      <c r="A12" s="2">
        <f t="shared" si="1"/>
        <v>8</v>
      </c>
      <c r="B12" s="6" t="s">
        <v>294</v>
      </c>
      <c r="C12" t="s">
        <v>45</v>
      </c>
      <c r="D12" t="s">
        <v>22</v>
      </c>
      <c r="E12" s="21">
        <f>+[11]Main!$L$3</f>
        <v>228.01</v>
      </c>
      <c r="F12" s="21">
        <f>+[11]Main!$L$5</f>
        <v>42061.053038120001</v>
      </c>
      <c r="G12" s="21">
        <f>+[11]Main!$L$7-[11]Main!$L$6</f>
        <v>1030</v>
      </c>
      <c r="H12" s="21">
        <f t="shared" si="0"/>
        <v>43091.053038120001</v>
      </c>
      <c r="I12" s="10" t="s">
        <v>241</v>
      </c>
    </row>
    <row r="13" spans="1:11" x14ac:dyDescent="0.25">
      <c r="A13" s="2">
        <f t="shared" si="1"/>
        <v>9</v>
      </c>
      <c r="B13" s="6" t="s">
        <v>38</v>
      </c>
      <c r="C13" t="s">
        <v>39</v>
      </c>
      <c r="D13" t="s">
        <v>22</v>
      </c>
      <c r="E13" s="21">
        <f>+[9]Main!$H$2</f>
        <v>58.14</v>
      </c>
      <c r="F13" s="21">
        <f>+[9]Main!$H$4</f>
        <v>38796.821127900002</v>
      </c>
      <c r="G13" s="21">
        <f>+[9]Main!$H$6-[9]Main!$H$5</f>
        <v>-1403.174</v>
      </c>
      <c r="H13" s="21">
        <f t="shared" si="0"/>
        <v>37393.647127900003</v>
      </c>
      <c r="I13" s="10" t="s">
        <v>295</v>
      </c>
    </row>
    <row r="14" spans="1:11" x14ac:dyDescent="0.25">
      <c r="A14" s="2">
        <f t="shared" si="1"/>
        <v>10</v>
      </c>
      <c r="B14" s="6" t="s">
        <v>296</v>
      </c>
      <c r="C14" t="s">
        <v>49</v>
      </c>
      <c r="D14" t="s">
        <v>50</v>
      </c>
      <c r="E14" s="21">
        <f>+[13]Main!$I$2</f>
        <v>66.67</v>
      </c>
      <c r="F14" s="21">
        <f>+[13]Main!$I$4*FX!C5</f>
        <v>26732.303286336904</v>
      </c>
      <c r="G14" s="21">
        <f>+([13]Main!$I$6-[13]Main!$I$5)*FX!C5</f>
        <v>718.45199999999988</v>
      </c>
      <c r="H14" s="21">
        <f t="shared" si="0"/>
        <v>27450.755286336906</v>
      </c>
      <c r="I14" s="10" t="s">
        <v>247</v>
      </c>
    </row>
    <row r="15" spans="1:11" x14ac:dyDescent="0.25">
      <c r="A15" s="2">
        <f t="shared" si="1"/>
        <v>11</v>
      </c>
      <c r="B15" s="6" t="s">
        <v>67</v>
      </c>
      <c r="C15" t="s">
        <v>69</v>
      </c>
      <c r="D15" t="s">
        <v>23</v>
      </c>
      <c r="E15" s="21">
        <f>+[31]Main!$I$2</f>
        <v>2123</v>
      </c>
      <c r="F15" s="21">
        <f>+[31]Main!$I$4*FX!C2</f>
        <v>11429.0165977856</v>
      </c>
      <c r="G15" s="21">
        <f>+([31]Main!$I$6-[31]Main!$I$5)*FX!C2</f>
        <v>-2117.3888000000002</v>
      </c>
      <c r="H15" s="21">
        <f t="shared" si="0"/>
        <v>9311.6277977855989</v>
      </c>
      <c r="I15" s="10" t="s">
        <v>247</v>
      </c>
    </row>
    <row r="16" spans="1:11" x14ac:dyDescent="0.25">
      <c r="A16" s="2">
        <f t="shared" si="1"/>
        <v>12</v>
      </c>
      <c r="B16" s="6" t="s">
        <v>64</v>
      </c>
      <c r="C16" t="s">
        <v>65</v>
      </c>
      <c r="D16" t="s">
        <v>23</v>
      </c>
      <c r="E16" s="21">
        <f>+[18]Main!$I$2</f>
        <v>5241</v>
      </c>
      <c r="F16" s="21">
        <f>+[18]Main!$I$4*FX!C2</f>
        <v>21944.563863571202</v>
      </c>
      <c r="G16" s="21">
        <f>+([18]Main!$I$6-[18]Main!$I$5)*FX!C2</f>
        <v>-2059.9551999999999</v>
      </c>
      <c r="H16" s="21">
        <f t="shared" si="0"/>
        <v>19884.608663571202</v>
      </c>
      <c r="I16" s="10" t="s">
        <v>297</v>
      </c>
    </row>
    <row r="17" spans="1:9" x14ac:dyDescent="0.25">
      <c r="A17" s="2">
        <f t="shared" si="1"/>
        <v>13</v>
      </c>
      <c r="B17" s="6" t="s">
        <v>66</v>
      </c>
      <c r="C17" t="s">
        <v>68</v>
      </c>
      <c r="D17" t="s">
        <v>23</v>
      </c>
      <c r="E17" s="21">
        <f>+[19]Main!$I$2</f>
        <v>16735</v>
      </c>
      <c r="F17" s="21">
        <f>+[19]Main!$I$4*FX!C2</f>
        <v>14518.749837375999</v>
      </c>
      <c r="G17" s="21">
        <f>+([19]Main!$I$6-[19]Main!$I$5)*FX!C2</f>
        <v>-1445.152</v>
      </c>
      <c r="H17" s="21">
        <f t="shared" si="0"/>
        <v>13073.597837375999</v>
      </c>
      <c r="I17" s="10" t="s">
        <v>297</v>
      </c>
    </row>
    <row r="18" spans="1:9" x14ac:dyDescent="0.25">
      <c r="A18" s="2">
        <f t="shared" si="1"/>
        <v>14</v>
      </c>
      <c r="B18" s="6" t="s">
        <v>227</v>
      </c>
      <c r="C18" t="s">
        <v>228</v>
      </c>
      <c r="D18" t="s">
        <v>94</v>
      </c>
      <c r="E18" s="21">
        <f>+[33]Main!$H$2</f>
        <v>12.11</v>
      </c>
      <c r="F18" s="21">
        <f>+[33]Main!$H$4*FX!C3</f>
        <v>1601.5717199999999</v>
      </c>
      <c r="G18" s="21">
        <f>+([33]Main!$H$6-[33]Main!$H$5)*FX!C3</f>
        <v>1343.7380000000003</v>
      </c>
      <c r="H18" s="21">
        <f t="shared" si="0"/>
        <v>2945.3097200000002</v>
      </c>
      <c r="I18" s="10" t="s">
        <v>247</v>
      </c>
    </row>
    <row r="19" spans="1:9" x14ac:dyDescent="0.25">
      <c r="A19" s="2"/>
      <c r="E19" s="21"/>
      <c r="F19" s="21"/>
      <c r="G19" s="21"/>
      <c r="H19" s="21"/>
      <c r="I19" s="10"/>
    </row>
    <row r="20" spans="1:9" x14ac:dyDescent="0.25">
      <c r="A20" s="2"/>
      <c r="B20" s="20" t="s">
        <v>298</v>
      </c>
      <c r="E20" s="21"/>
      <c r="F20" s="21"/>
      <c r="G20" s="21"/>
      <c r="H20" s="21"/>
      <c r="I20" s="10"/>
    </row>
    <row r="21" spans="1:9" x14ac:dyDescent="0.25">
      <c r="A21" s="2"/>
      <c r="B21" s="6" t="s">
        <v>299</v>
      </c>
      <c r="C21" t="s">
        <v>300</v>
      </c>
      <c r="D21" t="s">
        <v>22</v>
      </c>
      <c r="E21" s="21">
        <f>+[34]Main!$J$2</f>
        <v>21.7</v>
      </c>
      <c r="F21" s="21">
        <f>+[34]Main!$J$4</f>
        <v>9701.7223876999997</v>
      </c>
      <c r="G21" s="21">
        <f>+[34]Main!$J$6-[34]Main!$J$5</f>
        <v>-4758</v>
      </c>
      <c r="H21" s="21">
        <f>+F21+G21</f>
        <v>4943.7223876999997</v>
      </c>
      <c r="I21" s="10" t="s">
        <v>247</v>
      </c>
    </row>
    <row r="22" spans="1:9" x14ac:dyDescent="0.25">
      <c r="A22" s="2"/>
      <c r="E22" s="21"/>
      <c r="F22" s="21"/>
      <c r="G22" s="21"/>
      <c r="H22" s="21"/>
      <c r="I22" s="10"/>
    </row>
  </sheetData>
  <hyperlinks>
    <hyperlink ref="B13" r:id="rId1" xr:uid="{4DA0D4F9-A10D-4F2C-9673-1C7C9DFA14B7}"/>
    <hyperlink ref="B11" r:id="rId2" xr:uid="{DE7FC94B-E863-44FA-B05D-A09E8059D064}"/>
    <hyperlink ref="B12" r:id="rId3" xr:uid="{83D2F9E6-7F59-45C8-ABCB-36BFB2B80A02}"/>
    <hyperlink ref="B18" r:id="rId4" xr:uid="{8D062EDA-193B-436B-A150-5E852E1612CF}"/>
    <hyperlink ref="B5" r:id="rId5" xr:uid="{6DD27344-D3DB-427C-B181-DB1BDCBB6748}"/>
    <hyperlink ref="B16" r:id="rId6" xr:uid="{EB14C990-A897-4E56-A2D8-AE626C8C91F2}"/>
    <hyperlink ref="B17" r:id="rId7" xr:uid="{508A735B-12E0-4FE0-BC26-151D77293DB4}"/>
    <hyperlink ref="B6" r:id="rId8" xr:uid="{78983502-238B-4B1D-94EA-2564AB9A6513}"/>
    <hyperlink ref="B7" r:id="rId9" xr:uid="{5E3C0455-FB4B-4D4D-B9A3-BCE10B753AD3}"/>
    <hyperlink ref="B8" r:id="rId10" xr:uid="{0E963644-78AD-45BC-A77E-50C4440BCF6B}"/>
    <hyperlink ref="B10" r:id="rId11" xr:uid="{43F67AF7-3E0C-4F9A-B0A4-0DC0C1D3F4FB}"/>
    <hyperlink ref="B14" r:id="rId12" xr:uid="{89B60E37-E300-4245-B93C-640B5700157A}"/>
    <hyperlink ref="B21" r:id="rId13" xr:uid="{9E320C8F-8928-4C71-A643-E25484F108DF}"/>
    <hyperlink ref="B15" r:id="rId14" xr:uid="{8AF15DB8-662E-4386-B28B-D32C5243D064}"/>
    <hyperlink ref="B9" r:id="rId15" xr:uid="{D13D1D4E-BAE0-4744-B0B7-DEA03D07DA4E}"/>
    <hyperlink ref="A1" location="Main!A1" display="Main" xr:uid="{7C18B3E9-E921-462E-9132-B139C0DD83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8BB7-A6AF-4603-BAFA-28C123C35E62}">
  <dimension ref="A1:O93"/>
  <sheetViews>
    <sheetView zoomScale="200" zoomScaleNormal="200" workbookViewId="0">
      <selection activeCell="B8" sqref="B8"/>
    </sheetView>
  </sheetViews>
  <sheetFormatPr defaultRowHeight="15" x14ac:dyDescent="0.25"/>
  <cols>
    <col min="1" max="1" width="4.42578125" customWidth="1"/>
    <col min="2" max="2" width="19.5703125" bestFit="1" customWidth="1"/>
    <col min="3" max="3" width="15" bestFit="1" customWidth="1"/>
  </cols>
  <sheetData>
    <row r="1" spans="1:15" x14ac:dyDescent="0.25">
      <c r="A1" s="6" t="s">
        <v>472</v>
      </c>
    </row>
    <row r="2" spans="1:15" x14ac:dyDescent="0.25">
      <c r="A2" t="s">
        <v>281</v>
      </c>
    </row>
    <row r="3" spans="1:15" x14ac:dyDescent="0.25">
      <c r="A3" s="14" t="s">
        <v>138</v>
      </c>
      <c r="B3" s="15" t="s">
        <v>0</v>
      </c>
      <c r="C3" s="15" t="s">
        <v>301</v>
      </c>
      <c r="D3" s="15" t="s">
        <v>21</v>
      </c>
      <c r="E3" s="15" t="s">
        <v>4</v>
      </c>
      <c r="F3" s="15" t="s">
        <v>302</v>
      </c>
      <c r="G3" s="15" t="s">
        <v>53</v>
      </c>
      <c r="H3" s="15" t="s">
        <v>5</v>
      </c>
      <c r="I3" s="15" t="s">
        <v>303</v>
      </c>
      <c r="J3" s="15"/>
      <c r="K3" s="15"/>
      <c r="L3" s="15"/>
      <c r="M3" s="23"/>
      <c r="N3" s="23"/>
      <c r="O3" s="19"/>
    </row>
    <row r="4" spans="1:15" x14ac:dyDescent="0.25">
      <c r="A4" s="2">
        <v>1</v>
      </c>
      <c r="B4" s="6" t="s">
        <v>9</v>
      </c>
      <c r="C4" t="s">
        <v>10</v>
      </c>
      <c r="D4" t="s">
        <v>22</v>
      </c>
      <c r="E4" s="9">
        <f>+[3]Main!$I$2</f>
        <v>34.549999999999997</v>
      </c>
      <c r="F4" s="9">
        <f>+[3]Main!$I$4</f>
        <v>129621.37067784999</v>
      </c>
      <c r="G4" s="9">
        <f>+[3]Main!$I$6-[3]Main!$I$5</f>
        <v>90529</v>
      </c>
      <c r="H4" s="9">
        <f>+F4+G4</f>
        <v>220150.37067784998</v>
      </c>
      <c r="I4" s="10" t="s">
        <v>240</v>
      </c>
      <c r="J4" s="10"/>
      <c r="K4" s="10"/>
      <c r="L4" s="10"/>
    </row>
    <row r="5" spans="1:15" x14ac:dyDescent="0.25">
      <c r="A5" s="2">
        <f>+A4+1</f>
        <v>2</v>
      </c>
      <c r="B5" t="s">
        <v>304</v>
      </c>
      <c r="C5" t="s">
        <v>305</v>
      </c>
      <c r="D5" t="s">
        <v>306</v>
      </c>
      <c r="E5" s="9"/>
      <c r="F5" s="9"/>
      <c r="G5" s="9"/>
      <c r="H5" s="9"/>
      <c r="I5" s="10"/>
      <c r="J5" s="10"/>
      <c r="K5" s="10"/>
      <c r="L5" s="10"/>
    </row>
    <row r="6" spans="1:15" x14ac:dyDescent="0.25">
      <c r="A6" s="2">
        <f t="shared" ref="A6:A69" si="0">+A5+1</f>
        <v>3</v>
      </c>
      <c r="B6" t="s">
        <v>33</v>
      </c>
      <c r="C6" t="s">
        <v>34</v>
      </c>
      <c r="D6" t="s">
        <v>307</v>
      </c>
      <c r="E6" s="9"/>
      <c r="F6" s="9"/>
      <c r="G6" s="9"/>
      <c r="H6" s="9"/>
      <c r="I6" s="10"/>
      <c r="J6" s="10"/>
      <c r="K6" s="10"/>
      <c r="L6" s="10"/>
    </row>
    <row r="7" spans="1:15" x14ac:dyDescent="0.25">
      <c r="A7" s="2">
        <f t="shared" si="0"/>
        <v>4</v>
      </c>
      <c r="B7" s="6" t="s">
        <v>308</v>
      </c>
      <c r="C7" t="s">
        <v>52</v>
      </c>
      <c r="D7" t="s">
        <v>22</v>
      </c>
      <c r="E7" s="9">
        <f>+[14]Main!$H$2</f>
        <v>11.87</v>
      </c>
      <c r="F7" s="9">
        <f>+[14]Main!$H$4</f>
        <v>29387.416987339999</v>
      </c>
      <c r="G7" s="9">
        <f>+[14]Main!$H$6-[14]Main!$H$5</f>
        <v>29744</v>
      </c>
      <c r="H7" s="9">
        <f>+F7+G7</f>
        <v>59131.416987339995</v>
      </c>
      <c r="I7" s="10" t="s">
        <v>240</v>
      </c>
      <c r="J7" s="10"/>
      <c r="K7" s="10"/>
      <c r="L7" s="10"/>
    </row>
    <row r="8" spans="1:15" x14ac:dyDescent="0.25">
      <c r="A8" s="2">
        <f t="shared" si="0"/>
        <v>5</v>
      </c>
      <c r="B8" s="6" t="s">
        <v>309</v>
      </c>
      <c r="C8" t="s">
        <v>310</v>
      </c>
      <c r="D8" t="s">
        <v>22</v>
      </c>
      <c r="E8" s="9">
        <f>+[35]Main!$I$2</f>
        <v>50.5</v>
      </c>
      <c r="F8" s="9">
        <f>+[35]Main!$I$4</f>
        <v>22898.106829</v>
      </c>
      <c r="G8" s="9">
        <f>+[35]Main!$I$6-[35]Main!$I$5</f>
        <v>3878</v>
      </c>
      <c r="H8" s="9">
        <f>+F8+G8</f>
        <v>26776.106829</v>
      </c>
      <c r="I8" s="10" t="s">
        <v>241</v>
      </c>
      <c r="J8" s="10"/>
      <c r="K8" s="10"/>
      <c r="L8" s="10"/>
    </row>
    <row r="9" spans="1:15" x14ac:dyDescent="0.25">
      <c r="A9" s="2">
        <f t="shared" si="0"/>
        <v>6</v>
      </c>
      <c r="B9" t="s">
        <v>311</v>
      </c>
      <c r="C9" t="s">
        <v>311</v>
      </c>
      <c r="D9" t="s">
        <v>306</v>
      </c>
      <c r="E9" s="9"/>
      <c r="F9" s="9"/>
      <c r="G9" s="9"/>
      <c r="H9" s="9"/>
      <c r="I9" s="10"/>
      <c r="J9" s="10"/>
      <c r="K9" s="10"/>
      <c r="L9" s="10"/>
    </row>
    <row r="10" spans="1:15" x14ac:dyDescent="0.25">
      <c r="A10" s="2">
        <f t="shared" si="0"/>
        <v>7</v>
      </c>
      <c r="B10" t="s">
        <v>312</v>
      </c>
      <c r="C10" t="s">
        <v>313</v>
      </c>
      <c r="D10" t="s">
        <v>306</v>
      </c>
      <c r="E10" s="9"/>
      <c r="F10" s="9"/>
      <c r="G10" s="9"/>
      <c r="H10" s="9"/>
      <c r="I10" s="10"/>
      <c r="J10" s="10"/>
      <c r="K10" s="10"/>
      <c r="L10" s="10"/>
    </row>
    <row r="11" spans="1:15" x14ac:dyDescent="0.25">
      <c r="A11" s="2">
        <f t="shared" si="0"/>
        <v>8</v>
      </c>
      <c r="B11" s="6" t="s">
        <v>314</v>
      </c>
      <c r="C11" t="s">
        <v>315</v>
      </c>
      <c r="D11" t="s">
        <v>22</v>
      </c>
      <c r="E11" s="9">
        <f>+[36]Main!$I$2</f>
        <v>30.44</v>
      </c>
      <c r="F11" s="9">
        <f>+[36]Main!$I$4</f>
        <v>17310.539416759999</v>
      </c>
      <c r="G11" s="9">
        <f>+[36]Main!$I$6-[36]Main!$I$5</f>
        <v>1122</v>
      </c>
      <c r="H11" s="9">
        <f>+F11+G11</f>
        <v>18432.539416759999</v>
      </c>
      <c r="I11" s="10" t="s">
        <v>240</v>
      </c>
      <c r="J11" s="10"/>
      <c r="K11" s="10"/>
      <c r="L11" s="10"/>
    </row>
    <row r="12" spans="1:15" x14ac:dyDescent="0.25">
      <c r="A12" s="2">
        <f t="shared" si="0"/>
        <v>9</v>
      </c>
      <c r="B12" t="s">
        <v>316</v>
      </c>
      <c r="C12" t="s">
        <v>317</v>
      </c>
      <c r="D12" t="s">
        <v>22</v>
      </c>
      <c r="E12" s="9"/>
      <c r="F12" s="9"/>
      <c r="G12" s="9"/>
      <c r="H12" s="9"/>
      <c r="I12" s="10"/>
      <c r="J12" s="10"/>
      <c r="K12" s="10"/>
      <c r="L12" s="10"/>
    </row>
    <row r="13" spans="1:15" x14ac:dyDescent="0.25">
      <c r="A13" s="2">
        <f t="shared" si="0"/>
        <v>10</v>
      </c>
      <c r="B13" s="6" t="s">
        <v>318</v>
      </c>
      <c r="C13" t="s">
        <v>319</v>
      </c>
      <c r="D13" t="s">
        <v>22</v>
      </c>
      <c r="E13" s="9">
        <f>+[37]Main!$H$2</f>
        <v>41.21</v>
      </c>
      <c r="F13" s="9">
        <f>+[37]Main!$H$4</f>
        <v>8939.4565020800001</v>
      </c>
      <c r="G13" s="9">
        <f>+[37]Main!$H$6-[37]Main!$H$5</f>
        <v>-663.44470000000001</v>
      </c>
      <c r="H13" s="9">
        <f>+F13+G13</f>
        <v>8276.0118020800001</v>
      </c>
      <c r="I13" s="10" t="s">
        <v>240</v>
      </c>
      <c r="J13" s="10"/>
      <c r="K13" s="10"/>
      <c r="L13" s="10"/>
    </row>
    <row r="14" spans="1:15" x14ac:dyDescent="0.25">
      <c r="A14" s="2">
        <f t="shared" si="0"/>
        <v>11</v>
      </c>
      <c r="B14" s="6" t="s">
        <v>320</v>
      </c>
      <c r="C14" t="s">
        <v>321</v>
      </c>
      <c r="D14" t="s">
        <v>22</v>
      </c>
      <c r="E14" s="9">
        <f>+[38]Main!$H$2</f>
        <v>52.09</v>
      </c>
      <c r="F14" s="9">
        <f>+[38]Main!$H$4</f>
        <v>8540.3870921399994</v>
      </c>
      <c r="G14" s="9">
        <f>+[38]Main!$H$6-[38]Main!$H$5</f>
        <v>-492.94499999999999</v>
      </c>
      <c r="H14" s="9">
        <f>+F14+G14</f>
        <v>8047.4420921399997</v>
      </c>
      <c r="I14" s="10" t="s">
        <v>240</v>
      </c>
      <c r="J14" s="10"/>
      <c r="K14" s="10"/>
      <c r="L14" s="10"/>
    </row>
    <row r="15" spans="1:15" x14ac:dyDescent="0.25">
      <c r="A15" s="2">
        <f t="shared" si="0"/>
        <v>12</v>
      </c>
      <c r="B15" s="6" t="s">
        <v>322</v>
      </c>
      <c r="C15" t="s">
        <v>91</v>
      </c>
      <c r="D15" t="s">
        <v>22</v>
      </c>
      <c r="E15" s="9">
        <f>+[22]Main!$I$2</f>
        <v>13.8</v>
      </c>
      <c r="F15" s="9">
        <f>+[22]Main!$I$4</f>
        <v>9315</v>
      </c>
      <c r="G15" s="9">
        <f>+[22]Main!$I$6-[22]Main!$I$5</f>
        <v>11775</v>
      </c>
      <c r="H15" s="9">
        <f>+F15+G15</f>
        <v>21090</v>
      </c>
      <c r="I15" s="10" t="s">
        <v>247</v>
      </c>
      <c r="J15" s="10"/>
      <c r="K15" s="10"/>
      <c r="L15" s="10"/>
    </row>
    <row r="16" spans="1:15" x14ac:dyDescent="0.25">
      <c r="A16" s="2">
        <f t="shared" si="0"/>
        <v>13</v>
      </c>
      <c r="B16" t="s">
        <v>323</v>
      </c>
      <c r="C16" t="s">
        <v>324</v>
      </c>
      <c r="D16" t="s">
        <v>325</v>
      </c>
      <c r="E16" s="9"/>
      <c r="F16" s="9"/>
      <c r="G16" s="9"/>
      <c r="H16" s="9"/>
    </row>
    <row r="17" spans="1:9" x14ac:dyDescent="0.25">
      <c r="A17" s="2">
        <f t="shared" si="0"/>
        <v>14</v>
      </c>
      <c r="B17" s="6" t="s">
        <v>326</v>
      </c>
      <c r="C17" t="s">
        <v>108</v>
      </c>
      <c r="D17" t="s">
        <v>22</v>
      </c>
      <c r="E17" s="9">
        <f>+[39]Main!$K$2</f>
        <v>78.55</v>
      </c>
      <c r="F17" s="9">
        <f>+[39]Main!$K$4</f>
        <v>7215.2325581999994</v>
      </c>
      <c r="G17" s="9">
        <f>+[39]Main!$K$6-[39]Main!$K$5</f>
        <v>1417</v>
      </c>
      <c r="H17" s="9">
        <f>+F17+G17</f>
        <v>8632.2325581999994</v>
      </c>
      <c r="I17" s="10" t="s">
        <v>262</v>
      </c>
    </row>
    <row r="18" spans="1:9" x14ac:dyDescent="0.25">
      <c r="A18" s="2">
        <f t="shared" si="0"/>
        <v>15</v>
      </c>
      <c r="B18" t="s">
        <v>327</v>
      </c>
      <c r="C18" t="s">
        <v>328</v>
      </c>
      <c r="D18" t="s">
        <v>329</v>
      </c>
      <c r="E18" s="9"/>
      <c r="F18" s="9"/>
      <c r="G18" s="9"/>
      <c r="H18" s="9"/>
    </row>
    <row r="19" spans="1:9" x14ac:dyDescent="0.25">
      <c r="A19" s="2">
        <f t="shared" si="0"/>
        <v>16</v>
      </c>
      <c r="B19" t="s">
        <v>330</v>
      </c>
      <c r="C19" t="s">
        <v>331</v>
      </c>
      <c r="D19" t="s">
        <v>306</v>
      </c>
      <c r="E19" s="9"/>
      <c r="F19" s="9"/>
      <c r="G19" s="9"/>
      <c r="H19" s="9"/>
    </row>
    <row r="20" spans="1:9" x14ac:dyDescent="0.25">
      <c r="A20" s="2">
        <f t="shared" si="0"/>
        <v>17</v>
      </c>
      <c r="B20" t="s">
        <v>332</v>
      </c>
      <c r="C20" t="s">
        <v>137</v>
      </c>
      <c r="D20" t="s">
        <v>35</v>
      </c>
      <c r="E20" s="9"/>
      <c r="F20" s="9"/>
      <c r="G20" s="9"/>
      <c r="H20" s="9"/>
    </row>
    <row r="21" spans="1:9" x14ac:dyDescent="0.25">
      <c r="A21" s="2">
        <f t="shared" si="0"/>
        <v>18</v>
      </c>
      <c r="B21" t="s">
        <v>333</v>
      </c>
      <c r="C21" t="s">
        <v>126</v>
      </c>
      <c r="D21" t="s">
        <v>22</v>
      </c>
      <c r="E21" s="9"/>
      <c r="F21" s="9"/>
      <c r="G21" s="9"/>
      <c r="H21" s="9"/>
    </row>
    <row r="22" spans="1:9" x14ac:dyDescent="0.25">
      <c r="A22" s="2">
        <f t="shared" si="0"/>
        <v>19</v>
      </c>
      <c r="B22" t="s">
        <v>334</v>
      </c>
      <c r="C22" t="s">
        <v>335</v>
      </c>
      <c r="D22" t="s">
        <v>336</v>
      </c>
      <c r="E22" s="9"/>
      <c r="F22" s="9"/>
      <c r="G22" s="9"/>
      <c r="H22" s="9"/>
    </row>
    <row r="23" spans="1:9" x14ac:dyDescent="0.25">
      <c r="A23" s="2">
        <f t="shared" si="0"/>
        <v>20</v>
      </c>
      <c r="B23" t="s">
        <v>337</v>
      </c>
      <c r="C23" t="s">
        <v>338</v>
      </c>
      <c r="D23" t="s">
        <v>23</v>
      </c>
      <c r="E23" s="9"/>
      <c r="F23" s="9"/>
      <c r="G23" s="9"/>
      <c r="H23" s="9"/>
    </row>
    <row r="24" spans="1:9" x14ac:dyDescent="0.25">
      <c r="A24" s="2">
        <f t="shared" si="0"/>
        <v>21</v>
      </c>
      <c r="B24" t="s">
        <v>339</v>
      </c>
      <c r="C24" t="s">
        <v>340</v>
      </c>
      <c r="D24" t="s">
        <v>336</v>
      </c>
      <c r="E24" s="9"/>
      <c r="F24" s="9"/>
      <c r="G24" s="9"/>
      <c r="H24" s="9"/>
    </row>
    <row r="25" spans="1:9" x14ac:dyDescent="0.25">
      <c r="A25" s="2">
        <f t="shared" si="0"/>
        <v>22</v>
      </c>
      <c r="B25" t="s">
        <v>341</v>
      </c>
      <c r="C25" t="s">
        <v>342</v>
      </c>
      <c r="D25" t="s">
        <v>22</v>
      </c>
      <c r="E25" s="9"/>
      <c r="F25" s="9"/>
      <c r="G25" s="9"/>
      <c r="H25" s="9"/>
    </row>
    <row r="26" spans="1:9" x14ac:dyDescent="0.25">
      <c r="A26" s="2">
        <f t="shared" si="0"/>
        <v>23</v>
      </c>
      <c r="B26" t="s">
        <v>343</v>
      </c>
      <c r="C26" t="s">
        <v>343</v>
      </c>
      <c r="D26" t="s">
        <v>22</v>
      </c>
      <c r="E26" s="9"/>
      <c r="F26" s="9"/>
      <c r="G26" s="9"/>
      <c r="H26" s="9"/>
    </row>
    <row r="27" spans="1:9" x14ac:dyDescent="0.25">
      <c r="A27" s="2">
        <f t="shared" si="0"/>
        <v>24</v>
      </c>
      <c r="B27" t="s">
        <v>344</v>
      </c>
      <c r="C27" t="s">
        <v>345</v>
      </c>
      <c r="D27" t="s">
        <v>22</v>
      </c>
      <c r="E27" s="9"/>
      <c r="F27" s="9"/>
      <c r="G27" s="9"/>
      <c r="H27" s="9"/>
    </row>
    <row r="28" spans="1:9" x14ac:dyDescent="0.25">
      <c r="A28" s="2">
        <f t="shared" si="0"/>
        <v>25</v>
      </c>
      <c r="B28" t="s">
        <v>346</v>
      </c>
      <c r="C28" t="s">
        <v>347</v>
      </c>
      <c r="D28" t="s">
        <v>153</v>
      </c>
      <c r="E28" s="9"/>
      <c r="F28" s="9"/>
      <c r="G28" s="9"/>
      <c r="H28" s="9"/>
    </row>
    <row r="29" spans="1:9" x14ac:dyDescent="0.25">
      <c r="A29" s="2">
        <f t="shared" si="0"/>
        <v>26</v>
      </c>
      <c r="B29" t="s">
        <v>348</v>
      </c>
      <c r="C29" t="s">
        <v>349</v>
      </c>
      <c r="D29" t="s">
        <v>22</v>
      </c>
      <c r="E29" s="9"/>
      <c r="F29" s="9"/>
      <c r="G29" s="9"/>
      <c r="H29" s="9"/>
    </row>
    <row r="30" spans="1:9" x14ac:dyDescent="0.25">
      <c r="A30" s="2">
        <f t="shared" si="0"/>
        <v>27</v>
      </c>
      <c r="B30" t="s">
        <v>185</v>
      </c>
      <c r="C30" t="s">
        <v>186</v>
      </c>
      <c r="D30" t="s">
        <v>23</v>
      </c>
      <c r="E30" s="9"/>
      <c r="F30" s="9"/>
      <c r="G30" s="9"/>
      <c r="H30" s="9"/>
    </row>
    <row r="31" spans="1:9" x14ac:dyDescent="0.25">
      <c r="A31" s="2">
        <f t="shared" si="0"/>
        <v>28</v>
      </c>
      <c r="B31" t="s">
        <v>350</v>
      </c>
      <c r="C31" t="s">
        <v>351</v>
      </c>
      <c r="D31" t="s">
        <v>352</v>
      </c>
      <c r="E31" s="9"/>
      <c r="F31" s="9"/>
      <c r="G31" s="9"/>
      <c r="H31" s="9"/>
    </row>
    <row r="32" spans="1:9" x14ac:dyDescent="0.25">
      <c r="A32" s="2">
        <f t="shared" si="0"/>
        <v>29</v>
      </c>
      <c r="B32" t="s">
        <v>353</v>
      </c>
      <c r="C32" t="s">
        <v>174</v>
      </c>
      <c r="D32" t="s">
        <v>354</v>
      </c>
      <c r="E32" s="9"/>
      <c r="F32" s="9"/>
      <c r="G32" s="9"/>
      <c r="H32" s="9"/>
    </row>
    <row r="33" spans="1:8" x14ac:dyDescent="0.25">
      <c r="A33" s="2">
        <f t="shared" si="0"/>
        <v>30</v>
      </c>
      <c r="B33" t="s">
        <v>355</v>
      </c>
      <c r="C33" t="s">
        <v>356</v>
      </c>
      <c r="D33" t="s">
        <v>22</v>
      </c>
      <c r="E33" s="9"/>
      <c r="F33" s="9"/>
      <c r="G33" s="9"/>
      <c r="H33" s="9"/>
    </row>
    <row r="34" spans="1:8" x14ac:dyDescent="0.25">
      <c r="A34" s="2">
        <f t="shared" si="0"/>
        <v>31</v>
      </c>
      <c r="B34" t="s">
        <v>357</v>
      </c>
      <c r="C34" t="s">
        <v>188</v>
      </c>
      <c r="D34" t="s">
        <v>307</v>
      </c>
      <c r="E34" s="9"/>
      <c r="F34" s="9"/>
      <c r="G34" s="9"/>
      <c r="H34" s="9"/>
    </row>
    <row r="35" spans="1:8" x14ac:dyDescent="0.25">
      <c r="A35" s="2">
        <f t="shared" si="0"/>
        <v>32</v>
      </c>
      <c r="B35" t="s">
        <v>358</v>
      </c>
      <c r="E35" s="9"/>
      <c r="F35" s="9"/>
      <c r="G35" s="9"/>
      <c r="H35" s="9"/>
    </row>
    <row r="36" spans="1:8" x14ac:dyDescent="0.25">
      <c r="A36" s="2">
        <f t="shared" si="0"/>
        <v>33</v>
      </c>
      <c r="B36" t="s">
        <v>359</v>
      </c>
      <c r="C36" t="s">
        <v>360</v>
      </c>
      <c r="D36" t="s">
        <v>22</v>
      </c>
      <c r="E36" s="9"/>
      <c r="F36" s="9"/>
      <c r="G36" s="9"/>
      <c r="H36" s="9"/>
    </row>
    <row r="37" spans="1:8" x14ac:dyDescent="0.25">
      <c r="A37" s="2">
        <f t="shared" si="0"/>
        <v>34</v>
      </c>
      <c r="B37" t="s">
        <v>361</v>
      </c>
      <c r="C37" t="s">
        <v>362</v>
      </c>
      <c r="D37" t="s">
        <v>363</v>
      </c>
      <c r="E37" s="9"/>
      <c r="F37" s="9"/>
      <c r="G37" s="9"/>
      <c r="H37" s="9"/>
    </row>
    <row r="38" spans="1:8" x14ac:dyDescent="0.25">
      <c r="A38" s="2">
        <f t="shared" si="0"/>
        <v>35</v>
      </c>
      <c r="B38" t="s">
        <v>364</v>
      </c>
      <c r="C38" t="s">
        <v>365</v>
      </c>
      <c r="D38" t="s">
        <v>306</v>
      </c>
      <c r="E38" s="9"/>
      <c r="F38" s="9"/>
      <c r="G38" s="9"/>
      <c r="H38" s="9"/>
    </row>
    <row r="39" spans="1:8" x14ac:dyDescent="0.25">
      <c r="A39" s="2">
        <f t="shared" si="0"/>
        <v>36</v>
      </c>
      <c r="B39" t="s">
        <v>219</v>
      </c>
      <c r="C39" t="s">
        <v>366</v>
      </c>
      <c r="D39" t="s">
        <v>160</v>
      </c>
      <c r="E39" s="9"/>
      <c r="F39" s="9"/>
      <c r="G39" s="9"/>
      <c r="H39" s="9"/>
    </row>
    <row r="40" spans="1:8" x14ac:dyDescent="0.25">
      <c r="A40" s="2">
        <f t="shared" si="0"/>
        <v>37</v>
      </c>
      <c r="B40" t="s">
        <v>367</v>
      </c>
      <c r="C40" t="s">
        <v>368</v>
      </c>
      <c r="D40" t="s">
        <v>352</v>
      </c>
      <c r="E40" s="9"/>
      <c r="F40" s="9"/>
      <c r="G40" s="9"/>
      <c r="H40" s="9"/>
    </row>
    <row r="41" spans="1:8" x14ac:dyDescent="0.25">
      <c r="A41" s="2">
        <f t="shared" si="0"/>
        <v>38</v>
      </c>
      <c r="B41" t="s">
        <v>369</v>
      </c>
      <c r="C41" t="s">
        <v>370</v>
      </c>
      <c r="D41" t="s">
        <v>260</v>
      </c>
      <c r="E41" s="9"/>
      <c r="F41" s="9"/>
      <c r="G41" s="9"/>
      <c r="H41" s="9"/>
    </row>
    <row r="42" spans="1:8" x14ac:dyDescent="0.25">
      <c r="A42" s="2">
        <f t="shared" si="0"/>
        <v>39</v>
      </c>
      <c r="B42" t="s">
        <v>371</v>
      </c>
      <c r="C42" t="s">
        <v>372</v>
      </c>
      <c r="D42" t="s">
        <v>354</v>
      </c>
      <c r="E42" s="9"/>
      <c r="F42" s="9"/>
      <c r="G42" s="9"/>
      <c r="H42" s="9"/>
    </row>
    <row r="43" spans="1:8" x14ac:dyDescent="0.25">
      <c r="A43" s="2">
        <f t="shared" si="0"/>
        <v>40</v>
      </c>
      <c r="B43" t="s">
        <v>373</v>
      </c>
      <c r="C43" t="s">
        <v>374</v>
      </c>
      <c r="D43" t="s">
        <v>354</v>
      </c>
      <c r="E43" s="9"/>
      <c r="F43" s="9"/>
      <c r="G43" s="9"/>
      <c r="H43" s="9"/>
    </row>
    <row r="44" spans="1:8" x14ac:dyDescent="0.25">
      <c r="A44" s="2">
        <f t="shared" si="0"/>
        <v>41</v>
      </c>
      <c r="B44" t="s">
        <v>375</v>
      </c>
      <c r="C44" t="s">
        <v>376</v>
      </c>
      <c r="D44" t="s">
        <v>22</v>
      </c>
      <c r="E44" s="9"/>
      <c r="F44" s="9"/>
      <c r="G44" s="9"/>
      <c r="H44" s="9"/>
    </row>
    <row r="45" spans="1:8" x14ac:dyDescent="0.25">
      <c r="A45" s="2">
        <f t="shared" si="0"/>
        <v>42</v>
      </c>
      <c r="B45" t="s">
        <v>377</v>
      </c>
      <c r="C45" t="s">
        <v>378</v>
      </c>
      <c r="D45" t="s">
        <v>379</v>
      </c>
      <c r="E45" s="9"/>
      <c r="F45" s="9"/>
      <c r="G45" s="9"/>
      <c r="H45" s="9"/>
    </row>
    <row r="46" spans="1:8" x14ac:dyDescent="0.25">
      <c r="A46" s="2">
        <f t="shared" si="0"/>
        <v>43</v>
      </c>
      <c r="B46" t="s">
        <v>380</v>
      </c>
      <c r="C46" t="s">
        <v>381</v>
      </c>
      <c r="D46" t="s">
        <v>382</v>
      </c>
      <c r="E46" s="9"/>
      <c r="F46" s="9"/>
      <c r="G46" s="9"/>
      <c r="H46" s="9"/>
    </row>
    <row r="47" spans="1:8" x14ac:dyDescent="0.25">
      <c r="A47" s="2">
        <f t="shared" si="0"/>
        <v>44</v>
      </c>
      <c r="B47" t="s">
        <v>383</v>
      </c>
      <c r="C47" t="s">
        <v>384</v>
      </c>
      <c r="D47" t="s">
        <v>385</v>
      </c>
      <c r="E47" s="9"/>
      <c r="F47" s="9"/>
      <c r="G47" s="9"/>
      <c r="H47" s="9"/>
    </row>
    <row r="48" spans="1:8" x14ac:dyDescent="0.25">
      <c r="A48" s="2">
        <f t="shared" si="0"/>
        <v>45</v>
      </c>
      <c r="B48" t="s">
        <v>386</v>
      </c>
      <c r="C48" t="s">
        <v>387</v>
      </c>
      <c r="D48" t="s">
        <v>153</v>
      </c>
      <c r="E48" s="9"/>
      <c r="F48" s="9"/>
      <c r="G48" s="9"/>
      <c r="H48" s="9"/>
    </row>
    <row r="49" spans="1:8" x14ac:dyDescent="0.25">
      <c r="A49" s="2">
        <f t="shared" si="0"/>
        <v>46</v>
      </c>
      <c r="B49" t="s">
        <v>388</v>
      </c>
      <c r="C49" t="s">
        <v>233</v>
      </c>
      <c r="D49" t="s">
        <v>389</v>
      </c>
      <c r="E49" s="9"/>
      <c r="F49" s="9"/>
      <c r="G49" s="9"/>
      <c r="H49" s="9"/>
    </row>
    <row r="50" spans="1:8" x14ac:dyDescent="0.25">
      <c r="A50" s="2">
        <f t="shared" si="0"/>
        <v>47</v>
      </c>
      <c r="B50" t="s">
        <v>390</v>
      </c>
      <c r="C50" t="s">
        <v>391</v>
      </c>
      <c r="D50" t="s">
        <v>22</v>
      </c>
      <c r="E50" s="9"/>
      <c r="F50" s="9"/>
      <c r="G50" s="9"/>
      <c r="H50" s="9"/>
    </row>
    <row r="51" spans="1:8" x14ac:dyDescent="0.25">
      <c r="A51" s="2">
        <f t="shared" si="0"/>
        <v>48</v>
      </c>
      <c r="B51" t="s">
        <v>392</v>
      </c>
      <c r="C51" t="s">
        <v>393</v>
      </c>
      <c r="D51" t="s">
        <v>394</v>
      </c>
      <c r="E51" s="9"/>
      <c r="F51" s="9"/>
      <c r="G51" s="9"/>
      <c r="H51" s="9"/>
    </row>
    <row r="52" spans="1:8" x14ac:dyDescent="0.25">
      <c r="A52" s="2">
        <f t="shared" si="0"/>
        <v>49</v>
      </c>
      <c r="B52" t="s">
        <v>395</v>
      </c>
      <c r="C52" t="s">
        <v>396</v>
      </c>
      <c r="D52" t="s">
        <v>397</v>
      </c>
      <c r="E52" s="9"/>
      <c r="F52" s="9"/>
      <c r="G52" s="9"/>
      <c r="H52" s="9"/>
    </row>
    <row r="53" spans="1:8" x14ac:dyDescent="0.25">
      <c r="A53" s="2">
        <f t="shared" si="0"/>
        <v>50</v>
      </c>
      <c r="B53" t="s">
        <v>398</v>
      </c>
      <c r="C53" t="s">
        <v>399</v>
      </c>
      <c r="D53" t="s">
        <v>400</v>
      </c>
      <c r="E53" s="9"/>
      <c r="F53" s="9"/>
      <c r="G53" s="9"/>
      <c r="H53" s="9"/>
    </row>
    <row r="54" spans="1:8" x14ac:dyDescent="0.25">
      <c r="A54" s="2">
        <f t="shared" si="0"/>
        <v>51</v>
      </c>
      <c r="B54" t="s">
        <v>401</v>
      </c>
      <c r="C54" t="s">
        <v>402</v>
      </c>
      <c r="D54" t="s">
        <v>379</v>
      </c>
      <c r="E54" s="9"/>
      <c r="F54" s="9"/>
      <c r="G54" s="9"/>
      <c r="H54" s="9"/>
    </row>
    <row r="55" spans="1:8" x14ac:dyDescent="0.25">
      <c r="A55" s="2">
        <f t="shared" si="0"/>
        <v>52</v>
      </c>
      <c r="B55" t="s">
        <v>403</v>
      </c>
      <c r="C55" t="s">
        <v>404</v>
      </c>
      <c r="D55" t="s">
        <v>22</v>
      </c>
      <c r="E55" s="9"/>
      <c r="F55" s="9"/>
      <c r="G55" s="9"/>
      <c r="H55" s="9"/>
    </row>
    <row r="56" spans="1:8" x14ac:dyDescent="0.25">
      <c r="A56" s="2">
        <f t="shared" si="0"/>
        <v>53</v>
      </c>
      <c r="B56" t="s">
        <v>405</v>
      </c>
      <c r="C56" t="s">
        <v>406</v>
      </c>
      <c r="D56" t="s">
        <v>22</v>
      </c>
      <c r="E56" s="9"/>
      <c r="F56" s="9"/>
      <c r="G56" s="9"/>
      <c r="H56" s="9"/>
    </row>
    <row r="57" spans="1:8" x14ac:dyDescent="0.25">
      <c r="A57" s="2">
        <f t="shared" si="0"/>
        <v>54</v>
      </c>
      <c r="B57" t="s">
        <v>407</v>
      </c>
      <c r="C57" t="s">
        <v>408</v>
      </c>
      <c r="D57" t="s">
        <v>22</v>
      </c>
      <c r="E57" s="9"/>
      <c r="F57" s="9"/>
      <c r="G57" s="9"/>
      <c r="H57" s="9"/>
    </row>
    <row r="58" spans="1:8" x14ac:dyDescent="0.25">
      <c r="A58" s="2">
        <f t="shared" si="0"/>
        <v>55</v>
      </c>
      <c r="B58" t="s">
        <v>409</v>
      </c>
      <c r="C58" t="s">
        <v>410</v>
      </c>
      <c r="D58" t="s">
        <v>23</v>
      </c>
      <c r="E58" s="9"/>
      <c r="F58" s="9"/>
      <c r="G58" s="9"/>
      <c r="H58" s="9"/>
    </row>
    <row r="59" spans="1:8" x14ac:dyDescent="0.25">
      <c r="A59" s="2">
        <f t="shared" si="0"/>
        <v>56</v>
      </c>
      <c r="B59" t="s">
        <v>411</v>
      </c>
      <c r="C59" t="s">
        <v>412</v>
      </c>
      <c r="D59" t="s">
        <v>23</v>
      </c>
      <c r="E59" s="9"/>
      <c r="F59" s="9"/>
      <c r="G59" s="9"/>
      <c r="H59" s="9"/>
    </row>
    <row r="60" spans="1:8" x14ac:dyDescent="0.25">
      <c r="A60" s="2">
        <f t="shared" si="0"/>
        <v>57</v>
      </c>
      <c r="B60" t="s">
        <v>413</v>
      </c>
      <c r="C60" t="s">
        <v>414</v>
      </c>
      <c r="D60" t="s">
        <v>22</v>
      </c>
      <c r="E60" s="9"/>
      <c r="F60" s="9"/>
      <c r="G60" s="9"/>
      <c r="H60" s="9"/>
    </row>
    <row r="61" spans="1:8" x14ac:dyDescent="0.25">
      <c r="A61" s="2">
        <f t="shared" si="0"/>
        <v>58</v>
      </c>
      <c r="B61" t="s">
        <v>415</v>
      </c>
      <c r="C61" t="s">
        <v>416</v>
      </c>
      <c r="D61" t="s">
        <v>23</v>
      </c>
      <c r="E61" s="9"/>
      <c r="F61" s="9"/>
      <c r="G61" s="9"/>
      <c r="H61" s="9"/>
    </row>
    <row r="62" spans="1:8" x14ac:dyDescent="0.25">
      <c r="A62" s="2">
        <f t="shared" si="0"/>
        <v>59</v>
      </c>
      <c r="B62" t="s">
        <v>417</v>
      </c>
      <c r="C62" t="s">
        <v>418</v>
      </c>
      <c r="D62" t="s">
        <v>160</v>
      </c>
      <c r="E62" s="9"/>
      <c r="F62" s="9"/>
      <c r="G62" s="9"/>
      <c r="H62" s="9"/>
    </row>
    <row r="63" spans="1:8" x14ac:dyDescent="0.25">
      <c r="A63" s="2">
        <f t="shared" si="0"/>
        <v>60</v>
      </c>
      <c r="B63" t="s">
        <v>419</v>
      </c>
      <c r="C63" t="s">
        <v>420</v>
      </c>
      <c r="D63" t="s">
        <v>22</v>
      </c>
      <c r="E63" s="9"/>
      <c r="F63" s="9"/>
      <c r="G63" s="9"/>
      <c r="H63" s="9"/>
    </row>
    <row r="64" spans="1:8" x14ac:dyDescent="0.25">
      <c r="A64" s="2">
        <f t="shared" si="0"/>
        <v>61</v>
      </c>
      <c r="B64" t="s">
        <v>421</v>
      </c>
      <c r="C64" t="s">
        <v>422</v>
      </c>
      <c r="D64" t="s">
        <v>22</v>
      </c>
      <c r="E64" s="9"/>
      <c r="F64" s="9"/>
      <c r="G64" s="9"/>
      <c r="H64" s="9"/>
    </row>
    <row r="65" spans="1:12" x14ac:dyDescent="0.25">
      <c r="A65" s="2">
        <f t="shared" si="0"/>
        <v>62</v>
      </c>
      <c r="B65" t="s">
        <v>423</v>
      </c>
      <c r="C65" t="s">
        <v>424</v>
      </c>
      <c r="D65" t="s">
        <v>306</v>
      </c>
      <c r="E65" s="9"/>
      <c r="F65" s="9"/>
      <c r="G65" s="9"/>
      <c r="H65" s="9"/>
    </row>
    <row r="66" spans="1:12" x14ac:dyDescent="0.25">
      <c r="A66" s="2">
        <f t="shared" si="0"/>
        <v>63</v>
      </c>
      <c r="B66" t="s">
        <v>425</v>
      </c>
      <c r="C66" t="s">
        <v>426</v>
      </c>
      <c r="D66" t="s">
        <v>160</v>
      </c>
      <c r="E66" s="9"/>
      <c r="F66" s="9"/>
      <c r="G66" s="9"/>
      <c r="H66" s="9"/>
    </row>
    <row r="67" spans="1:12" x14ac:dyDescent="0.25">
      <c r="A67" s="2">
        <f t="shared" si="0"/>
        <v>64</v>
      </c>
      <c r="B67" t="s">
        <v>427</v>
      </c>
      <c r="C67" t="s">
        <v>428</v>
      </c>
      <c r="D67" t="s">
        <v>22</v>
      </c>
      <c r="E67" s="9"/>
      <c r="F67" s="9"/>
      <c r="G67" s="9"/>
      <c r="H67" s="9"/>
    </row>
    <row r="68" spans="1:12" x14ac:dyDescent="0.25">
      <c r="A68" s="2">
        <f t="shared" si="0"/>
        <v>65</v>
      </c>
      <c r="B68" t="s">
        <v>429</v>
      </c>
      <c r="C68" t="s">
        <v>430</v>
      </c>
      <c r="D68" t="s">
        <v>24</v>
      </c>
      <c r="E68" s="9"/>
      <c r="F68" s="9"/>
      <c r="G68" s="9"/>
      <c r="H68" s="9"/>
    </row>
    <row r="69" spans="1:12" x14ac:dyDescent="0.25">
      <c r="A69" s="2">
        <f t="shared" si="0"/>
        <v>66</v>
      </c>
      <c r="B69" t="s">
        <v>431</v>
      </c>
      <c r="C69" t="s">
        <v>432</v>
      </c>
      <c r="D69" t="s">
        <v>22</v>
      </c>
      <c r="E69" s="9"/>
      <c r="F69" s="9"/>
      <c r="G69" s="9"/>
      <c r="H69" s="9"/>
    </row>
    <row r="70" spans="1:12" x14ac:dyDescent="0.25">
      <c r="A70" s="2">
        <f t="shared" ref="A70:A93" si="1">+A69+1</f>
        <v>67</v>
      </c>
      <c r="B70" t="s">
        <v>433</v>
      </c>
      <c r="C70" t="s">
        <v>434</v>
      </c>
      <c r="D70" t="s">
        <v>23</v>
      </c>
      <c r="E70" s="9"/>
      <c r="F70" s="9"/>
      <c r="G70" s="9"/>
      <c r="H70" s="9"/>
    </row>
    <row r="71" spans="1:12" x14ac:dyDescent="0.25">
      <c r="A71" s="2">
        <f t="shared" si="1"/>
        <v>68</v>
      </c>
      <c r="B71" t="s">
        <v>435</v>
      </c>
      <c r="C71" t="s">
        <v>436</v>
      </c>
      <c r="D71" t="s">
        <v>22</v>
      </c>
      <c r="E71" s="9"/>
      <c r="F71" s="9"/>
      <c r="G71" s="9"/>
      <c r="H71" s="9"/>
    </row>
    <row r="72" spans="1:12" x14ac:dyDescent="0.25">
      <c r="A72" s="2">
        <f t="shared" si="1"/>
        <v>69</v>
      </c>
      <c r="B72" t="s">
        <v>437</v>
      </c>
      <c r="C72" t="s">
        <v>438</v>
      </c>
      <c r="D72" t="s">
        <v>394</v>
      </c>
      <c r="E72" s="9"/>
      <c r="F72" s="9"/>
      <c r="G72" s="9"/>
      <c r="H72" s="9"/>
    </row>
    <row r="73" spans="1:12" x14ac:dyDescent="0.25">
      <c r="A73" s="2">
        <f t="shared" si="1"/>
        <v>70</v>
      </c>
      <c r="B73" t="s">
        <v>439</v>
      </c>
      <c r="C73" t="s">
        <v>440</v>
      </c>
      <c r="D73" t="s">
        <v>394</v>
      </c>
      <c r="E73" s="9"/>
      <c r="F73" s="9"/>
      <c r="G73" s="9"/>
      <c r="H73" s="9"/>
    </row>
    <row r="74" spans="1:12" x14ac:dyDescent="0.25">
      <c r="A74" s="2">
        <f t="shared" si="1"/>
        <v>71</v>
      </c>
      <c r="B74" t="s">
        <v>441</v>
      </c>
      <c r="C74" t="s">
        <v>442</v>
      </c>
      <c r="D74" t="s">
        <v>201</v>
      </c>
      <c r="E74" s="9"/>
      <c r="F74" s="9"/>
      <c r="G74" s="9"/>
      <c r="H74" s="9"/>
    </row>
    <row r="75" spans="1:12" x14ac:dyDescent="0.25">
      <c r="A75" s="2">
        <f t="shared" si="1"/>
        <v>72</v>
      </c>
      <c r="B75" t="s">
        <v>443</v>
      </c>
      <c r="C75" t="s">
        <v>444</v>
      </c>
      <c r="D75" t="s">
        <v>23</v>
      </c>
      <c r="E75" s="9"/>
      <c r="F75" s="9"/>
      <c r="G75" s="9"/>
      <c r="H75" s="9"/>
    </row>
    <row r="76" spans="1:12" x14ac:dyDescent="0.25">
      <c r="A76" s="2">
        <f t="shared" si="1"/>
        <v>73</v>
      </c>
      <c r="B76" t="s">
        <v>445</v>
      </c>
      <c r="C76" t="s">
        <v>446</v>
      </c>
      <c r="D76" t="s">
        <v>447</v>
      </c>
      <c r="E76" s="9"/>
      <c r="F76" s="9"/>
      <c r="G76" s="9"/>
      <c r="H76" s="9"/>
    </row>
    <row r="77" spans="1:12" x14ac:dyDescent="0.25">
      <c r="A77" s="2">
        <f t="shared" si="1"/>
        <v>74</v>
      </c>
      <c r="B77" t="s">
        <v>448</v>
      </c>
      <c r="C77" t="s">
        <v>449</v>
      </c>
      <c r="D77" t="s">
        <v>394</v>
      </c>
      <c r="E77" s="9"/>
      <c r="F77" s="9"/>
      <c r="G77" s="9"/>
      <c r="H77" s="9"/>
    </row>
    <row r="78" spans="1:12" x14ac:dyDescent="0.25">
      <c r="A78" s="2">
        <f t="shared" si="1"/>
        <v>75</v>
      </c>
      <c r="B78" s="6" t="s">
        <v>450</v>
      </c>
      <c r="C78" t="s">
        <v>451</v>
      </c>
      <c r="D78" t="s">
        <v>22</v>
      </c>
      <c r="E78" s="9">
        <f>+[40]Main!$H$2</f>
        <v>1.2</v>
      </c>
      <c r="F78" s="9">
        <f>+[40]Main!$H$4</f>
        <v>112.4964828</v>
      </c>
      <c r="G78" s="9">
        <f>+[40]Main!$H$6-[40]Main!$H$5</f>
        <v>145.571</v>
      </c>
      <c r="H78" s="9">
        <f>+F78+G78</f>
        <v>258.06748279999999</v>
      </c>
      <c r="I78" s="10" t="s">
        <v>240</v>
      </c>
      <c r="J78" s="10"/>
      <c r="K78" s="10"/>
      <c r="L78" s="10"/>
    </row>
    <row r="79" spans="1:12" x14ac:dyDescent="0.25">
      <c r="A79" s="2">
        <f t="shared" si="1"/>
        <v>76</v>
      </c>
      <c r="B79" t="s">
        <v>452</v>
      </c>
      <c r="C79" t="s">
        <v>453</v>
      </c>
      <c r="D79" t="s">
        <v>22</v>
      </c>
      <c r="E79" s="9"/>
      <c r="F79" s="9"/>
      <c r="G79" s="9"/>
      <c r="H79" s="9"/>
    </row>
    <row r="80" spans="1:12" x14ac:dyDescent="0.25">
      <c r="A80" s="2">
        <f t="shared" si="1"/>
        <v>77</v>
      </c>
      <c r="B80" t="s">
        <v>454</v>
      </c>
      <c r="C80" t="s">
        <v>455</v>
      </c>
      <c r="D80" t="s">
        <v>397</v>
      </c>
      <c r="E80" s="9"/>
      <c r="F80" s="9"/>
      <c r="G80" s="9"/>
      <c r="H80" s="9"/>
    </row>
    <row r="81" spans="1:8" x14ac:dyDescent="0.25">
      <c r="A81" s="2">
        <f t="shared" si="1"/>
        <v>78</v>
      </c>
      <c r="B81" t="s">
        <v>456</v>
      </c>
      <c r="C81" t="s">
        <v>457</v>
      </c>
      <c r="D81" t="s">
        <v>385</v>
      </c>
      <c r="E81" s="9"/>
      <c r="F81" s="9"/>
      <c r="G81" s="9"/>
      <c r="H81" s="9"/>
    </row>
    <row r="82" spans="1:8" x14ac:dyDescent="0.25">
      <c r="A82" s="2">
        <f t="shared" si="1"/>
        <v>79</v>
      </c>
      <c r="B82" t="s">
        <v>458</v>
      </c>
      <c r="C82" t="s">
        <v>459</v>
      </c>
      <c r="D82" t="s">
        <v>85</v>
      </c>
      <c r="E82" s="9"/>
      <c r="F82" s="9"/>
      <c r="G82" s="9"/>
      <c r="H82" s="9"/>
    </row>
    <row r="83" spans="1:8" x14ac:dyDescent="0.25">
      <c r="A83" s="2">
        <f t="shared" si="1"/>
        <v>80</v>
      </c>
      <c r="B83" t="s">
        <v>460</v>
      </c>
      <c r="C83" t="s">
        <v>461</v>
      </c>
      <c r="D83" t="s">
        <v>462</v>
      </c>
      <c r="E83" s="9"/>
      <c r="F83" s="9"/>
      <c r="G83" s="9"/>
      <c r="H83" s="9"/>
    </row>
    <row r="84" spans="1:8" x14ac:dyDescent="0.25">
      <c r="A84" s="2">
        <f t="shared" si="1"/>
        <v>81</v>
      </c>
      <c r="B84" t="s">
        <v>463</v>
      </c>
      <c r="C84" t="s">
        <v>464</v>
      </c>
      <c r="D84" t="s">
        <v>22</v>
      </c>
      <c r="E84" s="9"/>
      <c r="F84" s="9"/>
      <c r="G84" s="9"/>
      <c r="H84" s="9"/>
    </row>
    <row r="85" spans="1:8" x14ac:dyDescent="0.25">
      <c r="A85" s="2">
        <f t="shared" si="1"/>
        <v>82</v>
      </c>
      <c r="B85" t="s">
        <v>465</v>
      </c>
      <c r="C85" t="s">
        <v>466</v>
      </c>
      <c r="D85" t="s">
        <v>22</v>
      </c>
      <c r="E85" s="9"/>
      <c r="F85" s="9"/>
      <c r="G85" s="9"/>
      <c r="H85" s="9"/>
    </row>
    <row r="86" spans="1:8" x14ac:dyDescent="0.25">
      <c r="A86" s="2">
        <f t="shared" si="1"/>
        <v>83</v>
      </c>
      <c r="B86" t="s">
        <v>467</v>
      </c>
      <c r="E86" s="9"/>
      <c r="F86" s="9"/>
      <c r="G86" s="9"/>
      <c r="H86" s="9"/>
    </row>
    <row r="87" spans="1:8" x14ac:dyDescent="0.25">
      <c r="A87" s="2">
        <f t="shared" si="1"/>
        <v>84</v>
      </c>
      <c r="B87" t="s">
        <v>468</v>
      </c>
      <c r="C87" t="s">
        <v>469</v>
      </c>
      <c r="D87" t="s">
        <v>22</v>
      </c>
      <c r="E87" s="9"/>
      <c r="F87" s="9"/>
      <c r="G87" s="9"/>
      <c r="H87" s="9"/>
    </row>
    <row r="88" spans="1:8" x14ac:dyDescent="0.25">
      <c r="A88" s="2">
        <f t="shared" si="1"/>
        <v>85</v>
      </c>
      <c r="B88" t="s">
        <v>470</v>
      </c>
      <c r="C88" t="s">
        <v>471</v>
      </c>
      <c r="D88" t="s">
        <v>306</v>
      </c>
      <c r="E88" s="9"/>
      <c r="F88" s="9"/>
      <c r="G88" s="9"/>
      <c r="H88" s="9"/>
    </row>
    <row r="89" spans="1:8" x14ac:dyDescent="0.25">
      <c r="A89" s="2">
        <f t="shared" si="1"/>
        <v>86</v>
      </c>
      <c r="E89" s="9"/>
      <c r="F89" s="9"/>
      <c r="G89" s="9"/>
      <c r="H89" s="9"/>
    </row>
    <row r="90" spans="1:8" x14ac:dyDescent="0.25">
      <c r="A90" s="2">
        <f t="shared" si="1"/>
        <v>87</v>
      </c>
      <c r="E90" s="9"/>
      <c r="F90" s="9"/>
      <c r="G90" s="9"/>
      <c r="H90" s="9"/>
    </row>
    <row r="91" spans="1:8" x14ac:dyDescent="0.25">
      <c r="A91" s="2">
        <f t="shared" si="1"/>
        <v>88</v>
      </c>
      <c r="E91" s="9"/>
      <c r="F91" s="9"/>
      <c r="G91" s="9"/>
      <c r="H91" s="9"/>
    </row>
    <row r="92" spans="1:8" x14ac:dyDescent="0.25">
      <c r="A92" s="2">
        <f t="shared" si="1"/>
        <v>89</v>
      </c>
      <c r="E92" s="9"/>
      <c r="F92" s="9"/>
      <c r="G92" s="9"/>
      <c r="H92" s="9"/>
    </row>
    <row r="93" spans="1:8" x14ac:dyDescent="0.25">
      <c r="A93" s="2">
        <f t="shared" si="1"/>
        <v>90</v>
      </c>
      <c r="E93" s="9"/>
      <c r="F93" s="9"/>
      <c r="G93" s="9"/>
      <c r="H93" s="9"/>
    </row>
  </sheetData>
  <hyperlinks>
    <hyperlink ref="B7" r:id="rId1" xr:uid="{291901C1-3207-44FC-9D62-11B2974551BB}"/>
    <hyperlink ref="B78" r:id="rId2" xr:uid="{434C1612-D0CB-4475-B5B4-3C41E23F53C4}"/>
    <hyperlink ref="B14" r:id="rId3" xr:uid="{8BD3E7F5-7FD2-46BF-8769-B4A06108EAD7}"/>
    <hyperlink ref="B11" r:id="rId4" xr:uid="{55C3E0E8-8B7A-42F6-AA91-B10DB0CD4FDA}"/>
    <hyperlink ref="B13" r:id="rId5" xr:uid="{2F7D9B9E-5F46-4802-87BD-37B87C5F409A}"/>
    <hyperlink ref="B15" r:id="rId6" xr:uid="{FDDC01C1-EDEE-4EC5-9053-DC55A119BC7A}"/>
    <hyperlink ref="B4" r:id="rId7" xr:uid="{6C512839-983B-4910-8439-E8D08BE2B5E6}"/>
    <hyperlink ref="B8" r:id="rId8" xr:uid="{5881067F-840F-4EE3-A6A6-49A5D5599E05}"/>
    <hyperlink ref="A1" location="Main!A1" display="Main" xr:uid="{AE554250-8BDC-41F6-B028-39BB218027C1}"/>
    <hyperlink ref="B17" r:id="rId9" xr:uid="{C10C3CEA-F36C-41AB-B9D5-0C29F9468CC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DBCA-9632-4AF3-AB84-E13E4D7323C7}">
  <dimension ref="B2:C6"/>
  <sheetViews>
    <sheetView zoomScale="200" zoomScaleNormal="200" workbookViewId="0">
      <selection activeCell="C7" sqref="C7"/>
    </sheetView>
  </sheetViews>
  <sheetFormatPr defaultRowHeight="15" x14ac:dyDescent="0.25"/>
  <cols>
    <col min="1" max="1" width="4.140625" customWidth="1"/>
  </cols>
  <sheetData>
    <row r="2" spans="2:3" x14ac:dyDescent="0.25">
      <c r="B2" t="s">
        <v>243</v>
      </c>
      <c r="C2">
        <v>6.4000000000000003E-3</v>
      </c>
    </row>
    <row r="3" spans="2:3" x14ac:dyDescent="0.25">
      <c r="B3" t="s">
        <v>246</v>
      </c>
      <c r="C3">
        <v>1.03</v>
      </c>
    </row>
    <row r="4" spans="2:3" x14ac:dyDescent="0.25">
      <c r="B4" t="s">
        <v>261</v>
      </c>
      <c r="C4">
        <v>1.24</v>
      </c>
    </row>
    <row r="5" spans="2:3" x14ac:dyDescent="0.25">
      <c r="B5" t="s">
        <v>279</v>
      </c>
      <c r="C5">
        <v>0.63</v>
      </c>
    </row>
    <row r="6" spans="2:3" x14ac:dyDescent="0.25">
      <c r="B6" t="s">
        <v>474</v>
      </c>
      <c r="C6">
        <v>0.14000000000000001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Gaming</vt:lpstr>
      <vt:lpstr>Media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2024-06-04T11:15:59Z</dcterms:created>
  <dcterms:modified xsi:type="dcterms:W3CDTF">2025-08-20T12:36:47Z</dcterms:modified>
</cp:coreProperties>
</file>