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FBCC7FFB-3EA8-4E5A-AE0D-3B1BD9FE2D53}" xr6:coauthVersionLast="47" xr6:coauthVersionMax="47" xr10:uidLastSave="{00000000-0000-0000-0000-000000000000}"/>
  <bookViews>
    <workbookView xWindow="225" yWindow="1950" windowWidth="38175" windowHeight="15240" xr2:uid="{E4FC37F3-4088-4285-9A96-75C9B19F2D05}"/>
  </bookViews>
  <sheets>
    <sheet name="Fashio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xlnm._FilterDatabase" localSheetId="0" hidden="1">Fashion!$A$1:$AE$181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H20" i="6" s="1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G6" i="4" l="1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<sst xmlns="http://schemas.openxmlformats.org/spreadsheetml/2006/main" count="1248" uniqueCount="727">
  <si>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</si>
  <si>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</si>
  <si>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</si>
  <si>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</si>
  <si>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</si>
  <si>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</si>
  <si>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</si>
  <si>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</si>
  <si>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</si>
  <si>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</si>
  <si>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</si>
  <si>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</si>
  <si>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</si>
  <si>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</si>
  <si>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</si>
  <si>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</si>
  <si>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</si>
  <si>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</si>
  <si>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</si>
  <si>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</si>
  <si>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</si>
  <si>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</si>
  <si>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</si>
  <si>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</si>
  <si>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</si>
  <si>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</si>
  <si>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</si>
  <si>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</si>
  <si>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</si>
  <si>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</si>
  <si>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</si>
  <si>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</si>
  <si>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</si>
  <si>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</si>
  <si>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</si>
  <si>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</si>
  <si>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</si>
  <si>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</si>
  <si>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</si>
  <si>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</si>
  <si>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</si>
  <si>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</si>
  <si>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</si>
  <si>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</si>
  <si>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</si>
  <si>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</si>
  <si>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</si>
  <si>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</si>
  <si>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</si>
  <si>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</si>
  <si>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</si>
  <si>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</si>
  <si>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</si>
  <si>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</si>
  <si>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</si>
  <si>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</si>
  <si>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</si>
  <si>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</si>
  <si>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</si>
  <si>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</si>
  <si>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</si>
  <si>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</si>
  <si>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</si>
  <si>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</si>
  <si>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</si>
  <si>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</si>
  <si>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</si>
  <si>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</si>
  <si>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</si>
  <si>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</si>
  <si>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</si>
  <si>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</si>
  <si>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</si>
  <si>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</si>
  <si>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</si>
  <si>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</si>
  <si>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</si>
  <si>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</si>
  <si>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</si>
  <si>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</si>
  <si>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</si>
  <si>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</si>
  <si>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</si>
  <si>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</si>
  <si>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</si>
  <si>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</si>
  <si>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</si>
  <si>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</si>
  <si>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</si>
  <si>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</si>
  <si>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</si>
  <si>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</si>
  <si>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</si>
  <si>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</si>
  <si>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</si>
  <si>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</si>
  <si>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</si>
  <si>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</si>
  <si>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</si>
  <si>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</si>
  <si>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</si>
  <si>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</si>
  <si>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</si>
  <si>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</si>
  <si>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</si>
  <si>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</si>
  <si>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</si>
  <si>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</si>
  <si>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</si>
  <si>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</si>
  <si>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</si>
  <si>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</si>
  <si>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</si>
  <si>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</si>
  <si>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GPS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</si>
  <si>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</si>
  <si>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</si>
  <si>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</si>
  <si>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</si>
  <si>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</si>
  <si>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</si>
  <si>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</si>
  <si>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</si>
  <si>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</si>
  <si>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</si>
  <si>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</si>
  <si>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</si>
  <si>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</si>
  <si>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</si>
  <si>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</si>
  <si>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</si>
  <si>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</si>
  <si>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</si>
  <si>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</si>
  <si>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</si>
  <si>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</si>
  <si>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</si>
  <si>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</si>
  <si>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</si>
  <si>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</si>
  <si>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</si>
  <si>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</si>
  <si>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</si>
  <si>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</si>
  <si>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</si>
  <si>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</si>
  <si>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</si>
  <si>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</si>
  <si>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</si>
  <si>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</si>
  <si>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</si>
  <si>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Q323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</si>
  <si>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</si>
  <si>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</si>
  <si>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</si>
  <si>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</si>
  <si>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</si>
  <si>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</si>
  <si>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</si>
  <si>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</si>
  <si>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</si>
  <si>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</si>
  <si>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</si>
  <si>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</si>
  <si>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</si>
  <si>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</si>
  <si>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</si>
  <si>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</si>
  <si>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</si>
  <si>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</si>
  <si>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</si>
  <si>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</si>
  <si>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</si>
  <si>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</si>
  <si>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</si>
  <si>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</si>
  <si>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</si>
  <si>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</si>
  <si>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</si>
  <si>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</si>
  <si>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</si>
  <si>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</si>
  <si>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</si>
  <si>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</si>
  <si>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</si>
  <si>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</si>
  <si>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</si>
  <si>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</si>
  <si>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</si>
  <si>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</si>
  <si>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</si>
  <si>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</si>
  <si>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</si>
  <si>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</si>
  <si>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</si>
  <si>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</si>
  <si>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</si>
  <si>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</si>
  <si>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</si>
  <si>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</si>
  <si>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</si>
  <si>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</si>
  <si>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</si>
  <si>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</si>
  <si>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</si>
  <si>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</si>
  <si>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</si>
  <si>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</si>
  <si>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</si>
  <si>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</si>
  <si>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</si>
  <si>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</si>
  <si>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</si>
  <si>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</si>
  <si>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</si>
  <si>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</si>
  <si>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</si>
  <si>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</si>
  <si>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</si>
  <si>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</si>
  <si>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</si>
  <si>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</si>
  <si>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</si>
  <si>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</si>
  <si>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</si>
  <si>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</si>
  <si>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</si>
  <si>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</si>
  <si>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</si>
  <si>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</si>
  <si>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</si>
  <si>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</si>
  <si>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</si>
  <si>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</si>
  <si>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</si>
  <si>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</si>
  <si>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</si>
  <si>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</si>
  <si>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</si>
  <si>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</si>
  <si>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</si>
  <si>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</si>
  <si>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</si>
  <si>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</si>
  <si>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</si>
  <si>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</si>
  <si>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</si>
  <si>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</si>
  <si>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</si>
  <si>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</si>
  <si>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</si>
  <si>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</si>
  <si>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</si>
  <si>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</si>
  <si>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</si>
  <si>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</si>
  <si>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</si>
  <si>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</si>
  <si>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</si>
  <si>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</si>
  <si>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</si>
  <si>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</si>
  <si>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</si>
  <si>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</si>
  <si>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</si>
  <si>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</si>
  <si>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</si>
  <si>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</si>
  <si>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</si>
  <si>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</si>
  <si>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</si>
  <si>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</si>
  <si>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</si>
  <si>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</si>
  <si>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</si>
  <si>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</si>
  <si>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</si>
  <si>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</si>
  <si>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</si>
  <si>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</si>
  <si>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</si>
  <si>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</si>
  <si>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</si>
  <si>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</si>
  <si>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</si>
  <si>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</si>
  <si>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</si>
  <si>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</si>
  <si>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</si>
  <si>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</si>
  <si>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</si>
  <si>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</si>
  <si>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</si>
  <si>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</si>
  <si>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</si>
  <si>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</si>
  <si>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</si>
  <si>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</si>
  <si>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</si>
  <si>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</si>
  <si>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</si>
  <si>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</si>
  <si>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</si>
  <si>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</si>
  <si>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</si>
  <si>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</si>
  <si>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</si>
  <si>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</si>
  <si>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</si>
  <si>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</si>
  <si>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</si>
  <si>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</si>
  <si>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</si>
  <si>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</si>
  <si>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</si>
  <si>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</si>
  <si>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</si>
  <si>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</si>
  <si>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</si>
  <si>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</si>
  <si>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</si>
  <si>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</si>
  <si>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</si>
  <si>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</si>
  <si>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</si>
  <si>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</si>
  <si>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</si>
  <si>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</si>
  <si>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</si>
  <si>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</si>
  <si>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</si>
  <si>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</si>
  <si>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</si>
  <si>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</si>
  <si>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</si>
  <si>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</si>
  <si>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</si>
  <si>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</si>
  <si>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</si>
  <si>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</si>
  <si>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</si>
  <si>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</si>
  <si>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</si>
  <si>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</si>
  <si>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</si>
  <si>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</si>
  <si>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</si>
  <si>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</si>
  <si>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</si>
  <si>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</si>
  <si>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</si>
  <si>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</si>
  <si>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</si>
  <si>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</si>
  <si>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</si>
  <si>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</si>
  <si>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</si>
  <si>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</si>
  <si>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</si>
  <si>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</si>
  <si>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</si>
  <si>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</si>
  <si>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</si>
  <si>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</si>
  <si>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</si>
  <si>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</si>
  <si>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</si>
  <si>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</si>
  <si>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</si>
  <si>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</si>
  <si>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</si>
  <si>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</si>
  <si>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</si>
  <si>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</si>
  <si>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</si>
  <si>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</si>
  <si>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</si>
  <si>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</si>
  <si>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</si>
  <si>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</si>
  <si>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</si>
  <si>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</si>
  <si>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</si>
  <si>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</si>
  <si>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</si>
  <si>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</si>
  <si>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</si>
  <si>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</si>
  <si>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</si>
  <si>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</si>
  <si>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</si>
  <si>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</si>
  <si>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</si>
  <si>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</si>
  <si>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</si>
  <si>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</si>
  <si>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</si>
  <si>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</si>
  <si>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</si>
  <si>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</si>
  <si>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Q325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</si>
  <si>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</si>
  <si>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</si>
  <si>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</si>
  <si>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</si>
  <si>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</si>
  <si>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</si>
  <si>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</si>
  <si>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</si>
  <si>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</si>
  <si>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</si>
  <si>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</si>
  <si>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</si>
  <si>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</si>
  <si>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</si>
  <si>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</si>
  <si>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</si>
  <si>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</si>
  <si>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</si>
  <si>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</si>
  <si>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</si>
  <si>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</si>
  <si>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</si>
  <si>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</si>
  <si>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</si>
  <si>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</si>
  <si>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</si>
  <si>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</si>
  <si>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</si>
  <si>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</si>
  <si>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</si>
  <si>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</si>
  <si>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</si>
  <si>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</si>
  <si>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</si>
  <si>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</si>
  <si>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</si>
  <si>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</si>
  <si>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</si>
  <si>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</si>
  <si>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</si>
  <si>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</si>
  <si>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</si>
  <si>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</si>
  <si>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</si>
  <si>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</si>
  <si>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IPO in Q2/Q3 2025 on LSE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</si>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</sst>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499.45</v>
          </cell>
        </row>
        <row r="6">
          <cell r="I6">
            <v>249895.66206499998</v>
          </cell>
        </row>
        <row r="7">
          <cell r="I7">
            <v>9631</v>
          </cell>
        </row>
        <row r="8">
          <cell r="I8">
            <v>22672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304.16000000000003</v>
          </cell>
        </row>
        <row r="4">
          <cell r="I4">
            <v>37011.101280000003</v>
          </cell>
        </row>
        <row r="5">
          <cell r="I5">
            <v>1984.336</v>
          </cell>
        </row>
        <row r="6">
          <cell r="I6">
            <v>308.35199999999998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201.7</v>
          </cell>
        </row>
        <row r="4">
          <cell r="I4">
            <v>36013.350242799999</v>
          </cell>
        </row>
        <row r="5">
          <cell r="I5">
            <v>2455</v>
          </cell>
        </row>
        <row r="6">
          <cell r="I6">
            <v>2485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rket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174</v>
          </cell>
        </row>
        <row r="4">
          <cell r="H4">
            <v>21335.461878000002</v>
          </cell>
        </row>
        <row r="5">
          <cell r="H5">
            <v>3518</v>
          </cell>
        </row>
        <row r="6">
          <cell r="H6">
            <v>14035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188.85</v>
          </cell>
        </row>
        <row r="4">
          <cell r="M4">
            <v>28671.206999999999</v>
          </cell>
        </row>
        <row r="5">
          <cell r="M5">
            <v>2240.9229999999998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134.5</v>
          </cell>
        </row>
        <row r="4">
          <cell r="I4">
            <v>215804.03949999998</v>
          </cell>
        </row>
        <row r="5">
          <cell r="I5">
            <v>16578</v>
          </cell>
        </row>
        <row r="6">
          <cell r="I6">
            <v>64974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48.5</v>
          </cell>
        </row>
        <row r="5">
          <cell r="H5">
            <v>14892.355679999999</v>
          </cell>
        </row>
        <row r="6">
          <cell r="H6">
            <v>1011.563</v>
          </cell>
        </row>
        <row r="7">
          <cell r="H7">
            <v>404.18799999999999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68.2</v>
          </cell>
        </row>
        <row r="4">
          <cell r="H4">
            <v>18443.897720599998</v>
          </cell>
        </row>
        <row r="5">
          <cell r="H5">
            <v>803.40099999999995</v>
          </cell>
        </row>
        <row r="6">
          <cell r="H6">
            <v>851.41200000000003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292.68</v>
          </cell>
        </row>
        <row r="4">
          <cell r="I4">
            <v>18579.62025072</v>
          </cell>
        </row>
        <row r="5">
          <cell r="I5">
            <v>857.8</v>
          </cell>
        </row>
        <row r="6">
          <cell r="I6">
            <v>1713.5350000000001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2344</v>
          </cell>
        </row>
        <row r="4">
          <cell r="K4">
            <v>245651.19999999998</v>
          </cell>
        </row>
        <row r="5">
          <cell r="K5">
            <v>11642</v>
          </cell>
        </row>
        <row r="6">
          <cell r="K6">
            <v>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81.58</v>
          </cell>
        </row>
        <row r="4">
          <cell r="J4">
            <v>16943.36219226</v>
          </cell>
        </row>
        <row r="5">
          <cell r="J5">
            <v>1057</v>
          </cell>
        </row>
        <row r="6">
          <cell r="J6">
            <v>2697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3518</v>
          </cell>
        </row>
        <row r="4">
          <cell r="I4">
            <v>2542170.8592619998</v>
          </cell>
        </row>
        <row r="5">
          <cell r="I5">
            <v>201726</v>
          </cell>
        </row>
        <row r="6">
          <cell r="I6">
            <v>62500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54.01</v>
          </cell>
        </row>
        <row r="5">
          <cell r="H5">
            <v>13466.70573666</v>
          </cell>
        </row>
        <row r="6">
          <cell r="H6">
            <v>871.8</v>
          </cell>
        </row>
        <row r="7">
          <cell r="H7">
            <v>54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</v>
          </cell>
        </row>
        <row r="4">
          <cell r="J4">
            <v>21051.474004000003</v>
          </cell>
        </row>
        <row r="5">
          <cell r="J5">
            <v>422.1</v>
          </cell>
        </row>
        <row r="6">
          <cell r="J6">
            <v>928.6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279.5</v>
          </cell>
        </row>
        <row r="4">
          <cell r="H4">
            <v>17263.0980925</v>
          </cell>
        </row>
        <row r="5">
          <cell r="H5">
            <v>2143.1999999999998</v>
          </cell>
        </row>
        <row r="6">
          <cell r="H6">
            <v>1142.0999999999999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32.299999999999997</v>
          </cell>
        </row>
        <row r="4">
          <cell r="I4">
            <v>8368.93</v>
          </cell>
        </row>
        <row r="5">
          <cell r="I5">
            <v>1959.4</v>
          </cell>
        </row>
        <row r="6">
          <cell r="I6">
            <v>1082.4000000000001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12.26</v>
          </cell>
        </row>
        <row r="4">
          <cell r="H4">
            <v>4776.5573000000004</v>
          </cell>
        </row>
        <row r="5">
          <cell r="H5">
            <v>1369.376</v>
          </cell>
        </row>
        <row r="6">
          <cell r="H6">
            <v>4647.875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44.78</v>
          </cell>
        </row>
        <row r="5">
          <cell r="J5">
            <v>139465.20457874</v>
          </cell>
        </row>
        <row r="6">
          <cell r="J6">
            <v>11502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57</v>
          </cell>
        </row>
        <row r="4">
          <cell r="I4">
            <v>10706.264514</v>
          </cell>
        </row>
        <row r="5">
          <cell r="I5">
            <v>235.399</v>
          </cell>
        </row>
        <row r="6">
          <cell r="I6">
            <v>1200.595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110.7</v>
          </cell>
        </row>
        <row r="4">
          <cell r="J4">
            <v>7526.8999331999994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52.1</v>
          </cell>
        </row>
        <row r="4">
          <cell r="I4">
            <v>8371.5321999999996</v>
          </cell>
        </row>
        <row r="5">
          <cell r="I5">
            <v>78.48</v>
          </cell>
        </row>
        <row r="6">
          <cell r="I6">
            <v>1479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14.88</v>
          </cell>
        </row>
        <row r="4">
          <cell r="I4">
            <v>5882.4812351999999</v>
          </cell>
        </row>
        <row r="5">
          <cell r="I5">
            <v>574.4</v>
          </cell>
        </row>
        <row r="6">
          <cell r="I6">
            <v>987.4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111.22</v>
          </cell>
        </row>
        <row r="4">
          <cell r="H4">
            <v>6240.5541999999996</v>
          </cell>
        </row>
        <row r="5">
          <cell r="H5">
            <v>169.73699999999999</v>
          </cell>
        </row>
        <row r="6">
          <cell r="H6">
            <v>1481.7249999999999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133.4</v>
          </cell>
        </row>
        <row r="5">
          <cell r="I5">
            <v>151008.80000000002</v>
          </cell>
        </row>
        <row r="6">
          <cell r="I6">
            <v>4255</v>
          </cell>
        </row>
        <row r="7">
          <cell r="I7">
            <v>2867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52.65</v>
          </cell>
        </row>
        <row r="4">
          <cell r="J4">
            <v>4858.5138848999995</v>
          </cell>
        </row>
        <row r="5">
          <cell r="J5">
            <v>610.43000000000006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24.59</v>
          </cell>
        </row>
        <row r="4">
          <cell r="I4">
            <v>3641.2872000000002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91.5</v>
          </cell>
        </row>
        <row r="4">
          <cell r="I4">
            <v>4609.1010434999998</v>
          </cell>
        </row>
        <row r="5">
          <cell r="I5">
            <v>888.94799999999998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626.5</v>
          </cell>
        </row>
        <row r="4">
          <cell r="I4">
            <v>113027.22837000001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75.930000000000007</v>
          </cell>
        </row>
        <row r="4">
          <cell r="J4">
            <v>3996.7230819900005</v>
          </cell>
        </row>
        <row r="5">
          <cell r="J5">
            <v>748</v>
          </cell>
        </row>
        <row r="6">
          <cell r="J6">
            <v>1579.9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9.48</v>
          </cell>
        </row>
        <row r="4">
          <cell r="I4">
            <v>3397.6320000000001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38.450000000000003</v>
          </cell>
        </row>
        <row r="4">
          <cell r="J4">
            <v>2706.8800000000006</v>
          </cell>
        </row>
        <row r="5">
          <cell r="J5">
            <v>107</v>
          </cell>
        </row>
        <row r="6">
          <cell r="J6">
            <v>327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6.03</v>
          </cell>
        </row>
        <row r="4">
          <cell r="I4">
            <v>2588.63076</v>
          </cell>
        </row>
        <row r="5">
          <cell r="I5">
            <v>501.36099999999999</v>
          </cell>
        </row>
        <row r="6">
          <cell r="I6">
            <v>595.125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56.3</v>
          </cell>
        </row>
        <row r="5">
          <cell r="I5">
            <v>83217.029999999984</v>
          </cell>
        </row>
        <row r="6">
          <cell r="I6">
            <v>10393</v>
          </cell>
        </row>
        <row r="7">
          <cell r="I7">
            <v>8960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22.01</v>
          </cell>
        </row>
        <row r="4">
          <cell r="I4">
            <v>2595.1945879500004</v>
          </cell>
        </row>
        <row r="5">
          <cell r="I5">
            <v>356</v>
          </cell>
        </row>
        <row r="6">
          <cell r="I6">
            <v>1479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46660</v>
          </cell>
        </row>
        <row r="5">
          <cell r="J5">
            <v>14313793.760159999</v>
          </cell>
        </row>
        <row r="6">
          <cell r="J6">
            <v>977330</v>
          </cell>
        </row>
        <row r="7">
          <cell r="J7">
            <v>333913</v>
          </cell>
        </row>
      </sheetData>
      <sheetData sheetId="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12.42</v>
          </cell>
        </row>
        <row r="4">
          <cell r="J4">
            <v>1202.50944252</v>
          </cell>
        </row>
        <row r="5">
          <cell r="J5">
            <v>333.4</v>
          </cell>
        </row>
        <row r="6">
          <cell r="J6">
            <v>412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218.5</v>
          </cell>
        </row>
        <row r="4">
          <cell r="K4">
            <v>88227.451415500007</v>
          </cell>
        </row>
        <row r="5">
          <cell r="K5">
            <v>122.395</v>
          </cell>
        </row>
        <row r="6">
          <cell r="K6">
            <v>2657.7709999999997</v>
          </cell>
        </row>
      </sheetData>
      <sheetData sheetId="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166.7</v>
          </cell>
        </row>
        <row r="5">
          <cell r="J5">
            <v>103671.06340000001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148.05000000000001</v>
          </cell>
        </row>
        <row r="5">
          <cell r="I5">
            <v>7640.0136540000012</v>
          </cell>
        </row>
        <row r="6">
          <cell r="I6">
            <v>1396</v>
          </cell>
        </row>
        <row r="7">
          <cell r="I7">
            <v>22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151.5</v>
          </cell>
        </row>
        <row r="5">
          <cell r="H5">
            <v>49816.452553499999</v>
          </cell>
        </row>
        <row r="6">
          <cell r="H6">
            <v>4730.7439999999997</v>
          </cell>
        </row>
        <row r="7">
          <cell r="H7">
            <v>2214.8109999999997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tabSelected="1" zoomScale="200" zoomScaleNormal="2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" sqref="J1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453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451</v>
      </c>
      <c r="J3" s="31" t="s">
        <v>452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442</v>
      </c>
      <c r="AC3" s="30" t="s">
        <v>443</v>
      </c>
      <c r="AD3" s="35" t="s">
        <v>401</v>
      </c>
      <c r="AE3" s="33" t="s">
        <v>96</v>
      </c>
      <c r="AF3" s="30"/>
      <c r="AG3" s="30"/>
      <c r="AH3" s="36" t="s">
        <v>127</v>
      </c>
    </row>
    <row r="4" spans="1:34" x14ac:dyDescent="0.25">
      <c r="A4" s="2" t="s">
        <v>317</v>
      </c>
      <c r="B4" t="s">
        <v>408</v>
      </c>
      <c r="D4" s="3"/>
      <c r="E4" s="10"/>
      <c r="F4" s="16">
        <f>SUM(F6:F153)</f>
        <v>1827576.017716842</v>
      </c>
      <c r="G4" s="16">
        <f>+SUM(G6:G153)</f>
        <v>14021.293845200002</v>
      </c>
      <c r="H4" s="16">
        <f>SUM(H6:H153)</f>
        <v>1841597.3115620425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317</v>
      </c>
      <c r="B5" t="s">
        <v>88</v>
      </c>
      <c r="E5"/>
      <c r="F5" s="16">
        <f>AVERAGE(F6:F153)</f>
        <v>23734.753476842103</v>
      </c>
      <c r="G5" s="16">
        <f>AVERAGE(G6:G153)</f>
        <v>182.09472526233768</v>
      </c>
      <c r="H5" s="16">
        <f>AVERAGE(H6:H153)</f>
        <v>23916.848202104447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499.45</v>
      </c>
      <c r="F6" s="16">
        <f>+[1]Main!$I$6*FX!C3</f>
        <v>259891.48854759999</v>
      </c>
      <c r="G6" s="16">
        <f>(+[1]Main!$I$8-[1]Main!$I$7)*FX!C3</f>
        <v>13562.640000000001</v>
      </c>
      <c r="H6" s="16">
        <f>F6+G6</f>
        <v>273454.1285476</v>
      </c>
      <c r="I6" s="12" t="s">
        <v>439</v>
      </c>
      <c r="J6" s="15">
        <v>45830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115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2344</v>
      </c>
      <c r="F7" s="16">
        <f>+[2]Main!$K$4*FX!C3</f>
        <v>255477.24799999999</v>
      </c>
      <c r="G7" s="16">
        <f>+([2]Main!$K$6-[2]Main!$K$5)*FX!C3</f>
        <v>-12044.24</v>
      </c>
      <c r="H7" s="16">
        <f>F7+G7</f>
        <v>243433.008</v>
      </c>
      <c r="I7" s="12" t="s">
        <v>439</v>
      </c>
      <c r="J7" s="15">
        <v>45838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115</v>
      </c>
    </row>
    <row r="8" spans="1:34" x14ac:dyDescent="0.25">
      <c r="A8" s="2">
        <f>+A7+1</f>
        <v>3</v>
      </c>
      <c r="B8" s="8" t="s">
        <v>99</v>
      </c>
      <c r="C8" s="3" t="s">
        <v>454</v>
      </c>
      <c r="D8" t="s">
        <v>100</v>
      </c>
      <c r="E8" s="7">
        <f>+[3]Main!$J$3</f>
        <v>44.78</v>
      </c>
      <c r="F8" s="16">
        <f>+[3]Main!$J$5*FX!C3</f>
        <v>145043.8127618896</v>
      </c>
      <c r="G8" s="16">
        <f>+([3]Main!$J$7-[3]Main!$J$6)*FX!C3</f>
        <v>-11954.800000000001</v>
      </c>
      <c r="H8" s="16">
        <f t="shared" ref="H8:H35" si="1">F8+G8</f>
        <v>133089.01276188961</v>
      </c>
      <c r="I8" s="12" t="s">
        <v>340</v>
      </c>
      <c r="J8" s="15">
        <v>45812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117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133.4</v>
      </c>
      <c r="F9" s="16">
        <f>+[4]Main!$I$5</f>
        <v>151008.80000000002</v>
      </c>
      <c r="G9" s="16">
        <f>+[4]Main!$I$7-[4]Main!$I$6</f>
        <v>-1388</v>
      </c>
      <c r="H9" s="16">
        <f>F9+G9</f>
        <v>149620.80000000002</v>
      </c>
      <c r="I9" s="12" t="s">
        <v>725</v>
      </c>
      <c r="J9" s="15">
        <v>45889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119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626.5</v>
      </c>
      <c r="F10" s="16">
        <f>+[5]Main!$I$4*FX!C3</f>
        <v>117548.31750480001</v>
      </c>
      <c r="G10" s="16">
        <f>+([5]Main!$I$6-[5]Main!$I$5)*FX!C3</f>
        <v>13724.880000000001</v>
      </c>
      <c r="H10" s="16">
        <f>F10+G10</f>
        <v>131273.19750480002</v>
      </c>
      <c r="I10" s="12" t="s">
        <v>340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115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56.3</v>
      </c>
      <c r="F11" s="16">
        <f>+[6]Main!$I$5</f>
        <v>83217.029999999984</v>
      </c>
      <c r="G11" s="16">
        <f>+[6]Main!$I$7-[6]Main!$I$6</f>
        <v>-1433</v>
      </c>
      <c r="H11" s="16">
        <f t="shared" si="1"/>
        <v>81784.029999999984</v>
      </c>
      <c r="I11" s="12" t="s">
        <v>382</v>
      </c>
      <c r="J11" s="15">
        <v>45834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116</v>
      </c>
    </row>
    <row r="12" spans="1:34" x14ac:dyDescent="0.25">
      <c r="A12" s="2">
        <f t="shared" si="2"/>
        <v>7</v>
      </c>
      <c r="B12" s="8" t="s">
        <v>124</v>
      </c>
      <c r="C12" s="3" t="s">
        <v>126</v>
      </c>
      <c r="D12" t="s">
        <v>125</v>
      </c>
      <c r="E12" s="17">
        <f>+[7]Main!$J$3</f>
        <v>46660</v>
      </c>
      <c r="F12" s="16">
        <f>+[7]Main!$J$5*FX!C5</f>
        <v>90176.900689007991</v>
      </c>
      <c r="G12" s="16">
        <f>+([7]Main!$J$7-[7]Main!$J$6)*FX!C5</f>
        <v>-4053.5271000000002</v>
      </c>
      <c r="H12" s="16">
        <f t="shared" si="1"/>
        <v>86123.373589007984</v>
      </c>
      <c r="I12" s="12" t="s">
        <v>336</v>
      </c>
      <c r="J12" s="15">
        <v>45848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117</v>
      </c>
    </row>
    <row r="13" spans="1:34" x14ac:dyDescent="0.25">
      <c r="A13" s="2">
        <f t="shared" si="2"/>
        <v>8</v>
      </c>
      <c r="B13" s="8" t="s">
        <v>132</v>
      </c>
      <c r="C13" s="3" t="s">
        <v>134</v>
      </c>
      <c r="D13" t="s">
        <v>21</v>
      </c>
      <c r="E13" s="7">
        <f>+[8]Main!$K$2</f>
        <v>218.5</v>
      </c>
      <c r="F13" s="16">
        <f>+[8]Main!$K$4</f>
        <v>88227.451415500007</v>
      </c>
      <c r="G13" s="16">
        <f>+[8]Main!$K$6-[8]Main!$K$5</f>
        <v>2535.3759999999997</v>
      </c>
      <c r="H13" s="16">
        <f t="shared" si="1"/>
        <v>90762.827415500011</v>
      </c>
      <c r="I13" s="12" t="s">
        <v>336</v>
      </c>
      <c r="J13" s="15">
        <v>45853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138</v>
      </c>
    </row>
    <row r="14" spans="1:34" x14ac:dyDescent="0.25">
      <c r="A14" s="2">
        <f t="shared" si="2"/>
        <v>9</v>
      </c>
      <c r="B14" s="8" t="s">
        <v>133</v>
      </c>
      <c r="C14" s="3" t="s">
        <v>135</v>
      </c>
      <c r="D14" t="s">
        <v>21</v>
      </c>
      <c r="E14" s="7">
        <f>+[9]Main!$H$3</f>
        <v>151.5</v>
      </c>
      <c r="F14" s="16">
        <f>+[9]Main!$H$5</f>
        <v>49816.452553499999</v>
      </c>
      <c r="G14" s="16">
        <f>+[9]Main!$H$7-[9]Main!$H$6</f>
        <v>-2515.933</v>
      </c>
      <c r="H14" s="16">
        <f t="shared" si="1"/>
        <v>47300.519553500002</v>
      </c>
      <c r="I14" s="12" t="s">
        <v>340</v>
      </c>
      <c r="J14" s="15">
        <v>45799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402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304.16000000000003</v>
      </c>
      <c r="F15" s="16">
        <f>+[10]Main!$I$4</f>
        <v>37011.101280000003</v>
      </c>
      <c r="G15" s="16">
        <f>+[10]Main!$I$6-[10]Main!$I$5</f>
        <v>-1675.9839999999999</v>
      </c>
      <c r="H15" s="16">
        <f>F15+G15</f>
        <v>35335.117280000006</v>
      </c>
      <c r="I15" s="12" t="s">
        <v>340</v>
      </c>
      <c r="J15" s="15">
        <v>45812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405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201.7</v>
      </c>
      <c r="F16" s="16">
        <f>+[11]Main!$I$4*FX!C3</f>
        <v>37453.884252511998</v>
      </c>
      <c r="G16" s="16">
        <f>+([11]Main!$I$6-[11]Main!$I$5)*FX!C3</f>
        <v>31.200000000000003</v>
      </c>
      <c r="H16" s="16">
        <f>F16+G16</f>
        <v>37485.084252511995</v>
      </c>
      <c r="I16" s="12" t="s">
        <v>340</v>
      </c>
      <c r="J16" s="15">
        <v>45868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116</v>
      </c>
    </row>
    <row r="17" spans="1:31" x14ac:dyDescent="0.25">
      <c r="A17" s="2">
        <f t="shared" si="2"/>
        <v>12</v>
      </c>
      <c r="B17" s="8" t="s">
        <v>7</v>
      </c>
      <c r="C17" s="3" t="s">
        <v>455</v>
      </c>
      <c r="D17" s="3" t="s">
        <v>20</v>
      </c>
      <c r="E17" s="7">
        <f>+[12]Main!$H$2</f>
        <v>174</v>
      </c>
      <c r="F17" s="16">
        <f>+[12]Main!$H$4*FX!C3</f>
        <v>22188.880353120003</v>
      </c>
      <c r="G17" s="16">
        <f>+([12]Main!$H$6-[12]Main!$H$5)*FX!C3</f>
        <v>10937.68</v>
      </c>
      <c r="H17" s="16">
        <f t="shared" si="1"/>
        <v>33126.560353120003</v>
      </c>
      <c r="I17" s="12" t="s">
        <v>439</v>
      </c>
      <c r="J17" s="15">
        <v>45867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115</v>
      </c>
    </row>
    <row r="18" spans="1:31" x14ac:dyDescent="0.25">
      <c r="A18" s="2">
        <f t="shared" si="2"/>
        <v>13</v>
      </c>
      <c r="B18" s="8" t="s">
        <v>15</v>
      </c>
      <c r="C18" s="3" t="s">
        <v>456</v>
      </c>
      <c r="D18" t="s">
        <v>463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340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405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188.85</v>
      </c>
      <c r="F19" s="16">
        <f>+[14]Main!$M$4</f>
        <v>28671.206999999999</v>
      </c>
      <c r="G19" s="16">
        <f>+[14]Main!$M$6-[14]Main!$M$5</f>
        <v>-2240.9229999999998</v>
      </c>
      <c r="H19" s="16">
        <f>F19+G19</f>
        <v>26430.284</v>
      </c>
      <c r="I19" s="12" t="s">
        <v>150</v>
      </c>
      <c r="J19" s="15">
        <v>45799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118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134.5</v>
      </c>
      <c r="F20" s="16">
        <f>+[15]Main!$I$4*FX!C4</f>
        <v>20501.383752499998</v>
      </c>
      <c r="G20" s="16">
        <f>+([15]Main!$I$6-[15]Main!$I$5)*FX!C4</f>
        <v>4597.62</v>
      </c>
      <c r="H20" s="16">
        <f t="shared" si="1"/>
        <v>25099.003752499997</v>
      </c>
      <c r="I20" s="12" t="s">
        <v>439</v>
      </c>
      <c r="J20" s="15">
        <v>45834</v>
      </c>
      <c r="K20" s="16">
        <f>234478*FX!C4</f>
        <v>22275.41</v>
      </c>
      <c r="L20" s="9">
        <v>-0.01</v>
      </c>
      <c r="M20" s="16"/>
      <c r="N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117</v>
      </c>
    </row>
    <row r="21" spans="1:31" x14ac:dyDescent="0.25">
      <c r="A21" s="2">
        <f t="shared" si="2"/>
        <v>16</v>
      </c>
      <c r="B21" s="8" t="s">
        <v>136</v>
      </c>
      <c r="C21" s="3" t="s">
        <v>137</v>
      </c>
      <c r="D21" s="3" t="s">
        <v>167</v>
      </c>
      <c r="E21" s="7">
        <f>+[16]Main!$H$2</f>
        <v>48.5</v>
      </c>
      <c r="F21" s="16">
        <f>+[16]Main!$H$5*FX!C3</f>
        <v>15488.049907199998</v>
      </c>
      <c r="G21" s="16">
        <f>(+[16]Main!$H$7-[16]Main!$H$6)*FX!C3</f>
        <v>-631.67000000000007</v>
      </c>
      <c r="H21" s="16">
        <f t="shared" si="1"/>
        <v>14856.379907199998</v>
      </c>
      <c r="I21" s="12" t="s">
        <v>439</v>
      </c>
      <c r="J21" s="15">
        <v>45865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115</v>
      </c>
    </row>
    <row r="22" spans="1:31" x14ac:dyDescent="0.25">
      <c r="A22" s="2">
        <f t="shared" si="2"/>
        <v>17</v>
      </c>
      <c r="B22" s="8" t="s">
        <v>449</v>
      </c>
      <c r="C22" s="3" t="s">
        <v>450</v>
      </c>
      <c r="D22" t="s">
        <v>187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439</v>
      </c>
      <c r="J22" s="15">
        <v>45772</v>
      </c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457</v>
      </c>
      <c r="D23" t="s">
        <v>167</v>
      </c>
      <c r="E23" s="7">
        <f>+[18]Main!$H$2</f>
        <v>68.2</v>
      </c>
      <c r="F23" s="16">
        <f>+[18]Main!$H$4*FX!C3</f>
        <v>19181.653629424</v>
      </c>
      <c r="G23" s="16">
        <f>+([18]Main!$H$6-[18]Main!$H$5)*FX!C3</f>
        <v>49.931440000000087</v>
      </c>
      <c r="H23" s="16">
        <f t="shared" si="1"/>
        <v>19231.585069424</v>
      </c>
      <c r="I23" s="12" t="s">
        <v>340</v>
      </c>
      <c r="J23" s="15">
        <v>45861</v>
      </c>
      <c r="M23" s="16"/>
      <c r="N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403</v>
      </c>
    </row>
    <row r="24" spans="1:31" x14ac:dyDescent="0.25">
      <c r="A24" s="2">
        <f t="shared" si="2"/>
        <v>19</v>
      </c>
      <c r="B24" s="20" t="s">
        <v>308</v>
      </c>
      <c r="C24" s="3" t="s">
        <v>311</v>
      </c>
      <c r="D24" t="s">
        <v>21</v>
      </c>
      <c r="E24" s="7">
        <f>+[19]Main!$I$2</f>
        <v>292.68</v>
      </c>
      <c r="F24" s="16">
        <f>+[19]Main!$I$4</f>
        <v>18579.62025072</v>
      </c>
      <c r="G24" s="16">
        <f>+[19]Main!$I$6-[19]Main!$I$5</f>
        <v>855.73500000000013</v>
      </c>
      <c r="H24" s="16">
        <f>F24+G24</f>
        <v>19435.35525072</v>
      </c>
      <c r="I24" s="12" t="s">
        <v>149</v>
      </c>
      <c r="J24" s="15">
        <v>45723</v>
      </c>
      <c r="M24" s="16"/>
      <c r="N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119</v>
      </c>
    </row>
    <row r="25" spans="1:31" x14ac:dyDescent="0.25">
      <c r="A25" s="2">
        <f t="shared" si="2"/>
        <v>20</v>
      </c>
      <c r="B25" s="8" t="s">
        <v>312</v>
      </c>
      <c r="C25" s="3" t="s">
        <v>313</v>
      </c>
      <c r="D25" t="s">
        <v>21</v>
      </c>
      <c r="E25" s="7">
        <f>+[20]Main!$J$2</f>
        <v>81.58</v>
      </c>
      <c r="F25" s="16">
        <f>+[20]Main!$J$4</f>
        <v>16943.36219226</v>
      </c>
      <c r="G25" s="16">
        <f>+[20]Main!$J$6-[20]Main!$J$5</f>
        <v>1640</v>
      </c>
      <c r="H25" s="16">
        <f t="shared" si="1"/>
        <v>18583.36219226</v>
      </c>
      <c r="I25" s="12" t="s">
        <v>400</v>
      </c>
      <c r="J25" s="15">
        <v>45883</v>
      </c>
      <c r="M25" s="16"/>
      <c r="N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404</v>
      </c>
    </row>
    <row r="26" spans="1:31" x14ac:dyDescent="0.25">
      <c r="A26" s="2">
        <f t="shared" si="2"/>
        <v>21</v>
      </c>
      <c r="B26" s="8" t="s">
        <v>30</v>
      </c>
      <c r="C26" s="3" t="s">
        <v>384</v>
      </c>
      <c r="D26" t="s">
        <v>125</v>
      </c>
      <c r="E26" s="7">
        <f>+[21]Main!$I$2</f>
        <v>3518</v>
      </c>
      <c r="F26" s="16">
        <f>+[21]Main!$I$4*FX!C5</f>
        <v>16015.676413350599</v>
      </c>
      <c r="G26" s="16">
        <f>+([21]Main!$I$6-[21]Main!$I$5)*FX!C5</f>
        <v>-877.12379999999996</v>
      </c>
      <c r="H26" s="16">
        <f>F26+G26</f>
        <v>15138.552613350599</v>
      </c>
      <c r="I26" s="10" t="s">
        <v>340</v>
      </c>
      <c r="J26" s="15">
        <v>45882</v>
      </c>
      <c r="K26" s="16"/>
      <c r="M26" s="16"/>
      <c r="N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405</v>
      </c>
    </row>
    <row r="27" spans="1:31" x14ac:dyDescent="0.25">
      <c r="A27" s="2">
        <f t="shared" si="2"/>
        <v>22</v>
      </c>
      <c r="B27" s="20" t="s">
        <v>309</v>
      </c>
      <c r="C27" s="3" t="s">
        <v>310</v>
      </c>
      <c r="D27" t="s">
        <v>221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149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119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168</v>
      </c>
      <c r="E28" s="7">
        <f>+[23]Main!$H$2</f>
        <v>54.01</v>
      </c>
      <c r="F28" s="16">
        <f>+[23]Main!$H$5*FX!C7</f>
        <v>15082.710425059202</v>
      </c>
      <c r="G28" s="16">
        <f>+([23]Main!$H$7-[23]Main!$H$6)*FX!C7</f>
        <v>-915.93600000000004</v>
      </c>
      <c r="H28" s="16">
        <f>F28+G28</f>
        <v>14166.774425059202</v>
      </c>
      <c r="I28" s="12" t="s">
        <v>439</v>
      </c>
      <c r="J28" s="15">
        <v>45881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116</v>
      </c>
    </row>
    <row r="29" spans="1:31" x14ac:dyDescent="0.25">
      <c r="A29" s="2">
        <f t="shared" si="2"/>
        <v>24</v>
      </c>
      <c r="B29" s="8" t="s">
        <v>423</v>
      </c>
      <c r="C29" s="3" t="s">
        <v>424</v>
      </c>
      <c r="D29" t="s">
        <v>216</v>
      </c>
      <c r="E29" s="7">
        <f>+[24]Main!$J$2</f>
        <v>38</v>
      </c>
      <c r="F29" s="16">
        <f>+[24]Main!$J$4</f>
        <v>21051.474004000003</v>
      </c>
      <c r="G29" s="16">
        <f>+[24]Main!$J$6-[24]Main!$J$5</f>
        <v>506.5</v>
      </c>
      <c r="H29" s="16">
        <f t="shared" si="1"/>
        <v>21557.974004000003</v>
      </c>
      <c r="I29" s="10" t="s">
        <v>439</v>
      </c>
      <c r="J29" s="15">
        <v>45888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437</v>
      </c>
    </row>
    <row r="30" spans="1:31" x14ac:dyDescent="0.25">
      <c r="A30" s="2">
        <f t="shared" si="2"/>
        <v>25</v>
      </c>
      <c r="B30" s="8" t="s">
        <v>22</v>
      </c>
      <c r="C30" s="3" t="s">
        <v>458</v>
      </c>
      <c r="D30" t="s">
        <v>463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149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460</v>
      </c>
      <c r="D31" t="s">
        <v>21</v>
      </c>
      <c r="E31" s="7">
        <f>+[26]Main!$H$2</f>
        <v>279.5</v>
      </c>
      <c r="F31" s="16">
        <f>+[26]Main!$H$4</f>
        <v>17263.0980925</v>
      </c>
      <c r="G31" s="16">
        <f>+[26]Main!$H$6-[26]Main!$H$5</f>
        <v>-1001.0999999999999</v>
      </c>
      <c r="H31" s="16">
        <f t="shared" si="1"/>
        <v>16261.9980925</v>
      </c>
      <c r="I31" s="12" t="s">
        <v>400</v>
      </c>
      <c r="J31" s="15">
        <v>45798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383</v>
      </c>
      <c r="C32" s="3" t="s">
        <v>459</v>
      </c>
      <c r="D32" t="s">
        <v>463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385</v>
      </c>
      <c r="J32" s="10" t="s">
        <v>407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386</v>
      </c>
    </row>
    <row r="33" spans="1:31" x14ac:dyDescent="0.25">
      <c r="A33" s="2">
        <f t="shared" si="2"/>
        <v>28</v>
      </c>
      <c r="B33" s="8" t="s">
        <v>128</v>
      </c>
      <c r="C33" s="3" t="s">
        <v>418</v>
      </c>
      <c r="D33" t="s">
        <v>82</v>
      </c>
      <c r="E33" s="7">
        <f>+[28]Main!$I$2</f>
        <v>32.299999999999997</v>
      </c>
      <c r="F33" s="16">
        <f>+[28]Main!$I$4*FX!C3</f>
        <v>8703.6872000000003</v>
      </c>
      <c r="G33" s="16">
        <f>+([28]Main!$I$6-[28]Main!$I$5)*FX!C3</f>
        <v>-912.08</v>
      </c>
      <c r="H33" s="16">
        <f>F33+G33</f>
        <v>7791.6072000000004</v>
      </c>
      <c r="I33" s="12" t="s">
        <v>439</v>
      </c>
      <c r="J33" s="15">
        <v>45875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419</v>
      </c>
    </row>
    <row r="34" spans="1:31" x14ac:dyDescent="0.25">
      <c r="A34" s="2">
        <f t="shared" si="2"/>
        <v>29</v>
      </c>
      <c r="B34" s="8" t="s">
        <v>316</v>
      </c>
      <c r="C34" s="3" t="s">
        <v>44</v>
      </c>
      <c r="D34" t="s">
        <v>21</v>
      </c>
      <c r="E34" s="7">
        <f>+[29]Main!$H$2</f>
        <v>12.26</v>
      </c>
      <c r="F34" s="16">
        <f>+[29]Main!$H$4</f>
        <v>4776.5573000000004</v>
      </c>
      <c r="G34" s="16">
        <f>+[29]Main!$H$6-[29]Main!$H$5</f>
        <v>3278.4989999999998</v>
      </c>
      <c r="H34" s="16">
        <f>+G34+F34</f>
        <v>8055.0563000000002</v>
      </c>
      <c r="I34" s="10" t="s">
        <v>726</v>
      </c>
      <c r="J34" s="15">
        <v>45874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409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+[30]Main!$I$2</f>
        <v>57</v>
      </c>
      <c r="F35" s="16">
        <f>+[30]Main!$I$4*FX!C3</f>
        <v>11134.515094560002</v>
      </c>
      <c r="G35" s="16">
        <f>+([30]Main!$I$6-[30]Main!$I$5)*FX!C3</f>
        <v>1003.80384</v>
      </c>
      <c r="H35" s="16">
        <f t="shared" si="1"/>
        <v>12138.318934560002</v>
      </c>
      <c r="I35" s="10" t="s">
        <v>150</v>
      </c>
      <c r="J35" s="15">
        <v>45897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406</v>
      </c>
    </row>
    <row r="36" spans="1:31" x14ac:dyDescent="0.25">
      <c r="A36" s="2">
        <f t="shared" si="2"/>
        <v>31</v>
      </c>
      <c r="B36" s="8" t="s">
        <v>111</v>
      </c>
      <c r="C36" s="3" t="s">
        <v>114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340</v>
      </c>
      <c r="J36" s="15">
        <v>45806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339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410</v>
      </c>
    </row>
    <row r="38" spans="1:31" x14ac:dyDescent="0.25">
      <c r="A38" s="2">
        <f t="shared" si="2"/>
        <v>33</v>
      </c>
      <c r="B38" s="8" t="s">
        <v>389</v>
      </c>
      <c r="C38" s="3" t="s">
        <v>388</v>
      </c>
      <c r="D38" t="s">
        <v>167</v>
      </c>
      <c r="E38" s="7">
        <f>+[33]Main!$J$2</f>
        <v>110.7</v>
      </c>
      <c r="F38" s="16">
        <f>+[33]Main!$J$4*FX!C3</f>
        <v>7827.9759305279995</v>
      </c>
      <c r="G38" s="16">
        <f>+([33]Main!$J$6-[33]Main!$J$5)*FX!C3</f>
        <v>106.89327999999999</v>
      </c>
      <c r="H38" s="16">
        <f>F38+G38</f>
        <v>7934.8692105279997</v>
      </c>
      <c r="I38" s="10" t="s">
        <v>340</v>
      </c>
      <c r="J38" s="15">
        <v>45778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403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52.1</v>
      </c>
      <c r="F39" s="16">
        <f>+[34]Main!$I$4</f>
        <v>8371.5321999999996</v>
      </c>
      <c r="G39" s="16">
        <f>+[34]Main!$I$6-[34]Main!$I$5</f>
        <v>1400.52</v>
      </c>
      <c r="H39" s="16">
        <f>F39+G39</f>
        <v>9772.0522000000001</v>
      </c>
      <c r="I39" s="10" t="s">
        <v>339</v>
      </c>
      <c r="J39" s="15">
        <v>45707</v>
      </c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412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14.88</v>
      </c>
      <c r="F40" s="16">
        <f>+[35]Main!$I$4</f>
        <v>5882.4812351999999</v>
      </c>
      <c r="G40" s="16">
        <f>+[35]Main!$I$6-[35]Main!$I$5</f>
        <v>413</v>
      </c>
      <c r="H40" s="16">
        <f>F40+G40</f>
        <v>6295.4812351999999</v>
      </c>
      <c r="I40" s="10" t="s">
        <v>151</v>
      </c>
      <c r="J40" s="15">
        <v>45749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323</v>
      </c>
      <c r="C41" s="3" t="s">
        <v>324</v>
      </c>
      <c r="D41" t="s">
        <v>296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339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463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149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325</v>
      </c>
      <c r="C43" s="3" t="s">
        <v>394</v>
      </c>
      <c r="D43" t="s">
        <v>187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336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111.22</v>
      </c>
      <c r="F44" s="16">
        <f>+[39]Main!$H$4</f>
        <v>6240.5541999999996</v>
      </c>
      <c r="G44" s="16">
        <f>+[39]Main!$H$6-[39]Main!$H$5</f>
        <v>1311.9879999999998</v>
      </c>
      <c r="H44" s="16">
        <f>F44+G44</f>
        <v>7552.5421999999999</v>
      </c>
      <c r="I44" s="10" t="s">
        <v>439</v>
      </c>
      <c r="J44" s="15">
        <v>45869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411</v>
      </c>
    </row>
    <row r="45" spans="1:31" x14ac:dyDescent="0.25">
      <c r="A45" s="2">
        <f t="shared" si="2"/>
        <v>40</v>
      </c>
      <c r="B45" s="8" t="s">
        <v>326</v>
      </c>
      <c r="C45" s="3" t="s">
        <v>328</v>
      </c>
      <c r="D45" t="s">
        <v>327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340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119</v>
      </c>
    </row>
    <row r="46" spans="1:31" x14ac:dyDescent="0.25">
      <c r="A46" s="2">
        <f t="shared" si="2"/>
        <v>41</v>
      </c>
      <c r="B46" s="20" t="s">
        <v>314</v>
      </c>
      <c r="C46" s="3" t="s">
        <v>315</v>
      </c>
      <c r="D46" t="s">
        <v>221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427</v>
      </c>
      <c r="J46" s="15">
        <v>45807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405</v>
      </c>
    </row>
    <row r="47" spans="1:31" x14ac:dyDescent="0.25">
      <c r="A47" s="2">
        <f t="shared" si="2"/>
        <v>42</v>
      </c>
      <c r="B47" s="8" t="s">
        <v>331</v>
      </c>
      <c r="C47" s="3" t="s">
        <v>332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382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390</v>
      </c>
      <c r="C48" s="3" t="s">
        <v>461</v>
      </c>
      <c r="D48" t="s">
        <v>463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149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116</v>
      </c>
    </row>
    <row r="49" spans="1:31" x14ac:dyDescent="0.25">
      <c r="A49" s="2">
        <f t="shared" si="2"/>
        <v>44</v>
      </c>
      <c r="B49" s="8" t="s">
        <v>47</v>
      </c>
      <c r="C49" s="3" t="s">
        <v>462</v>
      </c>
      <c r="D49" t="s">
        <v>463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339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154</v>
      </c>
      <c r="C50" s="3" t="s">
        <v>155</v>
      </c>
      <c r="D50" t="s">
        <v>21</v>
      </c>
      <c r="E50" s="7">
        <f>+[45]Main!$J$2</f>
        <v>52.65</v>
      </c>
      <c r="F50" s="16">
        <f>+[45]Main!$J$4</f>
        <v>4858.5138848999995</v>
      </c>
      <c r="G50" s="16">
        <f>+[45]Main!$J$6-[45]Main!$J$5</f>
        <v>-610.43000000000006</v>
      </c>
      <c r="H50" s="16">
        <f>+F50+G50</f>
        <v>4248.0838848999992</v>
      </c>
      <c r="I50" s="10" t="s">
        <v>427</v>
      </c>
      <c r="J50" s="15">
        <v>45797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387</v>
      </c>
      <c r="D51" t="s">
        <v>82</v>
      </c>
      <c r="E51" s="7">
        <f>+[46]Main!$I$2</f>
        <v>24.59</v>
      </c>
      <c r="F51" s="16">
        <f>+[46]Main!$I$4*FX!C3</f>
        <v>3786.9386880000002</v>
      </c>
      <c r="G51" s="16">
        <f>+([46]Main!$I$6-[46]Main!$I$5)*FX!C3</f>
        <v>1064.232</v>
      </c>
      <c r="H51" s="16">
        <f t="shared" si="3"/>
        <v>4851.1706880000002</v>
      </c>
      <c r="I51" s="10" t="s">
        <v>439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405</v>
      </c>
    </row>
    <row r="52" spans="1:31" x14ac:dyDescent="0.25">
      <c r="A52" s="2">
        <f t="shared" si="2"/>
        <v>47</v>
      </c>
      <c r="B52" s="8" t="s">
        <v>40</v>
      </c>
      <c r="C52" s="3" t="s">
        <v>392</v>
      </c>
      <c r="D52" t="s">
        <v>463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336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91.5</v>
      </c>
      <c r="F53" s="16">
        <f>+[48]Main!$I$4</f>
        <v>4609.1010434999998</v>
      </c>
      <c r="G53" s="16">
        <f>+[48]Main!$I$6-[48]Main!$I$5</f>
        <v>-888.94799999999998</v>
      </c>
      <c r="H53" s="16">
        <f>F53+G53</f>
        <v>3720.1530435</v>
      </c>
      <c r="I53" s="12" t="s">
        <v>340</v>
      </c>
      <c r="J53" s="15">
        <v>45805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340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75.930000000000007</v>
      </c>
      <c r="F55" s="16">
        <f>+[50]Main!$J$4</f>
        <v>3996.7230819900005</v>
      </c>
      <c r="G55" s="16">
        <f>+([50]Main!$J$6-[50]Main!$J$5)</f>
        <v>831.90000000000009</v>
      </c>
      <c r="H55" s="16">
        <f>F55+G55</f>
        <v>4828.6230819900011</v>
      </c>
      <c r="I55" s="10" t="s">
        <v>340</v>
      </c>
      <c r="J55" s="15">
        <v>45747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422</v>
      </c>
      <c r="D56" t="s">
        <v>125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340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438</v>
      </c>
    </row>
    <row r="57" spans="1:31" x14ac:dyDescent="0.25">
      <c r="A57" s="2">
        <f t="shared" si="2"/>
        <v>52</v>
      </c>
      <c r="B57" s="8" t="s">
        <v>48</v>
      </c>
      <c r="C57" s="3" t="s">
        <v>464</v>
      </c>
      <c r="D57" t="s">
        <v>221</v>
      </c>
      <c r="E57" s="7">
        <f>+[52]Main!$I$2</f>
        <v>9.48</v>
      </c>
      <c r="F57" s="16">
        <f>+[52]Main!$I$4*FX!C3</f>
        <v>3533.53728</v>
      </c>
      <c r="G57" s="16">
        <f>+([52]Main!$I$6-[52]Main!$I$5)*FX!C3</f>
        <v>31.200000000000003</v>
      </c>
      <c r="H57" s="16">
        <f>+F57+G57</f>
        <v>3564.7372799999998</v>
      </c>
      <c r="I57" s="10" t="s">
        <v>150</v>
      </c>
      <c r="J57" s="15">
        <v>45791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319</v>
      </c>
      <c r="C58" s="3" t="s">
        <v>318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382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413</v>
      </c>
    </row>
    <row r="59" spans="1:31" x14ac:dyDescent="0.25">
      <c r="A59" s="2">
        <f t="shared" si="2"/>
        <v>54</v>
      </c>
      <c r="B59" s="8" t="s">
        <v>414</v>
      </c>
      <c r="C59" s="3" t="s">
        <v>320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340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415</v>
      </c>
    </row>
    <row r="60" spans="1:31" x14ac:dyDescent="0.25">
      <c r="A60" s="2">
        <f t="shared" si="2"/>
        <v>55</v>
      </c>
      <c r="B60" s="8" t="s">
        <v>448</v>
      </c>
      <c r="C60" s="3" t="s">
        <v>348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119</v>
      </c>
    </row>
    <row r="61" spans="1:31" x14ac:dyDescent="0.25">
      <c r="A61" s="2">
        <f t="shared" si="2"/>
        <v>56</v>
      </c>
      <c r="B61" s="8" t="s">
        <v>50</v>
      </c>
      <c r="C61" s="3" t="s">
        <v>465</v>
      </c>
      <c r="D61" t="s">
        <v>440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339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152</v>
      </c>
      <c r="C62" s="3" t="s">
        <v>153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439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707</v>
      </c>
      <c r="D63" t="s">
        <v>82</v>
      </c>
      <c r="E63" s="7">
        <f>+[58]Main!$J$2</f>
        <v>38.450000000000003</v>
      </c>
      <c r="F63" s="16">
        <f>+[58]Main!$J$4*FX!C3</f>
        <v>2815.1552000000006</v>
      </c>
      <c r="G63" s="16">
        <f>+([58]Main!$J$6-[58]Main!$J$5)*FX!C3</f>
        <v>228.8</v>
      </c>
      <c r="H63" s="16">
        <f>+F63+G63</f>
        <v>3043.9552000000008</v>
      </c>
      <c r="I63" s="10" t="s">
        <v>439</v>
      </c>
      <c r="J63" s="15">
        <v>45874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6.03</v>
      </c>
      <c r="F64" s="16">
        <f>+[59]Main!$I$4</f>
        <v>2588.63076</v>
      </c>
      <c r="G64" s="16">
        <f>+[59]Main!$I$6-[59]Main!$I$5</f>
        <v>93.76400000000001</v>
      </c>
      <c r="H64" s="16">
        <f>+F64+G64</f>
        <v>2682.3947600000001</v>
      </c>
      <c r="I64" s="10" t="s">
        <v>336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329</v>
      </c>
      <c r="C65" s="3" t="s">
        <v>330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339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334</v>
      </c>
      <c r="C66" s="3" t="s">
        <v>335</v>
      </c>
      <c r="D66" t="s">
        <v>187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340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163</v>
      </c>
      <c r="C67" s="3" t="s">
        <v>396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339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119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339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321</v>
      </c>
      <c r="C69" s="3" t="s">
        <v>322</v>
      </c>
      <c r="D69" t="s">
        <v>221</v>
      </c>
      <c r="E69" s="7">
        <f>+[64]Main!$I$2</f>
        <v>22.01</v>
      </c>
      <c r="F69" s="16">
        <f>+[64]Main!$I$4</f>
        <v>2595.1945879500004</v>
      </c>
      <c r="G69" s="16">
        <f>+[64]Main!$I$6-[64]Main!$I$5</f>
        <v>1123</v>
      </c>
      <c r="H69" s="16">
        <f>+F69+G69</f>
        <v>3718.1945879500004</v>
      </c>
      <c r="I69" s="10" t="s">
        <v>382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416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167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149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421</v>
      </c>
      <c r="C71" s="3" t="s">
        <v>333</v>
      </c>
      <c r="D71" t="s">
        <v>187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382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340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156</v>
      </c>
      <c r="C86" s="3" t="s">
        <v>157</v>
      </c>
      <c r="D86" t="s">
        <v>158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159</v>
      </c>
      <c r="C87" s="3" t="s">
        <v>160</v>
      </c>
      <c r="D87" t="s">
        <v>161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162</v>
      </c>
      <c r="C88" s="3" t="s">
        <v>164</v>
      </c>
      <c r="D88" t="s">
        <v>463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165</v>
      </c>
      <c r="C89" s="3" t="s">
        <v>166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340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169</v>
      </c>
      <c r="C90" s="3" t="s">
        <v>170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339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171</v>
      </c>
      <c r="C91" s="3" t="s">
        <v>172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340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119</v>
      </c>
    </row>
    <row r="92" spans="1:31" x14ac:dyDescent="0.25">
      <c r="A92" s="2">
        <f t="shared" si="5"/>
        <v>87</v>
      </c>
      <c r="B92" t="s">
        <v>173</v>
      </c>
      <c r="C92" s="3" t="s">
        <v>175</v>
      </c>
      <c r="D92" t="s">
        <v>174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176</v>
      </c>
      <c r="C93" s="4" t="s">
        <v>177</v>
      </c>
      <c r="D93" t="s">
        <v>174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178</v>
      </c>
      <c r="C94" s="3" t="s">
        <v>179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180</v>
      </c>
      <c r="C95" s="3" t="s">
        <v>181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339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182</v>
      </c>
      <c r="C96" s="3" t="s">
        <v>183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339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397</v>
      </c>
      <c r="C97" s="3" t="s">
        <v>184</v>
      </c>
      <c r="D97" t="s">
        <v>107</v>
      </c>
      <c r="E97" s="7">
        <f>+[73]Main!$J$2</f>
        <v>12.42</v>
      </c>
      <c r="F97" s="16">
        <f>+[73]Main!$J$4*FX!C13</f>
        <v>829.73151533879991</v>
      </c>
      <c r="G97" s="16">
        <f>+([73]Main!$J$6-[73]Main!$J$5)*FX!C13</f>
        <v>54.234000000000009</v>
      </c>
      <c r="H97" s="16">
        <f>+F97+G97</f>
        <v>883.96551533879995</v>
      </c>
      <c r="I97" s="10" t="s">
        <v>336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185</v>
      </c>
      <c r="C98" s="3" t="s">
        <v>186</v>
      </c>
      <c r="D98" t="s">
        <v>187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188</v>
      </c>
      <c r="C99" s="3" t="s">
        <v>189</v>
      </c>
      <c r="D99" t="s">
        <v>190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191</v>
      </c>
      <c r="C100" s="3" t="s">
        <v>192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340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193</v>
      </c>
      <c r="C101" s="3" t="s">
        <v>194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339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195</v>
      </c>
      <c r="C102" s="3" t="s">
        <v>196</v>
      </c>
      <c r="D102" t="s">
        <v>190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197</v>
      </c>
      <c r="C103" s="3" t="s">
        <v>198</v>
      </c>
      <c r="D103" t="s">
        <v>199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200</v>
      </c>
      <c r="C104" s="3" t="s">
        <v>201</v>
      </c>
      <c r="D104" t="s">
        <v>187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202</v>
      </c>
      <c r="C105" s="3" t="s">
        <v>203</v>
      </c>
      <c r="D105" t="s">
        <v>187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204</v>
      </c>
      <c r="C106" s="3" t="s">
        <v>205</v>
      </c>
      <c r="D106" t="s">
        <v>168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206</v>
      </c>
      <c r="C107" s="3" t="s">
        <v>207</v>
      </c>
      <c r="D107" t="s">
        <v>167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209</v>
      </c>
      <c r="C108" s="3" t="s">
        <v>208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210</v>
      </c>
      <c r="C109" s="3" t="s">
        <v>211</v>
      </c>
      <c r="D109" t="s">
        <v>187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212</v>
      </c>
      <c r="C110" s="3" t="s">
        <v>213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215</v>
      </c>
      <c r="C111" s="3" t="s">
        <v>217</v>
      </c>
      <c r="D111" t="s">
        <v>216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218</v>
      </c>
      <c r="C112" s="3" t="s">
        <v>219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220</v>
      </c>
      <c r="C113" s="3" t="s">
        <v>222</v>
      </c>
      <c r="D113" t="s">
        <v>221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223</v>
      </c>
      <c r="C114" s="3" t="s">
        <v>224</v>
      </c>
      <c r="D114" t="s">
        <v>225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226</v>
      </c>
      <c r="C115" s="3" t="s">
        <v>227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214</v>
      </c>
      <c r="C116" s="3" t="s">
        <v>337</v>
      </c>
      <c r="D116" t="s">
        <v>221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228</v>
      </c>
      <c r="C117" s="3" t="s">
        <v>229</v>
      </c>
      <c r="D117" t="s">
        <v>216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230</v>
      </c>
      <c r="C118" s="3" t="s">
        <v>231</v>
      </c>
      <c r="D118" t="s">
        <v>187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232</v>
      </c>
      <c r="C119" s="3" t="s">
        <v>233</v>
      </c>
      <c r="D119" t="s">
        <v>187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236</v>
      </c>
      <c r="C120" s="3" t="s">
        <v>238</v>
      </c>
      <c r="D120" t="s">
        <v>237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239</v>
      </c>
      <c r="C121" s="3" t="s">
        <v>240</v>
      </c>
      <c r="D121" t="s">
        <v>190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241</v>
      </c>
      <c r="C122" s="3" t="s">
        <v>242</v>
      </c>
      <c r="D122" t="s">
        <v>187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244</v>
      </c>
      <c r="C123" s="3" t="s">
        <v>243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149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245</v>
      </c>
      <c r="C124" s="3" t="s">
        <v>246</v>
      </c>
      <c r="D124" t="s">
        <v>247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248</v>
      </c>
      <c r="C125" s="3" t="s">
        <v>249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250</v>
      </c>
      <c r="C126" s="3" t="s">
        <v>251</v>
      </c>
      <c r="D126" t="s">
        <v>187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252</v>
      </c>
      <c r="C127" s="3" t="s">
        <v>253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254</v>
      </c>
      <c r="C128" s="4" t="s">
        <v>255</v>
      </c>
      <c r="D128" t="s">
        <v>256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257</v>
      </c>
      <c r="C129" s="3" t="s">
        <v>258</v>
      </c>
      <c r="D129" t="s">
        <v>256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234</v>
      </c>
      <c r="C130" s="3" t="s">
        <v>235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259</v>
      </c>
      <c r="C131" s="3" t="s">
        <v>260</v>
      </c>
      <c r="D131" t="s">
        <v>187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261</v>
      </c>
      <c r="C132" s="3" t="s">
        <v>262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263</v>
      </c>
      <c r="C133" s="3" t="s">
        <v>264</v>
      </c>
      <c r="D133" t="s">
        <v>168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266</v>
      </c>
      <c r="C134" s="3" t="s">
        <v>265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269</v>
      </c>
      <c r="C135" s="3" t="s">
        <v>270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273</v>
      </c>
      <c r="C136" s="3" t="s">
        <v>272</v>
      </c>
      <c r="D136" t="s">
        <v>271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267</v>
      </c>
      <c r="C137" s="3" t="s">
        <v>268</v>
      </c>
      <c r="D137" t="s">
        <v>187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274</v>
      </c>
      <c r="C138" s="3" t="s">
        <v>275</v>
      </c>
      <c r="D138" t="s">
        <v>187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276</v>
      </c>
      <c r="C139" s="3" t="s">
        <v>277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278</v>
      </c>
      <c r="C140" s="4" t="s">
        <v>279</v>
      </c>
      <c r="D140" t="s">
        <v>256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280</v>
      </c>
      <c r="C141" s="3" t="s">
        <v>281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282</v>
      </c>
      <c r="C142" s="3" t="s">
        <v>283</v>
      </c>
      <c r="D142" t="s">
        <v>167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284</v>
      </c>
      <c r="C143" s="3" t="s">
        <v>285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286</v>
      </c>
      <c r="C144" s="3" t="s">
        <v>287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288</v>
      </c>
      <c r="C145" s="3" t="s">
        <v>289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290</v>
      </c>
      <c r="C146" s="3" t="s">
        <v>291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292</v>
      </c>
      <c r="C147" s="3" t="s">
        <v>293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294</v>
      </c>
      <c r="C148" s="3" t="s">
        <v>295</v>
      </c>
      <c r="D148" t="s">
        <v>296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297</v>
      </c>
      <c r="C149" s="3" t="s">
        <v>298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301</v>
      </c>
      <c r="C150" s="3" t="s">
        <v>302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299</v>
      </c>
      <c r="C151" s="3" t="s">
        <v>300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303</v>
      </c>
      <c r="C152" s="3" t="s">
        <v>304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307</v>
      </c>
      <c r="C153" s="3" t="s">
        <v>306</v>
      </c>
      <c r="D153" t="s">
        <v>305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488</v>
      </c>
      <c r="C154" s="3" t="s">
        <v>489</v>
      </c>
      <c r="D154" t="s">
        <v>125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339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490</v>
      </c>
      <c r="C155" s="3" t="s">
        <v>491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340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493</v>
      </c>
      <c r="C156" s="3" t="s">
        <v>492</v>
      </c>
      <c r="D156" t="s">
        <v>125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494</v>
      </c>
      <c r="C157" s="3" t="s">
        <v>495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496</v>
      </c>
      <c r="C158" s="3" t="s">
        <v>497</v>
      </c>
      <c r="D158" t="s">
        <v>125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498</v>
      </c>
      <c r="C159" s="3" t="s">
        <v>499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500</v>
      </c>
      <c r="C160" s="3" t="s">
        <v>501</v>
      </c>
      <c r="D160" t="s">
        <v>296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502</v>
      </c>
      <c r="C161" s="3" t="s">
        <v>503</v>
      </c>
      <c r="D161" t="s">
        <v>158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504</v>
      </c>
      <c r="C162" s="3" t="s">
        <v>505</v>
      </c>
      <c r="D162" t="s">
        <v>187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507</v>
      </c>
      <c r="C163" s="3" t="s">
        <v>506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508</v>
      </c>
      <c r="C164" s="3" t="s">
        <v>510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509</v>
      </c>
      <c r="C165" s="3" t="s">
        <v>511</v>
      </c>
      <c r="D165" t="s">
        <v>158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512</v>
      </c>
      <c r="C166" s="3" t="s">
        <v>515</v>
      </c>
      <c r="D166" t="s">
        <v>354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513</v>
      </c>
      <c r="C167" s="3" t="s">
        <v>514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516</v>
      </c>
      <c r="C168" s="3" t="s">
        <v>380</v>
      </c>
      <c r="D168" t="s">
        <v>517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518</v>
      </c>
      <c r="C169" s="3" t="s">
        <v>519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520</v>
      </c>
      <c r="C170" s="3" t="s">
        <v>521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522</v>
      </c>
      <c r="C171" s="3" t="s">
        <v>523</v>
      </c>
      <c r="D171" t="s">
        <v>221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524</v>
      </c>
      <c r="C172" s="3" t="s">
        <v>527</v>
      </c>
      <c r="D172" t="s">
        <v>187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525</v>
      </c>
      <c r="C173" s="3" t="s">
        <v>526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528</v>
      </c>
      <c r="C174" s="3" t="s">
        <v>529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530</v>
      </c>
      <c r="C175" s="3" t="s">
        <v>531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532</v>
      </c>
      <c r="C176" s="3" t="s">
        <v>533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534</v>
      </c>
      <c r="C177" s="3" t="s">
        <v>535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536</v>
      </c>
      <c r="C178" s="3" t="s">
        <v>538</v>
      </c>
      <c r="D178" t="s">
        <v>537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539</v>
      </c>
      <c r="C179" s="3" t="s">
        <v>540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541</v>
      </c>
      <c r="C180" s="3" t="s">
        <v>683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542</v>
      </c>
      <c r="C181" s="3" t="s">
        <v>684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B183" s="13" t="s">
        <v>436</v>
      </c>
      <c r="F183" s="16"/>
      <c r="G183" s="16"/>
      <c r="H183" s="16"/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B184" t="s">
        <v>129</v>
      </c>
      <c r="C184" s="3" t="s">
        <v>420</v>
      </c>
      <c r="D184" t="s">
        <v>82</v>
      </c>
      <c r="E184" s="3" t="s">
        <v>417</v>
      </c>
      <c r="F184" s="16"/>
      <c r="G184" s="16"/>
      <c r="H184" s="16"/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419</v>
      </c>
    </row>
    <row r="185" spans="1:31" x14ac:dyDescent="0.25">
      <c r="B185" t="s">
        <v>425</v>
      </c>
      <c r="C185" s="3" t="s">
        <v>487</v>
      </c>
      <c r="D185" t="s">
        <v>221</v>
      </c>
      <c r="E185" s="7" t="s">
        <v>435</v>
      </c>
      <c r="F185" s="16"/>
      <c r="G185" s="16"/>
      <c r="H185" s="23" t="s">
        <v>447</v>
      </c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B186" t="s">
        <v>441</v>
      </c>
      <c r="C186" s="3" t="s">
        <v>446</v>
      </c>
      <c r="F186" s="16"/>
      <c r="G186" s="16"/>
      <c r="H186" s="16"/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B187" t="s">
        <v>484</v>
      </c>
      <c r="C187" s="10" t="s">
        <v>485</v>
      </c>
      <c r="D187" t="s">
        <v>125</v>
      </c>
      <c r="E187" s="7" t="s">
        <v>486</v>
      </c>
      <c r="F187" s="16"/>
      <c r="G187" s="16"/>
      <c r="H187" s="16"/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B188" t="s">
        <v>688</v>
      </c>
      <c r="F188" s="16"/>
      <c r="G188" s="16"/>
      <c r="H188" s="16"/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B189" t="s">
        <v>689</v>
      </c>
      <c r="F189" s="16"/>
      <c r="G189" s="16"/>
      <c r="H189" s="16"/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B190" t="s">
        <v>690</v>
      </c>
      <c r="F190" s="16"/>
      <c r="G190" s="16"/>
      <c r="H190" s="16"/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B191" t="s">
        <v>691</v>
      </c>
      <c r="F191" s="16"/>
      <c r="G191" s="16"/>
      <c r="H191" s="16"/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B192" t="s">
        <v>692</v>
      </c>
      <c r="F192" s="16"/>
      <c r="G192" s="16"/>
      <c r="H192" s="16"/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2:31" x14ac:dyDescent="0.25">
      <c r="B193" t="s">
        <v>693</v>
      </c>
      <c r="F193" s="16"/>
      <c r="G193" s="16"/>
      <c r="H193" s="16"/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2:31" x14ac:dyDescent="0.25">
      <c r="B194" t="s">
        <v>694</v>
      </c>
      <c r="F194" s="16"/>
      <c r="G194" s="16"/>
      <c r="H194" s="16"/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2:31" x14ac:dyDescent="0.25">
      <c r="B195" t="s">
        <v>695</v>
      </c>
      <c r="C195"/>
      <c r="F195" s="16"/>
      <c r="G195" s="16"/>
      <c r="H195" s="16"/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2:31" x14ac:dyDescent="0.25">
      <c r="B196" t="s">
        <v>696</v>
      </c>
      <c r="F196" s="16"/>
      <c r="G196" s="16"/>
      <c r="H196" s="16"/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2:31" x14ac:dyDescent="0.25">
      <c r="B197" t="s">
        <v>697</v>
      </c>
      <c r="F197" s="16"/>
      <c r="G197" s="16"/>
      <c r="H197" s="16"/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2:31" x14ac:dyDescent="0.25">
      <c r="B198" t="s">
        <v>698</v>
      </c>
      <c r="F198" s="16"/>
      <c r="G198" s="16"/>
      <c r="H198" s="16"/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2:31" x14ac:dyDescent="0.25">
      <c r="B199" t="s">
        <v>706</v>
      </c>
      <c r="F199" s="16"/>
      <c r="G199" s="16"/>
      <c r="H199" s="16"/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2:31" x14ac:dyDescent="0.25">
      <c r="B200" t="s">
        <v>703</v>
      </c>
      <c r="F200" s="16"/>
      <c r="G200" s="16"/>
      <c r="H200" s="16"/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2:31" x14ac:dyDescent="0.25">
      <c r="F201" s="16"/>
      <c r="G201" s="16"/>
      <c r="H201" s="16"/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2:31" x14ac:dyDescent="0.25">
      <c r="F202" s="16"/>
      <c r="G202" s="16"/>
      <c r="H202" s="16"/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2:31" x14ac:dyDescent="0.25">
      <c r="F203" s="16"/>
      <c r="G203" s="16"/>
      <c r="H203" s="16"/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2:31" x14ac:dyDescent="0.25">
      <c r="F204" s="16"/>
      <c r="G204" s="16"/>
      <c r="H204" s="16"/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2:31" x14ac:dyDescent="0.25">
      <c r="C205" s="4"/>
      <c r="F205" s="16"/>
      <c r="G205" s="16"/>
      <c r="H205" s="16"/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2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2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2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A18" sqref="A18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468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451</v>
      </c>
      <c r="J3" s="31" t="s">
        <v>452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442</v>
      </c>
      <c r="AC3" s="30" t="s">
        <v>443</v>
      </c>
      <c r="AD3" s="35" t="s">
        <v>401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699</v>
      </c>
      <c r="C6" t="s">
        <v>106</v>
      </c>
      <c r="D6" t="s">
        <v>553</v>
      </c>
      <c r="F6" s="16"/>
      <c r="G6" s="16"/>
      <c r="H6" s="16"/>
    </row>
    <row r="7" spans="1:34" x14ac:dyDescent="0.25">
      <c r="A7" s="2">
        <f t="shared" si="0"/>
        <v>4</v>
      </c>
      <c r="B7" s="8" t="s">
        <v>700</v>
      </c>
      <c r="C7" s="3" t="s">
        <v>456</v>
      </c>
      <c r="D7" t="s">
        <v>463</v>
      </c>
      <c r="F7" s="16"/>
      <c r="G7" s="16"/>
      <c r="H7" s="16"/>
    </row>
    <row r="8" spans="1:34" x14ac:dyDescent="0.25">
      <c r="A8" s="2">
        <f t="shared" si="0"/>
        <v>5</v>
      </c>
      <c r="B8" s="8" t="s">
        <v>701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384</v>
      </c>
      <c r="D9" t="s">
        <v>125</v>
      </c>
      <c r="F9" s="16"/>
      <c r="G9" s="16"/>
      <c r="H9" s="16"/>
    </row>
    <row r="10" spans="1:34" x14ac:dyDescent="0.25">
      <c r="A10" s="2">
        <f t="shared" si="0"/>
        <v>7</v>
      </c>
      <c r="B10" s="8" t="s">
        <v>702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423</v>
      </c>
      <c r="C11" s="3" t="s">
        <v>424</v>
      </c>
      <c r="D11" t="s">
        <v>216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703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553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314</v>
      </c>
      <c r="C14" t="s">
        <v>315</v>
      </c>
      <c r="D14" t="s">
        <v>221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390</v>
      </c>
      <c r="C15" s="3" t="s">
        <v>461</v>
      </c>
      <c r="D15" t="s">
        <v>463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387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704</v>
      </c>
      <c r="C18" t="s">
        <v>282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490</v>
      </c>
      <c r="C19" t="s">
        <v>491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494</v>
      </c>
      <c r="C20" t="s">
        <v>495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340</v>
      </c>
    </row>
    <row r="21" spans="1:9" x14ac:dyDescent="0.25">
      <c r="A21" s="2">
        <f t="shared" si="0"/>
        <v>18</v>
      </c>
      <c r="B21" s="8" t="s">
        <v>705</v>
      </c>
      <c r="C21" s="3" t="s">
        <v>489</v>
      </c>
      <c r="D21" t="s">
        <v>125</v>
      </c>
      <c r="F21" s="16"/>
      <c r="G21" s="16"/>
      <c r="H21" s="16"/>
    </row>
    <row r="22" spans="1:9" x14ac:dyDescent="0.25">
      <c r="A22" s="2">
        <f t="shared" si="0"/>
        <v>19</v>
      </c>
      <c r="B22" t="s">
        <v>496</v>
      </c>
      <c r="C22" t="s">
        <v>497</v>
      </c>
      <c r="D22" t="s">
        <v>125</v>
      </c>
      <c r="F22" s="16"/>
      <c r="G22" s="16"/>
      <c r="H22" s="16"/>
    </row>
    <row r="23" spans="1:9" x14ac:dyDescent="0.25">
      <c r="A23" s="2">
        <f t="shared" si="0"/>
        <v>20</v>
      </c>
      <c r="B23" t="s">
        <v>709</v>
      </c>
      <c r="C23" t="s">
        <v>499</v>
      </c>
      <c r="D23" t="s">
        <v>21</v>
      </c>
      <c r="F23" s="16"/>
      <c r="G23" s="16"/>
      <c r="H23" s="16"/>
    </row>
    <row r="24" spans="1:9" x14ac:dyDescent="0.25">
      <c r="A24" s="2">
        <f t="shared" si="0"/>
        <v>21</v>
      </c>
      <c r="B24" t="s">
        <v>711</v>
      </c>
      <c r="C24" t="s">
        <v>712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713</v>
      </c>
      <c r="C25" t="s">
        <v>529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714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532</v>
      </c>
      <c r="C27" t="s">
        <v>533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715</v>
      </c>
      <c r="C28" t="s">
        <v>716</v>
      </c>
      <c r="D28" t="s">
        <v>167</v>
      </c>
      <c r="F28" s="16"/>
      <c r="G28" s="16"/>
      <c r="H28" s="16"/>
    </row>
    <row r="29" spans="1:9" x14ac:dyDescent="0.25">
      <c r="A29" s="2">
        <f t="shared" si="0"/>
        <v>26</v>
      </c>
      <c r="B29" t="s">
        <v>717</v>
      </c>
      <c r="C29" t="s">
        <v>164</v>
      </c>
      <c r="D29" t="s">
        <v>256</v>
      </c>
      <c r="F29" s="16"/>
      <c r="G29" s="16"/>
      <c r="H29" s="16"/>
    </row>
    <row r="30" spans="1:9" x14ac:dyDescent="0.25">
      <c r="A30" s="2">
        <f t="shared" si="0"/>
        <v>27</v>
      </c>
      <c r="B30" t="s">
        <v>530</v>
      </c>
      <c r="C30" t="s">
        <v>531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718</v>
      </c>
      <c r="C31" t="s">
        <v>719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720</v>
      </c>
      <c r="C32" t="s">
        <v>535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536</v>
      </c>
      <c r="C33" t="s">
        <v>538</v>
      </c>
      <c r="D33" t="s">
        <v>537</v>
      </c>
      <c r="F33" s="16"/>
      <c r="G33" s="16"/>
      <c r="H33" s="16"/>
    </row>
    <row r="34" spans="1:8" x14ac:dyDescent="0.25">
      <c r="A34" s="2">
        <f t="shared" si="0"/>
        <v>31</v>
      </c>
      <c r="B34" t="s">
        <v>539</v>
      </c>
      <c r="C34" t="s">
        <v>540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721</v>
      </c>
      <c r="C35" t="s">
        <v>724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722</v>
      </c>
      <c r="C36" t="s">
        <v>723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F7" sqref="F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468</v>
      </c>
    </row>
    <row r="2" spans="1:34" x14ac:dyDescent="0.25">
      <c r="A2" t="s">
        <v>469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451</v>
      </c>
      <c r="J3" s="31" t="s">
        <v>452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442</v>
      </c>
      <c r="AC3" s="30" t="s">
        <v>443</v>
      </c>
      <c r="AD3" s="35" t="s">
        <v>401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427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119</v>
      </c>
    </row>
    <row r="5" spans="1:34" x14ac:dyDescent="0.25">
      <c r="A5" s="2">
        <f>+A4+1</f>
        <v>2</v>
      </c>
      <c r="B5" s="20" t="s">
        <v>308</v>
      </c>
      <c r="C5" s="3" t="s">
        <v>311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149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119</v>
      </c>
    </row>
    <row r="6" spans="1:34" x14ac:dyDescent="0.25">
      <c r="A6" s="2">
        <f>+A5+1</f>
        <v>3</v>
      </c>
      <c r="B6" s="20" t="s">
        <v>309</v>
      </c>
      <c r="C6" s="3" t="s">
        <v>310</v>
      </c>
      <c r="D6" t="s">
        <v>221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149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119</v>
      </c>
    </row>
    <row r="7" spans="1:34" x14ac:dyDescent="0.25">
      <c r="A7" s="2">
        <f t="shared" ref="A7:A11" si="0">+A6+1</f>
        <v>4</v>
      </c>
      <c r="B7" s="8" t="s">
        <v>128</v>
      </c>
      <c r="C7" s="3" t="s">
        <v>418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439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419</v>
      </c>
    </row>
    <row r="8" spans="1:34" x14ac:dyDescent="0.25">
      <c r="A8" s="2">
        <f t="shared" si="0"/>
        <v>5</v>
      </c>
      <c r="B8" s="8" t="s">
        <v>326</v>
      </c>
      <c r="C8" s="3" t="s">
        <v>328</v>
      </c>
      <c r="D8" t="s">
        <v>327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340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119</v>
      </c>
    </row>
    <row r="9" spans="1:34" x14ac:dyDescent="0.25">
      <c r="A9" s="2">
        <f t="shared" si="0"/>
        <v>6</v>
      </c>
      <c r="B9" s="8" t="s">
        <v>448</v>
      </c>
      <c r="C9" s="3" t="s">
        <v>348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119</v>
      </c>
    </row>
    <row r="10" spans="1:34" x14ac:dyDescent="0.25">
      <c r="A10" s="2">
        <f t="shared" si="0"/>
        <v>7</v>
      </c>
      <c r="B10" s="8" t="s">
        <v>163</v>
      </c>
      <c r="C10" s="3" t="s">
        <v>396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339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119</v>
      </c>
    </row>
    <row r="11" spans="1:34" x14ac:dyDescent="0.25">
      <c r="A11" s="2">
        <f t="shared" si="0"/>
        <v>8</v>
      </c>
      <c r="B11" s="8" t="s">
        <v>171</v>
      </c>
      <c r="C11" s="3" t="s">
        <v>172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340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119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zoomScale="200" zoomScaleNormal="200" workbookViewId="0">
      <selection activeCell="B8" sqref="B8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468</v>
      </c>
    </row>
    <row r="2" spans="1:20" x14ac:dyDescent="0.25">
      <c r="A2" t="s">
        <v>469</v>
      </c>
    </row>
    <row r="3" spans="1:20" x14ac:dyDescent="0.25">
      <c r="A3" s="29" t="s">
        <v>317</v>
      </c>
      <c r="B3" s="30" t="s">
        <v>2</v>
      </c>
      <c r="C3" s="31" t="s">
        <v>466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451</v>
      </c>
      <c r="J3" s="39" t="s">
        <v>467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139</v>
      </c>
      <c r="C4" s="3" t="s">
        <v>140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340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166.7</v>
      </c>
      <c r="F5" s="16">
        <f>+[82]Main!$J$5*FX!C7</f>
        <v>116111.59100800003</v>
      </c>
      <c r="G5" s="16">
        <f>+([82]Main!$J$7-[82]Main!$J$6)*FX!C7</f>
        <v>-8980.1600000000017</v>
      </c>
      <c r="H5" s="16">
        <f t="shared" ref="H5:H6" si="0">+F5+G5</f>
        <v>107131.43100800003</v>
      </c>
      <c r="I5" s="10" t="s">
        <v>336</v>
      </c>
      <c r="J5" s="15">
        <v>45793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708</v>
      </c>
      <c r="C6" s="3" t="s">
        <v>710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382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426</v>
      </c>
      <c r="C7" s="3" t="s">
        <v>445</v>
      </c>
      <c r="D7" t="s">
        <v>85</v>
      </c>
      <c r="E7" s="7">
        <f>+[84]Main!$I$3</f>
        <v>148.05000000000001</v>
      </c>
      <c r="F7" s="16">
        <f>+[84]Main!$I$5*FX!C7</f>
        <v>8556.8152924800015</v>
      </c>
      <c r="G7" s="16">
        <f>+([84]Main!$I$7-[84]Main!$I$6)*FX!C7</f>
        <v>-1538.88</v>
      </c>
      <c r="H7" s="16">
        <f>+F7+G7</f>
        <v>7017.9352924800014</v>
      </c>
      <c r="I7" s="10" t="s">
        <v>340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141</v>
      </c>
      <c r="C8" s="3" t="s">
        <v>142</v>
      </c>
      <c r="D8" t="s">
        <v>187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143</v>
      </c>
      <c r="C9" s="3" t="s">
        <v>145</v>
      </c>
      <c r="D9" t="s">
        <v>144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341</v>
      </c>
      <c r="C10" s="3" t="s">
        <v>342</v>
      </c>
      <c r="D10" t="s">
        <v>463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344</v>
      </c>
      <c r="C11" t="s">
        <v>343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345</v>
      </c>
      <c r="C12" s="3" t="s">
        <v>346</v>
      </c>
      <c r="D12" t="s">
        <v>187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347</v>
      </c>
      <c r="C13" s="3" t="s">
        <v>348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350</v>
      </c>
      <c r="C14" s="3" t="s">
        <v>351</v>
      </c>
      <c r="D14" t="s">
        <v>349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352</v>
      </c>
      <c r="C15" s="3" t="s">
        <v>353</v>
      </c>
      <c r="D15" t="s">
        <v>354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355</v>
      </c>
      <c r="C16" s="3" t="s">
        <v>357</v>
      </c>
      <c r="D16" t="s">
        <v>356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358</v>
      </c>
      <c r="C17" s="3" t="s">
        <v>359</v>
      </c>
      <c r="D17" t="s">
        <v>167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360</v>
      </c>
      <c r="C18" s="3" t="s">
        <v>213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361</v>
      </c>
      <c r="C19" s="3" t="s">
        <v>362</v>
      </c>
      <c r="D19" t="s">
        <v>187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363</v>
      </c>
      <c r="C20" s="3" t="s">
        <v>373</v>
      </c>
      <c r="D20" t="s">
        <v>187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364</v>
      </c>
      <c r="C21" s="4" t="s">
        <v>374</v>
      </c>
      <c r="D21" t="s">
        <v>256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365</v>
      </c>
      <c r="C22" s="3" t="s">
        <v>375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366</v>
      </c>
      <c r="C23" s="3" t="s">
        <v>238</v>
      </c>
      <c r="D23" t="s">
        <v>237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367</v>
      </c>
      <c r="C24" s="3" t="s">
        <v>376</v>
      </c>
      <c r="D24" t="s">
        <v>225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368</v>
      </c>
      <c r="C25" s="3" t="s">
        <v>377</v>
      </c>
      <c r="D25" t="s">
        <v>354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369</v>
      </c>
      <c r="C26" s="3" t="s">
        <v>378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370</v>
      </c>
      <c r="C27" s="3" t="s">
        <v>379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371</v>
      </c>
      <c r="C28" s="3" t="s">
        <v>270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372</v>
      </c>
      <c r="C29" s="3" t="s">
        <v>380</v>
      </c>
      <c r="D29" t="s">
        <v>463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434</v>
      </c>
      <c r="C30" s="3" t="s">
        <v>687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550</v>
      </c>
      <c r="C31" s="3" t="s">
        <v>549</v>
      </c>
      <c r="D31" t="s">
        <v>125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546</v>
      </c>
      <c r="C32" s="3" t="s">
        <v>547</v>
      </c>
      <c r="D32" t="s">
        <v>21</v>
      </c>
    </row>
    <row r="33" spans="1:4" x14ac:dyDescent="0.25">
      <c r="A33" s="2">
        <f t="shared" si="1"/>
        <v>30</v>
      </c>
      <c r="B33" t="s">
        <v>545</v>
      </c>
      <c r="C33" s="3" t="s">
        <v>548</v>
      </c>
      <c r="D33" t="s">
        <v>82</v>
      </c>
    </row>
    <row r="34" spans="1:4" x14ac:dyDescent="0.25">
      <c r="A34" s="2">
        <f t="shared" si="1"/>
        <v>31</v>
      </c>
      <c r="B34" t="s">
        <v>551</v>
      </c>
      <c r="C34" s="3" t="s">
        <v>552</v>
      </c>
      <c r="D34" t="s">
        <v>553</v>
      </c>
    </row>
    <row r="35" spans="1:4" x14ac:dyDescent="0.25">
      <c r="A35" s="2">
        <f t="shared" si="1"/>
        <v>32</v>
      </c>
      <c r="B35" t="s">
        <v>554</v>
      </c>
      <c r="C35" s="3" t="s">
        <v>555</v>
      </c>
      <c r="D35" t="s">
        <v>21</v>
      </c>
    </row>
    <row r="36" spans="1:4" x14ac:dyDescent="0.25">
      <c r="A36" s="2">
        <f t="shared" si="1"/>
        <v>33</v>
      </c>
      <c r="B36" t="s">
        <v>556</v>
      </c>
      <c r="C36" s="3" t="s">
        <v>557</v>
      </c>
      <c r="D36" t="s">
        <v>21</v>
      </c>
    </row>
    <row r="37" spans="1:4" x14ac:dyDescent="0.25">
      <c r="A37" s="2">
        <f t="shared" si="1"/>
        <v>34</v>
      </c>
      <c r="B37" t="s">
        <v>558</v>
      </c>
      <c r="C37" s="3" t="s">
        <v>559</v>
      </c>
      <c r="D37" t="s">
        <v>109</v>
      </c>
    </row>
    <row r="38" spans="1:4" x14ac:dyDescent="0.25">
      <c r="A38" s="2">
        <f t="shared" si="1"/>
        <v>35</v>
      </c>
      <c r="B38" t="s">
        <v>560</v>
      </c>
      <c r="C38" s="3" t="s">
        <v>561</v>
      </c>
      <c r="D38" t="s">
        <v>125</v>
      </c>
    </row>
    <row r="39" spans="1:4" x14ac:dyDescent="0.25">
      <c r="A39" s="2">
        <f t="shared" si="1"/>
        <v>36</v>
      </c>
      <c r="B39" t="s">
        <v>562</v>
      </c>
      <c r="C39" s="3" t="s">
        <v>563</v>
      </c>
      <c r="D39" t="s">
        <v>167</v>
      </c>
    </row>
    <row r="40" spans="1:4" x14ac:dyDescent="0.25">
      <c r="A40" s="2">
        <f t="shared" si="1"/>
        <v>37</v>
      </c>
      <c r="B40" t="s">
        <v>564</v>
      </c>
      <c r="C40" s="3" t="s">
        <v>565</v>
      </c>
      <c r="D40" t="s">
        <v>553</v>
      </c>
    </row>
    <row r="41" spans="1:4" x14ac:dyDescent="0.25">
      <c r="A41" s="2">
        <f t="shared" si="1"/>
        <v>38</v>
      </c>
      <c r="B41" t="s">
        <v>566</v>
      </c>
      <c r="C41" s="3" t="s">
        <v>567</v>
      </c>
      <c r="D41" t="s">
        <v>82</v>
      </c>
    </row>
    <row r="42" spans="1:4" x14ac:dyDescent="0.25">
      <c r="A42" s="2">
        <f t="shared" si="1"/>
        <v>39</v>
      </c>
      <c r="B42" t="s">
        <v>568</v>
      </c>
      <c r="C42" s="3" t="s">
        <v>569</v>
      </c>
      <c r="D42" t="s">
        <v>21</v>
      </c>
    </row>
    <row r="43" spans="1:4" x14ac:dyDescent="0.25">
      <c r="A43" s="2">
        <f t="shared" si="1"/>
        <v>40</v>
      </c>
      <c r="B43" t="s">
        <v>543</v>
      </c>
      <c r="C43" s="3" t="s">
        <v>685</v>
      </c>
      <c r="D43" t="s">
        <v>221</v>
      </c>
    </row>
    <row r="44" spans="1:4" x14ac:dyDescent="0.25">
      <c r="A44" s="2">
        <f t="shared" si="1"/>
        <v>41</v>
      </c>
      <c r="B44" t="s">
        <v>544</v>
      </c>
      <c r="C44" s="3" t="s">
        <v>686</v>
      </c>
      <c r="D44" t="s">
        <v>21</v>
      </c>
    </row>
    <row r="45" spans="1:4" x14ac:dyDescent="0.25">
      <c r="A45" s="2">
        <f t="shared" si="1"/>
        <v>42</v>
      </c>
      <c r="B45" t="s">
        <v>570</v>
      </c>
      <c r="C45" t="s">
        <v>571</v>
      </c>
      <c r="D45" t="s">
        <v>85</v>
      </c>
    </row>
    <row r="46" spans="1:4" x14ac:dyDescent="0.25">
      <c r="A46" s="2">
        <f t="shared" si="1"/>
        <v>43</v>
      </c>
      <c r="B46" t="s">
        <v>572</v>
      </c>
      <c r="C46" t="s">
        <v>573</v>
      </c>
      <c r="D46" t="s">
        <v>21</v>
      </c>
    </row>
    <row r="47" spans="1:4" x14ac:dyDescent="0.25">
      <c r="A47" s="2">
        <f t="shared" si="1"/>
        <v>44</v>
      </c>
      <c r="B47" t="s">
        <v>574</v>
      </c>
      <c r="C47" t="s">
        <v>575</v>
      </c>
      <c r="D47" t="s">
        <v>82</v>
      </c>
    </row>
    <row r="48" spans="1:4" x14ac:dyDescent="0.25">
      <c r="A48" s="2">
        <f t="shared" si="1"/>
        <v>45</v>
      </c>
      <c r="B48" t="s">
        <v>576</v>
      </c>
      <c r="C48" t="s">
        <v>577</v>
      </c>
      <c r="D48" t="s">
        <v>100</v>
      </c>
    </row>
    <row r="49" spans="1:4" x14ac:dyDescent="0.25">
      <c r="A49" s="2">
        <f t="shared" si="1"/>
        <v>46</v>
      </c>
      <c r="B49" t="s">
        <v>344</v>
      </c>
      <c r="C49" t="s">
        <v>343</v>
      </c>
      <c r="D49" t="s">
        <v>21</v>
      </c>
    </row>
    <row r="50" spans="1:4" x14ac:dyDescent="0.25">
      <c r="A50" s="2">
        <f t="shared" si="1"/>
        <v>47</v>
      </c>
      <c r="B50" t="s">
        <v>578</v>
      </c>
      <c r="C50" t="s">
        <v>579</v>
      </c>
      <c r="D50" t="s">
        <v>21</v>
      </c>
    </row>
    <row r="51" spans="1:4" x14ac:dyDescent="0.25">
      <c r="A51" s="2">
        <f t="shared" si="1"/>
        <v>48</v>
      </c>
      <c r="B51" t="s">
        <v>580</v>
      </c>
      <c r="C51" t="s">
        <v>581</v>
      </c>
      <c r="D51" t="s">
        <v>20</v>
      </c>
    </row>
    <row r="52" spans="1:4" x14ac:dyDescent="0.25">
      <c r="A52" s="2">
        <f t="shared" si="1"/>
        <v>49</v>
      </c>
      <c r="B52" t="s">
        <v>582</v>
      </c>
      <c r="C52" t="s">
        <v>583</v>
      </c>
      <c r="D52" t="s">
        <v>125</v>
      </c>
    </row>
    <row r="53" spans="1:4" x14ac:dyDescent="0.25">
      <c r="A53" s="2">
        <f t="shared" si="1"/>
        <v>50</v>
      </c>
      <c r="B53" t="s">
        <v>584</v>
      </c>
      <c r="C53" t="s">
        <v>585</v>
      </c>
      <c r="D53" t="s">
        <v>225</v>
      </c>
    </row>
    <row r="54" spans="1:4" x14ac:dyDescent="0.25">
      <c r="A54" s="2">
        <f t="shared" si="1"/>
        <v>51</v>
      </c>
      <c r="B54" t="s">
        <v>586</v>
      </c>
      <c r="C54" t="s">
        <v>587</v>
      </c>
      <c r="D54" t="s">
        <v>589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D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4" x14ac:dyDescent="0.25">
      <c r="A1" s="8" t="s">
        <v>468</v>
      </c>
    </row>
    <row r="2" spans="1:4" x14ac:dyDescent="0.25">
      <c r="A2" s="2" t="s">
        <v>1</v>
      </c>
      <c r="B2" t="s">
        <v>2</v>
      </c>
      <c r="C2" t="s">
        <v>466</v>
      </c>
      <c r="D2" t="s">
        <v>19</v>
      </c>
    </row>
    <row r="3" spans="1:4" x14ac:dyDescent="0.25">
      <c r="A3" s="2">
        <v>1</v>
      </c>
      <c r="B3" t="s">
        <v>590</v>
      </c>
      <c r="C3" t="s">
        <v>591</v>
      </c>
      <c r="D3" t="s">
        <v>21</v>
      </c>
    </row>
    <row r="4" spans="1:4" x14ac:dyDescent="0.25">
      <c r="A4" s="2">
        <f>+A3+1</f>
        <v>2</v>
      </c>
      <c r="B4" t="s">
        <v>592</v>
      </c>
      <c r="C4" t="s">
        <v>593</v>
      </c>
      <c r="D4" t="s">
        <v>21</v>
      </c>
    </row>
    <row r="5" spans="1:4" x14ac:dyDescent="0.25">
      <c r="A5" s="2">
        <f t="shared" ref="A5:A48" si="0">+A4+1</f>
        <v>3</v>
      </c>
      <c r="B5" t="s">
        <v>594</v>
      </c>
      <c r="C5" t="s">
        <v>595</v>
      </c>
      <c r="D5" t="s">
        <v>21</v>
      </c>
    </row>
    <row r="6" spans="1:4" x14ac:dyDescent="0.25">
      <c r="A6" s="2">
        <f t="shared" si="0"/>
        <v>4</v>
      </c>
      <c r="B6" t="s">
        <v>596</v>
      </c>
      <c r="C6" t="s">
        <v>597</v>
      </c>
      <c r="D6" t="s">
        <v>354</v>
      </c>
    </row>
    <row r="7" spans="1:4" x14ac:dyDescent="0.25">
      <c r="A7" s="2">
        <f t="shared" si="0"/>
        <v>5</v>
      </c>
      <c r="B7" t="s">
        <v>598</v>
      </c>
      <c r="C7" t="s">
        <v>599</v>
      </c>
      <c r="D7" t="s">
        <v>21</v>
      </c>
    </row>
    <row r="8" spans="1:4" x14ac:dyDescent="0.25">
      <c r="A8" s="2">
        <f t="shared" si="0"/>
        <v>6</v>
      </c>
      <c r="B8" t="s">
        <v>600</v>
      </c>
      <c r="C8" t="s">
        <v>601</v>
      </c>
      <c r="D8" t="s">
        <v>21</v>
      </c>
    </row>
    <row r="9" spans="1:4" x14ac:dyDescent="0.25">
      <c r="A9" s="2">
        <f t="shared" si="0"/>
        <v>7</v>
      </c>
      <c r="B9" t="s">
        <v>602</v>
      </c>
      <c r="C9" t="s">
        <v>603</v>
      </c>
      <c r="D9" t="s">
        <v>21</v>
      </c>
    </row>
    <row r="10" spans="1:4" x14ac:dyDescent="0.25">
      <c r="A10" s="2">
        <f t="shared" si="0"/>
        <v>8</v>
      </c>
      <c r="B10" t="s">
        <v>604</v>
      </c>
      <c r="C10" t="s">
        <v>605</v>
      </c>
      <c r="D10" t="s">
        <v>21</v>
      </c>
    </row>
    <row r="11" spans="1:4" x14ac:dyDescent="0.25">
      <c r="A11" s="2">
        <f t="shared" si="0"/>
        <v>9</v>
      </c>
      <c r="B11" t="s">
        <v>606</v>
      </c>
      <c r="C11" t="s">
        <v>607</v>
      </c>
      <c r="D11" t="s">
        <v>109</v>
      </c>
    </row>
    <row r="12" spans="1:4" x14ac:dyDescent="0.25">
      <c r="A12" s="2">
        <f t="shared" si="0"/>
        <v>10</v>
      </c>
      <c r="B12" t="s">
        <v>608</v>
      </c>
      <c r="C12" t="s">
        <v>609</v>
      </c>
      <c r="D12" t="s">
        <v>21</v>
      </c>
    </row>
    <row r="13" spans="1:4" x14ac:dyDescent="0.25">
      <c r="A13" s="2">
        <f t="shared" si="0"/>
        <v>11</v>
      </c>
      <c r="B13" t="s">
        <v>610</v>
      </c>
      <c r="C13" t="s">
        <v>611</v>
      </c>
      <c r="D13" t="s">
        <v>21</v>
      </c>
    </row>
    <row r="14" spans="1:4" x14ac:dyDescent="0.25">
      <c r="A14" s="2">
        <f t="shared" si="0"/>
        <v>12</v>
      </c>
      <c r="B14" t="s">
        <v>612</v>
      </c>
      <c r="C14" t="s">
        <v>613</v>
      </c>
      <c r="D14" t="s">
        <v>553</v>
      </c>
    </row>
    <row r="15" spans="1:4" x14ac:dyDescent="0.25">
      <c r="A15" s="2">
        <f t="shared" si="0"/>
        <v>13</v>
      </c>
      <c r="B15" t="s">
        <v>614</v>
      </c>
      <c r="C15" t="s">
        <v>615</v>
      </c>
      <c r="D15" t="s">
        <v>21</v>
      </c>
    </row>
    <row r="16" spans="1:4" x14ac:dyDescent="0.25">
      <c r="A16" s="2">
        <f t="shared" si="0"/>
        <v>14</v>
      </c>
      <c r="B16" t="s">
        <v>616</v>
      </c>
      <c r="C16" t="s">
        <v>617</v>
      </c>
      <c r="D16" t="s">
        <v>354</v>
      </c>
    </row>
    <row r="17" spans="1:4" x14ac:dyDescent="0.25">
      <c r="A17" s="2">
        <f t="shared" si="0"/>
        <v>15</v>
      </c>
      <c r="B17" t="s">
        <v>618</v>
      </c>
      <c r="C17" t="s">
        <v>619</v>
      </c>
      <c r="D17" t="s">
        <v>679</v>
      </c>
    </row>
    <row r="18" spans="1:4" x14ac:dyDescent="0.25">
      <c r="A18" s="2">
        <f t="shared" si="0"/>
        <v>16</v>
      </c>
      <c r="B18" t="s">
        <v>620</v>
      </c>
      <c r="C18" t="s">
        <v>621</v>
      </c>
      <c r="D18" t="s">
        <v>21</v>
      </c>
    </row>
    <row r="19" spans="1:4" x14ac:dyDescent="0.25">
      <c r="A19" s="2">
        <f t="shared" si="0"/>
        <v>17</v>
      </c>
      <c r="B19" t="s">
        <v>622</v>
      </c>
      <c r="C19" t="s">
        <v>623</v>
      </c>
      <c r="D19" t="s">
        <v>225</v>
      </c>
    </row>
    <row r="20" spans="1:4" x14ac:dyDescent="0.25">
      <c r="A20" s="2">
        <f t="shared" si="0"/>
        <v>18</v>
      </c>
      <c r="B20" t="s">
        <v>624</v>
      </c>
      <c r="C20" t="s">
        <v>625</v>
      </c>
      <c r="D20" t="s">
        <v>680</v>
      </c>
    </row>
    <row r="21" spans="1:4" x14ac:dyDescent="0.25">
      <c r="A21" s="2">
        <f t="shared" si="0"/>
        <v>19</v>
      </c>
      <c r="B21" t="s">
        <v>626</v>
      </c>
    </row>
    <row r="22" spans="1:4" x14ac:dyDescent="0.25">
      <c r="A22" s="2">
        <f t="shared" si="0"/>
        <v>20</v>
      </c>
      <c r="B22" t="s">
        <v>627</v>
      </c>
      <c r="C22" t="s">
        <v>628</v>
      </c>
      <c r="D22" t="s">
        <v>125</v>
      </c>
    </row>
    <row r="23" spans="1:4" x14ac:dyDescent="0.25">
      <c r="A23" s="2">
        <f t="shared" si="0"/>
        <v>21</v>
      </c>
      <c r="B23" t="s">
        <v>629</v>
      </c>
      <c r="C23" t="s">
        <v>630</v>
      </c>
      <c r="D23" t="s">
        <v>537</v>
      </c>
    </row>
    <row r="24" spans="1:4" x14ac:dyDescent="0.25">
      <c r="A24" s="2">
        <f t="shared" si="0"/>
        <v>22</v>
      </c>
      <c r="B24" t="s">
        <v>631</v>
      </c>
      <c r="C24" t="s">
        <v>632</v>
      </c>
      <c r="D24" t="s">
        <v>221</v>
      </c>
    </row>
    <row r="25" spans="1:4" x14ac:dyDescent="0.25">
      <c r="A25" s="2">
        <f t="shared" si="0"/>
        <v>23</v>
      </c>
      <c r="B25" t="s">
        <v>633</v>
      </c>
      <c r="C25" t="s">
        <v>634</v>
      </c>
      <c r="D25" t="s">
        <v>681</v>
      </c>
    </row>
    <row r="26" spans="1:4" x14ac:dyDescent="0.25">
      <c r="A26" s="2">
        <f t="shared" si="0"/>
        <v>24</v>
      </c>
      <c r="B26" t="s">
        <v>635</v>
      </c>
      <c r="C26" t="s">
        <v>636</v>
      </c>
      <c r="D26" t="s">
        <v>21</v>
      </c>
    </row>
    <row r="27" spans="1:4" x14ac:dyDescent="0.25">
      <c r="A27" s="2">
        <f t="shared" si="0"/>
        <v>25</v>
      </c>
      <c r="B27" t="s">
        <v>637</v>
      </c>
      <c r="C27" t="s">
        <v>638</v>
      </c>
      <c r="D27" t="s">
        <v>82</v>
      </c>
    </row>
    <row r="28" spans="1:4" x14ac:dyDescent="0.25">
      <c r="A28" s="2">
        <f t="shared" si="0"/>
        <v>26</v>
      </c>
      <c r="B28" t="s">
        <v>639</v>
      </c>
      <c r="C28" t="s">
        <v>640</v>
      </c>
      <c r="D28" t="s">
        <v>21</v>
      </c>
    </row>
    <row r="29" spans="1:4" x14ac:dyDescent="0.25">
      <c r="A29" s="2">
        <f t="shared" si="0"/>
        <v>27</v>
      </c>
      <c r="B29" t="s">
        <v>641</v>
      </c>
      <c r="C29" t="s">
        <v>642</v>
      </c>
      <c r="D29" t="s">
        <v>109</v>
      </c>
    </row>
    <row r="30" spans="1:4" x14ac:dyDescent="0.25">
      <c r="A30" s="2">
        <f t="shared" si="0"/>
        <v>28</v>
      </c>
      <c r="B30" t="s">
        <v>643</v>
      </c>
      <c r="C30" t="s">
        <v>644</v>
      </c>
      <c r="D30" t="s">
        <v>167</v>
      </c>
    </row>
    <row r="31" spans="1:4" x14ac:dyDescent="0.25">
      <c r="A31" s="2">
        <f t="shared" si="0"/>
        <v>29</v>
      </c>
      <c r="B31" t="s">
        <v>645</v>
      </c>
      <c r="C31" t="s">
        <v>646</v>
      </c>
      <c r="D31" t="s">
        <v>682</v>
      </c>
    </row>
    <row r="32" spans="1:4" x14ac:dyDescent="0.25">
      <c r="A32" s="2">
        <f t="shared" si="0"/>
        <v>30</v>
      </c>
      <c r="B32" t="s">
        <v>647</v>
      </c>
      <c r="C32" t="s">
        <v>648</v>
      </c>
      <c r="D32" t="s">
        <v>21</v>
      </c>
    </row>
    <row r="33" spans="1:4" x14ac:dyDescent="0.25">
      <c r="A33" s="2">
        <f t="shared" si="0"/>
        <v>31</v>
      </c>
      <c r="B33" t="s">
        <v>649</v>
      </c>
      <c r="C33" t="s">
        <v>650</v>
      </c>
      <c r="D33" t="s">
        <v>82</v>
      </c>
    </row>
    <row r="34" spans="1:4" x14ac:dyDescent="0.25">
      <c r="A34" s="2">
        <f t="shared" si="0"/>
        <v>32</v>
      </c>
      <c r="B34" t="s">
        <v>651</v>
      </c>
      <c r="C34" t="s">
        <v>652</v>
      </c>
      <c r="D34" t="s">
        <v>21</v>
      </c>
    </row>
    <row r="35" spans="1:4" x14ac:dyDescent="0.25">
      <c r="A35" s="2">
        <f t="shared" si="0"/>
        <v>33</v>
      </c>
      <c r="B35" t="s">
        <v>653</v>
      </c>
      <c r="C35" t="s">
        <v>654</v>
      </c>
      <c r="D35" t="s">
        <v>21</v>
      </c>
    </row>
    <row r="36" spans="1:4" x14ac:dyDescent="0.25">
      <c r="A36" s="2">
        <f t="shared" si="0"/>
        <v>34</v>
      </c>
      <c r="B36" t="s">
        <v>655</v>
      </c>
      <c r="C36" t="s">
        <v>656</v>
      </c>
      <c r="D36" t="s">
        <v>681</v>
      </c>
    </row>
    <row r="37" spans="1:4" x14ac:dyDescent="0.25">
      <c r="A37" s="2">
        <f t="shared" si="0"/>
        <v>35</v>
      </c>
      <c r="B37" t="s">
        <v>657</v>
      </c>
      <c r="C37" t="s">
        <v>658</v>
      </c>
      <c r="D37" t="s">
        <v>681</v>
      </c>
    </row>
    <row r="38" spans="1:4" x14ac:dyDescent="0.25">
      <c r="A38" s="2">
        <f t="shared" si="0"/>
        <v>36</v>
      </c>
      <c r="B38" t="s">
        <v>659</v>
      </c>
      <c r="C38" t="s">
        <v>660</v>
      </c>
      <c r="D38" t="s">
        <v>21</v>
      </c>
    </row>
    <row r="39" spans="1:4" x14ac:dyDescent="0.25">
      <c r="A39" s="2">
        <f t="shared" si="0"/>
        <v>37</v>
      </c>
      <c r="B39" t="s">
        <v>661</v>
      </c>
      <c r="C39" t="s">
        <v>662</v>
      </c>
      <c r="D39" t="s">
        <v>463</v>
      </c>
    </row>
    <row r="40" spans="1:4" x14ac:dyDescent="0.25">
      <c r="A40" s="2">
        <f t="shared" si="0"/>
        <v>38</v>
      </c>
      <c r="B40" t="s">
        <v>663</v>
      </c>
      <c r="C40" t="s">
        <v>664</v>
      </c>
      <c r="D40" t="s">
        <v>21</v>
      </c>
    </row>
    <row r="41" spans="1:4" x14ac:dyDescent="0.25">
      <c r="A41" s="2">
        <f t="shared" si="0"/>
        <v>39</v>
      </c>
      <c r="B41" t="s">
        <v>665</v>
      </c>
      <c r="C41" t="s">
        <v>666</v>
      </c>
      <c r="D41" t="s">
        <v>21</v>
      </c>
    </row>
    <row r="42" spans="1:4" x14ac:dyDescent="0.25">
      <c r="A42" s="2">
        <f t="shared" si="0"/>
        <v>40</v>
      </c>
      <c r="B42" t="s">
        <v>667</v>
      </c>
      <c r="C42" t="s">
        <v>668</v>
      </c>
      <c r="D42" t="s">
        <v>588</v>
      </c>
    </row>
    <row r="43" spans="1:4" x14ac:dyDescent="0.25">
      <c r="A43" s="2">
        <f t="shared" si="0"/>
        <v>41</v>
      </c>
      <c r="B43" t="s">
        <v>669</v>
      </c>
      <c r="C43" t="s">
        <v>670</v>
      </c>
      <c r="D43" t="s">
        <v>167</v>
      </c>
    </row>
    <row r="44" spans="1:4" x14ac:dyDescent="0.25">
      <c r="A44" s="2">
        <f t="shared" si="0"/>
        <v>42</v>
      </c>
      <c r="B44" t="s">
        <v>671</v>
      </c>
      <c r="C44" t="s">
        <v>672</v>
      </c>
      <c r="D44" t="s">
        <v>681</v>
      </c>
    </row>
    <row r="45" spans="1:4" x14ac:dyDescent="0.25">
      <c r="A45" s="2">
        <f t="shared" si="0"/>
        <v>43</v>
      </c>
      <c r="B45" t="s">
        <v>673</v>
      </c>
      <c r="C45" t="s">
        <v>674</v>
      </c>
      <c r="D45" t="s">
        <v>21</v>
      </c>
    </row>
    <row r="46" spans="1:4" x14ac:dyDescent="0.25">
      <c r="A46" s="2">
        <f t="shared" si="0"/>
        <v>44</v>
      </c>
      <c r="B46" t="s">
        <v>675</v>
      </c>
      <c r="C46" t="s">
        <v>676</v>
      </c>
      <c r="D46" t="s">
        <v>21</v>
      </c>
    </row>
    <row r="47" spans="1:4" x14ac:dyDescent="0.25">
      <c r="A47" s="2">
        <f t="shared" si="0"/>
        <v>45</v>
      </c>
      <c r="B47" t="s">
        <v>677</v>
      </c>
      <c r="C47" t="s">
        <v>678</v>
      </c>
      <c r="D47" t="s">
        <v>21</v>
      </c>
    </row>
    <row r="48" spans="1:4" x14ac:dyDescent="0.25">
      <c r="A48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428</v>
      </c>
      <c r="C3" t="s">
        <v>430</v>
      </c>
    </row>
    <row r="4" spans="2:3" x14ac:dyDescent="0.25">
      <c r="B4" t="s">
        <v>429</v>
      </c>
      <c r="C4" t="s">
        <v>431</v>
      </c>
    </row>
    <row r="5" spans="2:3" x14ac:dyDescent="0.25">
      <c r="B5" t="s">
        <v>432</v>
      </c>
      <c r="C5" t="s">
        <v>433</v>
      </c>
    </row>
    <row r="6" spans="2:3" x14ac:dyDescent="0.25">
      <c r="B6" t="s">
        <v>470</v>
      </c>
      <c r="C6" t="s">
        <v>476</v>
      </c>
    </row>
    <row r="7" spans="2:3" x14ac:dyDescent="0.25">
      <c r="B7" t="s">
        <v>471</v>
      </c>
      <c r="C7" t="s">
        <v>477</v>
      </c>
    </row>
    <row r="8" spans="2:3" x14ac:dyDescent="0.25">
      <c r="B8" t="s">
        <v>472</v>
      </c>
      <c r="C8" t="s">
        <v>474</v>
      </c>
    </row>
    <row r="9" spans="2:3" x14ac:dyDescent="0.25">
      <c r="B9" t="s">
        <v>473</v>
      </c>
      <c r="C9" t="s">
        <v>475</v>
      </c>
    </row>
    <row r="10" spans="2:3" x14ac:dyDescent="0.25">
      <c r="B10" t="s">
        <v>478</v>
      </c>
      <c r="C10" t="s">
        <v>479</v>
      </c>
    </row>
    <row r="11" spans="2:3" x14ac:dyDescent="0.25">
      <c r="B11" t="s">
        <v>480</v>
      </c>
      <c r="C11" t="s">
        <v>481</v>
      </c>
    </row>
    <row r="12" spans="2:3" x14ac:dyDescent="0.25">
      <c r="B12" t="s">
        <v>482</v>
      </c>
      <c r="C12" t="s">
        <v>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130</v>
      </c>
      <c r="C2" s="3"/>
    </row>
    <row r="3" spans="2:3" x14ac:dyDescent="0.25">
      <c r="B3" t="s">
        <v>122</v>
      </c>
      <c r="C3" s="11">
        <v>1.04</v>
      </c>
    </row>
    <row r="4" spans="2:3" x14ac:dyDescent="0.25">
      <c r="B4" t="s">
        <v>121</v>
      </c>
      <c r="C4" s="11">
        <v>9.5000000000000001E-2</v>
      </c>
    </row>
    <row r="5" spans="2:3" x14ac:dyDescent="0.25">
      <c r="B5" t="s">
        <v>120</v>
      </c>
      <c r="C5" s="11">
        <v>6.3E-3</v>
      </c>
    </row>
    <row r="6" spans="2:3" x14ac:dyDescent="0.25">
      <c r="B6" t="s">
        <v>123</v>
      </c>
      <c r="C6" s="11">
        <v>0.14000000000000001</v>
      </c>
    </row>
    <row r="7" spans="2:3" x14ac:dyDescent="0.25">
      <c r="B7" t="s">
        <v>131</v>
      </c>
      <c r="C7" s="11">
        <v>1.1200000000000001</v>
      </c>
    </row>
    <row r="8" spans="2:3" x14ac:dyDescent="0.25">
      <c r="B8" t="s">
        <v>338</v>
      </c>
      <c r="C8" s="11">
        <v>1.24</v>
      </c>
    </row>
    <row r="9" spans="2:3" x14ac:dyDescent="0.25">
      <c r="B9" t="s">
        <v>381</v>
      </c>
      <c r="C9" s="11">
        <v>0.14000000000000001</v>
      </c>
    </row>
    <row r="10" spans="2:3" x14ac:dyDescent="0.25">
      <c r="B10" t="s">
        <v>391</v>
      </c>
      <c r="C10" s="11">
        <v>0.92</v>
      </c>
    </row>
    <row r="11" spans="2:3" x14ac:dyDescent="0.25">
      <c r="B11" t="s">
        <v>393</v>
      </c>
      <c r="C11" s="11">
        <v>0.25</v>
      </c>
    </row>
    <row r="12" spans="2:3" x14ac:dyDescent="0.25">
      <c r="B12" t="s">
        <v>395</v>
      </c>
      <c r="C12" s="11">
        <v>1.0999999999999999E-2</v>
      </c>
    </row>
    <row r="13" spans="2:3" x14ac:dyDescent="0.25">
      <c r="B13" t="s">
        <v>398</v>
      </c>
      <c r="C13" s="11">
        <v>0.69</v>
      </c>
    </row>
    <row r="14" spans="2:3" x14ac:dyDescent="0.25">
      <c r="B14" t="s">
        <v>399</v>
      </c>
      <c r="C14" s="11">
        <v>5.3999999999999999E-2</v>
      </c>
    </row>
    <row r="15" spans="2:3" x14ac:dyDescent="0.25">
      <c r="B15" t="s">
        <v>444</v>
      </c>
      <c r="C15" s="11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Fashion</vt:lpstr>
      <vt:lpstr>Sports</vt:lpstr>
      <vt:lpstr>Retail</vt:lpstr>
      <vt:lpstr>Accessoires</vt:lpstr>
      <vt:lpstr>Luxury</vt:lpstr>
      <vt:lpstr>Furniture</vt:lpstr>
      <vt:lpstr>Glossar</vt:lpstr>
      <vt:lpstr>FX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2025-05-22T09:46:04Z</dcterms:modified>
  <cp:category/>
  <cp:contentStatus/>
</cp:coreProperties>
</file>