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D6F6B836-8EA8-44AE-9095-276EA4E4F02F}" xr6:coauthVersionLast="47" xr6:coauthVersionMax="47" xr10:uidLastSave="{00000000-0000-0000-0000-000000000000}"/>
  <bookViews>
    <workbookView xWindow="225" yWindow="5325" windowWidth="38175" windowHeight="1524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G46" i="1" l="1"/>
  <c r="F46" i="1"/>
  <c r="E46" i="1"/>
  <c r="G17" i="3"/>
  <c r="F17" i="3"/>
  <c r="E17" i="3"/>
  <c r="G18" i="4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H17" i="3" l="1"/>
  <c r="H46" i="1"/>
  <c r="G7" i="4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E11" i="3"/>
  <c r="G8" i="3"/>
  <c r="F8" i="3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1" i="3" l="1"/>
  <c r="H8" i="3"/>
  <c r="H14" i="3"/>
  <c r="H15" i="3"/>
  <c r="H7" i="3"/>
  <c r="H13" i="3"/>
  <c r="H4" i="3"/>
  <c r="H78" i="3"/>
  <c r="G21" i="4" l="1"/>
  <c r="F21" i="4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H12" i="4" s="1"/>
  <c r="E12" i="4"/>
  <c r="G11" i="4"/>
  <c r="F11" i="4"/>
  <c r="E11" i="4"/>
  <c r="G10" i="4"/>
  <c r="F10" i="4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21" i="4" l="1"/>
  <c r="H10" i="4"/>
  <c r="H11" i="4"/>
  <c r="H5" i="4"/>
  <c r="H14" i="4"/>
  <c r="H18" i="4"/>
  <c r="G56" i="1"/>
  <c r="F56" i="1"/>
  <c r="E56" i="1"/>
  <c r="G28" i="1"/>
  <c r="F28" i="1"/>
  <c r="E28" i="1"/>
  <c r="G104" i="1"/>
  <c r="F104" i="1"/>
  <c r="E104" i="1"/>
  <c r="G31" i="1"/>
  <c r="F31" i="1"/>
  <c r="H31" i="1" s="1"/>
  <c r="E31" i="1"/>
  <c r="H56" i="1" l="1"/>
  <c r="H104" i="1"/>
  <c r="H28" i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<sst xmlns="http://schemas.openxmlformats.org/spreadsheetml/2006/main" count="737" uniqueCount="478">
  <si>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</si>
  <si>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</si>
  <si>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</si>
  <si>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</si>
  <si>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</si>
  <si>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</si>
  <si>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</si>
  <si>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</si>
  <si>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</si>
  <si>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</si>
  <si>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</si>
  <si>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</si>
  <si>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</si>
  <si>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</si>
  <si>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</si>
  <si>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</si>
  <si>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</si>
  <si>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</si>
  <si>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</si>
  <si>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</si>
  <si>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</si>
  <si>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</si>
  <si>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</si>
  <si>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</si>
  <si>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</si>
  <si>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</si>
  <si>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</si>
  <si>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</si>
  <si>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</si>
  <si>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</si>
  <si>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</si>
  <si>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</si>
  <si>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</si>
  <si>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</si>
  <si>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</si>
  <si>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</si>
  <si>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</si>
  <si>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</si>
  <si>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</si>
  <si>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</si>
  <si>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</si>
  <si>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</si>
  <si>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</si>
  <si>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</si>
  <si>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</si>
  <si>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</si>
  <si>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</si>
  <si>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</si>
  <si>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</si>
  <si>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</si>
  <si>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</si>
  <si>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</si>
  <si>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</si>
  <si>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</si>
  <si>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</si>
  <si>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</si>
  <si>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</si>
  <si>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</si>
  <si>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</si>
  <si>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</si>
  <si>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</si>
  <si>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</si>
  <si>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</si>
  <si>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</si>
  <si>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</si>
  <si>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</si>
  <si>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</si>
  <si>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</si>
  <si>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</si>
  <si>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</si>
  <si>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</si>
  <si>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</si>
  <si>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</si>
  <si>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</si>
  <si>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</si>
  <si>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</si>
  <si>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</si>
  <si>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</si>
  <si>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</si>
  <si>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</si>
  <si>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</si>
  <si>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</si>
  <si>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</si>
  <si>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</si>
  <si>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</si>
  <si>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</si>
  <si>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</si>
  <si>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</si>
  <si>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</si>
  <si>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</si>
  <si>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</si>
  <si>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</si>
  <si>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</si>
  <si>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</si>
  <si>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</si>
  <si>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</si>
  <si>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</si>
  <si>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</si>
  <si>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</si>
  <si>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</si>
  <si>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</si>
  <si>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</si>
  <si>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</si>
  <si>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</si>
  <si>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</si>
  <si>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</si>
  <si>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</si>
  <si>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</si>
  <si>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</si>
  <si>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</si>
  <si>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</si>
  <si>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</si>
  <si>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</si>
  <si>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</si>
  <si>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</si>
  <si>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</si>
  <si>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</si>
  <si>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</si>
  <si>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</si>
  <si>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</si>
  <si>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</si>
  <si>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</si>
  <si>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</si>
  <si>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</si>
  <si>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</si>
  <si>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</si>
  <si>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</si>
  <si>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</si>
  <si>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</si>
  <si>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</si>
  <si>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</si>
  <si>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</si>
  <si>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</si>
  <si>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</si>
  <si>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</si>
  <si>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</si>
  <si>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</si>
  <si>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</si>
  <si>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</si>
  <si>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</si>
  <si>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</si>
  <si>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</si>
  <si>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</si>
  <si>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</si>
  <si>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</si>
  <si>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</si>
  <si>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</si>
  <si>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</si>
  <si>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</si>
  <si>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</si>
  <si>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</si>
  <si>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</si>
  <si>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</si>
  <si>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</si>
  <si>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</si>
  <si>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</si>
  <si>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</si>
  <si>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</si>
  <si>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</si>
  <si>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</si>
  <si>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</si>
  <si>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</si>
  <si>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</si>
  <si>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</si>
  <si>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</si>
  <si>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</si>
  <si>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</si>
  <si>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</si>
  <si>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</si>
  <si>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</si>
  <si>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</si>
  <si>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</si>
  <si>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</si>
  <si>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</si>
  <si>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</si>
  <si>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</si>
  <si>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</si>
  <si>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</si>
  <si>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</si>
  <si>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</si>
  <si>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</si>
  <si>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</si>
  <si>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</si>
  <si>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</si>
  <si>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</si>
  <si>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</si>
  <si>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</si>
  <si>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</si>
  <si>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</si>
  <si>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</si>
  <si>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</si>
  <si>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</si>
  <si>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</si>
  <si>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</si>
  <si>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</si>
  <si>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</si>
  <si>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</si>
  <si>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</si>
  <si>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</si>
  <si>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</si>
  <si>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</si>
  <si>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</si>
  <si>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</si>
  <si>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</si>
  <si>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</si>
  <si>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</si>
  <si>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</si>
  <si>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</si>
  <si>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</si>
  <si>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</si>
  <si>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</si>
  <si>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</si>
  <si>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</si>
  <si>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</si>
  <si>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</si>
  <si>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</si>
  <si>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</si>
  <si>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</si>
  <si>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</si>
  <si>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</si>
  <si>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</si>
  <si>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</si>
  <si>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</si>
  <si>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</si>
  <si>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</si>
  <si>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</si>
  <si>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</si>
  <si>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</si>
  <si>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</si>
  <si>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</si>
  <si>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</si>
  <si>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</si>
  <si>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</si>
  <si>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</si>
  <si>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</si>
  <si>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</si>
  <si>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</si>
  <si>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</si>
  <si>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</si>
  <si>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</si>
  <si>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</si>
  <si>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</si>
  <si>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</si>
  <si>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</si>
  <si>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</si>
  <si>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</si>
  <si>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</si>
  <si>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</si>
  <si>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</si>
  <si>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</si>
  <si>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</si>
  <si>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</si>
  <si>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</si>
  <si>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</si>
  <si>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</si>
  <si>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</si>
  <si>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</si>
  <si>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</si>
  <si>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</si>
  <si>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</si>
  <si>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</si>
  <si>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</si>
  <si>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</si>
  <si>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</si>
  <si>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</si>
  <si>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</si>
  <si>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</si>
  <si>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</si>
  <si>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</si>
  <si>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</si>
  <si>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</si>
  <si>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</si>
  <si>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</si>
  <si>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</si>
  <si>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</si>
  <si>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</si>
  <si>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</si>
  <si>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</si>
  <si>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</si>
  <si>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</si>
  <si>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</si>
  <si>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</si>
  <si>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</si>
  <si>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</si>
  <si>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</si>
  <si>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</si>
  <si>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</si>
  <si>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</si>
  <si>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</si>
  <si>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</si>
  <si>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</si>
  <si>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</si>
  <si>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</si>
  <si>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</si>
  <si>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</si>
  <si>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</si>
  <si>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</si>
  <si>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</si>
  <si>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</si>
  <si>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</si>
  <si>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</si>
  <si>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</si>
  <si>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</si>
  <si>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</si>
  <si>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</si>
  <si>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</si>
  <si>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</si>
  <si>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</si>
  <si>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</si>
  <si>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</si>
  <si>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</si>
  <si>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</si>
  <si>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</si>
  <si>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</si>
  <si>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</si>
  <si>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</si>
  <si>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</si>
  <si>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</si>
  <si>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</si>
  <si>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</si>
  <si>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</si>
  <si>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</si>
  <si>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</si>
  <si>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</si>
  <si>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</si>
  <si>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</si>
  <si>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</si>
  <si>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</si>
  <si>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</si>
  <si>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</si>
  <si>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</si>
  <si>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</si>
  <si>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</si>
  <si>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</si>
  <si>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</si>
  <si>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</si>
  <si>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</si>
  <si>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</si>
  <si>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</si>
  <si>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</si>
  <si>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</si>
  <si>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</si>
  <si>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</si>
  <si>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</si>
  <si>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</si>
  <si>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</si>
  <si>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</si>
  <si>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</si>
  <si>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</si>
  <si>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</si>
  <si>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</si>
  <si>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</si>
  <si>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</si>
  <si>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</si>
  <si>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</si>
  <si>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</si>
  <si>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</si>
  <si>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</si>
  <si>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</si>
  <si>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</si>
  <si>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</si>
  <si>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</si>
  <si>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</si>
  <si>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</si>
  <si>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</si>
  <si>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</si>
  <si>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</si>
  <si>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</si>
  <si>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</si>
  <si>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</si>
  <si>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</si>
  <si>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</si>
  <si>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</si>
  <si>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</si>
  <si>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</si>
  <si>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</si>
  <si>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</si>
  <si>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</si>
  <si>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</si>
  <si>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</si>
  <si>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</si>
  <si>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</si>
  <si>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</si>
  <si>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</si>
  <si>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</si>
  <si>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</si>
  <si>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</si>
  <si>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</si>
  <si>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</si>
  <si>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</si>
  <si>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</si>
  <si>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</si>
  <si>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</si>
  <si>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</si>
  <si>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</si>
  <si>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</si>
  <si>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</si>
  <si>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</si>
  <si>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</si>
  <si>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</si>
  <si>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</si>
  <si>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</si>
  <si>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</si>
  <si>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</si>
  <si>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</si>
  <si>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</si>
  <si>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</si>
  <si>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</si>
  <si>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</si>
  <si>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</si>
  <si>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</si>
  <si>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</si>
  <si>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</si>
  <si>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</si>
  <si>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</si>
  <si>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</si>
  <si>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</si>
  <si>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</si>
  <si>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</si>
  <si>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</si>
  <si>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</si>
  <si>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</si>
  <si>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</si>
  <si>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</si>
  <si>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</si>
  <si>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</si>
  <si>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</si>
  <si>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</si>
  <si>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</si>
  <si>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</si>
  <si>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</si>
  <si>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</si>
  <si>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</si>
  <si>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</si>
  <si>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</si>
  <si>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</si>
  <si>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</si>
  <si>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</si>
  <si>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</si>
  <si>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</si>
  <si>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</si>
  <si>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</si>
  <si>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</si>
  <si>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</si>
  <si>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</si>
  <si>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</si>
  <si>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</si>
  <si>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</si>
  <si>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</si>
  <si>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</si>
  <si>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</si>
  <si>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</si>
  <si>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</si>
  <si>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</si>
  <si>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</si>
  <si>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</si>
  <si>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</si>
  <si>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</si>
  <si>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</si>
  <si>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</si>
  <si>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</si>
  <si>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</si>
  <si>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</si>
  <si>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</si>
  <si>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</si>
  <si>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</si>
  <si>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</si>
  <si>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</si>
  <si>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</si>
  <si>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</si>
  <si>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</si>
  <si>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</si>
  <si>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</si>
  <si>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</si>
  <si>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</si>
  <si>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Q225</t>
  </si>
  <si>
    <t>PSKY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</si>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</sst>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YD.xlsx" TargetMode="External"/><Relationship Id="rId1" Type="http://schemas.openxmlformats.org/officeDocument/2006/relationships/externalLinkPath" Target="/1.Finance/Anaylsen/Models/BY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LYVA.xlsx" TargetMode="External"/><Relationship Id="rId1" Type="http://schemas.openxmlformats.org/officeDocument/2006/relationships/externalLinkPath" Target="/1.Finance/Anaylsen/Models/LLYV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11.87</v>
          </cell>
        </row>
        <row r="4">
          <cell r="H4">
            <v>29387.416987339999</v>
          </cell>
        </row>
        <row r="5">
          <cell r="H5">
            <v>4888</v>
          </cell>
        </row>
        <row r="6">
          <cell r="H6">
            <v>34632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45.96</v>
          </cell>
        </row>
        <row r="4">
          <cell r="G4">
            <v>22817.764463160001</v>
          </cell>
        </row>
        <row r="5">
          <cell r="G5">
            <v>1261.9690000000001</v>
          </cell>
        </row>
        <row r="6">
          <cell r="G6">
            <v>592.70400000000006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115.68</v>
          </cell>
        </row>
        <row r="4">
          <cell r="K4">
            <v>207984.98580144002</v>
          </cell>
        </row>
        <row r="5">
          <cell r="K5">
            <v>5367</v>
          </cell>
        </row>
        <row r="6">
          <cell r="K6">
            <v>36531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184.82</v>
          </cell>
        </row>
        <row r="4">
          <cell r="J4">
            <v>15180.539270520001</v>
          </cell>
        </row>
        <row r="5">
          <cell r="J5">
            <v>535.06100000000004</v>
          </cell>
        </row>
        <row r="6">
          <cell r="J6">
            <v>2749.3140000000003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13.8</v>
          </cell>
        </row>
        <row r="4">
          <cell r="I4">
            <v>9315</v>
          </cell>
        </row>
        <row r="5">
          <cell r="I5">
            <v>2739</v>
          </cell>
        </row>
        <row r="6">
          <cell r="I6">
            <v>14514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77.77</v>
          </cell>
        </row>
        <row r="4">
          <cell r="I4">
            <v>6330.7175316000003</v>
          </cell>
        </row>
        <row r="5">
          <cell r="I5">
            <v>311.50299999999999</v>
          </cell>
        </row>
        <row r="6">
          <cell r="I6">
            <v>3516.5740000000001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78.55</v>
          </cell>
        </row>
        <row r="4">
          <cell r="K4">
            <v>7215.2325581999994</v>
          </cell>
        </row>
        <row r="5">
          <cell r="K5">
            <v>3147</v>
          </cell>
        </row>
        <row r="6">
          <cell r="K6">
            <v>4564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173.3</v>
          </cell>
        </row>
        <row r="4">
          <cell r="I4">
            <v>43360.925609900005</v>
          </cell>
        </row>
        <row r="5">
          <cell r="I5">
            <v>1630</v>
          </cell>
        </row>
        <row r="6">
          <cell r="I6">
            <v>400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28" Type="http://schemas.openxmlformats.org/officeDocument/2006/relationships/hyperlink" Target="..\Models\BYD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Relationship Id="rId9" Type="http://schemas.openxmlformats.org/officeDocument/2006/relationships/hyperlink" Target="..\Models\LLYV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1253.22</v>
      </c>
      <c r="F4" s="9">
        <f>+[1]Main!$I$5</f>
        <v>532882.92942000006</v>
      </c>
      <c r="G4" s="9">
        <f>+[1]Main!$I$7-[1]Main!$I$6</f>
        <v>6062.6859999999997</v>
      </c>
      <c r="H4" s="9">
        <f>+F4+G4</f>
        <v>538945.61542000005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115.68</v>
      </c>
      <c r="F5" s="9">
        <f>+[2]Main!$K$4</f>
        <v>207984.98580144002</v>
      </c>
      <c r="G5" s="9">
        <f>+[2]Main!$K$6-[2]Main!$K$5</f>
        <v>31164</v>
      </c>
      <c r="H5" s="9">
        <f t="shared" ref="H5:H10" si="0">+F5+G5</f>
        <v>239148.98580144002</v>
      </c>
      <c r="I5" s="10" t="s">
        <v>297</v>
      </c>
      <c r="J5" s="12">
        <v>45966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627.5</v>
      </c>
      <c r="F8" s="9">
        <f>+[5]Main!$H$5*FX!C3</f>
        <v>132772.605128675</v>
      </c>
      <c r="G8" s="9">
        <f>+([5]Main!$H$7-[5]Main!$H$6)*FX!C3</f>
        <v>-8594.32</v>
      </c>
      <c r="H8" s="9">
        <f t="shared" si="0"/>
        <v>124178.28512867499</v>
      </c>
      <c r="I8" s="10" t="s">
        <v>247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173.3</v>
      </c>
      <c r="F15" s="9">
        <f>+[8]Main!$I$4</f>
        <v>43360.925609900005</v>
      </c>
      <c r="G15" s="9">
        <f>+[8]Main!$I$6-[8]Main!$I$5</f>
        <v>-1230</v>
      </c>
      <c r="H15" s="9">
        <f>+F15+G15</f>
        <v>42130.925609900005</v>
      </c>
      <c r="I15" s="10" t="s">
        <v>477</v>
      </c>
      <c r="J15" s="12">
        <v>45958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212.39</v>
      </c>
      <c r="F19" s="9">
        <f>+[11]Main!$L$5</f>
        <v>37485.92299734</v>
      </c>
      <c r="G19" s="9">
        <f>+[11]Main!$L$7-[11]Main!$L$6</f>
        <v>2432.9</v>
      </c>
      <c r="H19" s="9">
        <f>+F19+G19</f>
        <v>39918.822997340001</v>
      </c>
      <c r="I19" s="10" t="s">
        <v>241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11.87</v>
      </c>
      <c r="F22" s="9">
        <f>+[14]Main!$H$4</f>
        <v>29387.416987339999</v>
      </c>
      <c r="G22" s="9">
        <f>+[14]Main!$H$6-[14]Main!$H$5</f>
        <v>29744</v>
      </c>
      <c r="H22" s="9">
        <f>+F22+G22</f>
        <v>59131.416987339995</v>
      </c>
      <c r="I22" s="10" t="s">
        <v>475</v>
      </c>
      <c r="J22" s="12">
        <v>45967</v>
      </c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45.96</v>
      </c>
      <c r="F25" s="9">
        <f>+[16]Main!$G$4</f>
        <v>22817.764463160001</v>
      </c>
      <c r="G25" s="9">
        <f>+[16]Main!$G$6-[16]Main!$G$5</f>
        <v>-669.26499999999999</v>
      </c>
      <c r="H25" s="9">
        <f>+F25+G25</f>
        <v>22148.499463160002</v>
      </c>
      <c r="I25" s="10" t="s">
        <v>475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184.82</v>
      </c>
      <c r="F31" s="9">
        <f>+[20]Main!$J$4</f>
        <v>15180.539270520001</v>
      </c>
      <c r="G31" s="9">
        <f>+[20]Main!$J$6-[20]Main!$J$5</f>
        <v>2214.2530000000002</v>
      </c>
      <c r="H31" s="9">
        <f>+F31+G31</f>
        <v>17394.79227052</v>
      </c>
      <c r="I31" s="10" t="s">
        <v>475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476</v>
      </c>
      <c r="D40" t="s">
        <v>22</v>
      </c>
      <c r="E40">
        <f>+[22]Main!$I$2</f>
        <v>13.8</v>
      </c>
      <c r="F40" s="9">
        <f>+[22]Main!$I$4</f>
        <v>9315</v>
      </c>
      <c r="G40" s="9">
        <f>+[22]Main!$I$6-[22]Main!$I$5</f>
        <v>11775</v>
      </c>
      <c r="H40" s="9">
        <f>+F40+G40</f>
        <v>21090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s="6" t="s">
        <v>103</v>
      </c>
      <c r="C46" t="s">
        <v>104</v>
      </c>
      <c r="D46" t="s">
        <v>22</v>
      </c>
      <c r="E46">
        <f>+[23]Main!$I$2</f>
        <v>77.77</v>
      </c>
      <c r="F46" s="9">
        <f>+[23]Main!$I$4</f>
        <v>6330.7175316000003</v>
      </c>
      <c r="G46" s="9">
        <f>+[23]Main!$I$6-[23]Main!$I$5</f>
        <v>3205.0709999999999</v>
      </c>
      <c r="H46" s="9">
        <f>+F46+G46</f>
        <v>9535.7885315999993</v>
      </c>
      <c r="I46" s="10" t="s">
        <v>262</v>
      </c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+[24]Main!$G$2</f>
        <v>18.07</v>
      </c>
      <c r="F49" s="9">
        <f>+[24]Main!$G$4</f>
        <v>6087.7829999999994</v>
      </c>
      <c r="G49" s="9">
        <f>+[24]Main!$G$6-[24]Main!$G$5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+[25]Main!$I$2</f>
        <v>183.2</v>
      </c>
      <c r="F56" s="9">
        <f>+[25]Main!$I$4</f>
        <v>5589.2865391999994</v>
      </c>
      <c r="G56" s="9">
        <f>+[25]Main!$I$6-[25]Main!$I$5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+[26]Main!$I$2</f>
        <v>33.76</v>
      </c>
      <c r="F104" s="9">
        <f>+[26]Main!$I$4</f>
        <v>1615.1327198399999</v>
      </c>
      <c r="G104" s="9">
        <f>+[26]Main!$I$6-[26]Main!$I$5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+[27]Main!$H$2</f>
        <v>15.92</v>
      </c>
      <c r="F107" s="9">
        <f>+[27]Main!$H$5*FX!C4</f>
        <v>2707.3869572160002</v>
      </c>
      <c r="G107" s="9">
        <f>+([27]Main!$H$7-[27]Main!$H$6)*FX!C4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+[28]Main!$I$2</f>
        <v>3.28</v>
      </c>
      <c r="F109" s="9">
        <f>+[28]Main!$I$4*FX!C3</f>
        <v>372.96258964800001</v>
      </c>
      <c r="G109" s="9">
        <f>+([28]Main!$I$6-[28]Main!$I$5)*FX!C3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  <hyperlink ref="B46" r:id="rId28" xr:uid="{373784ED-2071-41B3-AA12-4F7A1FE107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+[29]Main!$H$2</f>
        <v>559.02</v>
      </c>
      <c r="F5" s="21">
        <f>+[29]Main!$H$4</f>
        <v>4155288.66918858</v>
      </c>
      <c r="G5" s="21">
        <f>+[29]Main!$H$6-[29]Main!$H$5</f>
        <v>-54413</v>
      </c>
      <c r="H5" s="21">
        <f t="shared" ref="H5:H18" si="0">+F5+G5</f>
        <v>4100875.66918858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+[30]Main!$G$2</f>
        <v>373.4</v>
      </c>
      <c r="F6" s="21">
        <f>+[30]Main!$G$4*FX!C6</f>
        <v>475516.08776000002</v>
      </c>
      <c r="G6" s="21">
        <f>+([30]Main!$G$6-[30]Main!$G$5)*FX!C6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+[31]Main!$I$2</f>
        <v>2123</v>
      </c>
      <c r="F9" s="21">
        <f>+[32]Main!$H$5*FX!C6</f>
        <v>65131.275185760009</v>
      </c>
      <c r="G9" s="21">
        <f>+([32]Main!$H$7-[32]Main!$H$6)*FX!C6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173.3</v>
      </c>
      <c r="F11" s="21">
        <f>+[8]Main!$I$4</f>
        <v>43360.925609900005</v>
      </c>
      <c r="G11" s="21">
        <f>+[8]Main!$I$6-[8]Main!$I$5</f>
        <v>-1230</v>
      </c>
      <c r="H11" s="21">
        <f t="shared" si="0"/>
        <v>42130.925609900005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212.39</v>
      </c>
      <c r="F12" s="21">
        <f>+[11]Main!$L$5</f>
        <v>37485.92299734</v>
      </c>
      <c r="G12" s="21">
        <f>+[11]Main!$L$7-[11]Main!$L$6</f>
        <v>2432.9</v>
      </c>
      <c r="H12" s="21">
        <f t="shared" si="0"/>
        <v>39918.822997340001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+[31]Main!$I$2</f>
        <v>2123</v>
      </c>
      <c r="F15" s="21">
        <f>+[31]Main!$I$4*FX!C2</f>
        <v>11429.0165977856</v>
      </c>
      <c r="G15" s="21">
        <f>+([31]Main!$I$6-[31]Main!$I$5)*FX!C2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+[33]Main!$H$2</f>
        <v>12.11</v>
      </c>
      <c r="F18" s="21">
        <f>+[33]Main!$H$4*FX!C3</f>
        <v>1601.5717199999999</v>
      </c>
      <c r="G18" s="21">
        <f>+([33]Main!$H$6-[33]Main!$H$5)*FX!C3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+[34]Main!$J$2</f>
        <v>21.7</v>
      </c>
      <c r="F21" s="21">
        <f>+[34]Main!$J$4</f>
        <v>9701.7223876999997</v>
      </c>
      <c r="G21" s="21">
        <f>+[34]Main!$J$6-[34]Main!$J$5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B8" sqref="B8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11.87</v>
      </c>
      <c r="F7" s="9">
        <f>+[14]Main!$H$4</f>
        <v>29387.416987339999</v>
      </c>
      <c r="G7" s="9">
        <f>+[14]Main!$H$6-[14]Main!$H$5</f>
        <v>29744</v>
      </c>
      <c r="H7" s="9">
        <f>+F7+G7</f>
        <v>59131.416987339995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+[35]Main!$I$2</f>
        <v>50.5</v>
      </c>
      <c r="F8" s="9">
        <f>+[35]Main!$I$4</f>
        <v>22898.106829</v>
      </c>
      <c r="G8" s="9">
        <f>+[35]Main!$I$6-[35]Main!$I$5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+[36]Main!$I$2</f>
        <v>30.44</v>
      </c>
      <c r="F11" s="9">
        <f>+[36]Main!$I$4</f>
        <v>17310.539416759999</v>
      </c>
      <c r="G11" s="9">
        <f>+[36]Main!$I$6-[36]Main!$I$5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+[37]Main!$H$2</f>
        <v>41.21</v>
      </c>
      <c r="F13" s="9">
        <f>+[37]Main!$H$4</f>
        <v>8939.4565020800001</v>
      </c>
      <c r="G13" s="9">
        <f>+[37]Main!$H$6-[37]Main!$H$5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+[38]Main!$H$2</f>
        <v>52.09</v>
      </c>
      <c r="F14" s="9">
        <f>+[38]Main!$H$4</f>
        <v>8540.3870921399994</v>
      </c>
      <c r="G14" s="9">
        <f>+[38]Main!$H$6-[38]Main!$H$5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13.8</v>
      </c>
      <c r="F15" s="9">
        <f>+[22]Main!$I$4</f>
        <v>9315</v>
      </c>
      <c r="G15" s="9">
        <f>+[22]Main!$I$6-[22]Main!$I$5</f>
        <v>11775</v>
      </c>
      <c r="H15" s="9">
        <f>+F15+G15</f>
        <v>21090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9" x14ac:dyDescent="0.25">
      <c r="A17" s="2">
        <f t="shared" si="0"/>
        <v>14</v>
      </c>
      <c r="B17" s="6" t="s">
        <v>326</v>
      </c>
      <c r="C17" t="s">
        <v>108</v>
      </c>
      <c r="D17" t="s">
        <v>22</v>
      </c>
      <c r="E17" s="9">
        <f>+[39]Main!$K$2</f>
        <v>78.55</v>
      </c>
      <c r="F17" s="9">
        <f>+[39]Main!$K$4</f>
        <v>7215.2325581999994</v>
      </c>
      <c r="G17" s="9">
        <f>+[39]Main!$K$6-[39]Main!$K$5</f>
        <v>1417</v>
      </c>
      <c r="H17" s="9">
        <f>+F17+G17</f>
        <v>8632.2325581999994</v>
      </c>
      <c r="I17" s="10" t="s">
        <v>262</v>
      </c>
    </row>
    <row r="18" spans="1:9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9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9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9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9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9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9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9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9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9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9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9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9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9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9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+[40]Main!$H$2</f>
        <v>1.2</v>
      </c>
      <c r="F78" s="9">
        <f>+[40]Main!$H$4</f>
        <v>112.4964828</v>
      </c>
      <c r="G78" s="9">
        <f>+[40]Main!$H$6-[40]Main!$H$5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  <hyperlink ref="B17" r:id="rId9" xr:uid="{C10C3CEA-F36C-41AB-B9D5-0C29F9468C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2025-08-19T12:49:57Z</dcterms:modified>
</cp:coreProperties>
</file>