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28DFC785-D7A1-4C39-9C5A-5C5205487E30}" xr6:coauthVersionLast="47" xr6:coauthVersionMax="47" xr10:uidLastSave="{00000000-0000-0000-0000-000000000000}"/>
  <bookViews>
    <workbookView xWindow="-120" yWindow="-120" windowWidth="38640" windowHeight="21060" xr2:uid="{E4FC37F3-4088-4285-9A96-75C9B19F2D05}"/>
  </bookViews>
  <sheets>
    <sheet name="Mai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  <sheet name="Acquisitions" sheetId="9" r:id="rId9"/>
    <sheet name="People" sheetId="10" r:id="rId10"/>
    <sheet name="Market" sheetId="11" r:id="rId11"/>
    <sheet name="Private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definedNames>
    <definedName name="_xlnm._FilterDatabase" localSheetId="0" hidden="1">Main!$A$1:$AE$181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<sst xmlns="http://schemas.openxmlformats.org/spreadsheetml/2006/main" count="1291" uniqueCount="754">
  <si>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</si>
  <si>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</si>
  <si>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</si>
  <si>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</si>
  <si>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</si>
  <si>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</si>
  <si>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</si>
  <si>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</si>
  <si>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</si>
  <si>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</si>
  <si>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</si>
  <si>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</si>
  <si>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</si>
  <si>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</si>
  <si>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</si>
  <si>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</si>
  <si>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</si>
  <si>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</si>
  <si>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</si>
  <si>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</si>
  <si>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</si>
  <si>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</si>
  <si>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</si>
  <si>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</si>
  <si>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</si>
  <si>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</si>
  <si>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</si>
  <si>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</si>
  <si>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</si>
  <si>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</si>
  <si>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</si>
  <si>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</si>
  <si>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</si>
  <si>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</si>
  <si>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</si>
  <si>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</si>
  <si>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</si>
  <si>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</si>
  <si>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</si>
  <si>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</si>
  <si>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</si>
  <si>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</si>
  <si>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</si>
  <si>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</si>
  <si>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</si>
  <si>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</si>
  <si>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</si>
  <si>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</si>
  <si>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</si>
  <si>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</si>
  <si>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</si>
  <si>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</si>
  <si>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</si>
  <si>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</si>
  <si>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</si>
  <si>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</si>
  <si>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</si>
  <si>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</si>
  <si>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</si>
  <si>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</si>
  <si>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</si>
  <si>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</si>
  <si>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</si>
  <si>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</si>
  <si>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</si>
  <si>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</si>
  <si>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</si>
  <si>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</si>
  <si>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</si>
  <si>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</si>
  <si>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</si>
  <si>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</si>
  <si>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</si>
  <si>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</si>
  <si>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</si>
  <si>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</si>
  <si>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</si>
  <si>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</si>
  <si>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</si>
  <si>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</si>
  <si>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</si>
  <si>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</si>
  <si>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</si>
  <si>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</si>
  <si>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</si>
  <si>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</si>
  <si>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</si>
  <si>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</si>
  <si>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</si>
  <si>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</si>
  <si>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</si>
  <si>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</si>
  <si>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</si>
  <si>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</si>
  <si>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</si>
  <si>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</si>
  <si>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</si>
  <si>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</si>
  <si>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</si>
  <si>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</si>
  <si>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</si>
  <si>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</si>
  <si>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</si>
  <si>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</si>
  <si>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</si>
  <si>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</si>
  <si>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</si>
  <si>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</si>
  <si>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</si>
  <si>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</si>
  <si>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</si>
  <si>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</si>
  <si>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</si>
  <si>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</si>
  <si>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</si>
  <si>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</si>
  <si>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</si>
  <si>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</si>
  <si>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</si>
  <si>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</si>
  <si>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</si>
  <si>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</si>
  <si>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</si>
  <si>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</si>
  <si>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</si>
  <si>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</si>
  <si>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</si>
  <si>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</si>
  <si>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</si>
  <si>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</si>
  <si>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</si>
  <si>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</si>
  <si>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</si>
  <si>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</si>
  <si>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</si>
  <si>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</si>
  <si>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</si>
  <si>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</si>
  <si>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</si>
  <si>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</si>
  <si>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</si>
  <si>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</si>
  <si>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</si>
  <si>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</si>
  <si>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</si>
  <si>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</si>
  <si>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</si>
  <si>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</si>
  <si>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</si>
  <si>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</si>
  <si>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</si>
  <si>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</si>
  <si>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</si>
  <si>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</si>
  <si>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</si>
  <si>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</si>
  <si>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</si>
  <si>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</si>
  <si>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</si>
  <si>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</si>
  <si>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</si>
  <si>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</si>
  <si>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</si>
  <si>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</si>
  <si>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</si>
  <si>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</si>
  <si>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</si>
  <si>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</si>
  <si>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</si>
  <si>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</si>
  <si>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</si>
  <si>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</si>
  <si>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</si>
  <si>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</si>
  <si>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</si>
  <si>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</si>
  <si>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</si>
  <si>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</si>
  <si>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</si>
  <si>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</si>
  <si>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</si>
  <si>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</si>
  <si>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</si>
  <si>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</si>
  <si>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</si>
  <si>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</si>
  <si>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</si>
  <si>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</si>
  <si>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</si>
  <si>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</si>
  <si>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</si>
  <si>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</si>
  <si>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</si>
  <si>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</si>
  <si>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</si>
  <si>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</si>
  <si>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</si>
  <si>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</si>
  <si>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</si>
  <si>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</si>
  <si>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</si>
  <si>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</si>
  <si>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</si>
  <si>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</si>
  <si>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</si>
  <si>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</si>
  <si>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</si>
  <si>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</si>
  <si>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</si>
  <si>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</si>
  <si>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</si>
  <si>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</si>
  <si>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</si>
  <si>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</si>
  <si>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</si>
  <si>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</si>
  <si>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</si>
  <si>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</si>
  <si>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</si>
  <si>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</si>
  <si>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</si>
  <si>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</si>
  <si>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</si>
  <si>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</si>
  <si>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</si>
  <si>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</si>
  <si>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</si>
  <si>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</si>
  <si>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</si>
  <si>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</si>
  <si>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</si>
  <si>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</si>
  <si>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</si>
  <si>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</si>
  <si>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</si>
  <si>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</si>
  <si>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</si>
  <si>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</si>
  <si>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</si>
  <si>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</si>
  <si>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</si>
  <si>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</si>
  <si>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</si>
  <si>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</si>
  <si>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</si>
  <si>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</si>
  <si>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</si>
  <si>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</si>
  <si>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</si>
  <si>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</si>
  <si>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</si>
  <si>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</si>
  <si>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</si>
  <si>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</si>
  <si>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</si>
  <si>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</si>
  <si>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</si>
  <si>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</si>
  <si>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</si>
  <si>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</si>
  <si>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</si>
  <si>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</si>
  <si>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</si>
  <si>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</si>
  <si>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</si>
  <si>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</si>
  <si>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</si>
  <si>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</si>
  <si>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</si>
  <si>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</si>
  <si>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</si>
  <si>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</si>
  <si>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</si>
  <si>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</si>
  <si>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</si>
  <si>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</si>
  <si>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</si>
  <si>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</si>
  <si>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</si>
  <si>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</si>
  <si>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</si>
  <si>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</si>
  <si>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</si>
  <si>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</si>
  <si>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</si>
  <si>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</si>
  <si>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</si>
  <si>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</si>
  <si>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</si>
  <si>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</si>
  <si>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</si>
  <si>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</si>
  <si>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</si>
  <si>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</si>
  <si>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</si>
  <si>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</si>
  <si>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</si>
  <si>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</si>
  <si>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</si>
  <si>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</si>
  <si>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</si>
  <si>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</si>
  <si>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</si>
  <si>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</si>
  <si>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</si>
  <si>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</si>
  <si>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</si>
  <si>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</si>
  <si>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</si>
  <si>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</si>
  <si>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</si>
  <si>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</si>
  <si>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</si>
  <si>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</si>
  <si>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</si>
  <si>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</si>
  <si>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</si>
  <si>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</si>
  <si>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</si>
  <si>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</si>
  <si>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</si>
  <si>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</si>
  <si>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</si>
  <si>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</si>
  <si>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</si>
  <si>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</si>
  <si>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</si>
  <si>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</si>
  <si>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</si>
  <si>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</si>
  <si>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</si>
  <si>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</si>
  <si>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</si>
  <si>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</si>
  <si>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</si>
  <si>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</si>
  <si>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</si>
  <si>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</si>
  <si>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</si>
  <si>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</si>
  <si>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</si>
  <si>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</si>
  <si>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</si>
  <si>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</si>
  <si>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</si>
  <si>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</si>
  <si>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</si>
  <si>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</si>
  <si>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</si>
  <si>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</si>
  <si>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</si>
  <si>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</si>
  <si>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</si>
  <si>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</si>
  <si>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</si>
  <si>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</si>
  <si>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</si>
  <si>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</si>
  <si>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</si>
  <si>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</si>
  <si>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</si>
  <si>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</si>
  <si>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</si>
  <si>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</si>
  <si>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</si>
  <si>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</si>
  <si>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</si>
  <si>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</si>
  <si>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</si>
  <si>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</si>
  <si>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</si>
  <si>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</si>
  <si>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</si>
  <si>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</si>
  <si>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</si>
  <si>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</si>
  <si>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</si>
  <si>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</si>
  <si>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</si>
  <si>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</si>
  <si>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</si>
  <si>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</si>
  <si>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</si>
  <si>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</si>
  <si>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</si>
  <si>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</si>
  <si>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</si>
  <si>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</si>
  <si>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</si>
  <si>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</si>
  <si>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</si>
  <si>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</si>
  <si>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</si>
  <si>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</si>
  <si>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</si>
  <si>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</si>
  <si>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</si>
  <si>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</si>
  <si>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</si>
  <si>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</si>
  <si>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</si>
  <si>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</si>
  <si>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</si>
  <si>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</si>
  <si>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</si>
  <si>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</si>
  <si>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</si>
  <si>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</si>
  <si>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</si>
  <si>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</si>
  <si>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</si>
  <si>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</si>
  <si>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</si>
  <si>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</si>
  <si>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</si>
  <si>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</si>
  <si>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</si>
  <si>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</si>
  <si>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</si>
  <si>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</si>
  <si>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</si>
  <si>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</si>
  <si>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</si>
  <si>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</si>
  <si>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</si>
  <si>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</si>
  <si>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</si>
  <si>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</si>
  <si>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</si>
  <si>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</si>
  <si>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</si>
  <si>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</si>
  <si>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</si>
  <si>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</si>
  <si>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</si>
  <si>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</si>
  <si>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</si>
  <si>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</si>
  <si>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</si>
  <si>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</si>
  <si>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</si>
  <si>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</si>
  <si>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</si>
  <si>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</si>
  <si>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</si>
  <si>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</si>
  <si>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</si>
  <si>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</si>
  <si>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</si>
  <si>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</si>
  <si>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</si>
  <si>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</si>
  <si>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</si>
  <si>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</si>
  <si>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</si>
  <si>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</si>
  <si>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</si>
  <si>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</si>
  <si>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</si>
  <si>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</si>
  <si>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</si>
  <si>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</si>
  <si>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</si>
  <si>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</si>
  <si>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</si>
  <si>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</si>
  <si>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</si>
  <si>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</si>
  <si>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</si>
  <si>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</si>
  <si>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</si>
  <si>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</si>
  <si>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</si>
  <si>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</si>
  <si>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</si>
  <si>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</si>
  <si>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</si>
  <si>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</si>
  <si>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</si>
  <si>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</si>
  <si>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</si>
  <si>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</si>
  <si>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</si>
  <si>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</si>
  <si>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</si>
  <si>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</si>
  <si>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</si>
  <si>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</si>
  <si>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</si>
  <si>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</si>
  <si>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</si>
  <si>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</si>
  <si>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</si>
  <si>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</si>
  <si>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</si>
  <si>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</si>
  <si>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</si>
  <si>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</si>
  <si>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</si>
  <si>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</si>
  <si>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</si>
  <si>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</si>
  <si>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</si>
  <si>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</si>
  <si>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</si>
  <si>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</si>
  <si>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</si>
  <si>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</si>
  <si>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</si>
  <si>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</si>
  <si>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</si>
  <si>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</si>
  <si>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</si>
  <si>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</si>
  <si>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</si>
  <si>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</si>
  <si>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</si>
  <si>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</si>
  <si>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</si>
  <si>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</si>
  <si>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</si>
  <si>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</si>
  <si>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</si>
  <si>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</si>
  <si>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</si>
  <si>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</si>
  <si>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</si>
  <si>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</si>
  <si>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</si>
  <si>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</si>
  <si>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</si>
  <si>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</si>
  <si>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</si>
  <si>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</si>
  <si>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</si>
  <si>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</si>
  <si>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</si>
  <si>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</si>
  <si>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</si>
  <si>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</si>
  <si>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</si>
  <si>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</si>
  <si>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</si>
  <si>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</si>
  <si>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</si>
  <si>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</si>
  <si>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</si>
  <si>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</si>
  <si>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</si>
  <si>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</si>
  <si>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</si>
  <si>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</si>
  <si>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</si>
  <si>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</si>
  <si>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</si>
  <si>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</si>
  <si>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</si>
  <si>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</si>
  <si>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</si>
  <si>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</si>
  <si>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</si>
  <si>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</si>
  <si>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</si>
  <si>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</si>
  <si>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</si>
  <si>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</si>
  <si>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</si>
  <si>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</si>
  <si>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</si>
  <si>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</si>
  <si>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</si>
  <si>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</si>
  <si>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</si>
  <si>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</si>
  <si>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</si>
  <si>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</si>
  <si>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</si>
  <si>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</si>
  <si>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</si>
  <si>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</si>
  <si>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</si>
  <si>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</si>
  <si>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</si>
  <si>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</si>
  <si>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</si>
  <si>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</si>
  <si>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</si>
  <si>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</si>
  <si>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</si>
  <si>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</si>
  <si>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</si>
  <si>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</si>
  <si>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</si>
  <si>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</si>
  <si>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</si>
  <si>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</si>
  <si>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</si>
  <si>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</si>
  <si>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</si>
  <si>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</si>
  <si>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</si>
  <si>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</si>
  <si>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</si>
  <si>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</si>
  <si>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</si>
  <si>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</si>
  <si>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</si>
  <si>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</si>
  <si>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</si>
  <si>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</si>
  <si>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</si>
  <si>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</si>
  <si>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</si>
  <si>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</si>
  <si>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</si>
  <si>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</si>
  <si>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</si>
  <si>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</si>
  <si>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</si>
  <si>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</si>
  <si>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</si>
  <si>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</si>
  <si>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</si>
  <si>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</si>
  <si>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</si>
  <si>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</si>
  <si>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</si>
  <si>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</si>
  <si>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</si>
  <si>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</si>
  <si>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</si>
  <si>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</si>
  <si>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</si>
  <si>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</si>
  <si>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</si>
  <si>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</si>
  <si>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</si>
  <si>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</si>
  <si>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</si>
  <si>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</si>
  <si>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</si>
  <si>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</si>
  <si>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</si>
  <si>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</si>
  <si>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</si>
  <si>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</si>
  <si>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</si>
  <si>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</si>
  <si>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</si>
  <si>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</si>
  <si>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</si>
  <si>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</si>
  <si>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</si>
  <si>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</si>
  <si>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</si>
  <si>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</si>
  <si>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</si>
  <si>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</si>
  <si>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</si>
  <si>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</si>
  <si>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</si>
  <si>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</si>
  <si>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</si>
  <si>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</si>
  <si>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</si>
  <si>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</si>
  <si>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</si>
  <si>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</si>
  <si>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</si>
  <si>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</si>
  <si>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</si>
  <si>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</si>
  <si>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</si>
  <si>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</si>
  <si>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</si>
  <si>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</si>
  <si>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</si>
  <si>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</si>
  <si>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</si>
  <si>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</si>
  <si>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</si>
  <si>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</si>
  <si>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</si>
  <si>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</si>
  <si>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</si>
  <si>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</si>
  <si>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</si>
  <si>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</si>
  <si>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</si>
  <si>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</si>
  <si>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</si>
  <si>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</si>
  <si>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</si>
  <si>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</si>
  <si>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</si>
  <si>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</si>
  <si>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</si>
  <si>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</si>
  <si>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</si>
  <si>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</si>
  <si>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</si>
  <si>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</si>
  <si>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</si>
  <si>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</si>
  <si>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</si>
  <si>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</si>
  <si>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</si>
  <si>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</si>
  <si>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</si>
  <si>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</si>
  <si>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</si>
  <si>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</si>
  <si>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</si>
  <si>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</si>
  <si>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</si>
  <si>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</si>
  <si>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</si>
  <si>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</si>
  <si>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</si>
  <si>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</si>
  <si>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</si>
  <si>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</si>
  <si>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</si>
  <si>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</si>
  <si>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</si>
  <si>
    <t>IPO in Q2/Q3 2025 on LSE for 50 b. USD valuation</t>
  </si>
  <si>
    <t>Buyer</t>
  </si>
  <si>
    <t>Date</t>
  </si>
  <si>
    <t>Versace</t>
  </si>
  <si>
    <t>Capri Holding</t>
  </si>
  <si>
    <t>First</t>
  </si>
  <si>
    <t>Company</t>
  </si>
  <si>
    <t>Role</t>
  </si>
  <si>
    <t>Bernhard</t>
  </si>
  <si>
    <t>Arnault</t>
  </si>
  <si>
    <t>3 G Capital</t>
  </si>
  <si>
    <t>63$</t>
  </si>
  <si>
    <t>Prada (1913.HK)</t>
  </si>
  <si>
    <t>Zalando SE</t>
  </si>
  <si>
    <t>Parent Company</t>
  </si>
  <si>
    <t xml:space="preserve">Hansebrand </t>
  </si>
  <si>
    <t xml:space="preserve">Gildan </t>
  </si>
  <si>
    <t>Williams</t>
  </si>
  <si>
    <t>LVMH CEO</t>
  </si>
  <si>
    <t>CD Louis Vuitton</t>
  </si>
  <si>
    <t>Demna</t>
  </si>
  <si>
    <t>CD Gucci</t>
  </si>
  <si>
    <t>Pharrell</t>
  </si>
  <si>
    <t>Gvasalia</t>
  </si>
  <si>
    <t xml:space="preserve">Former Creative Director of Balenciaga, Founder of Vetements </t>
  </si>
  <si>
    <t>Dumas</t>
  </si>
  <si>
    <t>Axel</t>
  </si>
  <si>
    <t>CEO of Hermes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</si>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</sst>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63" Type="http://schemas.openxmlformats.org/officeDocument/2006/relationships/externalLink" Target="externalLinks/externalLink51.xml"/><Relationship Id="rId68" Type="http://schemas.openxmlformats.org/officeDocument/2006/relationships/externalLink" Target="externalLinks/externalLink56.xml"/><Relationship Id="rId84" Type="http://schemas.openxmlformats.org/officeDocument/2006/relationships/externalLink" Target="externalLinks/externalLink72.xml"/><Relationship Id="rId89" Type="http://schemas.openxmlformats.org/officeDocument/2006/relationships/externalLink" Target="externalLinks/externalLink77.xml"/><Relationship Id="rId16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47.xml"/><Relationship Id="rId67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62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externalLink" Target="externalLinks/externalLink4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82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470.25</v>
          </cell>
        </row>
        <row r="6">
          <cell r="I6">
            <v>234391.06483649998</v>
          </cell>
        </row>
        <row r="7">
          <cell r="I7">
            <v>8176</v>
          </cell>
        </row>
        <row r="8">
          <cell r="I8">
            <v>22381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168.1</v>
          </cell>
        </row>
        <row r="4">
          <cell r="I4">
            <v>30014.101020399998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cro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216.1</v>
          </cell>
        </row>
        <row r="4">
          <cell r="H4">
            <v>26493.762538899999</v>
          </cell>
        </row>
        <row r="5">
          <cell r="H5">
            <v>4240</v>
          </cell>
        </row>
        <row r="6">
          <cell r="H6">
            <v>13743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119</v>
          </cell>
        </row>
        <row r="4">
          <cell r="M4">
            <v>17782.869125000001</v>
          </cell>
        </row>
        <row r="5">
          <cell r="M5">
            <v>1720.4159999999999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40.6</v>
          </cell>
        </row>
        <row r="5">
          <cell r="H5">
            <v>12466.590528000001</v>
          </cell>
        </row>
        <row r="6">
          <cell r="H6">
            <v>597.99199999999996</v>
          </cell>
        </row>
        <row r="7">
          <cell r="H7">
            <v>243.54300000000001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50.68</v>
          </cell>
        </row>
        <row r="4">
          <cell r="H4">
            <v>13710.09920364</v>
          </cell>
        </row>
        <row r="5">
          <cell r="H5">
            <v>1341.982</v>
          </cell>
        </row>
        <row r="6">
          <cell r="H6">
            <v>980.13599999999997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2078</v>
          </cell>
        </row>
        <row r="4">
          <cell r="K4">
            <v>217849.56333799998</v>
          </cell>
        </row>
        <row r="5">
          <cell r="K5">
            <v>10321</v>
          </cell>
        </row>
        <row r="6">
          <cell r="K6">
            <v>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99.39</v>
          </cell>
        </row>
        <row r="4">
          <cell r="J4">
            <v>20685.40738692</v>
          </cell>
        </row>
        <row r="5">
          <cell r="J5">
            <v>1119.5999999999999</v>
          </cell>
        </row>
        <row r="6">
          <cell r="J6">
            <v>2394.6</v>
          </cell>
        </row>
      </sheetData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49.4</v>
          </cell>
        </row>
        <row r="5">
          <cell r="H5">
            <v>12305.073552849997</v>
          </cell>
        </row>
        <row r="6">
          <cell r="H6">
            <v>898.4</v>
          </cell>
        </row>
        <row r="7">
          <cell r="H7">
            <v>53.5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298.52</v>
          </cell>
        </row>
        <row r="4">
          <cell r="H4">
            <v>18082.634662639997</v>
          </cell>
        </row>
        <row r="5">
          <cell r="H5">
            <v>2276.7999999999997</v>
          </cell>
        </row>
        <row r="6">
          <cell r="H6">
            <v>1867.4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23.72</v>
          </cell>
        </row>
        <row r="4">
          <cell r="I4">
            <v>6174.3159999999998</v>
          </cell>
        </row>
        <row r="5">
          <cell r="I5">
            <v>2183</v>
          </cell>
        </row>
        <row r="6">
          <cell r="I6">
            <v>1092.2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13.17</v>
          </cell>
        </row>
        <row r="4">
          <cell r="H4">
            <v>5144.4193313400001</v>
          </cell>
        </row>
        <row r="5">
          <cell r="H5">
            <v>642.38599999999997</v>
          </cell>
        </row>
        <row r="6">
          <cell r="H6">
            <v>4539.91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51.16</v>
          </cell>
        </row>
        <row r="4">
          <cell r="I4">
            <v>7769.9249999999993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55.783000000000001</v>
          </cell>
        </row>
        <row r="4">
          <cell r="H4">
            <v>3046.7200813140003</v>
          </cell>
        </row>
        <row r="5">
          <cell r="H5">
            <v>200.61099999999999</v>
          </cell>
        </row>
        <row r="6">
          <cell r="H6">
            <v>1379.1120000000001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20.399999999999999</v>
          </cell>
        </row>
        <row r="4">
          <cell r="I4">
            <v>3020.8319999999999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97.25</v>
          </cell>
        </row>
        <row r="4">
          <cell r="I4">
            <v>4786.0614999999998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12.835000000000001</v>
          </cell>
        </row>
        <row r="4">
          <cell r="I4">
            <v>4600.0640000000003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41.48</v>
          </cell>
        </row>
        <row r="4">
          <cell r="J4">
            <v>2920.192</v>
          </cell>
        </row>
        <row r="5">
          <cell r="J5">
            <v>152</v>
          </cell>
        </row>
        <row r="6">
          <cell r="J6">
            <v>346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15.34</v>
          </cell>
        </row>
        <row r="4">
          <cell r="J4">
            <v>1486.6562653799999</v>
          </cell>
        </row>
        <row r="5">
          <cell r="J5">
            <v>180.5</v>
          </cell>
        </row>
        <row r="6">
          <cell r="J6">
            <v>401.20000000000005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218.5</v>
          </cell>
        </row>
        <row r="4">
          <cell r="K4">
            <v>88227.451415500007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/>
      <sheetData sheetId="2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140.1</v>
          </cell>
        </row>
        <row r="5">
          <cell r="I5">
            <v>7229.7596279999998</v>
          </cell>
        </row>
        <row r="6">
          <cell r="I6">
            <v>1276</v>
          </cell>
        </row>
        <row r="7">
          <cell r="I7">
            <v>187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137</v>
          </cell>
        </row>
        <row r="5">
          <cell r="H5">
            <v>44808.661376999997</v>
          </cell>
        </row>
        <row r="6">
          <cell r="H6">
            <v>3783.413</v>
          </cell>
        </row>
        <row r="7">
          <cell r="H7">
            <v>1515.7090000000001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..\Models\CPRI.xlsx" TargetMode="External"/><Relationship Id="rId1" Type="http://schemas.openxmlformats.org/officeDocument/2006/relationships/hyperlink" Target="..\Models\SK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tabSelected="1" zoomScale="200" zoomScaleNormal="2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8" sqref="I38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449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 t="s">
        <v>315</v>
      </c>
      <c r="B4" t="s">
        <v>405</v>
      </c>
      <c r="D4" s="3"/>
      <c r="E4" s="10"/>
      <c r="F4" s="16">
        <f>SUM(F6:F153)</f>
        <v>1772611.5274026662</v>
      </c>
      <c r="G4" s="16">
        <f>+SUM(G6:G153)</f>
        <v>17323.171805200011</v>
      </c>
      <c r="H4" s="16">
        <f>SUM(H6:H153)</f>
        <v>1789934.6992078661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315</v>
      </c>
      <c r="B5" t="s">
        <v>88</v>
      </c>
      <c r="E5"/>
      <c r="F5" s="16">
        <f>AVERAGE(F6:F153)</f>
        <v>23020.928927307352</v>
      </c>
      <c r="G5" s="16">
        <f>AVERAGE(G6:G153)</f>
        <v>224.97625721038975</v>
      </c>
      <c r="H5" s="16">
        <f>AVERAGE(H6:H153)</f>
        <v>23245.905184517742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470.25</v>
      </c>
      <c r="F6" s="16">
        <f>+[1]Main!$I$6*FX!C3</f>
        <v>243766.70742995999</v>
      </c>
      <c r="G6" s="16">
        <f>(+[1]Main!$I$8-[1]Main!$I$7)*FX!C3</f>
        <v>14773.2</v>
      </c>
      <c r="H6" s="16">
        <f>F6+G6</f>
        <v>258539.90742996</v>
      </c>
      <c r="I6" s="12" t="s">
        <v>149</v>
      </c>
      <c r="J6" s="15">
        <v>45944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114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2078</v>
      </c>
      <c r="F7" s="16">
        <f>+[2]Main!$K$4*FX!C3</f>
        <v>226563.54587151998</v>
      </c>
      <c r="G7" s="16">
        <f>+([2]Main!$K$6-[2]Main!$K$5)*FX!C3</f>
        <v>-10700.56</v>
      </c>
      <c r="H7" s="16">
        <f>F7+G7</f>
        <v>215862.98587151998</v>
      </c>
      <c r="I7" s="12" t="s">
        <v>149</v>
      </c>
      <c r="J7" s="15">
        <v>45953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114</v>
      </c>
    </row>
    <row r="8" spans="1:34" x14ac:dyDescent="0.25">
      <c r="A8" s="2">
        <f>+A7+1</f>
        <v>3</v>
      </c>
      <c r="B8" s="8" t="s">
        <v>99</v>
      </c>
      <c r="C8" s="3" t="s">
        <v>450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436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116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721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118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338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114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722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115</v>
      </c>
    </row>
    <row r="12" spans="1:34" x14ac:dyDescent="0.25">
      <c r="A12" s="2">
        <f t="shared" si="2"/>
        <v>7</v>
      </c>
      <c r="B12" s="8" t="s">
        <v>123</v>
      </c>
      <c r="C12" s="3" t="s">
        <v>125</v>
      </c>
      <c r="D12" t="s">
        <v>124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380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116</v>
      </c>
    </row>
    <row r="13" spans="1:34" x14ac:dyDescent="0.25">
      <c r="A13" s="2">
        <f t="shared" si="2"/>
        <v>8</v>
      </c>
      <c r="B13" s="8" t="s">
        <v>131</v>
      </c>
      <c r="C13" s="3" t="s">
        <v>133</v>
      </c>
      <c r="D13" t="s">
        <v>21</v>
      </c>
      <c r="E13" s="7">
        <f>+[8]Main!$K$2</f>
        <v>218.5</v>
      </c>
      <c r="F13" s="16">
        <f>+[8]Main!$K$4</f>
        <v>88227.451415500007</v>
      </c>
      <c r="G13" s="16">
        <f>+[8]Main!$K$6-[8]Main!$K$5</f>
        <v>2535.3759999999997</v>
      </c>
      <c r="H13" s="16">
        <f t="shared" si="1"/>
        <v>90762.827415500011</v>
      </c>
      <c r="I13" s="12" t="s">
        <v>334</v>
      </c>
      <c r="J13" s="15">
        <v>45853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137</v>
      </c>
    </row>
    <row r="14" spans="1:34" x14ac:dyDescent="0.25">
      <c r="A14" s="2">
        <f t="shared" si="2"/>
        <v>9</v>
      </c>
      <c r="B14" s="8" t="s">
        <v>132</v>
      </c>
      <c r="C14" s="3" t="s">
        <v>134</v>
      </c>
      <c r="D14" t="s">
        <v>21</v>
      </c>
      <c r="E14" s="7">
        <f>+[9]Main!$H$3</f>
        <v>137</v>
      </c>
      <c r="F14" s="16">
        <f>+[9]Main!$H$5</f>
        <v>44808.661376999997</v>
      </c>
      <c r="G14" s="16">
        <f>+[9]Main!$H$7-[9]Main!$H$6</f>
        <v>-2267.7039999999997</v>
      </c>
      <c r="H14" s="16">
        <f t="shared" si="1"/>
        <v>42540.957376999999</v>
      </c>
      <c r="I14" s="12" t="s">
        <v>436</v>
      </c>
      <c r="J14" s="15">
        <v>45799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399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436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402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168.1</v>
      </c>
      <c r="F16" s="16">
        <f>+[11]Main!$I$4*FX!C3</f>
        <v>31214.665061215997</v>
      </c>
      <c r="G16" s="16">
        <f>+([11]Main!$I$6-[11]Main!$I$5)*FX!C3</f>
        <v>31.200000000000003</v>
      </c>
      <c r="H16" s="16">
        <f>F16+G16</f>
        <v>31245.865061215998</v>
      </c>
      <c r="I16" s="12" t="s">
        <v>338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115</v>
      </c>
    </row>
    <row r="17" spans="1:31" x14ac:dyDescent="0.25">
      <c r="A17" s="2">
        <f t="shared" si="2"/>
        <v>12</v>
      </c>
      <c r="B17" s="8" t="s">
        <v>7</v>
      </c>
      <c r="C17" s="3" t="s">
        <v>451</v>
      </c>
      <c r="D17" s="3" t="s">
        <v>20</v>
      </c>
      <c r="E17" s="7">
        <f>+[12]Main!$H$2</f>
        <v>216.1</v>
      </c>
      <c r="F17" s="16">
        <f>+[12]Main!$H$4*FX!C3</f>
        <v>27553.513040456</v>
      </c>
      <c r="G17" s="16">
        <f>+([12]Main!$H$6-[12]Main!$H$5)*FX!C3</f>
        <v>9883.1200000000008</v>
      </c>
      <c r="H17" s="16">
        <f t="shared" si="1"/>
        <v>37436.633040455999</v>
      </c>
      <c r="I17" s="12" t="s">
        <v>149</v>
      </c>
      <c r="J17" s="15">
        <v>45952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114</v>
      </c>
    </row>
    <row r="18" spans="1:31" x14ac:dyDescent="0.25">
      <c r="A18" s="2">
        <f t="shared" si="2"/>
        <v>13</v>
      </c>
      <c r="B18" s="8" t="s">
        <v>15</v>
      </c>
      <c r="C18" s="3" t="s">
        <v>452</v>
      </c>
      <c r="D18" t="s">
        <v>459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338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402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119</v>
      </c>
      <c r="F19" s="16">
        <f>+[14]Main!$M$4</f>
        <v>17782.869125000001</v>
      </c>
      <c r="G19" s="16">
        <f>+[14]Main!$M$6-[14]Main!$M$5</f>
        <v>-1720.4159999999999</v>
      </c>
      <c r="H19" s="16">
        <f>F19+G19</f>
        <v>16062.453125000002</v>
      </c>
      <c r="I19" s="12" t="s">
        <v>721</v>
      </c>
      <c r="J19" s="15">
        <v>45953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117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149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116</v>
      </c>
    </row>
    <row r="21" spans="1:31" x14ac:dyDescent="0.25">
      <c r="A21" s="2">
        <f t="shared" si="2"/>
        <v>16</v>
      </c>
      <c r="B21" s="8" t="s">
        <v>135</v>
      </c>
      <c r="C21" s="3" t="s">
        <v>136</v>
      </c>
      <c r="D21" s="3" t="s">
        <v>165</v>
      </c>
      <c r="E21" s="7">
        <f>+[16]Main!$H$2</f>
        <v>40.6</v>
      </c>
      <c r="F21" s="16">
        <f>+[16]Main!$H$5*FX!C3</f>
        <v>12965.254149120001</v>
      </c>
      <c r="G21" s="16">
        <f>(+[16]Main!$H$7-[16]Main!$H$6)*FX!C3</f>
        <v>-368.62695999999994</v>
      </c>
      <c r="H21" s="16">
        <f t="shared" si="1"/>
        <v>12596.627189120001</v>
      </c>
      <c r="I21" s="12" t="s">
        <v>149</v>
      </c>
      <c r="J21" s="15">
        <v>45953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114</v>
      </c>
    </row>
    <row r="22" spans="1:31" x14ac:dyDescent="0.25">
      <c r="A22" s="2">
        <f t="shared" si="2"/>
        <v>17</v>
      </c>
      <c r="B22" s="8" t="s">
        <v>445</v>
      </c>
      <c r="C22" s="3" t="s">
        <v>446</v>
      </c>
      <c r="D22" t="s">
        <v>185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436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453</v>
      </c>
      <c r="D23" t="s">
        <v>165</v>
      </c>
      <c r="E23" s="7">
        <f>+[18]Main!$H$2</f>
        <v>50.68</v>
      </c>
      <c r="F23" s="16">
        <f>+[18]Main!$H$4*FX!C3</f>
        <v>14258.5031717856</v>
      </c>
      <c r="G23" s="16">
        <f>+([18]Main!$H$6-[18]Main!$H$5)*FX!C3</f>
        <v>-376.31984</v>
      </c>
      <c r="H23" s="16">
        <f t="shared" si="1"/>
        <v>13882.1833317856</v>
      </c>
      <c r="I23" s="12" t="s">
        <v>149</v>
      </c>
      <c r="J23" s="15">
        <v>45958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400</v>
      </c>
    </row>
    <row r="24" spans="1:31" x14ac:dyDescent="0.25">
      <c r="A24" s="2">
        <f t="shared" si="2"/>
        <v>19</v>
      </c>
      <c r="B24" s="20" t="s">
        <v>306</v>
      </c>
      <c r="C24" s="3" t="s">
        <v>309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148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118</v>
      </c>
    </row>
    <row r="25" spans="1:31" x14ac:dyDescent="0.25">
      <c r="A25" s="2">
        <f t="shared" si="2"/>
        <v>20</v>
      </c>
      <c r="B25" s="8" t="s">
        <v>310</v>
      </c>
      <c r="C25" s="3" t="s">
        <v>311</v>
      </c>
      <c r="D25" t="s">
        <v>21</v>
      </c>
      <c r="E25" s="7">
        <f>+[20]Main!$J$2</f>
        <v>99.39</v>
      </c>
      <c r="F25" s="16">
        <f>+[20]Main!$J$4</f>
        <v>20685.40738692</v>
      </c>
      <c r="G25" s="16">
        <f>+[20]Main!$J$6-[20]Main!$J$5</f>
        <v>1275</v>
      </c>
      <c r="H25" s="16">
        <f t="shared" si="1"/>
        <v>21960.40738692</v>
      </c>
      <c r="I25" s="12" t="s">
        <v>424</v>
      </c>
      <c r="J25" s="15">
        <v>45967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401</v>
      </c>
    </row>
    <row r="26" spans="1:31" x14ac:dyDescent="0.25">
      <c r="A26" s="2">
        <f t="shared" si="2"/>
        <v>21</v>
      </c>
      <c r="B26" s="8" t="s">
        <v>30</v>
      </c>
      <c r="C26" s="3" t="s">
        <v>382</v>
      </c>
      <c r="D26" t="s">
        <v>124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338</v>
      </c>
      <c r="J26" s="15">
        <v>45882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402</v>
      </c>
    </row>
    <row r="27" spans="1:31" x14ac:dyDescent="0.25">
      <c r="A27" s="2">
        <f t="shared" si="2"/>
        <v>22</v>
      </c>
      <c r="B27" s="20" t="s">
        <v>307</v>
      </c>
      <c r="C27" s="3" t="s">
        <v>308</v>
      </c>
      <c r="D27" t="s">
        <v>219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148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118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166</v>
      </c>
      <c r="E28" s="7">
        <f>+[23]Main!$H$2</f>
        <v>49.4</v>
      </c>
      <c r="F28" s="16">
        <f>+[23]Main!$H$5*FX!C7</f>
        <v>13781.682379191998</v>
      </c>
      <c r="G28" s="16">
        <f>+([23]Main!$H$7-[23]Main!$H$6)*FX!C7</f>
        <v>-946.28800000000001</v>
      </c>
      <c r="H28" s="16">
        <f>F28+G28</f>
        <v>12835.394379191997</v>
      </c>
      <c r="I28" s="12" t="s">
        <v>149</v>
      </c>
      <c r="J28" s="15">
        <v>45972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115</v>
      </c>
    </row>
    <row r="29" spans="1:31" x14ac:dyDescent="0.25">
      <c r="A29" s="2">
        <f t="shared" si="2"/>
        <v>24</v>
      </c>
      <c r="B29" s="8" t="s">
        <v>420</v>
      </c>
      <c r="C29" s="3" t="s">
        <v>421</v>
      </c>
      <c r="D29" t="s">
        <v>214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436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434</v>
      </c>
    </row>
    <row r="30" spans="1:31" x14ac:dyDescent="0.25">
      <c r="A30" s="2">
        <f t="shared" si="2"/>
        <v>25</v>
      </c>
      <c r="B30" s="8" t="s">
        <v>22</v>
      </c>
      <c r="C30" s="3" t="s">
        <v>454</v>
      </c>
      <c r="D30" t="s">
        <v>459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148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456</v>
      </c>
      <c r="D31" t="s">
        <v>21</v>
      </c>
      <c r="E31" s="7">
        <f>+[26]Main!$H$2</f>
        <v>298.52</v>
      </c>
      <c r="F31" s="16">
        <f>+[26]Main!$H$4</f>
        <v>18082.634662639997</v>
      </c>
      <c r="G31" s="16">
        <f>+[26]Main!$H$6-[26]Main!$H$5</f>
        <v>-409.39999999999964</v>
      </c>
      <c r="H31" s="16">
        <f t="shared" si="1"/>
        <v>17673.234662639996</v>
      </c>
      <c r="I31" s="12" t="s">
        <v>721</v>
      </c>
      <c r="J31" s="15">
        <v>45916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381</v>
      </c>
      <c r="C32" s="3" t="s">
        <v>455</v>
      </c>
      <c r="D32" t="s">
        <v>459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383</v>
      </c>
      <c r="J32" s="10" t="s">
        <v>404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384</v>
      </c>
    </row>
    <row r="33" spans="1:31" x14ac:dyDescent="0.25">
      <c r="A33" s="2">
        <f t="shared" si="2"/>
        <v>28</v>
      </c>
      <c r="B33" s="8" t="s">
        <v>127</v>
      </c>
      <c r="C33" s="3" t="s">
        <v>415</v>
      </c>
      <c r="D33" t="s">
        <v>82</v>
      </c>
      <c r="E33" s="7">
        <f>+[28]Main!$I$2</f>
        <v>23.72</v>
      </c>
      <c r="F33" s="16">
        <f>+[28]Main!$I$4*FX!C3</f>
        <v>6421.2886399999998</v>
      </c>
      <c r="G33" s="16">
        <f>+([28]Main!$I$6-[28]Main!$I$5)*FX!C3</f>
        <v>-1134.432</v>
      </c>
      <c r="H33" s="16">
        <f>F33+G33</f>
        <v>5286.85664</v>
      </c>
      <c r="I33" s="12" t="s">
        <v>149</v>
      </c>
      <c r="J33" s="15">
        <v>45967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416</v>
      </c>
    </row>
    <row r="34" spans="1:31" x14ac:dyDescent="0.25">
      <c r="A34" s="2">
        <f t="shared" si="2"/>
        <v>29</v>
      </c>
      <c r="B34" s="8" t="s">
        <v>314</v>
      </c>
      <c r="C34" s="3" t="s">
        <v>44</v>
      </c>
      <c r="D34" t="s">
        <v>21</v>
      </c>
      <c r="E34" s="7">
        <f>+[29]Main!$H$2</f>
        <v>13.17</v>
      </c>
      <c r="F34" s="16">
        <f>+[29]Main!$H$4</f>
        <v>5144.4193313400001</v>
      </c>
      <c r="G34" s="16">
        <f>+[29]Main!$H$6-[29]Main!$H$5</f>
        <v>3897.5239999999999</v>
      </c>
      <c r="H34" s="16">
        <f>+G34+F34</f>
        <v>9041.9433313400004</v>
      </c>
      <c r="I34" s="10" t="s">
        <v>724</v>
      </c>
      <c r="J34" s="15">
        <v>45957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406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149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403</v>
      </c>
    </row>
    <row r="36" spans="1:31" x14ac:dyDescent="0.25">
      <c r="A36" s="2">
        <f t="shared" si="2"/>
        <v>31</v>
      </c>
      <c r="B36" s="8" t="s">
        <v>111</v>
      </c>
      <c r="C36" s="3" t="s">
        <v>753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436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337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407</v>
      </c>
    </row>
    <row r="38" spans="1:31" x14ac:dyDescent="0.25">
      <c r="A38" s="2">
        <f t="shared" si="2"/>
        <v>33</v>
      </c>
      <c r="B38" s="8" t="s">
        <v>387</v>
      </c>
      <c r="C38" s="3" t="s">
        <v>386</v>
      </c>
      <c r="D38" t="s">
        <v>165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338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400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51.16</v>
      </c>
      <c r="F39" s="16">
        <f>+[34]Main!$I$4</f>
        <v>7769.9249999999993</v>
      </c>
      <c r="G39" s="16">
        <f>+[34]Main!$I$6-[34]Main!$I$5</f>
        <v>1728.1039999999998</v>
      </c>
      <c r="H39" s="16">
        <f>F39+G39</f>
        <v>9498.0289999999986</v>
      </c>
      <c r="I39" s="10" t="s">
        <v>436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409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149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321</v>
      </c>
      <c r="C41" s="3" t="s">
        <v>322</v>
      </c>
      <c r="D41" t="s">
        <v>294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337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459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148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323</v>
      </c>
      <c r="C43" s="3" t="s">
        <v>392</v>
      </c>
      <c r="D43" t="s">
        <v>185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334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55.783000000000001</v>
      </c>
      <c r="F44" s="16">
        <f>+[39]Main!$H$4</f>
        <v>3046.7200813140003</v>
      </c>
      <c r="G44" s="16">
        <f>+[39]Main!$H$6-[39]Main!$H$5</f>
        <v>1178.5010000000002</v>
      </c>
      <c r="H44" s="16">
        <f>F44+G44</f>
        <v>4225.2210813140009</v>
      </c>
      <c r="I44" s="10" t="s">
        <v>436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408</v>
      </c>
    </row>
    <row r="45" spans="1:31" x14ac:dyDescent="0.25">
      <c r="A45" s="2">
        <f t="shared" si="2"/>
        <v>40</v>
      </c>
      <c r="B45" s="8" t="s">
        <v>324</v>
      </c>
      <c r="C45" s="3" t="s">
        <v>326</v>
      </c>
      <c r="D45" t="s">
        <v>325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338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118</v>
      </c>
    </row>
    <row r="46" spans="1:31" x14ac:dyDescent="0.25">
      <c r="A46" s="2">
        <f t="shared" si="2"/>
        <v>41</v>
      </c>
      <c r="B46" s="20" t="s">
        <v>312</v>
      </c>
      <c r="C46" s="3" t="s">
        <v>313</v>
      </c>
      <c r="D46" t="s">
        <v>219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424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402</v>
      </c>
    </row>
    <row r="47" spans="1:31" x14ac:dyDescent="0.25">
      <c r="A47" s="2">
        <f t="shared" si="2"/>
        <v>42</v>
      </c>
      <c r="B47" s="8" t="s">
        <v>329</v>
      </c>
      <c r="C47" s="3" t="s">
        <v>330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380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388</v>
      </c>
      <c r="C48" s="3" t="s">
        <v>457</v>
      </c>
      <c r="D48" t="s">
        <v>459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148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115</v>
      </c>
    </row>
    <row r="49" spans="1:31" x14ac:dyDescent="0.25">
      <c r="A49" s="2">
        <f t="shared" si="2"/>
        <v>44</v>
      </c>
      <c r="B49" s="8" t="s">
        <v>47</v>
      </c>
      <c r="C49" s="3" t="s">
        <v>458</v>
      </c>
      <c r="D49" t="s">
        <v>459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337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152</v>
      </c>
      <c r="C50" s="3" t="s">
        <v>153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721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385</v>
      </c>
      <c r="D51" t="s">
        <v>82</v>
      </c>
      <c r="E51" s="7">
        <f>+[46]Main!$I$2</f>
        <v>20.399999999999999</v>
      </c>
      <c r="F51" s="16">
        <f>+[46]Main!$I$4*FX!C3</f>
        <v>3141.6652800000002</v>
      </c>
      <c r="G51" s="16">
        <f>+([46]Main!$I$6-[46]Main!$I$5)*FX!C3</f>
        <v>1064.232</v>
      </c>
      <c r="H51" s="16">
        <f t="shared" si="3"/>
        <v>4205.8972800000001</v>
      </c>
      <c r="I51" s="10" t="s">
        <v>436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402</v>
      </c>
    </row>
    <row r="52" spans="1:31" x14ac:dyDescent="0.25">
      <c r="A52" s="2">
        <f t="shared" si="2"/>
        <v>47</v>
      </c>
      <c r="B52" s="8" t="s">
        <v>40</v>
      </c>
      <c r="C52" s="3" t="s">
        <v>390</v>
      </c>
      <c r="D52" t="s">
        <v>459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334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97.25</v>
      </c>
      <c r="F53" s="16">
        <f>+[48]Main!$I$4</f>
        <v>4786.0614999999998</v>
      </c>
      <c r="G53" s="16">
        <f>+[48]Main!$I$6-[48]Main!$I$5</f>
        <v>-607.56899999999996</v>
      </c>
      <c r="H53" s="16">
        <f>F53+G53</f>
        <v>4178.4925000000003</v>
      </c>
      <c r="I53" s="12" t="s">
        <v>338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338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436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419</v>
      </c>
      <c r="D56" t="s">
        <v>124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338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435</v>
      </c>
    </row>
    <row r="57" spans="1:31" x14ac:dyDescent="0.25">
      <c r="A57" s="2">
        <f t="shared" si="2"/>
        <v>52</v>
      </c>
      <c r="B57" s="8" t="s">
        <v>48</v>
      </c>
      <c r="C57" s="3" t="s">
        <v>460</v>
      </c>
      <c r="D57" t="s">
        <v>219</v>
      </c>
      <c r="E57" s="7">
        <f>+[52]Main!$I$2</f>
        <v>12.835000000000001</v>
      </c>
      <c r="F57" s="16">
        <f>+[52]Main!$I$4*FX!C3</f>
        <v>4784.0665600000002</v>
      </c>
      <c r="G57" s="16">
        <f>+([52]Main!$I$6-[52]Main!$I$5)*FX!C3</f>
        <v>31.200000000000003</v>
      </c>
      <c r="H57" s="16">
        <f>+F57+G57</f>
        <v>4815.26656</v>
      </c>
      <c r="I57" s="10" t="s">
        <v>149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317</v>
      </c>
      <c r="C58" s="3" t="s">
        <v>316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380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410</v>
      </c>
    </row>
    <row r="59" spans="1:31" x14ac:dyDescent="0.25">
      <c r="A59" s="2">
        <f t="shared" si="2"/>
        <v>54</v>
      </c>
      <c r="B59" s="8" t="s">
        <v>411</v>
      </c>
      <c r="C59" s="3" t="s">
        <v>318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338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412</v>
      </c>
    </row>
    <row r="60" spans="1:31" x14ac:dyDescent="0.25">
      <c r="A60" s="2">
        <f t="shared" si="2"/>
        <v>55</v>
      </c>
      <c r="B60" s="8" t="s">
        <v>444</v>
      </c>
      <c r="C60" s="3" t="s">
        <v>346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118</v>
      </c>
    </row>
    <row r="61" spans="1:31" x14ac:dyDescent="0.25">
      <c r="A61" s="2">
        <f t="shared" si="2"/>
        <v>56</v>
      </c>
      <c r="B61" s="8" t="s">
        <v>50</v>
      </c>
      <c r="C61" s="3" t="s">
        <v>461</v>
      </c>
      <c r="D61" t="s">
        <v>437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337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150</v>
      </c>
      <c r="C62" s="3" t="s">
        <v>151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436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703</v>
      </c>
      <c r="D63" t="s">
        <v>82</v>
      </c>
      <c r="E63" s="7">
        <f>+[58]Main!$J$2</f>
        <v>41.48</v>
      </c>
      <c r="F63" s="16">
        <f>+[58]Main!$J$4*FX!C3</f>
        <v>3036.9996799999999</v>
      </c>
      <c r="G63" s="16">
        <f>+([58]Main!$J$6-[58]Main!$J$5)*FX!C3</f>
        <v>201.76000000000002</v>
      </c>
      <c r="H63" s="16">
        <f>+F63+G63</f>
        <v>3238.7596800000001</v>
      </c>
      <c r="I63" s="10" t="s">
        <v>149</v>
      </c>
      <c r="J63" s="15">
        <v>45965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334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327</v>
      </c>
      <c r="C65" s="3" t="s">
        <v>328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337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332</v>
      </c>
      <c r="C66" s="3" t="s">
        <v>333</v>
      </c>
      <c r="D66" t="s">
        <v>185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338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161</v>
      </c>
      <c r="C67" s="3" t="s">
        <v>394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337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118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337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319</v>
      </c>
      <c r="C69" s="3" t="s">
        <v>320</v>
      </c>
      <c r="D69" t="s">
        <v>219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380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413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165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148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418</v>
      </c>
      <c r="C71" s="3" t="s">
        <v>331</v>
      </c>
      <c r="D71" t="s">
        <v>185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380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338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154</v>
      </c>
      <c r="C86" s="3" t="s">
        <v>155</v>
      </c>
      <c r="D86" t="s">
        <v>156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157</v>
      </c>
      <c r="C87" s="3" t="s">
        <v>158</v>
      </c>
      <c r="D87" t="s">
        <v>159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160</v>
      </c>
      <c r="C88" s="3" t="s">
        <v>162</v>
      </c>
      <c r="D88" t="s">
        <v>459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163</v>
      </c>
      <c r="C89" s="3" t="s">
        <v>164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338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167</v>
      </c>
      <c r="C90" s="3" t="s">
        <v>168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337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169</v>
      </c>
      <c r="C91" s="3" t="s">
        <v>170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338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118</v>
      </c>
    </row>
    <row r="92" spans="1:31" x14ac:dyDescent="0.25">
      <c r="A92" s="2">
        <f t="shared" si="5"/>
        <v>87</v>
      </c>
      <c r="B92" t="s">
        <v>171</v>
      </c>
      <c r="C92" s="3" t="s">
        <v>173</v>
      </c>
      <c r="D92" t="s">
        <v>172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174</v>
      </c>
      <c r="C93" s="4" t="s">
        <v>175</v>
      </c>
      <c r="D93" t="s">
        <v>172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176</v>
      </c>
      <c r="C94" s="3" t="s">
        <v>177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178</v>
      </c>
      <c r="C95" s="3" t="s">
        <v>179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337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180</v>
      </c>
      <c r="C96" s="3" t="s">
        <v>181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337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395</v>
      </c>
      <c r="C97" s="3" t="s">
        <v>182</v>
      </c>
      <c r="D97" t="s">
        <v>107</v>
      </c>
      <c r="E97" s="7">
        <f>+[73]Main!$J$2</f>
        <v>15.34</v>
      </c>
      <c r="F97" s="16">
        <f>+[73]Main!$J$4*FX!C13</f>
        <v>1025.7928231121998</v>
      </c>
      <c r="G97" s="16">
        <f>+([73]Main!$J$6-[73]Main!$J$5)*FX!C13</f>
        <v>152.28300000000002</v>
      </c>
      <c r="H97" s="16">
        <f>+F97+G97</f>
        <v>1178.0758231121999</v>
      </c>
      <c r="I97" s="10" t="s">
        <v>724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183</v>
      </c>
      <c r="C98" s="3" t="s">
        <v>184</v>
      </c>
      <c r="D98" t="s">
        <v>185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186</v>
      </c>
      <c r="C99" s="3" t="s">
        <v>187</v>
      </c>
      <c r="D99" t="s">
        <v>188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189</v>
      </c>
      <c r="C100" s="3" t="s">
        <v>190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338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191</v>
      </c>
      <c r="C101" s="3" t="s">
        <v>192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337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193</v>
      </c>
      <c r="C102" s="3" t="s">
        <v>194</v>
      </c>
      <c r="D102" t="s">
        <v>188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195</v>
      </c>
      <c r="C103" s="3" t="s">
        <v>196</v>
      </c>
      <c r="D103" t="s">
        <v>197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198</v>
      </c>
      <c r="C104" s="3" t="s">
        <v>199</v>
      </c>
      <c r="D104" t="s">
        <v>185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200</v>
      </c>
      <c r="C105" s="3" t="s">
        <v>201</v>
      </c>
      <c r="D105" t="s">
        <v>185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202</v>
      </c>
      <c r="C106" s="3" t="s">
        <v>203</v>
      </c>
      <c r="D106" t="s">
        <v>166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204</v>
      </c>
      <c r="C107" s="3" t="s">
        <v>205</v>
      </c>
      <c r="D107" t="s">
        <v>165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207</v>
      </c>
      <c r="C108" s="3" t="s">
        <v>206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208</v>
      </c>
      <c r="C109" s="3" t="s">
        <v>209</v>
      </c>
      <c r="D109" t="s">
        <v>185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210</v>
      </c>
      <c r="C110" s="3" t="s">
        <v>211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213</v>
      </c>
      <c r="C111" s="3" t="s">
        <v>215</v>
      </c>
      <c r="D111" t="s">
        <v>214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216</v>
      </c>
      <c r="C112" s="3" t="s">
        <v>217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218</v>
      </c>
      <c r="C113" s="3" t="s">
        <v>220</v>
      </c>
      <c r="D113" t="s">
        <v>219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221</v>
      </c>
      <c r="C114" s="3" t="s">
        <v>222</v>
      </c>
      <c r="D114" t="s">
        <v>223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224</v>
      </c>
      <c r="C115" s="3" t="s">
        <v>225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212</v>
      </c>
      <c r="C116" s="3" t="s">
        <v>335</v>
      </c>
      <c r="D116" t="s">
        <v>219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226</v>
      </c>
      <c r="C117" s="3" t="s">
        <v>227</v>
      </c>
      <c r="D117" t="s">
        <v>214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228</v>
      </c>
      <c r="C118" s="3" t="s">
        <v>229</v>
      </c>
      <c r="D118" t="s">
        <v>185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230</v>
      </c>
      <c r="C119" s="3" t="s">
        <v>231</v>
      </c>
      <c r="D119" t="s">
        <v>185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234</v>
      </c>
      <c r="C120" s="3" t="s">
        <v>236</v>
      </c>
      <c r="D120" t="s">
        <v>235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237</v>
      </c>
      <c r="C121" s="3" t="s">
        <v>238</v>
      </c>
      <c r="D121" t="s">
        <v>188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239</v>
      </c>
      <c r="C122" s="3" t="s">
        <v>240</v>
      </c>
      <c r="D122" t="s">
        <v>185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242</v>
      </c>
      <c r="C123" s="3" t="s">
        <v>241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148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243</v>
      </c>
      <c r="C124" s="3" t="s">
        <v>244</v>
      </c>
      <c r="D124" t="s">
        <v>245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246</v>
      </c>
      <c r="C125" s="3" t="s">
        <v>247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248</v>
      </c>
      <c r="C126" s="3" t="s">
        <v>249</v>
      </c>
      <c r="D126" t="s">
        <v>185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250</v>
      </c>
      <c r="C127" s="3" t="s">
        <v>251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252</v>
      </c>
      <c r="C128" s="4" t="s">
        <v>253</v>
      </c>
      <c r="D128" t="s">
        <v>254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255</v>
      </c>
      <c r="C129" s="3" t="s">
        <v>256</v>
      </c>
      <c r="D129" t="s">
        <v>254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232</v>
      </c>
      <c r="C130" s="3" t="s">
        <v>233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257</v>
      </c>
      <c r="C131" s="3" t="s">
        <v>258</v>
      </c>
      <c r="D131" t="s">
        <v>185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259</v>
      </c>
      <c r="C132" s="3" t="s">
        <v>260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261</v>
      </c>
      <c r="C133" s="3" t="s">
        <v>262</v>
      </c>
      <c r="D133" t="s">
        <v>166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264</v>
      </c>
      <c r="C134" s="3" t="s">
        <v>263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267</v>
      </c>
      <c r="C135" s="3" t="s">
        <v>268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271</v>
      </c>
      <c r="C136" s="3" t="s">
        <v>270</v>
      </c>
      <c r="D136" t="s">
        <v>269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265</v>
      </c>
      <c r="C137" s="3" t="s">
        <v>266</v>
      </c>
      <c r="D137" t="s">
        <v>185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272</v>
      </c>
      <c r="C138" s="3" t="s">
        <v>273</v>
      </c>
      <c r="D138" t="s">
        <v>185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274</v>
      </c>
      <c r="C139" s="3" t="s">
        <v>275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276</v>
      </c>
      <c r="C140" s="4" t="s">
        <v>277</v>
      </c>
      <c r="D140" t="s">
        <v>254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278</v>
      </c>
      <c r="C141" s="3" t="s">
        <v>279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280</v>
      </c>
      <c r="C142" s="3" t="s">
        <v>281</v>
      </c>
      <c r="D142" t="s">
        <v>165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282</v>
      </c>
      <c r="C143" s="3" t="s">
        <v>283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284</v>
      </c>
      <c r="C144" s="3" t="s">
        <v>285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286</v>
      </c>
      <c r="C145" s="3" t="s">
        <v>287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288</v>
      </c>
      <c r="C146" s="3" t="s">
        <v>289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290</v>
      </c>
      <c r="C147" s="3" t="s">
        <v>291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292</v>
      </c>
      <c r="C148" s="3" t="s">
        <v>293</v>
      </c>
      <c r="D148" t="s">
        <v>294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295</v>
      </c>
      <c r="C149" s="3" t="s">
        <v>296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299</v>
      </c>
      <c r="C150" s="3" t="s">
        <v>300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297</v>
      </c>
      <c r="C151" s="3" t="s">
        <v>298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301</v>
      </c>
      <c r="C152" s="3" t="s">
        <v>302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305</v>
      </c>
      <c r="C153" s="3" t="s">
        <v>304</v>
      </c>
      <c r="D153" t="s">
        <v>303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484</v>
      </c>
      <c r="C154" s="3" t="s">
        <v>485</v>
      </c>
      <c r="D154" t="s">
        <v>124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337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486</v>
      </c>
      <c r="C155" s="3" t="s">
        <v>487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338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489</v>
      </c>
      <c r="C156" s="3" t="s">
        <v>488</v>
      </c>
      <c r="D156" t="s">
        <v>124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490</v>
      </c>
      <c r="C157" s="3" t="s">
        <v>491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492</v>
      </c>
      <c r="C158" s="3" t="s">
        <v>493</v>
      </c>
      <c r="D158" t="s">
        <v>124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494</v>
      </c>
      <c r="C159" s="3" t="s">
        <v>495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496</v>
      </c>
      <c r="C160" s="3" t="s">
        <v>497</v>
      </c>
      <c r="D160" t="s">
        <v>294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498</v>
      </c>
      <c r="C161" s="3" t="s">
        <v>499</v>
      </c>
      <c r="D161" t="s">
        <v>156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500</v>
      </c>
      <c r="C162" s="3" t="s">
        <v>501</v>
      </c>
      <c r="D162" t="s">
        <v>185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503</v>
      </c>
      <c r="C163" s="3" t="s">
        <v>502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504</v>
      </c>
      <c r="C164" s="3" t="s">
        <v>506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505</v>
      </c>
      <c r="C165" s="3" t="s">
        <v>507</v>
      </c>
      <c r="D165" t="s">
        <v>156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508</v>
      </c>
      <c r="C166" s="3" t="s">
        <v>511</v>
      </c>
      <c r="D166" t="s">
        <v>352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509</v>
      </c>
      <c r="C167" s="3" t="s">
        <v>510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512</v>
      </c>
      <c r="C168" s="3" t="s">
        <v>378</v>
      </c>
      <c r="D168" t="s">
        <v>513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514</v>
      </c>
      <c r="C169" s="3" t="s">
        <v>515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516</v>
      </c>
      <c r="C170" s="3" t="s">
        <v>517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518</v>
      </c>
      <c r="C171" s="3" t="s">
        <v>519</v>
      </c>
      <c r="D171" t="s">
        <v>219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520</v>
      </c>
      <c r="C172" s="3" t="s">
        <v>523</v>
      </c>
      <c r="D172" t="s">
        <v>185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521</v>
      </c>
      <c r="C173" s="3" t="s">
        <v>522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524</v>
      </c>
      <c r="C174" s="3" t="s">
        <v>525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526</v>
      </c>
      <c r="C175" s="3" t="s">
        <v>527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528</v>
      </c>
      <c r="C176" s="3" t="s">
        <v>529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530</v>
      </c>
      <c r="C177" s="3" t="s">
        <v>531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532</v>
      </c>
      <c r="C178" s="3" t="s">
        <v>534</v>
      </c>
      <c r="D178" t="s">
        <v>533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535</v>
      </c>
      <c r="C179" s="3" t="s">
        <v>536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537</v>
      </c>
      <c r="C180" s="3" t="s">
        <v>679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538</v>
      </c>
      <c r="C181" s="3" t="s">
        <v>680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416</v>
      </c>
    </row>
    <row r="185" spans="1:31" x14ac:dyDescent="0.25"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6:31" x14ac:dyDescent="0.25"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6:31" x14ac:dyDescent="0.25"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6:31" x14ac:dyDescent="0.25"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6:31" x14ac:dyDescent="0.25"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6:31" x14ac:dyDescent="0.25"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6:31" x14ac:dyDescent="0.25"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6:31" x14ac:dyDescent="0.25"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6:31" x14ac:dyDescent="0.25"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6:31" x14ac:dyDescent="0.25"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6:31" x14ac:dyDescent="0.25"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6:31" x14ac:dyDescent="0.25"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6:31" x14ac:dyDescent="0.25"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6:31" x14ac:dyDescent="0.25"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6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6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6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C47F-1AC4-4057-B9F0-395F82201EB4}">
  <dimension ref="A1:F6"/>
  <sheetViews>
    <sheetView zoomScale="200" zoomScaleNormal="200" workbookViewId="0">
      <selection activeCell="A7" sqref="A7"/>
    </sheetView>
  </sheetViews>
  <sheetFormatPr defaultRowHeight="15" x14ac:dyDescent="0.25"/>
  <cols>
    <col min="1" max="1" width="5.42578125" bestFit="1" customWidth="1"/>
    <col min="2" max="2" width="19.140625" customWidth="1"/>
    <col min="5" max="5" width="16.5703125" customWidth="1"/>
  </cols>
  <sheetData>
    <row r="1" spans="1:6" x14ac:dyDescent="0.25">
      <c r="A1" s="8" t="s">
        <v>464</v>
      </c>
    </row>
    <row r="2" spans="1:6" x14ac:dyDescent="0.25">
      <c r="B2" t="s">
        <v>2</v>
      </c>
      <c r="C2" t="s">
        <v>730</v>
      </c>
      <c r="D2" t="s">
        <v>731</v>
      </c>
      <c r="E2" t="s">
        <v>732</v>
      </c>
      <c r="F2" t="s">
        <v>126</v>
      </c>
    </row>
    <row r="3" spans="1:6" x14ac:dyDescent="0.25">
      <c r="B3" t="s">
        <v>734</v>
      </c>
      <c r="C3" t="s">
        <v>733</v>
      </c>
      <c r="D3" t="s">
        <v>8</v>
      </c>
      <c r="E3" t="s">
        <v>743</v>
      </c>
    </row>
    <row r="4" spans="1:6" x14ac:dyDescent="0.25">
      <c r="B4" t="s">
        <v>742</v>
      </c>
      <c r="C4" t="s">
        <v>747</v>
      </c>
      <c r="D4" t="s">
        <v>8</v>
      </c>
      <c r="E4" t="s">
        <v>744</v>
      </c>
    </row>
    <row r="5" spans="1:6" x14ac:dyDescent="0.25">
      <c r="B5" t="s">
        <v>748</v>
      </c>
      <c r="C5" t="s">
        <v>745</v>
      </c>
      <c r="D5" t="s">
        <v>7</v>
      </c>
      <c r="E5" t="s">
        <v>746</v>
      </c>
      <c r="F5" t="s">
        <v>749</v>
      </c>
    </row>
    <row r="6" spans="1:6" x14ac:dyDescent="0.25">
      <c r="B6" t="s">
        <v>750</v>
      </c>
      <c r="C6" t="s">
        <v>751</v>
      </c>
      <c r="D6" t="s">
        <v>9</v>
      </c>
      <c r="E6" t="s">
        <v>752</v>
      </c>
    </row>
  </sheetData>
  <hyperlinks>
    <hyperlink ref="A1" location="Main!A1" display="Main" xr:uid="{7A8A7424-EC50-4E3D-BBB6-97F1BE50C49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1C4-97F2-4C2B-8888-284E30CF83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6C3-8711-45A1-8A34-862C4185F0B3}">
  <dimension ref="A1:I25"/>
  <sheetViews>
    <sheetView zoomScale="200" zoomScaleNormal="200" workbookViewId="0">
      <selection activeCell="C4" sqref="C4"/>
    </sheetView>
  </sheetViews>
  <sheetFormatPr defaultRowHeight="15" x14ac:dyDescent="0.25"/>
  <cols>
    <col min="1" max="1" width="5.42578125" bestFit="1" customWidth="1"/>
    <col min="2" max="2" width="20.7109375" customWidth="1"/>
  </cols>
  <sheetData>
    <row r="1" spans="1:9" x14ac:dyDescent="0.25">
      <c r="A1" s="8" t="s">
        <v>464</v>
      </c>
    </row>
    <row r="3" spans="1:9" x14ac:dyDescent="0.25">
      <c r="B3" s="13" t="s">
        <v>433</v>
      </c>
      <c r="C3" s="3"/>
      <c r="E3" s="7"/>
      <c r="F3" s="16"/>
      <c r="G3" s="16"/>
      <c r="H3" s="16"/>
      <c r="I3" s="10"/>
    </row>
    <row r="4" spans="1:9" x14ac:dyDescent="0.25">
      <c r="B4" t="s">
        <v>128</v>
      </c>
      <c r="C4" s="3" t="s">
        <v>417</v>
      </c>
      <c r="D4" t="s">
        <v>82</v>
      </c>
      <c r="E4" s="3" t="s">
        <v>414</v>
      </c>
      <c r="F4" s="16"/>
      <c r="G4" s="16"/>
      <c r="H4" s="16"/>
      <c r="I4" s="10"/>
    </row>
    <row r="5" spans="1:9" x14ac:dyDescent="0.25">
      <c r="B5" t="s">
        <v>422</v>
      </c>
      <c r="C5" s="3" t="s">
        <v>483</v>
      </c>
      <c r="D5" t="s">
        <v>219</v>
      </c>
      <c r="E5" s="7" t="s">
        <v>432</v>
      </c>
      <c r="F5" s="16"/>
      <c r="G5" s="16"/>
      <c r="H5" s="23" t="s">
        <v>443</v>
      </c>
      <c r="I5" s="10"/>
    </row>
    <row r="6" spans="1:9" x14ac:dyDescent="0.25">
      <c r="B6" t="s">
        <v>438</v>
      </c>
      <c r="C6" s="3" t="s">
        <v>725</v>
      </c>
      <c r="E6" s="7"/>
      <c r="F6" s="16"/>
      <c r="G6" s="16"/>
      <c r="H6" s="16"/>
      <c r="I6" s="10"/>
    </row>
    <row r="7" spans="1:9" x14ac:dyDescent="0.25">
      <c r="B7" t="s">
        <v>480</v>
      </c>
      <c r="C7" s="10" t="s">
        <v>481</v>
      </c>
      <c r="D7" t="s">
        <v>124</v>
      </c>
      <c r="E7" s="7" t="s">
        <v>482</v>
      </c>
      <c r="F7" s="16"/>
      <c r="G7" s="16"/>
      <c r="H7" s="16"/>
      <c r="I7" s="10"/>
    </row>
    <row r="8" spans="1:9" x14ac:dyDescent="0.25">
      <c r="B8" t="s">
        <v>684</v>
      </c>
      <c r="C8" s="3"/>
      <c r="E8" s="7"/>
      <c r="F8" s="16"/>
      <c r="G8" s="16"/>
      <c r="H8" s="16"/>
      <c r="I8" s="10"/>
    </row>
    <row r="9" spans="1:9" x14ac:dyDescent="0.25">
      <c r="B9" t="s">
        <v>685</v>
      </c>
      <c r="C9" s="3"/>
      <c r="E9" s="7"/>
      <c r="F9" s="16"/>
      <c r="G9" s="16"/>
      <c r="H9" s="16"/>
      <c r="I9" s="10"/>
    </row>
    <row r="10" spans="1:9" x14ac:dyDescent="0.25">
      <c r="B10" t="s">
        <v>686</v>
      </c>
      <c r="C10" s="3"/>
      <c r="E10" s="7"/>
      <c r="F10" s="16"/>
      <c r="G10" s="16"/>
      <c r="H10" s="16"/>
      <c r="I10" s="10"/>
    </row>
    <row r="11" spans="1:9" x14ac:dyDescent="0.25">
      <c r="B11" t="s">
        <v>687</v>
      </c>
      <c r="C11" s="3"/>
      <c r="E11" s="7"/>
      <c r="F11" s="16"/>
      <c r="G11" s="16"/>
      <c r="H11" s="16"/>
      <c r="I11" s="10"/>
    </row>
    <row r="12" spans="1:9" x14ac:dyDescent="0.25">
      <c r="B12" t="s">
        <v>688</v>
      </c>
      <c r="C12" s="3"/>
      <c r="E12" s="7"/>
      <c r="F12" s="16"/>
      <c r="G12" s="16"/>
      <c r="H12" s="16"/>
      <c r="I12" s="10"/>
    </row>
    <row r="13" spans="1:9" x14ac:dyDescent="0.25">
      <c r="B13" t="s">
        <v>689</v>
      </c>
      <c r="C13" s="3"/>
      <c r="E13" s="7"/>
      <c r="F13" s="16"/>
      <c r="G13" s="16"/>
      <c r="H13" s="16"/>
      <c r="I13" s="10"/>
    </row>
    <row r="14" spans="1:9" x14ac:dyDescent="0.25">
      <c r="B14" t="s">
        <v>690</v>
      </c>
      <c r="C14" s="3"/>
      <c r="E14" s="7"/>
      <c r="F14" s="16"/>
      <c r="G14" s="16"/>
      <c r="H14" s="16"/>
      <c r="I14" s="10"/>
    </row>
    <row r="15" spans="1:9" x14ac:dyDescent="0.25">
      <c r="B15" t="s">
        <v>691</v>
      </c>
      <c r="E15" s="7"/>
      <c r="F15" s="16"/>
      <c r="G15" s="16"/>
      <c r="H15" s="16"/>
      <c r="I15" s="10"/>
    </row>
    <row r="16" spans="1:9" x14ac:dyDescent="0.25">
      <c r="B16" t="s">
        <v>692</v>
      </c>
      <c r="C16" s="3"/>
      <c r="E16" s="7"/>
      <c r="F16" s="16"/>
      <c r="G16" s="16"/>
      <c r="H16" s="16"/>
      <c r="I16" s="10"/>
    </row>
    <row r="17" spans="2:9" x14ac:dyDescent="0.25">
      <c r="B17" t="s">
        <v>693</v>
      </c>
      <c r="C17" s="3"/>
      <c r="E17" s="7"/>
      <c r="F17" s="16"/>
      <c r="G17" s="16"/>
      <c r="H17" s="16"/>
      <c r="I17" s="10"/>
    </row>
    <row r="18" spans="2:9" x14ac:dyDescent="0.25">
      <c r="B18" t="s">
        <v>694</v>
      </c>
      <c r="C18" s="3"/>
      <c r="E18" s="7"/>
      <c r="F18" s="16"/>
      <c r="G18" s="16"/>
      <c r="H18" s="16"/>
      <c r="I18" s="10"/>
    </row>
    <row r="19" spans="2:9" x14ac:dyDescent="0.25">
      <c r="B19" t="s">
        <v>702</v>
      </c>
      <c r="C19" s="3"/>
      <c r="E19" s="7"/>
      <c r="F19" s="16"/>
      <c r="G19" s="16"/>
      <c r="H19" s="16"/>
      <c r="I19" s="10"/>
    </row>
    <row r="20" spans="2:9" x14ac:dyDescent="0.25">
      <c r="C20" s="3"/>
      <c r="E20" s="7"/>
      <c r="F20" s="16"/>
      <c r="G20" s="16"/>
      <c r="H20" s="16"/>
      <c r="I20" s="10"/>
    </row>
    <row r="21" spans="2:9" x14ac:dyDescent="0.25">
      <c r="C21" s="3"/>
      <c r="E21" s="7"/>
      <c r="F21" s="16"/>
      <c r="G21" s="16"/>
      <c r="H21" s="16"/>
      <c r="I21" s="10"/>
    </row>
    <row r="22" spans="2:9" x14ac:dyDescent="0.25">
      <c r="C22" s="3"/>
      <c r="E22" s="7"/>
      <c r="F22" s="16"/>
      <c r="G22" s="16"/>
      <c r="H22" s="16"/>
      <c r="I22" s="10"/>
    </row>
    <row r="23" spans="2:9" x14ac:dyDescent="0.25">
      <c r="C23" s="3"/>
      <c r="E23" s="7"/>
      <c r="F23" s="16"/>
      <c r="G23" s="16"/>
      <c r="H23" s="16"/>
      <c r="I23" s="10"/>
    </row>
    <row r="24" spans="2:9" x14ac:dyDescent="0.25">
      <c r="C24" s="3"/>
      <c r="E24" s="7"/>
      <c r="F24" s="16"/>
      <c r="G24" s="16"/>
      <c r="H24" s="16"/>
      <c r="I24" s="10"/>
    </row>
    <row r="25" spans="2:9" x14ac:dyDescent="0.25">
      <c r="C25" s="4"/>
      <c r="E25" s="7"/>
      <c r="F25" s="16"/>
      <c r="G25" s="16"/>
      <c r="H25" s="16"/>
      <c r="I25" s="10"/>
    </row>
  </sheetData>
  <hyperlinks>
    <hyperlink ref="A1" location="Main!A1" display="Main" xr:uid="{5E02671F-4BBD-43BB-896A-19D7F7B398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464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695</v>
      </c>
      <c r="C6" t="s">
        <v>106</v>
      </c>
      <c r="D6" t="s">
        <v>549</v>
      </c>
      <c r="F6" s="16"/>
      <c r="G6" s="16"/>
      <c r="H6" s="16"/>
    </row>
    <row r="7" spans="1:34" x14ac:dyDescent="0.25">
      <c r="A7" s="2">
        <f t="shared" si="0"/>
        <v>4</v>
      </c>
      <c r="B7" s="8" t="s">
        <v>696</v>
      </c>
      <c r="C7" s="3" t="s">
        <v>452</v>
      </c>
      <c r="D7" t="s">
        <v>459</v>
      </c>
      <c r="F7" s="16"/>
      <c r="G7" s="16"/>
      <c r="H7" s="16"/>
    </row>
    <row r="8" spans="1:34" x14ac:dyDescent="0.25">
      <c r="A8" s="2">
        <f t="shared" si="0"/>
        <v>5</v>
      </c>
      <c r="B8" s="8" t="s">
        <v>697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382</v>
      </c>
      <c r="D9" t="s">
        <v>124</v>
      </c>
      <c r="F9" s="16"/>
      <c r="G9" s="16"/>
      <c r="H9" s="16"/>
    </row>
    <row r="10" spans="1:34" x14ac:dyDescent="0.25">
      <c r="A10" s="2">
        <f t="shared" si="0"/>
        <v>7</v>
      </c>
      <c r="B10" s="8" t="s">
        <v>698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420</v>
      </c>
      <c r="C11" s="3" t="s">
        <v>421</v>
      </c>
      <c r="D11" t="s">
        <v>214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699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549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312</v>
      </c>
      <c r="C14" t="s">
        <v>313</v>
      </c>
      <c r="D14" t="s">
        <v>219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388</v>
      </c>
      <c r="C15" s="3" t="s">
        <v>457</v>
      </c>
      <c r="D15" t="s">
        <v>459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385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700</v>
      </c>
      <c r="C18" t="s">
        <v>280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486</v>
      </c>
      <c r="C19" t="s">
        <v>487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490</v>
      </c>
      <c r="C20" t="s">
        <v>491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338</v>
      </c>
    </row>
    <row r="21" spans="1:9" x14ac:dyDescent="0.25">
      <c r="A21" s="2">
        <f t="shared" si="0"/>
        <v>18</v>
      </c>
      <c r="B21" s="8" t="s">
        <v>701</v>
      </c>
      <c r="C21" s="3" t="s">
        <v>485</v>
      </c>
      <c r="D21" t="s">
        <v>124</v>
      </c>
      <c r="F21" s="16"/>
      <c r="G21" s="16"/>
      <c r="H21" s="16"/>
    </row>
    <row r="22" spans="1:9" x14ac:dyDescent="0.25">
      <c r="A22" s="2">
        <f t="shared" si="0"/>
        <v>19</v>
      </c>
      <c r="B22" t="s">
        <v>492</v>
      </c>
      <c r="C22" t="s">
        <v>493</v>
      </c>
      <c r="D22" t="s">
        <v>124</v>
      </c>
      <c r="F22" s="16"/>
      <c r="G22" s="16"/>
      <c r="H22" s="16"/>
    </row>
    <row r="23" spans="1:9" x14ac:dyDescent="0.25">
      <c r="A23" s="2">
        <f t="shared" si="0"/>
        <v>20</v>
      </c>
      <c r="B23" t="s">
        <v>705</v>
      </c>
      <c r="C23" t="s">
        <v>495</v>
      </c>
      <c r="D23" t="s">
        <v>21</v>
      </c>
      <c r="E23" t="s">
        <v>723</v>
      </c>
      <c r="F23" s="16"/>
      <c r="G23" s="16"/>
      <c r="H23" s="16"/>
    </row>
    <row r="24" spans="1:9" x14ac:dyDescent="0.25">
      <c r="A24" s="2">
        <f t="shared" si="0"/>
        <v>21</v>
      </c>
      <c r="B24" t="s">
        <v>707</v>
      </c>
      <c r="C24" t="s">
        <v>708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709</v>
      </c>
      <c r="C25" t="s">
        <v>525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710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711</v>
      </c>
      <c r="C28" t="s">
        <v>712</v>
      </c>
      <c r="D28" t="s">
        <v>165</v>
      </c>
      <c r="F28" s="16"/>
      <c r="G28" s="16"/>
      <c r="H28" s="16"/>
    </row>
    <row r="29" spans="1:9" x14ac:dyDescent="0.25">
      <c r="A29" s="2">
        <f t="shared" si="0"/>
        <v>26</v>
      </c>
      <c r="B29" t="s">
        <v>713</v>
      </c>
      <c r="C29" t="s">
        <v>162</v>
      </c>
      <c r="D29" t="s">
        <v>254</v>
      </c>
      <c r="F29" s="16"/>
      <c r="G29" s="16"/>
      <c r="H29" s="16"/>
    </row>
    <row r="30" spans="1:9" x14ac:dyDescent="0.25">
      <c r="A30" s="2">
        <f t="shared" si="0"/>
        <v>27</v>
      </c>
      <c r="B30" t="s">
        <v>526</v>
      </c>
      <c r="C30" t="s">
        <v>527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714</v>
      </c>
      <c r="C31" t="s">
        <v>715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716</v>
      </c>
      <c r="C32" t="s">
        <v>531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532</v>
      </c>
      <c r="C33" t="s">
        <v>534</v>
      </c>
      <c r="D33" t="s">
        <v>533</v>
      </c>
      <c r="F33" s="16"/>
      <c r="G33" s="16"/>
      <c r="H33" s="16"/>
    </row>
    <row r="34" spans="1:8" x14ac:dyDescent="0.25">
      <c r="A34" s="2">
        <f t="shared" si="0"/>
        <v>31</v>
      </c>
      <c r="B34" t="s">
        <v>535</v>
      </c>
      <c r="C34" t="s">
        <v>536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717</v>
      </c>
      <c r="C35" t="s">
        <v>720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718</v>
      </c>
      <c r="C36" t="s">
        <v>719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464</v>
      </c>
    </row>
    <row r="2" spans="1:34" x14ac:dyDescent="0.25">
      <c r="A2" t="s">
        <v>465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447</v>
      </c>
      <c r="J3" s="31" t="s">
        <v>448</v>
      </c>
      <c r="K3" s="32" t="s">
        <v>147</v>
      </c>
      <c r="L3" s="33" t="s">
        <v>95</v>
      </c>
      <c r="M3" s="32" t="s">
        <v>145</v>
      </c>
      <c r="N3" s="32" t="s">
        <v>146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439</v>
      </c>
      <c r="AC3" s="30" t="s">
        <v>440</v>
      </c>
      <c r="AD3" s="35" t="s">
        <v>398</v>
      </c>
      <c r="AE3" s="33" t="s">
        <v>96</v>
      </c>
      <c r="AF3" s="30"/>
      <c r="AG3" s="30"/>
      <c r="AH3" s="36" t="s">
        <v>126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424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118</v>
      </c>
    </row>
    <row r="5" spans="1:34" x14ac:dyDescent="0.25">
      <c r="A5" s="2">
        <f>+A4+1</f>
        <v>2</v>
      </c>
      <c r="B5" s="20" t="s">
        <v>306</v>
      </c>
      <c r="C5" s="3" t="s">
        <v>309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148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118</v>
      </c>
    </row>
    <row r="6" spans="1:34" x14ac:dyDescent="0.25">
      <c r="A6" s="2">
        <f>+A5+1</f>
        <v>3</v>
      </c>
      <c r="B6" s="20" t="s">
        <v>307</v>
      </c>
      <c r="C6" s="3" t="s">
        <v>308</v>
      </c>
      <c r="D6" t="s">
        <v>219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148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118</v>
      </c>
    </row>
    <row r="7" spans="1:34" x14ac:dyDescent="0.25">
      <c r="A7" s="2">
        <f t="shared" ref="A7:A11" si="0">+A6+1</f>
        <v>4</v>
      </c>
      <c r="B7" s="8" t="s">
        <v>127</v>
      </c>
      <c r="C7" s="3" t="s">
        <v>415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436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416</v>
      </c>
    </row>
    <row r="8" spans="1:34" x14ac:dyDescent="0.25">
      <c r="A8" s="2">
        <f t="shared" si="0"/>
        <v>5</v>
      </c>
      <c r="B8" s="8" t="s">
        <v>324</v>
      </c>
      <c r="C8" s="3" t="s">
        <v>326</v>
      </c>
      <c r="D8" t="s">
        <v>325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338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118</v>
      </c>
    </row>
    <row r="9" spans="1:34" x14ac:dyDescent="0.25">
      <c r="A9" s="2">
        <f t="shared" si="0"/>
        <v>6</v>
      </c>
      <c r="B9" s="8" t="s">
        <v>444</v>
      </c>
      <c r="C9" s="3" t="s">
        <v>346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118</v>
      </c>
    </row>
    <row r="10" spans="1:34" x14ac:dyDescent="0.25">
      <c r="A10" s="2">
        <f t="shared" si="0"/>
        <v>7</v>
      </c>
      <c r="B10" s="8" t="s">
        <v>161</v>
      </c>
      <c r="C10" s="3" t="s">
        <v>394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337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118</v>
      </c>
    </row>
    <row r="11" spans="1:34" x14ac:dyDescent="0.25">
      <c r="A11" s="2">
        <f t="shared" si="0"/>
        <v>8</v>
      </c>
      <c r="B11" s="8" t="s">
        <v>169</v>
      </c>
      <c r="C11" s="3" t="s">
        <v>170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338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118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zoomScale="200" zoomScaleNormal="200" workbookViewId="0">
      <selection activeCell="I8" sqref="I8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464</v>
      </c>
    </row>
    <row r="2" spans="1:20" x14ac:dyDescent="0.25">
      <c r="A2" t="s">
        <v>465</v>
      </c>
    </row>
    <row r="3" spans="1:20" x14ac:dyDescent="0.25">
      <c r="A3" s="29" t="s">
        <v>315</v>
      </c>
      <c r="B3" s="30" t="s">
        <v>2</v>
      </c>
      <c r="C3" s="31" t="s">
        <v>462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447</v>
      </c>
      <c r="J3" s="39" t="s">
        <v>463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138</v>
      </c>
      <c r="C4" s="3" t="s">
        <v>139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338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724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704</v>
      </c>
      <c r="C6" s="3" t="s">
        <v>706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380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423</v>
      </c>
      <c r="C7" s="3" t="s">
        <v>442</v>
      </c>
      <c r="D7" t="s">
        <v>85</v>
      </c>
      <c r="E7" s="7">
        <f>+[84]Main!$I$3</f>
        <v>140.1</v>
      </c>
      <c r="F7" s="16">
        <f>+[84]Main!$I$5*FX!C7</f>
        <v>8097.3307833600002</v>
      </c>
      <c r="G7" s="16">
        <f>+([84]Main!$I$7-[84]Main!$I$6)*FX!C7</f>
        <v>-1219.68</v>
      </c>
      <c r="H7" s="16">
        <f>+F7+G7</f>
        <v>6877.6507833599999</v>
      </c>
      <c r="I7" s="10" t="s">
        <v>149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140</v>
      </c>
      <c r="C8" s="3" t="s">
        <v>141</v>
      </c>
      <c r="D8" t="s">
        <v>185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142</v>
      </c>
      <c r="C9" s="3" t="s">
        <v>144</v>
      </c>
      <c r="D9" t="s">
        <v>143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339</v>
      </c>
      <c r="C10" s="3" t="s">
        <v>340</v>
      </c>
      <c r="D10" t="s">
        <v>459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342</v>
      </c>
      <c r="C11" t="s">
        <v>341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343</v>
      </c>
      <c r="C12" s="3" t="s">
        <v>344</v>
      </c>
      <c r="D12" t="s">
        <v>185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345</v>
      </c>
      <c r="C13" s="3" t="s">
        <v>346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348</v>
      </c>
      <c r="C14" s="3" t="s">
        <v>349</v>
      </c>
      <c r="D14" t="s">
        <v>347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350</v>
      </c>
      <c r="C15" s="3" t="s">
        <v>351</v>
      </c>
      <c r="D15" t="s">
        <v>352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353</v>
      </c>
      <c r="C16" s="3" t="s">
        <v>355</v>
      </c>
      <c r="D16" t="s">
        <v>354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356</v>
      </c>
      <c r="C17" s="3" t="s">
        <v>357</v>
      </c>
      <c r="D17" t="s">
        <v>165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358</v>
      </c>
      <c r="C18" s="3" t="s">
        <v>211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359</v>
      </c>
      <c r="C19" s="3" t="s">
        <v>360</v>
      </c>
      <c r="D19" t="s">
        <v>185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361</v>
      </c>
      <c r="C20" s="3" t="s">
        <v>371</v>
      </c>
      <c r="D20" t="s">
        <v>185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362</v>
      </c>
      <c r="C21" s="4" t="s">
        <v>372</v>
      </c>
      <c r="D21" t="s">
        <v>254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363</v>
      </c>
      <c r="C22" s="3" t="s">
        <v>373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364</v>
      </c>
      <c r="C23" s="3" t="s">
        <v>236</v>
      </c>
      <c r="D23" t="s">
        <v>235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365</v>
      </c>
      <c r="C24" s="3" t="s">
        <v>374</v>
      </c>
      <c r="D24" t="s">
        <v>223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366</v>
      </c>
      <c r="C25" s="3" t="s">
        <v>375</v>
      </c>
      <c r="D25" t="s">
        <v>352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367</v>
      </c>
      <c r="C26" s="3" t="s">
        <v>376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368</v>
      </c>
      <c r="C27" s="3" t="s">
        <v>377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369</v>
      </c>
      <c r="C28" s="3" t="s">
        <v>268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370</v>
      </c>
      <c r="C29" s="3" t="s">
        <v>378</v>
      </c>
      <c r="D29" t="s">
        <v>459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431</v>
      </c>
      <c r="C30" s="3" t="s">
        <v>683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546</v>
      </c>
      <c r="C31" s="3" t="s">
        <v>545</v>
      </c>
      <c r="D31" t="s">
        <v>124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542</v>
      </c>
      <c r="C32" s="3" t="s">
        <v>543</v>
      </c>
      <c r="D32" t="s">
        <v>21</v>
      </c>
    </row>
    <row r="33" spans="1:4" x14ac:dyDescent="0.25">
      <c r="A33" s="2">
        <f t="shared" si="1"/>
        <v>30</v>
      </c>
      <c r="B33" t="s">
        <v>541</v>
      </c>
      <c r="C33" s="3" t="s">
        <v>544</v>
      </c>
      <c r="D33" t="s">
        <v>82</v>
      </c>
    </row>
    <row r="34" spans="1:4" x14ac:dyDescent="0.25">
      <c r="A34" s="2">
        <f t="shared" si="1"/>
        <v>31</v>
      </c>
      <c r="B34" t="s">
        <v>547</v>
      </c>
      <c r="C34" s="3" t="s">
        <v>548</v>
      </c>
      <c r="D34" t="s">
        <v>549</v>
      </c>
    </row>
    <row r="35" spans="1:4" x14ac:dyDescent="0.25">
      <c r="A35" s="2">
        <f t="shared" si="1"/>
        <v>32</v>
      </c>
      <c r="B35" t="s">
        <v>550</v>
      </c>
      <c r="C35" s="3" t="s">
        <v>551</v>
      </c>
      <c r="D35" t="s">
        <v>21</v>
      </c>
    </row>
    <row r="36" spans="1:4" x14ac:dyDescent="0.25">
      <c r="A36" s="2">
        <f t="shared" si="1"/>
        <v>33</v>
      </c>
      <c r="B36" t="s">
        <v>552</v>
      </c>
      <c r="C36" s="3" t="s">
        <v>553</v>
      </c>
      <c r="D36" t="s">
        <v>21</v>
      </c>
    </row>
    <row r="37" spans="1:4" x14ac:dyDescent="0.25">
      <c r="A37" s="2">
        <f t="shared" si="1"/>
        <v>34</v>
      </c>
      <c r="B37" t="s">
        <v>554</v>
      </c>
      <c r="C37" s="3" t="s">
        <v>555</v>
      </c>
      <c r="D37" t="s">
        <v>109</v>
      </c>
    </row>
    <row r="38" spans="1:4" x14ac:dyDescent="0.25">
      <c r="A38" s="2">
        <f t="shared" si="1"/>
        <v>35</v>
      </c>
      <c r="B38" t="s">
        <v>556</v>
      </c>
      <c r="C38" s="3" t="s">
        <v>557</v>
      </c>
      <c r="D38" t="s">
        <v>124</v>
      </c>
    </row>
    <row r="39" spans="1:4" x14ac:dyDescent="0.25">
      <c r="A39" s="2">
        <f t="shared" si="1"/>
        <v>36</v>
      </c>
      <c r="B39" t="s">
        <v>558</v>
      </c>
      <c r="C39" s="3" t="s">
        <v>559</v>
      </c>
      <c r="D39" t="s">
        <v>165</v>
      </c>
    </row>
    <row r="40" spans="1:4" x14ac:dyDescent="0.25">
      <c r="A40" s="2">
        <f t="shared" si="1"/>
        <v>37</v>
      </c>
      <c r="B40" t="s">
        <v>560</v>
      </c>
      <c r="C40" s="3" t="s">
        <v>561</v>
      </c>
      <c r="D40" t="s">
        <v>549</v>
      </c>
    </row>
    <row r="41" spans="1:4" x14ac:dyDescent="0.25">
      <c r="A41" s="2">
        <f t="shared" si="1"/>
        <v>38</v>
      </c>
      <c r="B41" t="s">
        <v>562</v>
      </c>
      <c r="C41" s="3" t="s">
        <v>563</v>
      </c>
      <c r="D41" t="s">
        <v>82</v>
      </c>
    </row>
    <row r="42" spans="1:4" x14ac:dyDescent="0.25">
      <c r="A42" s="2">
        <f t="shared" si="1"/>
        <v>39</v>
      </c>
      <c r="B42" t="s">
        <v>564</v>
      </c>
      <c r="C42" s="3" t="s">
        <v>565</v>
      </c>
      <c r="D42" t="s">
        <v>21</v>
      </c>
    </row>
    <row r="43" spans="1:4" x14ac:dyDescent="0.25">
      <c r="A43" s="2">
        <f t="shared" si="1"/>
        <v>40</v>
      </c>
      <c r="B43" t="s">
        <v>539</v>
      </c>
      <c r="C43" s="3" t="s">
        <v>681</v>
      </c>
      <c r="D43" t="s">
        <v>219</v>
      </c>
    </row>
    <row r="44" spans="1:4" x14ac:dyDescent="0.25">
      <c r="A44" s="2">
        <f t="shared" si="1"/>
        <v>41</v>
      </c>
      <c r="B44" t="s">
        <v>540</v>
      </c>
      <c r="C44" s="3" t="s">
        <v>682</v>
      </c>
      <c r="D44" t="s">
        <v>21</v>
      </c>
    </row>
    <row r="45" spans="1:4" x14ac:dyDescent="0.25">
      <c r="A45" s="2">
        <f t="shared" si="1"/>
        <v>42</v>
      </c>
      <c r="B45" t="s">
        <v>566</v>
      </c>
      <c r="C45" t="s">
        <v>567</v>
      </c>
      <c r="D45" t="s">
        <v>85</v>
      </c>
    </row>
    <row r="46" spans="1:4" x14ac:dyDescent="0.25">
      <c r="A46" s="2">
        <f t="shared" si="1"/>
        <v>43</v>
      </c>
      <c r="B46" t="s">
        <v>568</v>
      </c>
      <c r="C46" t="s">
        <v>569</v>
      </c>
      <c r="D46" t="s">
        <v>21</v>
      </c>
    </row>
    <row r="47" spans="1:4" x14ac:dyDescent="0.25">
      <c r="A47" s="2">
        <f t="shared" si="1"/>
        <v>44</v>
      </c>
      <c r="B47" t="s">
        <v>570</v>
      </c>
      <c r="C47" t="s">
        <v>571</v>
      </c>
      <c r="D47" t="s">
        <v>82</v>
      </c>
    </row>
    <row r="48" spans="1:4" x14ac:dyDescent="0.25">
      <c r="A48" s="2">
        <f t="shared" si="1"/>
        <v>45</v>
      </c>
      <c r="B48" t="s">
        <v>572</v>
      </c>
      <c r="C48" t="s">
        <v>573</v>
      </c>
      <c r="D48" t="s">
        <v>100</v>
      </c>
    </row>
    <row r="49" spans="1:4" x14ac:dyDescent="0.25">
      <c r="A49" s="2">
        <f t="shared" si="1"/>
        <v>46</v>
      </c>
      <c r="B49" t="s">
        <v>342</v>
      </c>
      <c r="C49" t="s">
        <v>341</v>
      </c>
      <c r="D49" t="s">
        <v>21</v>
      </c>
    </row>
    <row r="50" spans="1:4" x14ac:dyDescent="0.25">
      <c r="A50" s="2">
        <f t="shared" si="1"/>
        <v>47</v>
      </c>
      <c r="B50" t="s">
        <v>574</v>
      </c>
      <c r="C50" t="s">
        <v>575</v>
      </c>
      <c r="D50" t="s">
        <v>21</v>
      </c>
    </row>
    <row r="51" spans="1:4" x14ac:dyDescent="0.25">
      <c r="A51" s="2">
        <f t="shared" si="1"/>
        <v>48</v>
      </c>
      <c r="B51" t="s">
        <v>576</v>
      </c>
      <c r="C51" t="s">
        <v>577</v>
      </c>
      <c r="D51" t="s">
        <v>20</v>
      </c>
    </row>
    <row r="52" spans="1:4" x14ac:dyDescent="0.25">
      <c r="A52" s="2">
        <f t="shared" si="1"/>
        <v>49</v>
      </c>
      <c r="B52" t="s">
        <v>578</v>
      </c>
      <c r="C52" t="s">
        <v>579</v>
      </c>
      <c r="D52" t="s">
        <v>124</v>
      </c>
    </row>
    <row r="53" spans="1:4" x14ac:dyDescent="0.25">
      <c r="A53" s="2">
        <f t="shared" si="1"/>
        <v>50</v>
      </c>
      <c r="B53" t="s">
        <v>580</v>
      </c>
      <c r="C53" t="s">
        <v>581</v>
      </c>
      <c r="D53" t="s">
        <v>223</v>
      </c>
    </row>
    <row r="54" spans="1:4" x14ac:dyDescent="0.25">
      <c r="A54" s="2">
        <f t="shared" si="1"/>
        <v>51</v>
      </c>
      <c r="B54" t="s">
        <v>582</v>
      </c>
      <c r="C54" t="s">
        <v>583</v>
      </c>
      <c r="D54" t="s">
        <v>585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464</v>
      </c>
    </row>
    <row r="2" spans="1:4" x14ac:dyDescent="0.25">
      <c r="A2" s="2" t="s">
        <v>1</v>
      </c>
      <c r="B2" t="s">
        <v>2</v>
      </c>
      <c r="C2" t="s">
        <v>462</v>
      </c>
      <c r="D2" t="s">
        <v>19</v>
      </c>
    </row>
    <row r="3" spans="1:4" x14ac:dyDescent="0.25">
      <c r="A3" s="2">
        <v>1</v>
      </c>
      <c r="B3" t="s">
        <v>586</v>
      </c>
      <c r="C3" t="s">
        <v>587</v>
      </c>
      <c r="D3" t="s">
        <v>21</v>
      </c>
    </row>
    <row r="4" spans="1:4" x14ac:dyDescent="0.25">
      <c r="A4" s="2">
        <f>+A3+1</f>
        <v>2</v>
      </c>
      <c r="B4" t="s">
        <v>588</v>
      </c>
      <c r="C4" t="s">
        <v>589</v>
      </c>
      <c r="D4" t="s">
        <v>21</v>
      </c>
    </row>
    <row r="5" spans="1:4" x14ac:dyDescent="0.25">
      <c r="A5" s="2">
        <f t="shared" ref="A5:A48" si="0">+A4+1</f>
        <v>3</v>
      </c>
      <c r="B5" t="s">
        <v>590</v>
      </c>
      <c r="C5" t="s">
        <v>591</v>
      </c>
      <c r="D5" t="s">
        <v>21</v>
      </c>
    </row>
    <row r="6" spans="1:4" x14ac:dyDescent="0.25">
      <c r="A6" s="2">
        <f t="shared" si="0"/>
        <v>4</v>
      </c>
      <c r="B6" t="s">
        <v>592</v>
      </c>
      <c r="C6" t="s">
        <v>593</v>
      </c>
      <c r="D6" t="s">
        <v>352</v>
      </c>
    </row>
    <row r="7" spans="1:4" x14ac:dyDescent="0.25">
      <c r="A7" s="2">
        <f t="shared" si="0"/>
        <v>5</v>
      </c>
      <c r="B7" t="s">
        <v>594</v>
      </c>
      <c r="C7" t="s">
        <v>595</v>
      </c>
      <c r="D7" t="s">
        <v>21</v>
      </c>
    </row>
    <row r="8" spans="1:4" x14ac:dyDescent="0.25">
      <c r="A8" s="2">
        <f t="shared" si="0"/>
        <v>6</v>
      </c>
      <c r="B8" t="s">
        <v>596</v>
      </c>
      <c r="C8" t="s">
        <v>597</v>
      </c>
      <c r="D8" t="s">
        <v>21</v>
      </c>
    </row>
    <row r="9" spans="1:4" x14ac:dyDescent="0.25">
      <c r="A9" s="2">
        <f t="shared" si="0"/>
        <v>7</v>
      </c>
      <c r="B9" t="s">
        <v>598</v>
      </c>
      <c r="C9" t="s">
        <v>599</v>
      </c>
      <c r="D9" t="s">
        <v>21</v>
      </c>
    </row>
    <row r="10" spans="1:4" x14ac:dyDescent="0.25">
      <c r="A10" s="2">
        <f t="shared" si="0"/>
        <v>8</v>
      </c>
      <c r="B10" t="s">
        <v>600</v>
      </c>
      <c r="C10" t="s">
        <v>601</v>
      </c>
      <c r="D10" t="s">
        <v>21</v>
      </c>
    </row>
    <row r="11" spans="1:4" x14ac:dyDescent="0.25">
      <c r="A11" s="2">
        <f t="shared" si="0"/>
        <v>9</v>
      </c>
      <c r="B11" t="s">
        <v>602</v>
      </c>
      <c r="C11" t="s">
        <v>603</v>
      </c>
      <c r="D11" t="s">
        <v>109</v>
      </c>
    </row>
    <row r="12" spans="1:4" x14ac:dyDescent="0.25">
      <c r="A12" s="2">
        <f t="shared" si="0"/>
        <v>10</v>
      </c>
      <c r="B12" t="s">
        <v>604</v>
      </c>
      <c r="C12" t="s">
        <v>605</v>
      </c>
      <c r="D12" t="s">
        <v>21</v>
      </c>
    </row>
    <row r="13" spans="1:4" x14ac:dyDescent="0.25">
      <c r="A13" s="2">
        <f t="shared" si="0"/>
        <v>11</v>
      </c>
      <c r="B13" t="s">
        <v>606</v>
      </c>
      <c r="C13" t="s">
        <v>607</v>
      </c>
      <c r="D13" t="s">
        <v>21</v>
      </c>
    </row>
    <row r="14" spans="1:4" x14ac:dyDescent="0.25">
      <c r="A14" s="2">
        <f t="shared" si="0"/>
        <v>12</v>
      </c>
      <c r="B14" t="s">
        <v>608</v>
      </c>
      <c r="C14" t="s">
        <v>609</v>
      </c>
      <c r="D14" t="s">
        <v>549</v>
      </c>
    </row>
    <row r="15" spans="1:4" x14ac:dyDescent="0.25">
      <c r="A15" s="2">
        <f t="shared" si="0"/>
        <v>13</v>
      </c>
      <c r="B15" t="s">
        <v>610</v>
      </c>
      <c r="C15" t="s">
        <v>611</v>
      </c>
      <c r="D15" t="s">
        <v>21</v>
      </c>
    </row>
    <row r="16" spans="1:4" x14ac:dyDescent="0.25">
      <c r="A16" s="2">
        <f t="shared" si="0"/>
        <v>14</v>
      </c>
      <c r="B16" t="s">
        <v>612</v>
      </c>
      <c r="C16" t="s">
        <v>613</v>
      </c>
      <c r="D16" t="s">
        <v>352</v>
      </c>
    </row>
    <row r="17" spans="1:4" x14ac:dyDescent="0.25">
      <c r="A17" s="2">
        <f t="shared" si="0"/>
        <v>15</v>
      </c>
      <c r="B17" t="s">
        <v>614</v>
      </c>
      <c r="C17" t="s">
        <v>615</v>
      </c>
      <c r="D17" t="s">
        <v>675</v>
      </c>
    </row>
    <row r="18" spans="1:4" x14ac:dyDescent="0.25">
      <c r="A18" s="2">
        <f t="shared" si="0"/>
        <v>16</v>
      </c>
      <c r="B18" t="s">
        <v>616</v>
      </c>
      <c r="C18" t="s">
        <v>617</v>
      </c>
      <c r="D18" t="s">
        <v>21</v>
      </c>
    </row>
    <row r="19" spans="1:4" x14ac:dyDescent="0.25">
      <c r="A19" s="2">
        <f t="shared" si="0"/>
        <v>17</v>
      </c>
      <c r="B19" t="s">
        <v>618</v>
      </c>
      <c r="C19" t="s">
        <v>619</v>
      </c>
      <c r="D19" t="s">
        <v>223</v>
      </c>
    </row>
    <row r="20" spans="1:4" x14ac:dyDescent="0.25">
      <c r="A20" s="2">
        <f t="shared" si="0"/>
        <v>18</v>
      </c>
      <c r="B20" t="s">
        <v>620</v>
      </c>
      <c r="C20" t="s">
        <v>621</v>
      </c>
      <c r="D20" t="s">
        <v>676</v>
      </c>
    </row>
    <row r="21" spans="1:4" x14ac:dyDescent="0.25">
      <c r="A21" s="2">
        <f t="shared" si="0"/>
        <v>19</v>
      </c>
      <c r="B21" t="s">
        <v>622</v>
      </c>
    </row>
    <row r="22" spans="1:4" x14ac:dyDescent="0.25">
      <c r="A22" s="2">
        <f t="shared" si="0"/>
        <v>20</v>
      </c>
      <c r="B22" t="s">
        <v>623</v>
      </c>
      <c r="C22" t="s">
        <v>624</v>
      </c>
      <c r="D22" t="s">
        <v>124</v>
      </c>
    </row>
    <row r="23" spans="1:4" x14ac:dyDescent="0.25">
      <c r="A23" s="2">
        <f t="shared" si="0"/>
        <v>21</v>
      </c>
      <c r="B23" t="s">
        <v>625</v>
      </c>
      <c r="C23" t="s">
        <v>626</v>
      </c>
      <c r="D23" t="s">
        <v>533</v>
      </c>
    </row>
    <row r="24" spans="1:4" x14ac:dyDescent="0.25">
      <c r="A24" s="2">
        <f t="shared" si="0"/>
        <v>22</v>
      </c>
      <c r="B24" t="s">
        <v>627</v>
      </c>
      <c r="C24" t="s">
        <v>628</v>
      </c>
      <c r="D24" t="s">
        <v>219</v>
      </c>
    </row>
    <row r="25" spans="1:4" x14ac:dyDescent="0.25">
      <c r="A25" s="2">
        <f t="shared" si="0"/>
        <v>23</v>
      </c>
      <c r="B25" t="s">
        <v>629</v>
      </c>
      <c r="C25" t="s">
        <v>630</v>
      </c>
      <c r="D25" t="s">
        <v>677</v>
      </c>
    </row>
    <row r="26" spans="1:4" x14ac:dyDescent="0.25">
      <c r="A26" s="2">
        <f t="shared" si="0"/>
        <v>24</v>
      </c>
      <c r="B26" t="s">
        <v>631</v>
      </c>
      <c r="C26" t="s">
        <v>632</v>
      </c>
      <c r="D26" t="s">
        <v>21</v>
      </c>
    </row>
    <row r="27" spans="1:4" x14ac:dyDescent="0.25">
      <c r="A27" s="2">
        <f t="shared" si="0"/>
        <v>25</v>
      </c>
      <c r="B27" t="s">
        <v>633</v>
      </c>
      <c r="C27" t="s">
        <v>634</v>
      </c>
      <c r="D27" t="s">
        <v>82</v>
      </c>
    </row>
    <row r="28" spans="1:4" x14ac:dyDescent="0.25">
      <c r="A28" s="2">
        <f t="shared" si="0"/>
        <v>26</v>
      </c>
      <c r="B28" t="s">
        <v>635</v>
      </c>
      <c r="C28" t="s">
        <v>636</v>
      </c>
      <c r="D28" t="s">
        <v>21</v>
      </c>
    </row>
    <row r="29" spans="1:4" x14ac:dyDescent="0.25">
      <c r="A29" s="2">
        <f t="shared" si="0"/>
        <v>27</v>
      </c>
      <c r="B29" t="s">
        <v>637</v>
      </c>
      <c r="C29" t="s">
        <v>638</v>
      </c>
      <c r="D29" t="s">
        <v>109</v>
      </c>
    </row>
    <row r="30" spans="1:4" x14ac:dyDescent="0.25">
      <c r="A30" s="2">
        <f t="shared" si="0"/>
        <v>28</v>
      </c>
      <c r="B30" t="s">
        <v>639</v>
      </c>
      <c r="C30" t="s">
        <v>640</v>
      </c>
      <c r="D30" t="s">
        <v>165</v>
      </c>
    </row>
    <row r="31" spans="1:4" x14ac:dyDescent="0.25">
      <c r="A31" s="2">
        <f t="shared" si="0"/>
        <v>29</v>
      </c>
      <c r="B31" t="s">
        <v>641</v>
      </c>
      <c r="C31" t="s">
        <v>642</v>
      </c>
      <c r="D31" t="s">
        <v>678</v>
      </c>
    </row>
    <row r="32" spans="1:4" x14ac:dyDescent="0.25">
      <c r="A32" s="2">
        <f t="shared" si="0"/>
        <v>30</v>
      </c>
      <c r="B32" t="s">
        <v>643</v>
      </c>
      <c r="C32" t="s">
        <v>644</v>
      </c>
      <c r="D32" t="s">
        <v>21</v>
      </c>
    </row>
    <row r="33" spans="1:4" x14ac:dyDescent="0.25">
      <c r="A33" s="2">
        <f t="shared" si="0"/>
        <v>31</v>
      </c>
      <c r="B33" t="s">
        <v>645</v>
      </c>
      <c r="C33" t="s">
        <v>646</v>
      </c>
      <c r="D33" t="s">
        <v>82</v>
      </c>
    </row>
    <row r="34" spans="1:4" x14ac:dyDescent="0.25">
      <c r="A34" s="2">
        <f t="shared" si="0"/>
        <v>32</v>
      </c>
      <c r="B34" t="s">
        <v>647</v>
      </c>
      <c r="C34" t="s">
        <v>648</v>
      </c>
      <c r="D34" t="s">
        <v>21</v>
      </c>
    </row>
    <row r="35" spans="1:4" x14ac:dyDescent="0.25">
      <c r="A35" s="2">
        <f t="shared" si="0"/>
        <v>33</v>
      </c>
      <c r="B35" t="s">
        <v>649</v>
      </c>
      <c r="C35" t="s">
        <v>650</v>
      </c>
      <c r="D35" t="s">
        <v>21</v>
      </c>
    </row>
    <row r="36" spans="1:4" x14ac:dyDescent="0.25">
      <c r="A36" s="2">
        <f t="shared" si="0"/>
        <v>34</v>
      </c>
      <c r="B36" t="s">
        <v>651</v>
      </c>
      <c r="C36" t="s">
        <v>652</v>
      </c>
      <c r="D36" t="s">
        <v>677</v>
      </c>
    </row>
    <row r="37" spans="1:4" x14ac:dyDescent="0.25">
      <c r="A37" s="2">
        <f t="shared" si="0"/>
        <v>35</v>
      </c>
      <c r="B37" t="s">
        <v>653</v>
      </c>
      <c r="C37" t="s">
        <v>654</v>
      </c>
      <c r="D37" t="s">
        <v>677</v>
      </c>
    </row>
    <row r="38" spans="1:4" x14ac:dyDescent="0.25">
      <c r="A38" s="2">
        <f t="shared" si="0"/>
        <v>36</v>
      </c>
      <c r="B38" t="s">
        <v>655</v>
      </c>
      <c r="C38" t="s">
        <v>656</v>
      </c>
      <c r="D38" t="s">
        <v>21</v>
      </c>
    </row>
    <row r="39" spans="1:4" x14ac:dyDescent="0.25">
      <c r="A39" s="2">
        <f t="shared" si="0"/>
        <v>37</v>
      </c>
      <c r="B39" t="s">
        <v>657</v>
      </c>
      <c r="C39" t="s">
        <v>658</v>
      </c>
      <c r="D39" t="s">
        <v>459</v>
      </c>
    </row>
    <row r="40" spans="1:4" x14ac:dyDescent="0.25">
      <c r="A40" s="2">
        <f t="shared" si="0"/>
        <v>38</v>
      </c>
      <c r="B40" t="s">
        <v>659</v>
      </c>
      <c r="C40" t="s">
        <v>660</v>
      </c>
      <c r="D40" t="s">
        <v>21</v>
      </c>
    </row>
    <row r="41" spans="1:4" x14ac:dyDescent="0.25">
      <c r="A41" s="2">
        <f t="shared" si="0"/>
        <v>39</v>
      </c>
      <c r="B41" t="s">
        <v>661</v>
      </c>
      <c r="C41" t="s">
        <v>662</v>
      </c>
      <c r="D41" t="s">
        <v>21</v>
      </c>
    </row>
    <row r="42" spans="1:4" x14ac:dyDescent="0.25">
      <c r="A42" s="2">
        <f t="shared" si="0"/>
        <v>40</v>
      </c>
      <c r="B42" t="s">
        <v>663</v>
      </c>
      <c r="C42" t="s">
        <v>664</v>
      </c>
      <c r="D42" t="s">
        <v>584</v>
      </c>
    </row>
    <row r="43" spans="1:4" x14ac:dyDescent="0.25">
      <c r="A43" s="2">
        <f t="shared" si="0"/>
        <v>41</v>
      </c>
      <c r="B43" t="s">
        <v>665</v>
      </c>
      <c r="C43" t="s">
        <v>666</v>
      </c>
      <c r="D43" t="s">
        <v>165</v>
      </c>
    </row>
    <row r="44" spans="1:4" x14ac:dyDescent="0.25">
      <c r="A44" s="2">
        <f t="shared" si="0"/>
        <v>42</v>
      </c>
      <c r="B44" t="s">
        <v>667</v>
      </c>
      <c r="C44" t="s">
        <v>668</v>
      </c>
      <c r="D44" t="s">
        <v>677</v>
      </c>
    </row>
    <row r="45" spans="1:4" x14ac:dyDescent="0.25">
      <c r="A45" s="2">
        <f t="shared" si="0"/>
        <v>43</v>
      </c>
      <c r="B45" t="s">
        <v>669</v>
      </c>
      <c r="C45" t="s">
        <v>670</v>
      </c>
      <c r="D45" t="s">
        <v>21</v>
      </c>
    </row>
    <row r="46" spans="1:4" x14ac:dyDescent="0.25">
      <c r="A46" s="2">
        <f t="shared" si="0"/>
        <v>44</v>
      </c>
      <c r="B46" t="s">
        <v>671</v>
      </c>
      <c r="C46" t="s">
        <v>672</v>
      </c>
      <c r="D46" t="s">
        <v>21</v>
      </c>
    </row>
    <row r="47" spans="1:4" x14ac:dyDescent="0.25">
      <c r="A47" s="2">
        <f t="shared" si="0"/>
        <v>45</v>
      </c>
      <c r="B47" t="s">
        <v>673</v>
      </c>
      <c r="C47" t="s">
        <v>674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425</v>
      </c>
      <c r="C3" t="s">
        <v>427</v>
      </c>
    </row>
    <row r="4" spans="2:3" x14ac:dyDescent="0.25">
      <c r="B4" t="s">
        <v>426</v>
      </c>
      <c r="C4" t="s">
        <v>428</v>
      </c>
    </row>
    <row r="5" spans="2:3" x14ac:dyDescent="0.25">
      <c r="B5" t="s">
        <v>429</v>
      </c>
      <c r="C5" t="s">
        <v>430</v>
      </c>
    </row>
    <row r="6" spans="2:3" x14ac:dyDescent="0.25">
      <c r="B6" t="s">
        <v>466</v>
      </c>
      <c r="C6" t="s">
        <v>472</v>
      </c>
    </row>
    <row r="7" spans="2:3" x14ac:dyDescent="0.25">
      <c r="B7" t="s">
        <v>467</v>
      </c>
      <c r="C7" t="s">
        <v>473</v>
      </c>
    </row>
    <row r="8" spans="2:3" x14ac:dyDescent="0.25">
      <c r="B8" t="s">
        <v>468</v>
      </c>
      <c r="C8" t="s">
        <v>470</v>
      </c>
    </row>
    <row r="9" spans="2:3" x14ac:dyDescent="0.25">
      <c r="B9" t="s">
        <v>469</v>
      </c>
      <c r="C9" t="s">
        <v>471</v>
      </c>
    </row>
    <row r="10" spans="2:3" x14ac:dyDescent="0.25">
      <c r="B10" t="s">
        <v>474</v>
      </c>
      <c r="C10" t="s">
        <v>475</v>
      </c>
    </row>
    <row r="11" spans="2:3" x14ac:dyDescent="0.25">
      <c r="B11" t="s">
        <v>476</v>
      </c>
      <c r="C11" t="s">
        <v>477</v>
      </c>
    </row>
    <row r="12" spans="2:3" x14ac:dyDescent="0.25">
      <c r="B12" t="s">
        <v>478</v>
      </c>
      <c r="C12" t="s">
        <v>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129</v>
      </c>
      <c r="C2" s="3"/>
    </row>
    <row r="3" spans="2:3" x14ac:dyDescent="0.25">
      <c r="B3" t="s">
        <v>121</v>
      </c>
      <c r="C3" s="11">
        <v>1.04</v>
      </c>
    </row>
    <row r="4" spans="2:3" x14ac:dyDescent="0.25">
      <c r="B4" t="s">
        <v>120</v>
      </c>
      <c r="C4" s="11">
        <v>9.5000000000000001E-2</v>
      </c>
    </row>
    <row r="5" spans="2:3" x14ac:dyDescent="0.25">
      <c r="B5" t="s">
        <v>119</v>
      </c>
      <c r="C5" s="11">
        <v>6.3E-3</v>
      </c>
    </row>
    <row r="6" spans="2:3" x14ac:dyDescent="0.25">
      <c r="B6" t="s">
        <v>122</v>
      </c>
      <c r="C6" s="11">
        <v>0.14000000000000001</v>
      </c>
    </row>
    <row r="7" spans="2:3" x14ac:dyDescent="0.25">
      <c r="B7" t="s">
        <v>130</v>
      </c>
      <c r="C7" s="11">
        <v>1.1200000000000001</v>
      </c>
    </row>
    <row r="8" spans="2:3" x14ac:dyDescent="0.25">
      <c r="B8" t="s">
        <v>336</v>
      </c>
      <c r="C8" s="11">
        <v>1.24</v>
      </c>
    </row>
    <row r="9" spans="2:3" x14ac:dyDescent="0.25">
      <c r="B9" t="s">
        <v>379</v>
      </c>
      <c r="C9" s="11">
        <v>0.14000000000000001</v>
      </c>
    </row>
    <row r="10" spans="2:3" x14ac:dyDescent="0.25">
      <c r="B10" t="s">
        <v>389</v>
      </c>
      <c r="C10" s="11">
        <v>0.92</v>
      </c>
    </row>
    <row r="11" spans="2:3" x14ac:dyDescent="0.25">
      <c r="B11" t="s">
        <v>391</v>
      </c>
      <c r="C11" s="11">
        <v>0.25</v>
      </c>
    </row>
    <row r="12" spans="2:3" x14ac:dyDescent="0.25">
      <c r="B12" t="s">
        <v>393</v>
      </c>
      <c r="C12" s="11">
        <v>1.0999999999999999E-2</v>
      </c>
    </row>
    <row r="13" spans="2:3" x14ac:dyDescent="0.25">
      <c r="B13" t="s">
        <v>396</v>
      </c>
      <c r="C13" s="11">
        <v>0.69</v>
      </c>
    </row>
    <row r="14" spans="2:3" x14ac:dyDescent="0.25">
      <c r="B14" t="s">
        <v>397</v>
      </c>
      <c r="C14" s="11">
        <v>5.3999999999999999E-2</v>
      </c>
    </row>
    <row r="15" spans="2:3" x14ac:dyDescent="0.25">
      <c r="B15" t="s">
        <v>441</v>
      </c>
      <c r="C15" s="11">
        <v>0.03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58B9-0FBA-4749-BEFA-4DF05274EAFA}">
  <dimension ref="A1:H6"/>
  <sheetViews>
    <sheetView zoomScale="200" zoomScaleNormal="200" workbookViewId="0">
      <selection activeCell="B6" sqref="B6"/>
    </sheetView>
  </sheetViews>
  <sheetFormatPr defaultRowHeight="15" x14ac:dyDescent="0.25"/>
  <cols>
    <col min="1" max="1" width="5.42578125" bestFit="1" customWidth="1"/>
    <col min="2" max="3" width="19.85546875" customWidth="1"/>
    <col min="4" max="4" width="15.28515625" bestFit="1" customWidth="1"/>
    <col min="5" max="5" width="10.5703125" bestFit="1" customWidth="1"/>
  </cols>
  <sheetData>
    <row r="1" spans="1:8" x14ac:dyDescent="0.25">
      <c r="A1" s="8" t="s">
        <v>464</v>
      </c>
    </row>
    <row r="2" spans="1:8" x14ac:dyDescent="0.25">
      <c r="B2" t="s">
        <v>2</v>
      </c>
      <c r="C2" t="s">
        <v>739</v>
      </c>
      <c r="D2" t="s">
        <v>726</v>
      </c>
      <c r="E2" t="s">
        <v>727</v>
      </c>
      <c r="F2" s="10" t="s">
        <v>4</v>
      </c>
      <c r="G2" s="10" t="s">
        <v>126</v>
      </c>
      <c r="H2" s="10"/>
    </row>
    <row r="3" spans="1:8" x14ac:dyDescent="0.25">
      <c r="B3" t="s">
        <v>728</v>
      </c>
      <c r="C3" s="8" t="s">
        <v>729</v>
      </c>
      <c r="D3" t="s">
        <v>737</v>
      </c>
      <c r="E3" s="41">
        <v>45757</v>
      </c>
      <c r="F3" s="43">
        <v>1250</v>
      </c>
    </row>
    <row r="4" spans="1:8" x14ac:dyDescent="0.25">
      <c r="B4" t="s">
        <v>699</v>
      </c>
      <c r="C4" s="8" t="s">
        <v>699</v>
      </c>
      <c r="D4" t="s">
        <v>735</v>
      </c>
      <c r="E4" s="41">
        <v>45782</v>
      </c>
      <c r="F4" s="10" t="s">
        <v>736</v>
      </c>
    </row>
    <row r="5" spans="1:8" x14ac:dyDescent="0.25">
      <c r="B5" t="s">
        <v>128</v>
      </c>
      <c r="C5" t="s">
        <v>128</v>
      </c>
      <c r="D5" t="s">
        <v>738</v>
      </c>
      <c r="E5" s="41">
        <v>45637</v>
      </c>
      <c r="F5" s="42">
        <v>1100</v>
      </c>
    </row>
    <row r="6" spans="1:8" x14ac:dyDescent="0.25">
      <c r="B6" t="s">
        <v>740</v>
      </c>
      <c r="D6" t="s">
        <v>741</v>
      </c>
    </row>
  </sheetData>
  <hyperlinks>
    <hyperlink ref="A1" location="Main!A1" display="Main" xr:uid="{996B57F6-8038-47F6-A248-0F268F1ACEFB}"/>
    <hyperlink ref="C4" r:id="rId1" display="SKX" xr:uid="{8E2CF5BB-29AF-4437-8F96-D294155BB64C}"/>
    <hyperlink ref="C3" r:id="rId2" xr:uid="{2A12F8E0-FB6F-4E0D-B2A9-CED87F005A2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Sports</vt:lpstr>
      <vt:lpstr>Retail</vt:lpstr>
      <vt:lpstr>Accessoires</vt:lpstr>
      <vt:lpstr>Luxury</vt:lpstr>
      <vt:lpstr>Furniture</vt:lpstr>
      <vt:lpstr>Glossar</vt:lpstr>
      <vt:lpstr>FX</vt:lpstr>
      <vt:lpstr>Acquisitions</vt:lpstr>
      <vt:lpstr>People</vt:lpstr>
      <vt:lpstr>Market</vt:lpstr>
      <vt:lpstr>Private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2025-08-15T16:50:11Z</dcterms:modified>
  <cp:category/>
  <cp:contentStatus/>
</cp:coreProperties>
</file>