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/Documents/Investment /Potentielle Investments/Analysen/BMW/Analyse /"/>
    </mc:Choice>
  </mc:AlternateContent>
  <xr:revisionPtr revIDLastSave="0" documentId="13_ncr:1_{644B2BF3-84EB-1042-B671-BDF03B11E586}" xr6:coauthVersionLast="47" xr6:coauthVersionMax="47" xr10:uidLastSave="{00000000-0000-0000-0000-000000000000}"/>
  <bookViews>
    <workbookView xWindow="0" yWindow="500" windowWidth="28800" windowHeight="15940" activeTab="3" xr2:uid="{6097EC72-D1FB-7942-988E-F1EBC8D06C45}"/>
  </bookViews>
  <sheets>
    <sheet name="Unternehmensprofil" sheetId="1" r:id="rId1"/>
    <sheet name="Income Statement" sheetId="2" r:id="rId2"/>
    <sheet name="Bilanz" sheetId="3" r:id="rId3"/>
    <sheet name="Cash Flow Statement" sheetId="4" r:id="rId4"/>
    <sheet name="Produkte " sheetId="9" r:id="rId5"/>
    <sheet name="Ratios und Multiples" sheetId="5" r:id="rId6"/>
    <sheet name="Relative Valuation" sheetId="6" r:id="rId7"/>
    <sheet name="Aktienkur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5" l="1"/>
  <c r="C8" i="5"/>
  <c r="C9" i="5"/>
  <c r="C6" i="5"/>
  <c r="H19" i="2"/>
  <c r="H24" i="2"/>
  <c r="H34" i="2" s="1"/>
  <c r="G3" i="2"/>
  <c r="I23" i="2"/>
  <c r="F34" i="2"/>
  <c r="G34" i="2"/>
  <c r="G35" i="2"/>
  <c r="G37" i="2" s="1"/>
  <c r="F35" i="2"/>
  <c r="F37" i="2" s="1"/>
  <c r="H37" i="2"/>
  <c r="F24" i="2"/>
  <c r="I24" i="2"/>
  <c r="G24" i="2"/>
  <c r="N20" i="4"/>
  <c r="M20" i="4"/>
  <c r="M37" i="4" s="1"/>
  <c r="M39" i="4" s="1"/>
  <c r="J28" i="4"/>
  <c r="J34" i="4"/>
  <c r="J24" i="4"/>
  <c r="J23" i="4"/>
  <c r="J21" i="4"/>
  <c r="I14" i="4"/>
  <c r="H14" i="4"/>
  <c r="G14" i="4"/>
  <c r="F14" i="4"/>
  <c r="J14" i="4"/>
  <c r="J20" i="4" s="1"/>
  <c r="F39" i="4"/>
  <c r="K39" i="4"/>
  <c r="H37" i="4"/>
  <c r="H39" i="4" s="1"/>
  <c r="F37" i="4"/>
  <c r="K37" i="4"/>
  <c r="I34" i="4"/>
  <c r="H34" i="4"/>
  <c r="G34" i="4"/>
  <c r="F34" i="4"/>
  <c r="K34" i="4"/>
  <c r="K28" i="4"/>
  <c r="I25" i="4"/>
  <c r="H25" i="4"/>
  <c r="G25" i="4"/>
  <c r="F25" i="4"/>
  <c r="N25" i="4"/>
  <c r="M25" i="4"/>
  <c r="K25" i="4"/>
  <c r="K24" i="4"/>
  <c r="K23" i="4"/>
  <c r="K21" i="4"/>
  <c r="I20" i="4"/>
  <c r="I37" i="4" s="1"/>
  <c r="I39" i="4" s="1"/>
  <c r="H20" i="4"/>
  <c r="G20" i="4"/>
  <c r="G37" i="4" s="1"/>
  <c r="G39" i="4" s="1"/>
  <c r="K20" i="4"/>
  <c r="K14" i="4"/>
  <c r="J7" i="1"/>
  <c r="J8" i="1" s="1"/>
  <c r="H4" i="4"/>
  <c r="I4" i="4" s="1"/>
  <c r="J4" i="4" s="1"/>
  <c r="K4" i="4" s="1"/>
  <c r="J9" i="1"/>
  <c r="J10" i="1"/>
  <c r="M31" i="3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0" i="2"/>
  <c r="M49" i="2"/>
  <c r="M48" i="2"/>
  <c r="M47" i="2"/>
  <c r="M46" i="2"/>
  <c r="M45" i="2"/>
  <c r="J34" i="2"/>
  <c r="M34" i="2"/>
  <c r="M23" i="2"/>
  <c r="L23" i="2"/>
  <c r="L35" i="9"/>
  <c r="Q10" i="9"/>
  <c r="P10" i="9"/>
  <c r="N10" i="9"/>
  <c r="O10" i="9" s="1"/>
  <c r="N8" i="9"/>
  <c r="O8" i="9" s="1"/>
  <c r="O9" i="9"/>
  <c r="O7" i="9"/>
  <c r="N7" i="9"/>
  <c r="Q9" i="9"/>
  <c r="Q8" i="9"/>
  <c r="P8" i="9"/>
  <c r="P7" i="9"/>
  <c r="Q7" i="9" s="1"/>
  <c r="L20" i="9"/>
  <c r="K20" i="9"/>
  <c r="L34" i="2"/>
  <c r="L10" i="9"/>
  <c r="K10" i="9"/>
  <c r="L11" i="2"/>
  <c r="L19" i="2" s="1"/>
  <c r="N37" i="4" l="1"/>
  <c r="N39" i="4" s="1"/>
  <c r="J25" i="4"/>
  <c r="J37" i="4"/>
  <c r="J39" i="4" s="1"/>
  <c r="L24" i="2"/>
  <c r="L35" i="2" s="1"/>
  <c r="L37" i="2" s="1"/>
  <c r="J11" i="1" l="1"/>
  <c r="O68" i="2" l="1"/>
  <c r="O67" i="2"/>
  <c r="O66" i="2"/>
  <c r="O65" i="2"/>
  <c r="O64" i="2"/>
  <c r="O62" i="2"/>
  <c r="O61" i="2"/>
  <c r="O60" i="2"/>
  <c r="O59" i="2"/>
  <c r="O58" i="2"/>
  <c r="O56" i="2"/>
  <c r="O55" i="2"/>
  <c r="O54" i="2"/>
  <c r="O53" i="2"/>
  <c r="O52" i="2"/>
  <c r="O51" i="2"/>
  <c r="J57" i="2"/>
  <c r="I57" i="2"/>
  <c r="J56" i="2"/>
  <c r="J55" i="2"/>
  <c r="J54" i="2"/>
  <c r="J53" i="2"/>
  <c r="J52" i="2"/>
  <c r="I56" i="2"/>
  <c r="I55" i="2"/>
  <c r="I54" i="2"/>
  <c r="I53" i="2"/>
  <c r="I52" i="2"/>
  <c r="H56" i="2"/>
  <c r="H55" i="2"/>
  <c r="H54" i="2"/>
  <c r="H53" i="2"/>
  <c r="H52" i="2"/>
  <c r="G56" i="2"/>
  <c r="G55" i="2"/>
  <c r="G54" i="2"/>
  <c r="G53" i="2"/>
  <c r="G52" i="2"/>
  <c r="F56" i="2"/>
  <c r="F55" i="2"/>
  <c r="F54" i="2"/>
  <c r="F53" i="2"/>
  <c r="F52" i="2"/>
  <c r="F65" i="2"/>
  <c r="F64" i="2"/>
  <c r="F67" i="2"/>
  <c r="J68" i="2"/>
  <c r="I68" i="2"/>
  <c r="H68" i="2"/>
  <c r="G68" i="2"/>
  <c r="F68" i="2"/>
  <c r="J67" i="2"/>
  <c r="I67" i="2"/>
  <c r="H67" i="2"/>
  <c r="G67" i="2"/>
  <c r="J66" i="2"/>
  <c r="I66" i="2"/>
  <c r="H66" i="2"/>
  <c r="G66" i="2"/>
  <c r="J65" i="2"/>
  <c r="I65" i="2"/>
  <c r="H65" i="2"/>
  <c r="G65" i="2"/>
  <c r="F66" i="2"/>
  <c r="J64" i="2"/>
  <c r="I64" i="2"/>
  <c r="H64" i="2"/>
  <c r="G64" i="2"/>
  <c r="J62" i="2"/>
  <c r="I62" i="2"/>
  <c r="H62" i="2"/>
  <c r="G62" i="2"/>
  <c r="J61" i="2"/>
  <c r="I61" i="2"/>
  <c r="H61" i="2"/>
  <c r="G61" i="2"/>
  <c r="J60" i="2"/>
  <c r="I60" i="2"/>
  <c r="H60" i="2"/>
  <c r="G60" i="2"/>
  <c r="J59" i="2"/>
  <c r="I59" i="2"/>
  <c r="H59" i="2"/>
  <c r="G59" i="2"/>
  <c r="J58" i="2"/>
  <c r="I58" i="2"/>
  <c r="H58" i="2"/>
  <c r="G58" i="2"/>
  <c r="J49" i="2"/>
  <c r="I49" i="2"/>
  <c r="H49" i="2"/>
  <c r="G49" i="2"/>
  <c r="J48" i="2"/>
  <c r="I48" i="2"/>
  <c r="H48" i="2"/>
  <c r="G48" i="2"/>
  <c r="J47" i="2"/>
  <c r="I47" i="2"/>
  <c r="H47" i="2"/>
  <c r="G47" i="2"/>
  <c r="J46" i="2"/>
  <c r="I46" i="2"/>
  <c r="H46" i="2"/>
  <c r="G46" i="2"/>
  <c r="J45" i="2"/>
  <c r="I45" i="2"/>
  <c r="H45" i="2"/>
  <c r="G45" i="2"/>
  <c r="G44" i="2"/>
  <c r="H44" i="2" s="1"/>
  <c r="I44" i="2" s="1"/>
  <c r="J44" i="2" s="1"/>
  <c r="H46" i="3"/>
  <c r="G46" i="3"/>
  <c r="F46" i="3"/>
  <c r="M45" i="3"/>
  <c r="L45" i="3"/>
  <c r="J45" i="3"/>
  <c r="I45" i="3"/>
  <c r="H45" i="3"/>
  <c r="G45" i="3"/>
  <c r="F45" i="3"/>
  <c r="M39" i="3"/>
  <c r="L39" i="3"/>
  <c r="J39" i="3"/>
  <c r="I39" i="3"/>
  <c r="H39" i="3"/>
  <c r="G39" i="3"/>
  <c r="F39" i="3"/>
  <c r="H33" i="3"/>
  <c r="G33" i="3"/>
  <c r="F33" i="3"/>
  <c r="M33" i="3"/>
  <c r="L31" i="3"/>
  <c r="L33" i="3" s="1"/>
  <c r="J31" i="3"/>
  <c r="J33" i="3" s="1"/>
  <c r="I31" i="3"/>
  <c r="I33" i="3" s="1"/>
  <c r="H31" i="3"/>
  <c r="G31" i="3"/>
  <c r="F31" i="3"/>
  <c r="H24" i="3"/>
  <c r="G24" i="3"/>
  <c r="F24" i="3"/>
  <c r="F15" i="3"/>
  <c r="M23" i="3"/>
  <c r="L23" i="3"/>
  <c r="J23" i="3"/>
  <c r="I23" i="3"/>
  <c r="H23" i="3"/>
  <c r="G23" i="3"/>
  <c r="F23" i="3"/>
  <c r="M15" i="3"/>
  <c r="L15" i="3"/>
  <c r="J15" i="3"/>
  <c r="I15" i="3"/>
  <c r="H15" i="3"/>
  <c r="G15" i="3"/>
  <c r="H4" i="3"/>
  <c r="I4" i="3" s="1"/>
  <c r="J4" i="3" s="1"/>
  <c r="G4" i="3"/>
  <c r="H67" i="9"/>
  <c r="G67" i="9"/>
  <c r="F67" i="9"/>
  <c r="E67" i="9"/>
  <c r="I67" i="9"/>
  <c r="H60" i="9"/>
  <c r="G60" i="9"/>
  <c r="F60" i="9"/>
  <c r="E60" i="9"/>
  <c r="I60" i="9"/>
  <c r="E53" i="9"/>
  <c r="F53" i="9"/>
  <c r="G53" i="9"/>
  <c r="H53" i="9"/>
  <c r="I53" i="9"/>
  <c r="G40" i="9"/>
  <c r="F40" i="9" s="1"/>
  <c r="E40" i="9" s="1"/>
  <c r="H40" i="9"/>
  <c r="I34" i="2"/>
  <c r="J23" i="2"/>
  <c r="G19" i="2"/>
  <c r="G23" i="2" s="1"/>
  <c r="F18" i="2"/>
  <c r="F19" i="2" s="1"/>
  <c r="F23" i="2" s="1"/>
  <c r="I18" i="2"/>
  <c r="J18" i="2"/>
  <c r="I35" i="9"/>
  <c r="H35" i="9"/>
  <c r="G35" i="9"/>
  <c r="F35" i="9"/>
  <c r="F33" i="9"/>
  <c r="G33" i="9" s="1"/>
  <c r="H33" i="9" s="1"/>
  <c r="I33" i="9" s="1"/>
  <c r="I28" i="9"/>
  <c r="H28" i="9"/>
  <c r="G28" i="9"/>
  <c r="F28" i="9"/>
  <c r="F26" i="9"/>
  <c r="G26" i="9" s="1"/>
  <c r="H26" i="9" s="1"/>
  <c r="I26" i="9" s="1"/>
  <c r="F13" i="9"/>
  <c r="G13" i="9" s="1"/>
  <c r="H13" i="9" s="1"/>
  <c r="I13" i="9" s="1"/>
  <c r="I18" i="9"/>
  <c r="H18" i="9"/>
  <c r="G18" i="9"/>
  <c r="F18" i="9"/>
  <c r="E18" i="9"/>
  <c r="I10" i="9"/>
  <c r="H10" i="9"/>
  <c r="G10" i="9"/>
  <c r="F10" i="9"/>
  <c r="F5" i="9"/>
  <c r="G5" i="9" s="1"/>
  <c r="H5" i="9" s="1"/>
  <c r="I5" i="9" s="1"/>
  <c r="E10" i="9"/>
  <c r="M11" i="2"/>
  <c r="M19" i="2" s="1"/>
  <c r="M24" i="2" s="1"/>
  <c r="M35" i="2" s="1"/>
  <c r="M37" i="2" s="1"/>
  <c r="J11" i="2"/>
  <c r="I11" i="2"/>
  <c r="H11" i="2"/>
  <c r="G11" i="2"/>
  <c r="F11" i="2"/>
  <c r="G4" i="2"/>
  <c r="H4" i="2" s="1"/>
  <c r="I4" i="2" s="1"/>
  <c r="J4" i="2" s="1"/>
  <c r="I46" i="3" l="1"/>
  <c r="I24" i="3"/>
  <c r="J46" i="3"/>
  <c r="J24" i="3"/>
  <c r="L46" i="3"/>
  <c r="L24" i="3"/>
  <c r="M46" i="3"/>
  <c r="M24" i="3"/>
  <c r="J50" i="2"/>
  <c r="G50" i="2"/>
  <c r="O45" i="2"/>
  <c r="I50" i="2"/>
  <c r="O46" i="2"/>
  <c r="O47" i="2"/>
  <c r="O48" i="2"/>
  <c r="O49" i="2"/>
  <c r="H23" i="2"/>
  <c r="H50" i="2"/>
  <c r="J19" i="2"/>
  <c r="J24" i="2" s="1"/>
  <c r="I19" i="2"/>
  <c r="H57" i="2"/>
  <c r="G20" i="9"/>
  <c r="H20" i="9"/>
  <c r="E20" i="9"/>
  <c r="I20" i="9"/>
  <c r="F20" i="9"/>
  <c r="H63" i="2" l="1"/>
  <c r="F63" i="2"/>
  <c r="G57" i="2"/>
  <c r="O57" i="2" s="1"/>
  <c r="O50" i="2"/>
  <c r="I35" i="2"/>
  <c r="I37" i="2" s="1"/>
  <c r="I63" i="2"/>
  <c r="J35" i="2"/>
  <c r="J37" i="2" s="1"/>
  <c r="J63" i="2"/>
  <c r="G63" i="2"/>
  <c r="O6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F5" authorId="0" shapeId="0" xr:uid="{FEEF9FD5-8049-DA4E-AD11-A9574996CA64}">
      <text>
        <r>
          <rPr>
            <b/>
            <sz val="10"/>
            <color rgb="FF000000"/>
            <rFont val="Tahoma"/>
            <family val="2"/>
          </rPr>
          <t>Oscar Settje: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Zahlen wurden agepasst
</t>
        </r>
      </text>
    </comment>
    <comment ref="G5" authorId="0" shapeId="0" xr:uid="{84D19CDB-857F-0E44-AFB5-C86425A7A017}">
      <text>
        <r>
          <rPr>
            <b/>
            <sz val="10"/>
            <color rgb="FF000000"/>
            <rFont val="Tahoma"/>
            <family val="2"/>
          </rPr>
          <t>Oscar Settje: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Zahlen wurden agepasst
</t>
        </r>
      </text>
    </comment>
    <comment ref="H5" authorId="0" shapeId="0" xr:uid="{3D37FF50-3F71-E949-A73D-A6E7FABAF001}">
      <text>
        <r>
          <rPr>
            <b/>
            <sz val="10"/>
            <color rgb="FF000000"/>
            <rFont val="Tahoma"/>
            <family val="2"/>
          </rPr>
          <t>Oscar Settje: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Zahlen wurden agepasst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M39" authorId="0" shapeId="0" xr:uid="{E3EFF022-5450-0D42-B110-5E10B23F9298}">
      <text>
        <r>
          <rPr>
            <b/>
            <sz val="10"/>
            <color rgb="FF000000"/>
            <rFont val="Tahoma"/>
            <family val="2"/>
          </rPr>
          <t>Oscar Settje: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30-September</t>
        </r>
      </text>
    </comment>
    <comment ref="N39" authorId="0" shapeId="0" xr:uid="{44928C71-4638-624C-A9F9-7A6F77CFB2A1}">
      <text>
        <r>
          <rPr>
            <b/>
            <sz val="10"/>
            <color rgb="FF000000"/>
            <rFont val="Tahoma"/>
            <family val="2"/>
          </rPr>
          <t>Oscar Settje: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30.September</t>
        </r>
      </text>
    </comment>
  </commentList>
</comments>
</file>

<file path=xl/sharedStrings.xml><?xml version="1.0" encoding="utf-8"?>
<sst xmlns="http://schemas.openxmlformats.org/spreadsheetml/2006/main" count="327" uniqueCount="177">
  <si>
    <t>Umsatzerlöse</t>
  </si>
  <si>
    <t>x</t>
  </si>
  <si>
    <t xml:space="preserve">Automobile </t>
  </si>
  <si>
    <t>Motorräde</t>
  </si>
  <si>
    <t>Finazdienstleistungen</t>
  </si>
  <si>
    <t>Sonstige Gesellschaften</t>
  </si>
  <si>
    <t xml:space="preserve">Konsolidierung </t>
  </si>
  <si>
    <t>2022 Halbjahr</t>
  </si>
  <si>
    <t>2023 Halbjahr</t>
  </si>
  <si>
    <t xml:space="preserve">Income Statement BMW </t>
  </si>
  <si>
    <t>in Mio EUR</t>
  </si>
  <si>
    <t>BMW</t>
  </si>
  <si>
    <t>MINI</t>
  </si>
  <si>
    <t>Rolls-Royce</t>
  </si>
  <si>
    <t xml:space="preserve">Auslieferungen nach Marken  </t>
  </si>
  <si>
    <t xml:space="preserve">Gesamt </t>
  </si>
  <si>
    <t xml:space="preserve">Produktion nach Marken  </t>
  </si>
  <si>
    <t>Diffenenz</t>
  </si>
  <si>
    <t>Automobil</t>
  </si>
  <si>
    <t>Kennzahlen</t>
  </si>
  <si>
    <t>Produktion</t>
  </si>
  <si>
    <t>Wachstum</t>
  </si>
  <si>
    <t>Motorräder</t>
  </si>
  <si>
    <t>Finanzdienstleistungen</t>
  </si>
  <si>
    <t>Neuverträge mit Endkunden</t>
  </si>
  <si>
    <t>Gesamtumsatz</t>
  </si>
  <si>
    <t xml:space="preserve">Moodys Kreditrating </t>
  </si>
  <si>
    <t>A2</t>
  </si>
  <si>
    <t>Herstellungskosten</t>
  </si>
  <si>
    <t>Finazdienstleistungen betreffend</t>
  </si>
  <si>
    <t>F&amp;E</t>
  </si>
  <si>
    <t xml:space="preserve">Serviceverträge, Telematik und Pannenhilfe </t>
  </si>
  <si>
    <t>Gewährleistungsaufwendungen</t>
  </si>
  <si>
    <t>Sonstige</t>
  </si>
  <si>
    <t>Gesamtumsatzkosten</t>
  </si>
  <si>
    <t>Vertriebs- und Verwaltungskosten</t>
  </si>
  <si>
    <t>Sonstige betriebliche Erträge</t>
  </si>
  <si>
    <t>Sonstige betriebliche Aufwendungen</t>
  </si>
  <si>
    <t>Betriebskosten</t>
  </si>
  <si>
    <t>Ergebnis aus Equity-Bewertung</t>
  </si>
  <si>
    <t>Zinsen und ähnliche Erträge</t>
  </si>
  <si>
    <t>Zinsen und ähnliche Aufwendungen</t>
  </si>
  <si>
    <t>Übriges Finanzergebnis</t>
  </si>
  <si>
    <t>Finanzergebnis</t>
  </si>
  <si>
    <t>Ergebnis vor Finanzergebnis</t>
  </si>
  <si>
    <t>Vorsteuer Ergebnis</t>
  </si>
  <si>
    <t>Steueraufwendungen</t>
  </si>
  <si>
    <t>Jahresüberschuss/Fehlbetrag</t>
  </si>
  <si>
    <t>EPS</t>
  </si>
  <si>
    <t>Bilanz BMW</t>
  </si>
  <si>
    <t>EBIT</t>
  </si>
  <si>
    <t>EBIT Automobil</t>
  </si>
  <si>
    <t>EBIT Motorräder</t>
  </si>
  <si>
    <t>EBIT Finanzdisenstleistungen</t>
  </si>
  <si>
    <t>EBIT Sonstige</t>
  </si>
  <si>
    <t>EBIT Konsolidierung</t>
  </si>
  <si>
    <t>Shares</t>
  </si>
  <si>
    <t>BMW 1er/2er</t>
  </si>
  <si>
    <t>BMW 3er/4er</t>
  </si>
  <si>
    <t>BMW 5er/6er</t>
  </si>
  <si>
    <t>BMW 7er/8er</t>
  </si>
  <si>
    <t>BMW Z4</t>
  </si>
  <si>
    <t>BMW X1/X2</t>
  </si>
  <si>
    <t>BMW X3/X4</t>
  </si>
  <si>
    <t>BMW X5/X6</t>
  </si>
  <si>
    <t>BMW X7</t>
  </si>
  <si>
    <t>BMW iX</t>
  </si>
  <si>
    <t>Art</t>
  </si>
  <si>
    <t>BMW i3/i8</t>
  </si>
  <si>
    <t>Modelle (Auslieferungen)</t>
  </si>
  <si>
    <t>MINI Hatch (3- und 5-Türer)</t>
  </si>
  <si>
    <t>Cabrio</t>
  </si>
  <si>
    <t>MINI Countryman</t>
  </si>
  <si>
    <t>Rolls Royce</t>
  </si>
  <si>
    <t>Phantom</t>
  </si>
  <si>
    <t>MINI Clubman</t>
  </si>
  <si>
    <t>Ghost</t>
  </si>
  <si>
    <t>Wraith/Dawn</t>
  </si>
  <si>
    <t>Cullinan</t>
  </si>
  <si>
    <t>Gesamt</t>
  </si>
  <si>
    <t>Aktiva</t>
  </si>
  <si>
    <t>Immaterielle Vermögenswerte</t>
  </si>
  <si>
    <t>Vermietete Erzeugnisse</t>
  </si>
  <si>
    <t>Q2 22</t>
  </si>
  <si>
    <t>Q2 23</t>
  </si>
  <si>
    <t>At Equity bewertete Beteiligungen</t>
  </si>
  <si>
    <t>Sonstige Finanzanlagen</t>
  </si>
  <si>
    <t>Forderungen aus Finanzdienstleistungen</t>
  </si>
  <si>
    <t>Finanzforderungen</t>
  </si>
  <si>
    <t>Latente Ertragsteuern</t>
  </si>
  <si>
    <t>Sonstige Vermögenswerte</t>
  </si>
  <si>
    <t>Langfristige Vermögenswerte</t>
  </si>
  <si>
    <t>Vorräte</t>
  </si>
  <si>
    <t>Forderungen aus Lieferungen und Leistungen</t>
  </si>
  <si>
    <t>Laufende Ertragsteuern</t>
  </si>
  <si>
    <t>Zahlungsmittel und Zahlungsmitteläquivalente</t>
  </si>
  <si>
    <t>Kurzfristige Vermögenswerte</t>
  </si>
  <si>
    <t>Bilanzsumme</t>
  </si>
  <si>
    <t>Passiva</t>
  </si>
  <si>
    <t>Gezeichnetes Kapital</t>
  </si>
  <si>
    <t>Kapitalrücklage</t>
  </si>
  <si>
    <t>Gewinnrücklagen</t>
  </si>
  <si>
    <t>Kumuliertes übriges Eigenkapital</t>
  </si>
  <si>
    <t>Eigene Anteile</t>
  </si>
  <si>
    <t>Eigenkapital Aktionäre</t>
  </si>
  <si>
    <t>Anteile anderer Gesellschafter</t>
  </si>
  <si>
    <t>Eigenkapital</t>
  </si>
  <si>
    <t>Rückstellungen für Pensionen</t>
  </si>
  <si>
    <t>Sonstige Rückstellungen</t>
  </si>
  <si>
    <t>Finanzverbindlichkeiten</t>
  </si>
  <si>
    <t>Sonstige Verbindlichkeiten</t>
  </si>
  <si>
    <t>Langfristige Rückstellungen und Verbindlichkeiten</t>
  </si>
  <si>
    <t>Verbindlichkeiten aus Lieferungen und Leistungen</t>
  </si>
  <si>
    <t>Kurzfristige Rückstellungen und Verbindlichkeiten</t>
  </si>
  <si>
    <t>Umsatzwachstum</t>
  </si>
  <si>
    <t>EBIT Wachstum</t>
  </si>
  <si>
    <t>n.a.</t>
  </si>
  <si>
    <t>EBIT-Marge</t>
  </si>
  <si>
    <t>Umsatzanteil</t>
  </si>
  <si>
    <t xml:space="preserve">Average past 5 Years </t>
  </si>
  <si>
    <t xml:space="preserve">Aktienkurs </t>
  </si>
  <si>
    <t xml:space="preserve">Debt </t>
  </si>
  <si>
    <t>EV</t>
  </si>
  <si>
    <t>Q3 23</t>
  </si>
  <si>
    <t>Q3 22</t>
  </si>
  <si>
    <t>Q1 - Q3 22</t>
  </si>
  <si>
    <t>Q1 - Q3 23</t>
  </si>
  <si>
    <t>Davon Elektrisch</t>
  </si>
  <si>
    <t>Quote %</t>
  </si>
  <si>
    <t>-&gt; Ziel 50%</t>
  </si>
  <si>
    <t>Cash</t>
  </si>
  <si>
    <t>Aktien in Mio</t>
  </si>
  <si>
    <t>MC in Mio</t>
  </si>
  <si>
    <t>Sachanlagen (PPE)</t>
  </si>
  <si>
    <t>Cashflow Statement BMW</t>
  </si>
  <si>
    <t>Ergebnis vor Steuern</t>
  </si>
  <si>
    <t>Abschreibungen auf das übrige Anlagevermögen</t>
  </si>
  <si>
    <t>Veränderung der Rückstellungen</t>
  </si>
  <si>
    <t>Veränderung des Working Capital</t>
  </si>
  <si>
    <t>Wechselkursbedingte Veränderung der Zahlungsmittel und Zahlungsmitteläquivalente</t>
  </si>
  <si>
    <t>Gezahlte Ertragssteuer</t>
  </si>
  <si>
    <t>Erhaltene Zinsen</t>
  </si>
  <si>
    <t>Sonstige Zinsen und ähnliche Erträge/Aufwendungen</t>
  </si>
  <si>
    <t>Sonstige zahlungsunwirksame Erträge und Aufwendungen</t>
  </si>
  <si>
    <t>Veränderung der vermieteten Erzeugnisse</t>
  </si>
  <si>
    <t>Veränderung der Forderungen aus Finanzdienstleistungen</t>
  </si>
  <si>
    <t>Veränderung der Vorräte</t>
  </si>
  <si>
    <t>Veränderung der Forderungen aus Lieferungen und Leistungen</t>
  </si>
  <si>
    <t>Veränderung der Verbindlichkeiten aus Lieferungen und Leistungen</t>
  </si>
  <si>
    <t>=&gt; operativer Cash Flow</t>
  </si>
  <si>
    <t xml:space="preserve">Veränderung der sonstigen betrieblichen Aktiva und Passiva </t>
  </si>
  <si>
    <t>Zahlungsstrom für immaterielle Vermögenswerte und Sachanlagen</t>
  </si>
  <si>
    <t>Zahlungsausgänge für Akquisitionen abzgl. übernommener Zahlungsmittel</t>
  </si>
  <si>
    <t>Zahlungsstrom für Finanzanlagen</t>
  </si>
  <si>
    <t>Zahlungsstrom Wertpapiere und Investmentanteile</t>
  </si>
  <si>
    <t>=&gt; Cash Flow aus Investitionen</t>
  </si>
  <si>
    <t>Einzahlung in das Eigenkapital</t>
  </si>
  <si>
    <t>Erwerb eigener Anteile</t>
  </si>
  <si>
    <t>Dividenden an Aktionäre und andere Gesellschafter</t>
  </si>
  <si>
    <t>Konzerninterne Finanzierungs- und Eigenkapitaltransaktionen</t>
  </si>
  <si>
    <t>Gezahlte Zinsen</t>
  </si>
  <si>
    <t>Aufnahme langfristiger Finanzverbindlichkeiten</t>
  </si>
  <si>
    <t>Veränderung der sonstigen Finanzverbindlichkeiten</t>
  </si>
  <si>
    <t xml:space="preserve">=&gt; Cash Flow aus Finanzierung </t>
  </si>
  <si>
    <t>Rückzahlung  langfristiger Finanzverbindlichkeiten</t>
  </si>
  <si>
    <t>Konsolidierungskreisbedingte Veränderung der Zahlungsmittel und Zahlungsmitteläquivalente</t>
  </si>
  <si>
    <t>Veränderung der Zahlungsmittel und Zahlungsmitteläquivalente</t>
  </si>
  <si>
    <t>Cash 01.01</t>
  </si>
  <si>
    <t>Cash 31.12</t>
  </si>
  <si>
    <t xml:space="preserve">Multiples </t>
  </si>
  <si>
    <t>Return on Capital</t>
  </si>
  <si>
    <t>MC</t>
  </si>
  <si>
    <t>Umsatz-Multiple</t>
  </si>
  <si>
    <t>Multiples  2022</t>
  </si>
  <si>
    <t>IS</t>
  </si>
  <si>
    <t>EBIT-Multiple</t>
  </si>
  <si>
    <t xml:space="preserve">P/E Multiple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</si>
</sst>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38B2E5"/>
      <name val="BMWGroupTNCondensedPro"/>
    </font>
    <font>
      <sz val="8"/>
      <color rgb="FF191916"/>
      <name val="BMWGroupTNCondensedPro"/>
    </font>
    <font>
      <b/>
      <sz val="12"/>
      <color rgb="FF000000"/>
      <name val="Calibri"/>
      <family val="2"/>
      <scheme val="minor"/>
    </font>
    <font>
      <b/>
      <sz val="12"/>
      <color rgb="FF212529"/>
      <name val="Arial"/>
      <family val="2"/>
    </font>
    <font>
      <sz val="12"/>
      <color rgb="FF212529"/>
      <name val="Arial"/>
      <family val="2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3" fontId="0" fillId="0" borderId="0" xfId="0" applyNumberFormat="1"/>
    <xf numFmtId="3" fontId="2" fillId="0" borderId="0" xfId="0" applyNumberFormat="1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0" borderId="1" xfId="0" applyFont="1" applyBorder="1"/>
    <xf numFmtId="3" fontId="2" fillId="0" borderId="1" xfId="0" applyNumberFormat="1" applyFont="1" applyBorder="1"/>
    <xf numFmtId="164" fontId="0" fillId="0" borderId="0" xfId="1" applyNumberFormat="1" applyFont="1"/>
    <xf numFmtId="9" fontId="0" fillId="0" borderId="0" xfId="2" applyFont="1"/>
    <xf numFmtId="0" fontId="2" fillId="0" borderId="0" xfId="0" applyFont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0" fillId="0" borderId="2" xfId="0" applyBorder="1"/>
    <xf numFmtId="3" fontId="2" fillId="0" borderId="2" xfId="0" applyNumberFormat="1" applyFont="1" applyBorder="1"/>
    <xf numFmtId="0" fontId="2" fillId="0" borderId="3" xfId="0" applyFont="1" applyBorder="1" applyAlignment="1">
      <alignment horizontal="left" indent="1"/>
    </xf>
    <xf numFmtId="0" fontId="0" fillId="0" borderId="3" xfId="0" applyBorder="1"/>
    <xf numFmtId="3" fontId="0" fillId="0" borderId="3" xfId="0" applyNumberFormat="1" applyBorder="1"/>
    <xf numFmtId="3" fontId="2" fillId="0" borderId="3" xfId="0" applyNumberFormat="1" applyFont="1" applyBorder="1"/>
    <xf numFmtId="0" fontId="2" fillId="0" borderId="1" xfId="0" applyFont="1" applyBorder="1" applyAlignment="1">
      <alignment horizontal="left" indent="1"/>
    </xf>
    <xf numFmtId="0" fontId="2" fillId="0" borderId="3" xfId="0" applyFont="1" applyBorder="1"/>
    <xf numFmtId="3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3" fontId="3" fillId="0" borderId="0" xfId="0" applyNumberFormat="1" applyFont="1"/>
    <xf numFmtId="0" fontId="0" fillId="0" borderId="2" xfId="0" applyBorder="1" applyAlignment="1">
      <alignment horizontal="left" indent="1"/>
    </xf>
    <xf numFmtId="3" fontId="0" fillId="0" borderId="2" xfId="0" applyNumberFormat="1" applyBorder="1"/>
    <xf numFmtId="0" fontId="0" fillId="0" borderId="0" xfId="0" applyAlignment="1">
      <alignment horizontal="left" indent="2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horizontal="left" indent="1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2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" fillId="0" borderId="0" xfId="2" applyNumberFormat="1" applyFont="1" applyAlignment="1">
      <alignment horizontal="right"/>
    </xf>
    <xf numFmtId="0" fontId="0" fillId="0" borderId="4" xfId="0" applyBorder="1"/>
    <xf numFmtId="0" fontId="0" fillId="0" borderId="5" xfId="0" applyBorder="1"/>
    <xf numFmtId="0" fontId="2" fillId="0" borderId="5" xfId="0" applyFont="1" applyBorder="1" applyAlignment="1">
      <alignment horizontal="left" indent="1"/>
    </xf>
    <xf numFmtId="0" fontId="0" fillId="0" borderId="7" xfId="0" applyBorder="1"/>
    <xf numFmtId="0" fontId="6" fillId="0" borderId="0" xfId="0" applyFont="1"/>
    <xf numFmtId="14" fontId="7" fillId="0" borderId="0" xfId="0" applyNumberFormat="1" applyFont="1"/>
    <xf numFmtId="0" fontId="7" fillId="0" borderId="0" xfId="0" applyFont="1"/>
    <xf numFmtId="3" fontId="7" fillId="0" borderId="0" xfId="0" applyNumberFormat="1" applyFont="1"/>
    <xf numFmtId="0" fontId="0" fillId="0" borderId="6" xfId="0" applyBorder="1"/>
    <xf numFmtId="0" fontId="0" fillId="0" borderId="0" xfId="0" quotePrefix="1"/>
    <xf numFmtId="43" fontId="0" fillId="0" borderId="0" xfId="1" applyFont="1"/>
    <xf numFmtId="9" fontId="2" fillId="0" borderId="0" xfId="2" applyFont="1"/>
    <xf numFmtId="164" fontId="2" fillId="0" borderId="3" xfId="1" applyNumberFormat="1" applyFont="1" applyBorder="1"/>
    <xf numFmtId="164" fontId="0" fillId="0" borderId="1" xfId="1" applyNumberFormat="1" applyFont="1" applyBorder="1"/>
    <xf numFmtId="164" fontId="2" fillId="0" borderId="0" xfId="1" applyNumberFormat="1" applyFont="1"/>
    <xf numFmtId="164" fontId="0" fillId="0" borderId="3" xfId="1" applyNumberFormat="1" applyFont="1" applyBorder="1"/>
    <xf numFmtId="164" fontId="0" fillId="0" borderId="0" xfId="1" applyNumberFormat="1" applyFont="1" applyAlignment="1">
      <alignment horizontal="right"/>
    </xf>
    <xf numFmtId="0" fontId="0" fillId="0" borderId="6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6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5" xfId="0" applyFont="1" applyBorder="1"/>
    <xf numFmtId="0" fontId="8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quotePrefix="1" applyAlignment="1">
      <alignment horizontal="left" indent="1"/>
    </xf>
    <xf numFmtId="0" fontId="2" fillId="0" borderId="0" xfId="0" quotePrefix="1" applyFont="1"/>
    <xf numFmtId="0" fontId="0" fillId="0" borderId="0" xfId="0" applyAlignment="1">
      <alignment horizontal="left"/>
    </xf>
    <xf numFmtId="164" fontId="0" fillId="0" borderId="0" xfId="1" applyNumberFormat="1" applyFon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164" fontId="1" fillId="0" borderId="0" xfId="1" applyNumberFormat="1" applyFont="1" applyBorder="1" applyAlignment="1">
      <alignment horizontal="right"/>
    </xf>
    <xf numFmtId="164" fontId="2" fillId="0" borderId="5" xfId="1" applyNumberFormat="1" applyFont="1" applyBorder="1" applyAlignment="1">
      <alignment horizontal="right"/>
    </xf>
    <xf numFmtId="164" fontId="2" fillId="0" borderId="3" xfId="1" applyNumberFormat="1" applyFont="1" applyBorder="1" applyAlignment="1">
      <alignment horizontal="right"/>
    </xf>
    <xf numFmtId="164" fontId="2" fillId="0" borderId="6" xfId="1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5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C57F-9605-114A-8DB8-A1C160498519}">
  <dimension ref="A6:L14"/>
  <sheetViews>
    <sheetView workbookViewId="0">
      <selection activeCell="J8" sqref="J8"/>
    </sheetView>
  </sheetViews>
  <sheetFormatPr baseColWidth="10" defaultRowHeight="16"/>
  <cols>
    <col min="10" max="10" width="12.1640625" bestFit="1" customWidth="1"/>
  </cols>
  <sheetData>
    <row r="6" spans="1:12">
      <c r="I6" t="s">
        <v>120</v>
      </c>
      <c r="J6">
        <v>93.71</v>
      </c>
    </row>
    <row r="7" spans="1:12">
      <c r="I7" t="s">
        <v>131</v>
      </c>
      <c r="J7" s="3">
        <f>638716075/1000000</f>
        <v>638.71607500000005</v>
      </c>
    </row>
    <row r="8" spans="1:12">
      <c r="I8" t="s">
        <v>132</v>
      </c>
      <c r="J8" s="9">
        <f>J6*J7</f>
        <v>59854.083388250001</v>
      </c>
    </row>
    <row r="9" spans="1:12">
      <c r="I9" t="s">
        <v>121</v>
      </c>
      <c r="J9" s="3">
        <f>Bilanz!M37+Bilanz!M42+Bilanz!M43+Bilanz!M44+Bilanz!M38</f>
        <v>140605</v>
      </c>
      <c r="L9" s="9"/>
    </row>
    <row r="10" spans="1:12">
      <c r="I10" t="s">
        <v>130</v>
      </c>
      <c r="J10" s="3">
        <f>Bilanz!M22</f>
        <v>23115</v>
      </c>
    </row>
    <row r="11" spans="1:12">
      <c r="I11" t="s">
        <v>122</v>
      </c>
      <c r="J11" s="3">
        <f>J8+J9-J10</f>
        <v>177344.08338825</v>
      </c>
    </row>
    <row r="14" spans="1:12">
      <c r="A14" t="s">
        <v>26</v>
      </c>
      <c r="C14" t="s">
        <v>27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693B-EA6D-FE46-A2D8-E0EBE1DB7734}">
  <dimension ref="A1:Q76"/>
  <sheetViews>
    <sheetView showGridLines="0" topLeftCell="A2" zoomScale="120" zoomScaleNormal="120" workbookViewId="0">
      <selection activeCell="J2" sqref="J2"/>
    </sheetView>
  </sheetViews>
  <sheetFormatPr baseColWidth="10" defaultRowHeight="16"/>
  <cols>
    <col min="1" max="1" width="5" style="1" customWidth="1"/>
    <col min="9" max="9" width="11.1640625" bestFit="1" customWidth="1"/>
    <col min="10" max="10" width="12.5" customWidth="1"/>
    <col min="11" max="11" width="5.83203125" customWidth="1"/>
    <col min="12" max="12" width="12.33203125" customWidth="1"/>
    <col min="13" max="13" width="11.6640625" customWidth="1"/>
  </cols>
  <sheetData>
    <row r="1" spans="1:14">
      <c r="A1" s="1" t="s">
        <v>9</v>
      </c>
      <c r="B1" s="1"/>
    </row>
    <row r="2" spans="1:14">
      <c r="A2" t="s">
        <v>10</v>
      </c>
    </row>
    <row r="3" spans="1:14">
      <c r="G3">
        <f>G11/G5</f>
        <v>1.2304731317377289</v>
      </c>
    </row>
    <row r="4" spans="1:14">
      <c r="B4" s="38"/>
      <c r="C4" s="16"/>
      <c r="D4" s="16"/>
      <c r="E4" s="16"/>
      <c r="F4" s="16">
        <v>2018</v>
      </c>
      <c r="G4" s="16">
        <f>F4+1</f>
        <v>2019</v>
      </c>
      <c r="H4" s="16">
        <f t="shared" ref="H4:J4" si="0">G4+1</f>
        <v>2020</v>
      </c>
      <c r="I4" s="16">
        <f t="shared" si="0"/>
        <v>2021</v>
      </c>
      <c r="J4" s="16">
        <f t="shared" si="0"/>
        <v>2022</v>
      </c>
      <c r="K4" s="16"/>
      <c r="L4" s="31" t="s">
        <v>125</v>
      </c>
      <c r="M4" s="31" t="s">
        <v>126</v>
      </c>
      <c r="N4" s="37"/>
    </row>
    <row r="5" spans="1:14">
      <c r="A5" s="1" t="s">
        <v>1</v>
      </c>
      <c r="B5" s="1" t="s">
        <v>0</v>
      </c>
      <c r="F5" s="3">
        <v>75040</v>
      </c>
      <c r="G5" s="3">
        <v>84691</v>
      </c>
      <c r="H5" s="3">
        <v>75040</v>
      </c>
      <c r="K5" s="4"/>
      <c r="M5" s="3"/>
      <c r="N5" s="1"/>
    </row>
    <row r="6" spans="1:14">
      <c r="B6" s="2" t="s">
        <v>2</v>
      </c>
      <c r="F6" s="3">
        <v>85846</v>
      </c>
      <c r="G6" s="3">
        <v>91682</v>
      </c>
      <c r="H6" s="3">
        <v>80853</v>
      </c>
      <c r="I6" s="3">
        <v>95476</v>
      </c>
      <c r="J6" s="3">
        <v>123602</v>
      </c>
      <c r="L6" s="3">
        <v>89031</v>
      </c>
      <c r="M6" s="3">
        <v>94994</v>
      </c>
    </row>
    <row r="7" spans="1:14">
      <c r="B7" s="2" t="s">
        <v>3</v>
      </c>
      <c r="F7" s="3">
        <v>2173</v>
      </c>
      <c r="G7" s="3">
        <v>2368</v>
      </c>
      <c r="H7" s="3">
        <v>2284</v>
      </c>
      <c r="I7" s="3">
        <v>2748</v>
      </c>
      <c r="J7" s="3">
        <v>3176</v>
      </c>
      <c r="L7" s="3">
        <v>2485</v>
      </c>
      <c r="M7" s="3">
        <v>2571</v>
      </c>
    </row>
    <row r="8" spans="1:14">
      <c r="B8" s="2" t="s">
        <v>4</v>
      </c>
      <c r="F8" s="3">
        <v>27705</v>
      </c>
      <c r="G8" s="3">
        <v>29598</v>
      </c>
      <c r="H8" s="3">
        <v>30044</v>
      </c>
      <c r="I8" s="3">
        <v>32867</v>
      </c>
      <c r="J8" s="3">
        <v>35122</v>
      </c>
      <c r="L8" s="3">
        <v>26036</v>
      </c>
      <c r="M8" s="3">
        <v>26723</v>
      </c>
    </row>
    <row r="9" spans="1:14">
      <c r="B9" s="2" t="s">
        <v>5</v>
      </c>
      <c r="F9" s="3">
        <v>6</v>
      </c>
      <c r="G9" s="3">
        <v>5</v>
      </c>
      <c r="H9" s="3">
        <v>3</v>
      </c>
      <c r="I9" s="3">
        <v>5</v>
      </c>
      <c r="J9" s="3">
        <v>8</v>
      </c>
      <c r="L9" s="3">
        <v>6</v>
      </c>
      <c r="M9" s="3">
        <v>9</v>
      </c>
    </row>
    <row r="10" spans="1:14">
      <c r="B10" s="2" t="s">
        <v>6</v>
      </c>
      <c r="F10" s="3">
        <v>-18875</v>
      </c>
      <c r="G10" s="3">
        <v>-19443</v>
      </c>
      <c r="H10" s="3">
        <v>-14194</v>
      </c>
      <c r="I10" s="3">
        <v>-19857</v>
      </c>
      <c r="J10" s="3">
        <v>-19298</v>
      </c>
      <c r="L10" s="21">
        <v>-14470</v>
      </c>
      <c r="M10" s="21">
        <v>-11767</v>
      </c>
    </row>
    <row r="11" spans="1:14">
      <c r="B11" s="12" t="s">
        <v>25</v>
      </c>
      <c r="C11" s="13"/>
      <c r="D11" s="13"/>
      <c r="E11" s="13"/>
      <c r="F11" s="14">
        <f>SUM(F6:F10)</f>
        <v>96855</v>
      </c>
      <c r="G11" s="14">
        <f>SUM(G6:G10)</f>
        <v>104210</v>
      </c>
      <c r="H11" s="14">
        <f>SUM(H6:H10)</f>
        <v>98990</v>
      </c>
      <c r="I11" s="14">
        <f>SUM(I6:I10)</f>
        <v>111239</v>
      </c>
      <c r="J11" s="14">
        <f>SUM(J6:J10)</f>
        <v>142610</v>
      </c>
      <c r="L11" s="4">
        <f>SUM(L6:L10)</f>
        <v>103088</v>
      </c>
      <c r="M11" s="4">
        <f>SUM(M6:M10)</f>
        <v>112530</v>
      </c>
      <c r="N11" s="3"/>
    </row>
    <row r="12" spans="1:14">
      <c r="B12" s="2" t="s">
        <v>28</v>
      </c>
      <c r="F12" s="32" t="s">
        <v>116</v>
      </c>
      <c r="G12" s="32" t="s">
        <v>116</v>
      </c>
      <c r="H12" s="32" t="s">
        <v>116</v>
      </c>
      <c r="I12" s="3">
        <v>50345</v>
      </c>
      <c r="J12" s="3">
        <v>76760</v>
      </c>
      <c r="L12" s="32" t="s">
        <v>116</v>
      </c>
      <c r="M12" s="32" t="s">
        <v>116</v>
      </c>
    </row>
    <row r="13" spans="1:14">
      <c r="B13" s="2" t="s">
        <v>29</v>
      </c>
      <c r="F13" s="32" t="s">
        <v>116</v>
      </c>
      <c r="G13" s="32" t="s">
        <v>116</v>
      </c>
      <c r="H13" s="32" t="s">
        <v>116</v>
      </c>
      <c r="I13" s="3">
        <v>26409</v>
      </c>
      <c r="J13" s="3">
        <v>27517</v>
      </c>
      <c r="L13" s="32" t="s">
        <v>116</v>
      </c>
      <c r="M13" s="32" t="s">
        <v>116</v>
      </c>
    </row>
    <row r="14" spans="1:14">
      <c r="B14" s="2" t="s">
        <v>30</v>
      </c>
      <c r="F14" s="32" t="s">
        <v>116</v>
      </c>
      <c r="G14" s="32"/>
      <c r="H14" s="3">
        <v>7115.5658315565033</v>
      </c>
      <c r="I14" s="3">
        <v>6299</v>
      </c>
      <c r="J14" s="3">
        <v>6624</v>
      </c>
      <c r="L14" s="32" t="s">
        <v>116</v>
      </c>
      <c r="M14" s="32" t="s">
        <v>116</v>
      </c>
    </row>
    <row r="15" spans="1:14">
      <c r="B15" s="2" t="s">
        <v>31</v>
      </c>
      <c r="F15" s="32" t="s">
        <v>116</v>
      </c>
      <c r="G15" s="32" t="s">
        <v>116</v>
      </c>
      <c r="H15" s="32" t="s">
        <v>116</v>
      </c>
      <c r="I15" s="3">
        <v>2607</v>
      </c>
      <c r="J15" s="3">
        <v>2775</v>
      </c>
      <c r="L15" s="32" t="s">
        <v>116</v>
      </c>
      <c r="M15" s="32" t="s">
        <v>116</v>
      </c>
    </row>
    <row r="16" spans="1:14">
      <c r="B16" s="2" t="s">
        <v>32</v>
      </c>
      <c r="F16" s="32" t="s">
        <v>116</v>
      </c>
      <c r="G16" s="32" t="s">
        <v>116</v>
      </c>
      <c r="H16" s="32" t="s">
        <v>116</v>
      </c>
      <c r="I16" s="3">
        <v>2192</v>
      </c>
      <c r="J16" s="3">
        <v>3209</v>
      </c>
      <c r="L16" s="32" t="s">
        <v>116</v>
      </c>
      <c r="M16" s="32" t="s">
        <v>116</v>
      </c>
    </row>
    <row r="17" spans="2:14">
      <c r="B17" s="2" t="s">
        <v>33</v>
      </c>
      <c r="F17" s="32" t="s">
        <v>116</v>
      </c>
      <c r="G17" s="32" t="s">
        <v>116</v>
      </c>
      <c r="H17" s="32" t="s">
        <v>116</v>
      </c>
      <c r="I17" s="3">
        <v>1401</v>
      </c>
      <c r="J17" s="3">
        <v>1157</v>
      </c>
      <c r="L17" s="32" t="s">
        <v>116</v>
      </c>
      <c r="M17" s="32" t="s">
        <v>116</v>
      </c>
    </row>
    <row r="18" spans="2:14">
      <c r="B18" s="15" t="s">
        <v>34</v>
      </c>
      <c r="C18" s="16"/>
      <c r="D18" s="16"/>
      <c r="E18" s="16"/>
      <c r="F18" s="18">
        <f t="shared" ref="F18" si="1">SUM(F12:F17)</f>
        <v>0</v>
      </c>
      <c r="G18" s="18">
        <v>86352.143439090331</v>
      </c>
      <c r="H18" s="18">
        <v>84064.988539445621</v>
      </c>
      <c r="I18" s="18">
        <f>SUM(I12:I17)</f>
        <v>89253</v>
      </c>
      <c r="J18" s="18">
        <f>SUM(J12:J17)</f>
        <v>118042</v>
      </c>
      <c r="L18" s="18">
        <v>85346</v>
      </c>
      <c r="M18" s="18">
        <v>90705</v>
      </c>
    </row>
    <row r="19" spans="2:14">
      <c r="B19" s="15" t="s">
        <v>44</v>
      </c>
      <c r="C19" s="16"/>
      <c r="D19" s="16"/>
      <c r="E19" s="16"/>
      <c r="F19" s="18">
        <f t="shared" ref="F19:G19" si="2">F11-F18</f>
        <v>96855</v>
      </c>
      <c r="G19" s="18">
        <f t="shared" si="2"/>
        <v>17857.856560909669</v>
      </c>
      <c r="H19" s="18">
        <f>H11-H18</f>
        <v>14925.011460554379</v>
      </c>
      <c r="I19" s="18">
        <f>I11-I18</f>
        <v>21986</v>
      </c>
      <c r="J19" s="18">
        <f t="shared" ref="J19:M19" si="3">J11-J18</f>
        <v>24568</v>
      </c>
      <c r="L19" s="18">
        <f t="shared" si="3"/>
        <v>17742</v>
      </c>
      <c r="M19" s="18">
        <f t="shared" si="3"/>
        <v>21825</v>
      </c>
    </row>
    <row r="20" spans="2:14">
      <c r="B20" s="2" t="s">
        <v>35</v>
      </c>
      <c r="F20" s="32" t="s">
        <v>116</v>
      </c>
      <c r="G20" s="32"/>
      <c r="H20" s="3">
        <v>8579.8368869936003</v>
      </c>
      <c r="I20" s="3">
        <v>9233</v>
      </c>
      <c r="J20" s="3">
        <v>10616</v>
      </c>
      <c r="L20" s="3">
        <v>7261</v>
      </c>
      <c r="M20" s="3">
        <v>7604</v>
      </c>
    </row>
    <row r="21" spans="2:14">
      <c r="B21" s="2" t="s">
        <v>36</v>
      </c>
      <c r="F21" s="32" t="s">
        <v>116</v>
      </c>
      <c r="G21" s="32"/>
      <c r="H21" s="57">
        <v>1631.8047707889125</v>
      </c>
      <c r="I21" s="3">
        <v>1702</v>
      </c>
      <c r="J21" s="3">
        <v>1377</v>
      </c>
      <c r="L21">
        <v>943</v>
      </c>
      <c r="M21">
        <v>692</v>
      </c>
    </row>
    <row r="22" spans="2:14">
      <c r="B22" s="2" t="s">
        <v>37</v>
      </c>
      <c r="F22" s="32" t="s">
        <v>116</v>
      </c>
      <c r="G22" s="32"/>
      <c r="H22" s="57">
        <v>1250</v>
      </c>
      <c r="I22" s="3">
        <v>1055</v>
      </c>
      <c r="J22" s="3">
        <v>1330</v>
      </c>
      <c r="L22">
        <v>925</v>
      </c>
      <c r="M22">
        <v>843</v>
      </c>
    </row>
    <row r="23" spans="2:14">
      <c r="B23" s="19" t="s">
        <v>38</v>
      </c>
      <c r="C23" s="7"/>
      <c r="D23" s="7"/>
      <c r="E23" s="7"/>
      <c r="F23" s="8">
        <f t="shared" ref="F23:G23" si="4">F19-F24</f>
        <v>87922</v>
      </c>
      <c r="G23" s="8">
        <f t="shared" si="4"/>
        <v>10446.856560909669</v>
      </c>
      <c r="H23" s="8">
        <f>H19-H24</f>
        <v>10095.011460554379</v>
      </c>
      <c r="I23" s="8">
        <f>I20+I22-I21</f>
        <v>8586</v>
      </c>
      <c r="J23" s="8">
        <f>J20+J22-J21</f>
        <v>10569</v>
      </c>
      <c r="L23" s="8">
        <f t="shared" ref="L23:M23" si="5">L20+L22-L21</f>
        <v>7243</v>
      </c>
      <c r="M23" s="8">
        <f t="shared" si="5"/>
        <v>7755</v>
      </c>
    </row>
    <row r="24" spans="2:14">
      <c r="B24" s="39" t="s">
        <v>50</v>
      </c>
      <c r="C24" s="20"/>
      <c r="D24" s="20"/>
      <c r="E24" s="20"/>
      <c r="F24" s="18">
        <f>SUM(F25:F29)</f>
        <v>8933</v>
      </c>
      <c r="G24" s="18">
        <f>SUM(G25:G29)</f>
        <v>7411</v>
      </c>
      <c r="H24" s="18">
        <f>SUM(H25:H29)</f>
        <v>4830</v>
      </c>
      <c r="I24" s="18">
        <f>SUM(I25:I29)</f>
        <v>13490</v>
      </c>
      <c r="J24" s="18">
        <f>J19-J23</f>
        <v>13999</v>
      </c>
      <c r="K24" s="37"/>
      <c r="L24" s="18">
        <f t="shared" ref="L24" si="6">L19-L23</f>
        <v>10499</v>
      </c>
      <c r="M24" s="18">
        <f>M19-M23</f>
        <v>14070</v>
      </c>
      <c r="N24" s="3"/>
    </row>
    <row r="25" spans="2:14">
      <c r="B25" s="27" t="s">
        <v>51</v>
      </c>
      <c r="C25" s="1"/>
      <c r="D25" s="1"/>
      <c r="E25" s="1"/>
      <c r="F25" s="3">
        <v>6182</v>
      </c>
      <c r="G25" s="3">
        <v>4499</v>
      </c>
      <c r="H25" s="3">
        <v>2162</v>
      </c>
      <c r="I25" s="3">
        <v>9870</v>
      </c>
      <c r="J25" s="3">
        <v>10635</v>
      </c>
      <c r="L25" s="3">
        <v>7703</v>
      </c>
      <c r="M25" s="3">
        <v>9810</v>
      </c>
    </row>
    <row r="26" spans="2:14">
      <c r="B26" s="27" t="s">
        <v>52</v>
      </c>
      <c r="C26" s="1"/>
      <c r="D26" s="1"/>
      <c r="E26" s="1"/>
      <c r="F26" s="3">
        <v>175</v>
      </c>
      <c r="G26" s="3">
        <v>194</v>
      </c>
      <c r="H26" s="3">
        <v>103</v>
      </c>
      <c r="I26" s="3">
        <v>277</v>
      </c>
      <c r="J26" s="3">
        <v>257</v>
      </c>
      <c r="L26" s="3">
        <v>322</v>
      </c>
      <c r="M26" s="3">
        <v>308</v>
      </c>
    </row>
    <row r="27" spans="2:14">
      <c r="B27" s="27" t="s">
        <v>53</v>
      </c>
      <c r="C27" s="1"/>
      <c r="D27" s="1"/>
      <c r="E27" s="1"/>
      <c r="F27" s="3">
        <v>2172</v>
      </c>
      <c r="G27" s="3">
        <v>2312</v>
      </c>
      <c r="H27" s="3">
        <v>1721</v>
      </c>
      <c r="I27" s="3">
        <v>3701</v>
      </c>
      <c r="J27" s="3">
        <v>3163</v>
      </c>
      <c r="L27" s="3">
        <v>2627</v>
      </c>
      <c r="M27" s="3">
        <v>2449</v>
      </c>
    </row>
    <row r="28" spans="2:14">
      <c r="B28" s="27" t="s">
        <v>54</v>
      </c>
      <c r="C28" s="1"/>
      <c r="D28" s="1"/>
      <c r="E28" s="1"/>
      <c r="F28" s="3">
        <v>-27</v>
      </c>
      <c r="G28" s="3">
        <v>29</v>
      </c>
      <c r="H28" s="3">
        <v>36</v>
      </c>
      <c r="I28" s="3">
        <v>-8</v>
      </c>
      <c r="J28" s="3">
        <v>-203</v>
      </c>
      <c r="L28" s="3">
        <v>-187</v>
      </c>
      <c r="M28" s="3">
        <v>-13</v>
      </c>
    </row>
    <row r="29" spans="2:14">
      <c r="B29" s="27" t="s">
        <v>55</v>
      </c>
      <c r="C29" s="1"/>
      <c r="D29" s="1"/>
      <c r="E29" s="1"/>
      <c r="F29" s="3">
        <v>431</v>
      </c>
      <c r="G29" s="3">
        <v>377</v>
      </c>
      <c r="H29" s="3">
        <v>808</v>
      </c>
      <c r="I29" s="3">
        <v>-350</v>
      </c>
      <c r="J29" s="3">
        <v>147</v>
      </c>
      <c r="L29" s="21">
        <v>34</v>
      </c>
      <c r="M29" s="21">
        <v>1516</v>
      </c>
    </row>
    <row r="30" spans="2:14">
      <c r="B30" s="25" t="s">
        <v>39</v>
      </c>
      <c r="C30" s="13"/>
      <c r="D30" s="13"/>
      <c r="E30" s="13"/>
      <c r="F30" s="79" t="s">
        <v>116</v>
      </c>
      <c r="G30" s="79" t="s">
        <v>116</v>
      </c>
      <c r="H30" s="79" t="s">
        <v>116</v>
      </c>
      <c r="I30" s="26">
        <v>1520</v>
      </c>
      <c r="J30" s="26">
        <v>-100</v>
      </c>
      <c r="L30" s="3">
        <v>28</v>
      </c>
      <c r="M30" s="3">
        <v>-133</v>
      </c>
    </row>
    <row r="31" spans="2:14">
      <c r="B31" s="2" t="s">
        <v>40</v>
      </c>
      <c r="F31" s="32" t="s">
        <v>116</v>
      </c>
      <c r="G31" s="32" t="s">
        <v>116</v>
      </c>
      <c r="H31" s="32" t="s">
        <v>116</v>
      </c>
      <c r="I31">
        <v>135</v>
      </c>
      <c r="J31" s="3">
        <v>422</v>
      </c>
      <c r="L31" s="3">
        <v>283</v>
      </c>
      <c r="M31" s="3">
        <v>499</v>
      </c>
    </row>
    <row r="32" spans="2:14">
      <c r="B32" s="2" t="s">
        <v>41</v>
      </c>
      <c r="F32" s="32" t="s">
        <v>116</v>
      </c>
      <c r="G32" s="32" t="s">
        <v>116</v>
      </c>
      <c r="H32" s="32" t="s">
        <v>116</v>
      </c>
      <c r="I32">
        <v>-165</v>
      </c>
      <c r="J32" s="3">
        <v>251</v>
      </c>
      <c r="L32" s="3">
        <v>187</v>
      </c>
      <c r="M32" s="3">
        <v>-369</v>
      </c>
    </row>
    <row r="33" spans="2:17">
      <c r="B33" s="22" t="s">
        <v>42</v>
      </c>
      <c r="C33" s="6"/>
      <c r="D33" s="6"/>
      <c r="E33" s="6"/>
      <c r="F33" s="56" t="s">
        <v>116</v>
      </c>
      <c r="G33" s="56" t="s">
        <v>116</v>
      </c>
      <c r="H33" s="56" t="s">
        <v>116</v>
      </c>
      <c r="I33" s="21">
        <v>1170</v>
      </c>
      <c r="J33" s="21">
        <v>8937</v>
      </c>
      <c r="L33" s="21">
        <v>9259</v>
      </c>
      <c r="M33" s="6">
        <v>-653</v>
      </c>
    </row>
    <row r="34" spans="2:17">
      <c r="B34" s="19" t="s">
        <v>43</v>
      </c>
      <c r="C34" s="6"/>
      <c r="D34" s="6"/>
      <c r="E34" s="6"/>
      <c r="F34" s="8">
        <f>F35-F24</f>
        <v>661</v>
      </c>
      <c r="G34" s="8">
        <f>G35-G24</f>
        <v>-2389</v>
      </c>
      <c r="H34" s="8">
        <f>H35-H24</f>
        <v>-973</v>
      </c>
      <c r="I34" s="8">
        <f t="shared" ref="I34" si="7">SUM(I30:I33)</f>
        <v>2660</v>
      </c>
      <c r="J34" s="8">
        <f>SUM(J30:J33)</f>
        <v>9510</v>
      </c>
      <c r="L34" s="8">
        <f t="shared" ref="L34" si="8">SUM(L30:L33)</f>
        <v>9757</v>
      </c>
      <c r="M34" s="8">
        <f>SUM(M30:M33)</f>
        <v>-656</v>
      </c>
    </row>
    <row r="35" spans="2:17">
      <c r="B35" s="15" t="s">
        <v>45</v>
      </c>
      <c r="C35" s="16"/>
      <c r="D35" s="16"/>
      <c r="E35" s="16"/>
      <c r="F35" s="18">
        <f>9627-33</f>
        <v>9594</v>
      </c>
      <c r="G35" s="18">
        <f>44+4978</f>
        <v>5022</v>
      </c>
      <c r="H35" s="18">
        <v>3857</v>
      </c>
      <c r="I35" s="18">
        <f t="shared" ref="I35" si="9">I24+I34</f>
        <v>16150</v>
      </c>
      <c r="J35" s="18">
        <f>J24+J34</f>
        <v>23509</v>
      </c>
      <c r="L35" s="18">
        <f t="shared" ref="L35:M35" si="10">L24+L34</f>
        <v>20256</v>
      </c>
      <c r="M35" s="18">
        <f t="shared" si="10"/>
        <v>13414</v>
      </c>
    </row>
    <row r="36" spans="2:17">
      <c r="B36" s="23" t="s">
        <v>46</v>
      </c>
      <c r="C36" s="16"/>
      <c r="D36" s="16"/>
      <c r="E36" s="16"/>
      <c r="F36" s="17">
        <v>2530</v>
      </c>
      <c r="G36" s="17">
        <v>2140</v>
      </c>
      <c r="H36" s="17">
        <v>1365</v>
      </c>
      <c r="I36" s="17">
        <v>3597</v>
      </c>
      <c r="J36" s="17">
        <v>4927</v>
      </c>
      <c r="L36" s="17">
        <v>3849</v>
      </c>
      <c r="M36" s="17">
        <v>3863</v>
      </c>
    </row>
    <row r="37" spans="2:17">
      <c r="B37" s="11" t="s">
        <v>47</v>
      </c>
      <c r="F37" s="4">
        <f>F35-F36</f>
        <v>7064</v>
      </c>
      <c r="G37" s="4">
        <f t="shared" ref="G37:H37" si="11">G35-G36</f>
        <v>2882</v>
      </c>
      <c r="H37" s="4">
        <f t="shared" si="11"/>
        <v>2492</v>
      </c>
      <c r="I37" s="4">
        <f>I35-I36</f>
        <v>12553</v>
      </c>
      <c r="J37" s="4">
        <f>J35-J36</f>
        <v>18582</v>
      </c>
      <c r="L37" s="4">
        <f t="shared" ref="L37:M37" si="12">L35-L36</f>
        <v>16407</v>
      </c>
      <c r="M37" s="4">
        <f t="shared" si="12"/>
        <v>9551</v>
      </c>
    </row>
    <row r="38" spans="2:17">
      <c r="B38" s="2" t="s">
        <v>48</v>
      </c>
      <c r="I38">
        <v>18.78</v>
      </c>
      <c r="J38">
        <v>27.32</v>
      </c>
      <c r="L38">
        <v>23.88</v>
      </c>
      <c r="M38">
        <v>13.9</v>
      </c>
    </row>
    <row r="39" spans="2:17">
      <c r="B39" s="2" t="s">
        <v>56</v>
      </c>
      <c r="F39" s="3"/>
      <c r="G39" s="3"/>
      <c r="H39" s="3"/>
      <c r="I39" s="3"/>
      <c r="J39" s="3"/>
      <c r="L39" s="3"/>
      <c r="M39" s="3"/>
    </row>
    <row r="44" spans="2:17">
      <c r="B44" s="38"/>
      <c r="C44" s="16"/>
      <c r="D44" s="16"/>
      <c r="E44" s="16"/>
      <c r="F44" s="31">
        <v>2018</v>
      </c>
      <c r="G44" s="16">
        <f>F44+1</f>
        <v>2019</v>
      </c>
      <c r="H44" s="16">
        <f t="shared" ref="H44" si="13">G44+1</f>
        <v>2020</v>
      </c>
      <c r="I44" s="16">
        <f t="shared" ref="I44" si="14">H44+1</f>
        <v>2021</v>
      </c>
      <c r="J44" s="16">
        <f t="shared" ref="J44" si="15">I44+1</f>
        <v>2022</v>
      </c>
      <c r="K44" s="16"/>
      <c r="L44" s="16" t="s">
        <v>7</v>
      </c>
      <c r="M44" s="16" t="s">
        <v>8</v>
      </c>
      <c r="N44" s="16"/>
      <c r="O44" s="16" t="s">
        <v>119</v>
      </c>
      <c r="P44" s="40"/>
      <c r="Q44" s="37"/>
    </row>
    <row r="45" spans="2:17">
      <c r="B45" s="1" t="s">
        <v>114</v>
      </c>
      <c r="F45" s="36" t="s">
        <v>116</v>
      </c>
      <c r="G45" s="36">
        <f>G6/F6-1</f>
        <v>6.7982200684947536E-2</v>
      </c>
      <c r="H45" s="36">
        <f t="shared" ref="H45:M45" si="16">H6/G6-1</f>
        <v>-0.11811478807181341</v>
      </c>
      <c r="I45" s="36">
        <f t="shared" si="16"/>
        <v>0.18085908995337219</v>
      </c>
      <c r="J45" s="36">
        <f t="shared" si="16"/>
        <v>0.29458712137081577</v>
      </c>
      <c r="K45" s="33"/>
      <c r="L45" s="36"/>
      <c r="M45" s="36">
        <f t="shared" si="16"/>
        <v>6.6976671047163316E-2</v>
      </c>
      <c r="N45" s="32"/>
      <c r="O45" s="35">
        <f>AVERAGE(G45:J45)</f>
        <v>0.10632840598433052</v>
      </c>
    </row>
    <row r="46" spans="2:17">
      <c r="B46" s="2" t="s">
        <v>2</v>
      </c>
      <c r="F46" s="33" t="s">
        <v>116</v>
      </c>
      <c r="G46" s="33">
        <f>G7/F7-1</f>
        <v>8.9737689829728406E-2</v>
      </c>
      <c r="H46" s="33">
        <f t="shared" ref="H46:J46" si="17">H7/G7-1</f>
        <v>-3.5472972972973027E-2</v>
      </c>
      <c r="I46" s="33">
        <f t="shared" si="17"/>
        <v>0.20315236427320493</v>
      </c>
      <c r="J46" s="33">
        <f t="shared" si="17"/>
        <v>0.15574963609898118</v>
      </c>
      <c r="K46" s="33"/>
      <c r="L46" s="33"/>
      <c r="M46" s="33">
        <f t="shared" ref="M46" si="18">M7/L7-1</f>
        <v>3.4607645875251558E-2</v>
      </c>
      <c r="N46" s="32"/>
      <c r="O46" s="35">
        <f t="shared" ref="O46:O68" si="19">AVERAGE(G46:J46)</f>
        <v>0.10329167930723537</v>
      </c>
    </row>
    <row r="47" spans="2:17">
      <c r="B47" s="2" t="s">
        <v>3</v>
      </c>
      <c r="F47" s="33" t="s">
        <v>116</v>
      </c>
      <c r="G47" s="33">
        <f>G8/F8-1</f>
        <v>6.8327016783974015E-2</v>
      </c>
      <c r="H47" s="33">
        <f t="shared" ref="H47:J47" si="20">H8/G8-1</f>
        <v>1.5068585715251048E-2</v>
      </c>
      <c r="I47" s="33">
        <f t="shared" si="20"/>
        <v>9.3962188789775025E-2</v>
      </c>
      <c r="J47" s="33">
        <f t="shared" si="20"/>
        <v>6.8609851827060586E-2</v>
      </c>
      <c r="K47" s="33"/>
      <c r="L47" s="33"/>
      <c r="M47" s="33">
        <f t="shared" ref="M47" si="21">M8/L8-1</f>
        <v>2.6386541711476363E-2</v>
      </c>
      <c r="N47" s="32"/>
      <c r="O47" s="35">
        <f t="shared" si="19"/>
        <v>6.1491910779015169E-2</v>
      </c>
    </row>
    <row r="48" spans="2:17">
      <c r="B48" s="2" t="s">
        <v>4</v>
      </c>
      <c r="F48" s="33" t="s">
        <v>116</v>
      </c>
      <c r="G48" s="33">
        <f>G9/F9-1</f>
        <v>-0.16666666666666663</v>
      </c>
      <c r="H48" s="33">
        <f t="shared" ref="H48:J48" si="22">H9/G9-1</f>
        <v>-0.4</v>
      </c>
      <c r="I48" s="33">
        <f t="shared" si="22"/>
        <v>0.66666666666666674</v>
      </c>
      <c r="J48" s="33">
        <f t="shared" si="22"/>
        <v>0.60000000000000009</v>
      </c>
      <c r="K48" s="33"/>
      <c r="L48" s="33"/>
      <c r="M48" s="33">
        <f t="shared" ref="M48" si="23">M9/L9-1</f>
        <v>0.5</v>
      </c>
      <c r="N48" s="32"/>
      <c r="O48" s="35">
        <f t="shared" si="19"/>
        <v>0.17500000000000004</v>
      </c>
    </row>
    <row r="49" spans="2:15">
      <c r="B49" s="2" t="s">
        <v>5</v>
      </c>
      <c r="F49" s="33" t="s">
        <v>116</v>
      </c>
      <c r="G49" s="33">
        <f t="shared" ref="G49:J49" si="24">G10/F10-1</f>
        <v>3.0092715231788025E-2</v>
      </c>
      <c r="H49" s="33">
        <f t="shared" si="24"/>
        <v>-0.26996862624080642</v>
      </c>
      <c r="I49" s="33">
        <f t="shared" si="24"/>
        <v>0.39897139636466106</v>
      </c>
      <c r="J49" s="33">
        <f t="shared" si="24"/>
        <v>-2.815128166389691E-2</v>
      </c>
      <c r="K49" s="33"/>
      <c r="L49" s="33"/>
      <c r="M49" s="33">
        <f t="shared" ref="M49" si="25">M10/L10-1</f>
        <v>-0.18680027643400143</v>
      </c>
      <c r="N49" s="32"/>
      <c r="O49" s="35">
        <f t="shared" si="19"/>
        <v>3.2736050922936438E-2</v>
      </c>
    </row>
    <row r="50" spans="2:15">
      <c r="B50" s="2" t="s">
        <v>6</v>
      </c>
      <c r="F50" s="33" t="s">
        <v>116</v>
      </c>
      <c r="G50" s="33">
        <f t="shared" ref="G50:J50" si="26">G11/F11-1</f>
        <v>7.5938258221052157E-2</v>
      </c>
      <c r="H50" s="33">
        <f t="shared" si="26"/>
        <v>-5.0091162076576157E-2</v>
      </c>
      <c r="I50" s="33">
        <f t="shared" si="26"/>
        <v>0.12373977169411043</v>
      </c>
      <c r="J50" s="33">
        <f t="shared" si="26"/>
        <v>0.28201440142396095</v>
      </c>
      <c r="K50" s="33"/>
      <c r="L50" s="33"/>
      <c r="M50" s="33">
        <f t="shared" ref="M50" si="27">M11/L11-1</f>
        <v>9.1591649852553081E-2</v>
      </c>
      <c r="N50" s="32"/>
      <c r="O50" s="35">
        <f t="shared" si="19"/>
        <v>0.10790031731563685</v>
      </c>
    </row>
    <row r="51" spans="2:15">
      <c r="B51" s="1" t="s">
        <v>118</v>
      </c>
      <c r="F51" s="36">
        <v>1</v>
      </c>
      <c r="G51" s="36">
        <v>1</v>
      </c>
      <c r="H51" s="36">
        <v>1</v>
      </c>
      <c r="I51" s="36">
        <v>1</v>
      </c>
      <c r="J51" s="36">
        <v>1</v>
      </c>
      <c r="K51" s="33"/>
      <c r="L51" s="33"/>
      <c r="M51" s="36">
        <v>1</v>
      </c>
      <c r="N51" s="32"/>
      <c r="O51" s="35">
        <f t="shared" si="19"/>
        <v>1</v>
      </c>
    </row>
    <row r="52" spans="2:15">
      <c r="B52" s="2" t="s">
        <v>2</v>
      </c>
      <c r="F52" s="33">
        <f>F6/$F$11</f>
        <v>0.88633524340509007</v>
      </c>
      <c r="G52" s="33">
        <f>G6/$G$11</f>
        <v>0.8797812110162172</v>
      </c>
      <c r="H52" s="33">
        <f>H6/$H$11</f>
        <v>0.81677947267400752</v>
      </c>
      <c r="I52" s="33">
        <f>I6/$I$11</f>
        <v>0.85829610118753319</v>
      </c>
      <c r="J52" s="33">
        <f>J6/$J$11</f>
        <v>0.86671341420657733</v>
      </c>
      <c r="K52" s="33"/>
      <c r="L52" s="33"/>
      <c r="M52" s="33">
        <f>M6/$J$11</f>
        <v>0.6661103709417292</v>
      </c>
      <c r="N52" s="32"/>
      <c r="O52" s="35">
        <f t="shared" si="19"/>
        <v>0.85539254977108381</v>
      </c>
    </row>
    <row r="53" spans="2:15">
      <c r="B53" s="2" t="s">
        <v>3</v>
      </c>
      <c r="F53" s="33">
        <f>F7/$F$11</f>
        <v>2.2435599607660936E-2</v>
      </c>
      <c r="G53" s="33">
        <f t="shared" ref="G53:G56" si="28">G7/$G$11</f>
        <v>2.2723347087611555E-2</v>
      </c>
      <c r="H53" s="33">
        <f t="shared" ref="H53:H56" si="29">H7/$H$11</f>
        <v>2.3073037680573796E-2</v>
      </c>
      <c r="I53" s="33">
        <f t="shared" ref="I53:I56" si="30">I7/$I$11</f>
        <v>2.4703566195309199E-2</v>
      </c>
      <c r="J53" s="33">
        <f t="shared" ref="J53:J56" si="31">J7/$J$11</f>
        <v>2.2270528013463291E-2</v>
      </c>
      <c r="K53" s="33"/>
      <c r="L53" s="33"/>
      <c r="M53" s="33">
        <f t="shared" ref="M53:M56" si="32">M7/$J$11</f>
        <v>1.8028188766566158E-2</v>
      </c>
      <c r="N53" s="32"/>
      <c r="O53" s="35">
        <f t="shared" si="19"/>
        <v>2.3192619744239459E-2</v>
      </c>
    </row>
    <row r="54" spans="2:15">
      <c r="B54" s="2" t="s">
        <v>4</v>
      </c>
      <c r="F54" s="33">
        <f>F8/$F$11</f>
        <v>0.28604615146352796</v>
      </c>
      <c r="G54" s="33">
        <f t="shared" si="28"/>
        <v>0.28402264657902315</v>
      </c>
      <c r="H54" s="33">
        <f t="shared" si="29"/>
        <v>0.30350540458632186</v>
      </c>
      <c r="I54" s="33">
        <f t="shared" si="30"/>
        <v>0.29546292217657477</v>
      </c>
      <c r="J54" s="33">
        <f t="shared" si="31"/>
        <v>0.24628006451160508</v>
      </c>
      <c r="K54" s="33"/>
      <c r="L54" s="33"/>
      <c r="M54" s="33">
        <f t="shared" si="32"/>
        <v>0.1873851763550943</v>
      </c>
      <c r="N54" s="32"/>
      <c r="O54" s="35">
        <f t="shared" si="19"/>
        <v>0.28231775946338122</v>
      </c>
    </row>
    <row r="55" spans="2:15">
      <c r="B55" s="2" t="s">
        <v>5</v>
      </c>
      <c r="F55" s="33">
        <f>F9/$F$11</f>
        <v>6.1948273191884774E-5</v>
      </c>
      <c r="G55" s="33">
        <f t="shared" si="28"/>
        <v>4.7980040303233852E-5</v>
      </c>
      <c r="H55" s="33">
        <f t="shared" si="29"/>
        <v>3.0306091524396403E-5</v>
      </c>
      <c r="I55" s="33">
        <f t="shared" si="30"/>
        <v>4.494826454750582E-5</v>
      </c>
      <c r="J55" s="33">
        <f t="shared" si="31"/>
        <v>5.6097047892854642E-5</v>
      </c>
      <c r="K55" s="33"/>
      <c r="L55" s="33"/>
      <c r="M55" s="33">
        <f t="shared" si="32"/>
        <v>6.3109178879461463E-5</v>
      </c>
      <c r="N55" s="32"/>
      <c r="O55" s="35">
        <f t="shared" si="19"/>
        <v>4.4832861066997672E-5</v>
      </c>
    </row>
    <row r="56" spans="2:15">
      <c r="B56" s="2" t="s">
        <v>6</v>
      </c>
      <c r="F56" s="33">
        <f>F10/$F$11</f>
        <v>-0.19487894274947085</v>
      </c>
      <c r="G56" s="33">
        <f t="shared" si="28"/>
        <v>-0.18657518472315518</v>
      </c>
      <c r="H56" s="33">
        <f t="shared" si="29"/>
        <v>-0.14338822103242752</v>
      </c>
      <c r="I56" s="33">
        <f t="shared" si="30"/>
        <v>-0.17850753782396461</v>
      </c>
      <c r="J56" s="33">
        <f t="shared" si="31"/>
        <v>-0.1353201037795386</v>
      </c>
      <c r="K56" s="33"/>
      <c r="L56" s="33"/>
      <c r="M56" s="33">
        <f t="shared" si="32"/>
        <v>-8.2511745319402571E-2</v>
      </c>
      <c r="N56" s="32"/>
      <c r="O56" s="35">
        <f t="shared" si="19"/>
        <v>-0.1609477618397715</v>
      </c>
    </row>
    <row r="57" spans="2:15">
      <c r="B57" s="11" t="s">
        <v>115</v>
      </c>
      <c r="F57" s="36" t="s">
        <v>116</v>
      </c>
      <c r="G57" s="36">
        <f>G24/F24-1</f>
        <v>-0.170379491772081</v>
      </c>
      <c r="H57" s="36">
        <f t="shared" ref="H57:J57" si="33">H24/G24-1</f>
        <v>-0.34826609094589123</v>
      </c>
      <c r="I57" s="36">
        <f t="shared" si="33"/>
        <v>1.7929606625258798</v>
      </c>
      <c r="J57" s="36">
        <f t="shared" si="33"/>
        <v>3.7731653076352956E-2</v>
      </c>
      <c r="K57" s="33"/>
      <c r="L57" s="33"/>
      <c r="M57" s="36">
        <f t="shared" ref="M57" si="34">M24/L24-1</f>
        <v>0.34012763120297174</v>
      </c>
      <c r="N57" s="32"/>
      <c r="O57" s="35">
        <f t="shared" si="19"/>
        <v>0.32801168322106511</v>
      </c>
    </row>
    <row r="58" spans="2:15">
      <c r="B58" s="2" t="s">
        <v>2</v>
      </c>
      <c r="F58" s="33" t="s">
        <v>116</v>
      </c>
      <c r="G58" s="33">
        <f>G25/F25-1</f>
        <v>-0.27224199288256223</v>
      </c>
      <c r="H58" s="33">
        <f t="shared" ref="H58:J58" si="35">H25/G25-1</f>
        <v>-0.51944876639253168</v>
      </c>
      <c r="I58" s="33">
        <f t="shared" si="35"/>
        <v>3.5652173913043477</v>
      </c>
      <c r="J58" s="33">
        <f t="shared" si="35"/>
        <v>7.7507598784194442E-2</v>
      </c>
      <c r="K58" s="33"/>
      <c r="L58" s="33"/>
      <c r="M58" s="33">
        <f t="shared" ref="M58" si="36">M25/L25-1</f>
        <v>0.27352979358691409</v>
      </c>
      <c r="N58" s="32"/>
      <c r="O58" s="35">
        <f t="shared" si="19"/>
        <v>0.71275855770336205</v>
      </c>
    </row>
    <row r="59" spans="2:15">
      <c r="B59" s="2" t="s">
        <v>3</v>
      </c>
      <c r="F59" s="33" t="s">
        <v>116</v>
      </c>
      <c r="G59" s="33">
        <f>G26/F26-1</f>
        <v>0.10857142857142854</v>
      </c>
      <c r="H59" s="33">
        <f t="shared" ref="H59:J59" si="37">H26/G26-1</f>
        <v>-0.46907216494845361</v>
      </c>
      <c r="I59" s="33">
        <f t="shared" si="37"/>
        <v>1.6893203883495147</v>
      </c>
      <c r="J59" s="33">
        <f t="shared" si="37"/>
        <v>-7.2202166064981976E-2</v>
      </c>
      <c r="K59" s="33"/>
      <c r="L59" s="33"/>
      <c r="M59" s="33">
        <f t="shared" ref="M59" si="38">M26/L26-1</f>
        <v>-4.3478260869565188E-2</v>
      </c>
      <c r="N59" s="32"/>
      <c r="O59" s="35">
        <f t="shared" si="19"/>
        <v>0.31415437147687686</v>
      </c>
    </row>
    <row r="60" spans="2:15">
      <c r="B60" s="2" t="s">
        <v>4</v>
      </c>
      <c r="F60" s="33" t="s">
        <v>116</v>
      </c>
      <c r="G60" s="33">
        <f>G27/F27-1</f>
        <v>6.4456721915285398E-2</v>
      </c>
      <c r="H60" s="33">
        <f t="shared" ref="H60:J60" si="39">H27/G27-1</f>
        <v>-0.25562283737024216</v>
      </c>
      <c r="I60" s="33">
        <f t="shared" si="39"/>
        <v>1.1504938988959905</v>
      </c>
      <c r="J60" s="33">
        <f t="shared" si="39"/>
        <v>-0.14536611726560389</v>
      </c>
      <c r="K60" s="33"/>
      <c r="L60" s="33"/>
      <c r="M60" s="33">
        <f t="shared" ref="M60" si="40">M27/L27-1</f>
        <v>-6.7757898743814216E-2</v>
      </c>
      <c r="N60" s="32"/>
      <c r="O60" s="35">
        <f t="shared" si="19"/>
        <v>0.20349041654385747</v>
      </c>
    </row>
    <row r="61" spans="2:15">
      <c r="B61" s="2" t="s">
        <v>5</v>
      </c>
      <c r="F61" s="33" t="s">
        <v>116</v>
      </c>
      <c r="G61" s="33">
        <f>G28/F28-1</f>
        <v>-2.0740740740740744</v>
      </c>
      <c r="H61" s="33">
        <f t="shared" ref="H61:J61" si="41">H28/G28-1</f>
        <v>0.24137931034482762</v>
      </c>
      <c r="I61" s="33">
        <f t="shared" si="41"/>
        <v>-1.2222222222222223</v>
      </c>
      <c r="J61" s="33">
        <f t="shared" si="41"/>
        <v>24.375</v>
      </c>
      <c r="K61" s="33"/>
      <c r="L61" s="33"/>
      <c r="M61" s="33">
        <f t="shared" ref="M61" si="42">M28/L28-1</f>
        <v>-0.93048128342245984</v>
      </c>
      <c r="N61" s="32"/>
      <c r="O61" s="35">
        <f t="shared" si="19"/>
        <v>5.3300207535121329</v>
      </c>
    </row>
    <row r="62" spans="2:15">
      <c r="B62" s="2" t="s">
        <v>6</v>
      </c>
      <c r="F62" s="33" t="s">
        <v>116</v>
      </c>
      <c r="G62" s="33">
        <f t="shared" ref="G62:J62" si="43">G29/F29-1</f>
        <v>-0.12529002320185612</v>
      </c>
      <c r="H62" s="33">
        <f t="shared" si="43"/>
        <v>1.1432360742705572</v>
      </c>
      <c r="I62" s="33">
        <f t="shared" si="43"/>
        <v>-1.4331683168316831</v>
      </c>
      <c r="J62" s="33">
        <f t="shared" si="43"/>
        <v>-1.42</v>
      </c>
      <c r="K62" s="33"/>
      <c r="L62" s="33"/>
      <c r="M62" s="33">
        <f t="shared" ref="M62" si="44">M29/L29-1</f>
        <v>43.588235294117645</v>
      </c>
      <c r="N62" s="32"/>
      <c r="O62" s="35">
        <f t="shared" si="19"/>
        <v>-0.45880556644074549</v>
      </c>
    </row>
    <row r="63" spans="2:15">
      <c r="B63" s="30" t="s">
        <v>117</v>
      </c>
      <c r="F63" s="36">
        <f>F24/F11</f>
        <v>9.2230654070517781E-2</v>
      </c>
      <c r="G63" s="36">
        <f t="shared" ref="G63:J63" si="45">G24/G11</f>
        <v>7.1116015737453214E-2</v>
      </c>
      <c r="H63" s="36">
        <f t="shared" si="45"/>
        <v>4.8792807354278211E-2</v>
      </c>
      <c r="I63" s="36">
        <f t="shared" si="45"/>
        <v>0.1212704177491707</v>
      </c>
      <c r="J63" s="36">
        <f t="shared" si="45"/>
        <v>9.8162821681509013E-2</v>
      </c>
      <c r="K63" s="33"/>
      <c r="L63" s="33"/>
      <c r="M63" s="36">
        <f t="shared" ref="M63" si="46">M24/M11</f>
        <v>0.12503332444681417</v>
      </c>
      <c r="N63" s="32"/>
      <c r="O63" s="35">
        <f t="shared" si="19"/>
        <v>8.4835515630602792E-2</v>
      </c>
    </row>
    <row r="64" spans="2:15">
      <c r="B64" s="2" t="s">
        <v>2</v>
      </c>
      <c r="F64" s="33">
        <f>F25/F6</f>
        <v>7.2012673857838452E-2</v>
      </c>
      <c r="G64" s="33">
        <f t="shared" ref="G64:J64" si="47">G25/G6</f>
        <v>4.9071791627582295E-2</v>
      </c>
      <c r="H64" s="33">
        <f t="shared" si="47"/>
        <v>2.6739885965888711E-2</v>
      </c>
      <c r="I64" s="33">
        <f t="shared" si="47"/>
        <v>0.10337676484142612</v>
      </c>
      <c r="J64" s="33">
        <f t="shared" si="47"/>
        <v>8.6042297050209549E-2</v>
      </c>
      <c r="K64" s="33"/>
      <c r="L64" s="33"/>
      <c r="M64" s="33">
        <f t="shared" ref="M64" si="48">M25/M6</f>
        <v>0.10326968019032781</v>
      </c>
      <c r="N64" s="32"/>
      <c r="O64" s="35">
        <f t="shared" si="19"/>
        <v>6.6307684871276668E-2</v>
      </c>
    </row>
    <row r="65" spans="2:15">
      <c r="B65" s="2" t="s">
        <v>3</v>
      </c>
      <c r="F65" s="33">
        <f>F26/F7</f>
        <v>8.0533824206166588E-2</v>
      </c>
      <c r="G65" s="33">
        <f t="shared" ref="G65:J68" si="49">G26/G7</f>
        <v>8.1925675675675672E-2</v>
      </c>
      <c r="H65" s="33">
        <f t="shared" si="49"/>
        <v>4.509632224168126E-2</v>
      </c>
      <c r="I65" s="33">
        <f t="shared" si="49"/>
        <v>0.10080058224163027</v>
      </c>
      <c r="J65" s="33">
        <f t="shared" si="49"/>
        <v>8.0919395465994956E-2</v>
      </c>
      <c r="K65" s="33"/>
      <c r="L65" s="33"/>
      <c r="M65" s="33">
        <f>M26/M7</f>
        <v>0.11979774406845585</v>
      </c>
      <c r="N65" s="32"/>
      <c r="O65" s="35">
        <f t="shared" si="19"/>
        <v>7.7185493906245545E-2</v>
      </c>
    </row>
    <row r="66" spans="2:15">
      <c r="B66" s="2" t="s">
        <v>4</v>
      </c>
      <c r="F66" s="33">
        <f>F27/F8</f>
        <v>7.8397401191120736E-2</v>
      </c>
      <c r="G66" s="33">
        <f t="shared" si="49"/>
        <v>7.8113386039597277E-2</v>
      </c>
      <c r="H66" s="33">
        <f t="shared" si="49"/>
        <v>5.7282652110238315E-2</v>
      </c>
      <c r="I66" s="33">
        <f t="shared" si="49"/>
        <v>0.11260534883013357</v>
      </c>
      <c r="J66" s="33">
        <f t="shared" si="49"/>
        <v>9.0057513809008602E-2</v>
      </c>
      <c r="K66" s="33"/>
      <c r="L66" s="33"/>
      <c r="M66" s="33">
        <f>M27/M8</f>
        <v>9.1643902256483181E-2</v>
      </c>
      <c r="N66" s="32"/>
      <c r="O66" s="35">
        <f t="shared" si="19"/>
        <v>8.4514725197244442E-2</v>
      </c>
    </row>
    <row r="67" spans="2:15">
      <c r="B67" s="2" t="s">
        <v>5</v>
      </c>
      <c r="F67" s="33">
        <f>F28/F9</f>
        <v>-4.5</v>
      </c>
      <c r="G67" s="33">
        <f t="shared" si="49"/>
        <v>5.8</v>
      </c>
      <c r="H67" s="33">
        <f t="shared" si="49"/>
        <v>12</v>
      </c>
      <c r="I67" s="33">
        <f t="shared" si="49"/>
        <v>-1.6</v>
      </c>
      <c r="J67" s="33">
        <f t="shared" si="49"/>
        <v>-25.375</v>
      </c>
      <c r="K67" s="33"/>
      <c r="L67" s="33"/>
      <c r="M67" s="33">
        <f>M28/M9</f>
        <v>-1.4444444444444444</v>
      </c>
      <c r="N67" s="32"/>
      <c r="O67" s="35">
        <f t="shared" si="19"/>
        <v>-2.2937500000000002</v>
      </c>
    </row>
    <row r="68" spans="2:15">
      <c r="B68" s="2" t="s">
        <v>6</v>
      </c>
      <c r="F68" s="33">
        <f>F29/F10</f>
        <v>-2.2834437086092715E-2</v>
      </c>
      <c r="G68" s="33">
        <f t="shared" si="49"/>
        <v>-1.9390011829450188E-2</v>
      </c>
      <c r="H68" s="33">
        <f t="shared" si="49"/>
        <v>-5.6925461462589824E-2</v>
      </c>
      <c r="I68" s="33">
        <f t="shared" si="49"/>
        <v>1.7626026086518608E-2</v>
      </c>
      <c r="J68" s="33">
        <f t="shared" si="49"/>
        <v>-7.6173696756140531E-3</v>
      </c>
      <c r="K68" s="34"/>
      <c r="L68" s="34"/>
      <c r="M68" s="33">
        <f>M29/M10</f>
        <v>-0.12883487719894621</v>
      </c>
      <c r="N68" s="32"/>
      <c r="O68" s="35">
        <f t="shared" si="19"/>
        <v>-1.6576704220283865E-2</v>
      </c>
    </row>
    <row r="69" spans="2:15">
      <c r="F69" s="35"/>
      <c r="G69" s="35"/>
      <c r="H69" s="35"/>
      <c r="I69" s="35"/>
      <c r="J69" s="35"/>
      <c r="K69" s="35"/>
      <c r="L69" s="35"/>
      <c r="M69" s="35"/>
    </row>
    <row r="70" spans="2:15">
      <c r="F70" s="35"/>
      <c r="G70" s="35"/>
      <c r="H70" s="35"/>
      <c r="I70" s="35"/>
      <c r="J70" s="35"/>
      <c r="K70" s="35"/>
      <c r="L70" s="35"/>
      <c r="M70" s="35"/>
    </row>
    <row r="71" spans="2:15">
      <c r="F71" s="35"/>
      <c r="G71" s="35"/>
      <c r="H71" s="35"/>
      <c r="I71" s="35"/>
      <c r="J71" s="35"/>
      <c r="K71" s="35"/>
      <c r="L71" s="35"/>
      <c r="M71" s="35"/>
    </row>
    <row r="72" spans="2:15">
      <c r="F72" s="35"/>
      <c r="G72" s="35"/>
      <c r="H72" s="35"/>
      <c r="I72" s="35"/>
      <c r="J72" s="35"/>
      <c r="K72" s="35"/>
      <c r="L72" s="35"/>
      <c r="M72" s="35"/>
    </row>
    <row r="73" spans="2:15">
      <c r="F73" s="35"/>
      <c r="G73" s="35"/>
      <c r="H73" s="35"/>
      <c r="I73" s="35"/>
      <c r="J73" s="35"/>
      <c r="K73" s="35"/>
      <c r="L73" s="35"/>
      <c r="M73" s="35"/>
    </row>
    <row r="74" spans="2:15">
      <c r="F74" s="35"/>
      <c r="G74" s="35"/>
      <c r="H74" s="35"/>
      <c r="I74" s="35"/>
      <c r="J74" s="35"/>
      <c r="K74" s="35"/>
      <c r="L74" s="35"/>
      <c r="M74" s="35"/>
    </row>
    <row r="75" spans="2:15">
      <c r="F75" s="35"/>
      <c r="G75" s="35"/>
      <c r="H75" s="35"/>
      <c r="I75" s="35"/>
      <c r="J75" s="35"/>
      <c r="K75" s="35"/>
      <c r="L75" s="35"/>
      <c r="M75" s="35"/>
    </row>
    <row r="76" spans="2:15">
      <c r="F76" s="35"/>
      <c r="G76" s="35"/>
      <c r="H76" s="35"/>
      <c r="I76" s="35"/>
      <c r="J76" s="35"/>
      <c r="K76" s="35"/>
      <c r="L76" s="35"/>
      <c r="M76" s="35"/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FEFC-B865-B245-83ED-7B2675086B23}">
  <dimension ref="A1:M56"/>
  <sheetViews>
    <sheetView showGridLines="0" workbookViewId="0">
      <selection activeCell="I6" sqref="I6"/>
    </sheetView>
  </sheetViews>
  <sheetFormatPr baseColWidth="10" defaultRowHeight="16"/>
  <cols>
    <col min="1" max="1" width="4.5" customWidth="1"/>
    <col min="13" max="13" width="11.5" bestFit="1" customWidth="1"/>
  </cols>
  <sheetData>
    <row r="1" spans="1:13">
      <c r="A1" s="1" t="s">
        <v>49</v>
      </c>
    </row>
    <row r="2" spans="1:13">
      <c r="A2" t="s">
        <v>10</v>
      </c>
    </row>
    <row r="4" spans="1:13">
      <c r="B4" s="38"/>
      <c r="C4" s="16"/>
      <c r="D4" s="16"/>
      <c r="E4" s="16"/>
      <c r="F4" s="16">
        <v>2018</v>
      </c>
      <c r="G4" s="16">
        <f>F4+1</f>
        <v>2019</v>
      </c>
      <c r="H4" s="16">
        <f t="shared" ref="H4:J4" si="0">G4+1</f>
        <v>2020</v>
      </c>
      <c r="I4" s="16">
        <f t="shared" si="0"/>
        <v>2021</v>
      </c>
      <c r="J4" s="16">
        <f t="shared" si="0"/>
        <v>2022</v>
      </c>
      <c r="K4" s="16"/>
      <c r="L4" s="16" t="s">
        <v>83</v>
      </c>
      <c r="M4" s="45" t="s">
        <v>84</v>
      </c>
    </row>
    <row r="5" spans="1:13">
      <c r="A5" t="s">
        <v>1</v>
      </c>
      <c r="B5" s="1" t="s">
        <v>80</v>
      </c>
      <c r="F5" s="9"/>
      <c r="G5" s="9"/>
      <c r="H5" s="9"/>
      <c r="I5" s="9"/>
      <c r="J5" s="9"/>
      <c r="K5" s="9"/>
      <c r="L5" s="9"/>
    </row>
    <row r="6" spans="1:13">
      <c r="B6" t="s">
        <v>81</v>
      </c>
      <c r="F6" s="9"/>
      <c r="G6" s="9"/>
      <c r="H6" s="9"/>
      <c r="I6" s="9">
        <v>12980</v>
      </c>
      <c r="J6" s="9">
        <v>21776</v>
      </c>
      <c r="K6" s="9"/>
      <c r="L6" s="9">
        <v>21776</v>
      </c>
      <c r="M6" s="3">
        <v>20045</v>
      </c>
    </row>
    <row r="7" spans="1:13">
      <c r="B7" t="s">
        <v>133</v>
      </c>
      <c r="F7" s="9"/>
      <c r="G7" s="9"/>
      <c r="H7" s="9"/>
      <c r="I7" s="9">
        <v>22390</v>
      </c>
      <c r="J7" s="9">
        <v>32126</v>
      </c>
      <c r="K7" s="9"/>
      <c r="L7" s="9">
        <v>32126</v>
      </c>
      <c r="M7" s="3">
        <v>33257</v>
      </c>
    </row>
    <row r="8" spans="1:13">
      <c r="B8" t="s">
        <v>82</v>
      </c>
      <c r="F8" s="9"/>
      <c r="G8" s="9"/>
      <c r="H8" s="9"/>
      <c r="I8" s="9">
        <v>44700</v>
      </c>
      <c r="J8" s="9">
        <v>42820</v>
      </c>
      <c r="K8" s="9"/>
      <c r="L8" s="9">
        <v>42820</v>
      </c>
      <c r="M8" s="3">
        <v>42663</v>
      </c>
    </row>
    <row r="9" spans="1:13">
      <c r="B9" t="s">
        <v>85</v>
      </c>
      <c r="F9" s="9"/>
      <c r="G9" s="9"/>
      <c r="H9" s="9"/>
      <c r="I9" s="9">
        <v>5112</v>
      </c>
      <c r="J9" s="9">
        <v>420</v>
      </c>
      <c r="K9" s="9"/>
      <c r="L9" s="9">
        <v>420</v>
      </c>
      <c r="M9" s="3">
        <v>409</v>
      </c>
    </row>
    <row r="10" spans="1:13">
      <c r="B10" t="s">
        <v>86</v>
      </c>
      <c r="F10" s="9"/>
      <c r="G10" s="9"/>
      <c r="H10" s="9"/>
      <c r="I10" s="9">
        <v>1241</v>
      </c>
      <c r="J10" s="9">
        <v>1351</v>
      </c>
      <c r="K10" s="9"/>
      <c r="L10" s="9">
        <v>1351</v>
      </c>
      <c r="M10" s="3">
        <v>1313</v>
      </c>
    </row>
    <row r="11" spans="1:13">
      <c r="B11" t="s">
        <v>87</v>
      </c>
      <c r="F11" s="9"/>
      <c r="G11" s="9"/>
      <c r="H11" s="9"/>
      <c r="I11" s="9">
        <v>51712</v>
      </c>
      <c r="J11" s="9">
        <v>50368</v>
      </c>
      <c r="K11" s="9"/>
      <c r="L11" s="9">
        <v>50368</v>
      </c>
      <c r="M11" s="3">
        <v>49691</v>
      </c>
    </row>
    <row r="12" spans="1:13">
      <c r="B12" t="s">
        <v>88</v>
      </c>
      <c r="F12" s="9"/>
      <c r="G12" s="9"/>
      <c r="H12" s="9"/>
      <c r="I12" s="9">
        <v>1715</v>
      </c>
      <c r="J12" s="9">
        <v>3073</v>
      </c>
      <c r="K12" s="9"/>
      <c r="L12" s="9">
        <v>3073</v>
      </c>
      <c r="M12" s="3">
        <v>1935</v>
      </c>
    </row>
    <row r="13" spans="1:13">
      <c r="B13" t="s">
        <v>89</v>
      </c>
      <c r="F13" s="9"/>
      <c r="G13" s="9"/>
      <c r="H13" s="9"/>
      <c r="I13" s="9">
        <v>2202</v>
      </c>
      <c r="J13" s="9">
        <v>1758</v>
      </c>
      <c r="K13" s="9"/>
      <c r="L13" s="9">
        <v>1758</v>
      </c>
      <c r="M13" s="3">
        <v>2463</v>
      </c>
    </row>
    <row r="14" spans="1:13">
      <c r="B14" s="6" t="s">
        <v>90</v>
      </c>
      <c r="C14" s="6"/>
      <c r="D14" s="6"/>
      <c r="E14" s="6"/>
      <c r="F14" s="50"/>
      <c r="G14" s="50"/>
      <c r="H14" s="50"/>
      <c r="I14" s="9">
        <v>1302</v>
      </c>
      <c r="J14" s="50">
        <v>1030</v>
      </c>
      <c r="K14" s="9"/>
      <c r="L14" s="50">
        <v>1030</v>
      </c>
      <c r="M14" s="21">
        <v>1382</v>
      </c>
    </row>
    <row r="15" spans="1:13">
      <c r="A15" t="s">
        <v>1</v>
      </c>
      <c r="B15" s="20" t="s">
        <v>91</v>
      </c>
      <c r="C15" s="20"/>
      <c r="D15" s="20"/>
      <c r="E15" s="20"/>
      <c r="F15" s="49">
        <f>SUM(F5:F14)</f>
        <v>0</v>
      </c>
      <c r="G15" s="49">
        <f t="shared" ref="G15:J15" si="1">SUM(G5:G14)</f>
        <v>0</v>
      </c>
      <c r="H15" s="49">
        <f t="shared" si="1"/>
        <v>0</v>
      </c>
      <c r="I15" s="49">
        <f t="shared" si="1"/>
        <v>143354</v>
      </c>
      <c r="J15" s="49">
        <f t="shared" si="1"/>
        <v>154722</v>
      </c>
      <c r="K15" s="51"/>
      <c r="L15" s="49">
        <f>SUM(L5:L14)</f>
        <v>154722</v>
      </c>
      <c r="M15" s="49">
        <f>SUM(M5:M14)</f>
        <v>153158</v>
      </c>
    </row>
    <row r="16" spans="1:13">
      <c r="B16" t="s">
        <v>92</v>
      </c>
      <c r="F16" s="9"/>
      <c r="G16" s="9"/>
      <c r="H16" s="9"/>
      <c r="I16" s="9">
        <v>15928</v>
      </c>
      <c r="J16" s="9">
        <v>20005</v>
      </c>
      <c r="K16" s="9"/>
      <c r="L16" s="9">
        <v>20005</v>
      </c>
      <c r="M16" s="3">
        <v>26058</v>
      </c>
    </row>
    <row r="17" spans="1:13">
      <c r="B17" t="s">
        <v>93</v>
      </c>
      <c r="F17" s="9"/>
      <c r="G17" s="9"/>
      <c r="H17" s="9"/>
      <c r="I17" s="9">
        <v>2261</v>
      </c>
      <c r="J17" s="9">
        <v>4127</v>
      </c>
      <c r="K17" s="9"/>
      <c r="L17" s="9">
        <v>4127</v>
      </c>
      <c r="M17" s="3">
        <v>3921</v>
      </c>
    </row>
    <row r="18" spans="1:13">
      <c r="B18" t="s">
        <v>87</v>
      </c>
      <c r="F18" s="9"/>
      <c r="G18" s="9"/>
      <c r="H18" s="9"/>
      <c r="I18" s="9">
        <v>35705</v>
      </c>
      <c r="J18" s="9">
        <v>35340</v>
      </c>
      <c r="K18" s="9"/>
      <c r="L18" s="9">
        <v>35340</v>
      </c>
      <c r="M18" s="3">
        <v>35506</v>
      </c>
    </row>
    <row r="19" spans="1:13">
      <c r="B19" t="s">
        <v>88</v>
      </c>
      <c r="F19" s="9"/>
      <c r="G19" s="9"/>
      <c r="H19" s="9"/>
      <c r="I19" s="9">
        <v>5800</v>
      </c>
      <c r="J19" s="9">
        <v>5164</v>
      </c>
      <c r="K19" s="9"/>
      <c r="L19" s="9">
        <v>5164</v>
      </c>
      <c r="M19" s="3">
        <v>4021</v>
      </c>
    </row>
    <row r="20" spans="1:13">
      <c r="B20" t="s">
        <v>94</v>
      </c>
      <c r="F20" s="9"/>
      <c r="G20" s="9"/>
      <c r="H20" s="9"/>
      <c r="I20" s="9">
        <v>1529</v>
      </c>
      <c r="J20" s="9">
        <v>1096</v>
      </c>
      <c r="K20" s="9"/>
      <c r="L20" s="9">
        <v>1096</v>
      </c>
      <c r="M20" s="3">
        <v>1076</v>
      </c>
    </row>
    <row r="21" spans="1:13">
      <c r="B21" t="s">
        <v>90</v>
      </c>
      <c r="F21" s="9"/>
      <c r="G21" s="9"/>
      <c r="H21" s="9"/>
      <c r="I21" s="9">
        <v>8941</v>
      </c>
      <c r="J21" s="9">
        <v>9602</v>
      </c>
      <c r="K21" s="9"/>
      <c r="L21" s="9">
        <v>9602</v>
      </c>
      <c r="M21" s="3">
        <v>8378</v>
      </c>
    </row>
    <row r="22" spans="1:13">
      <c r="B22" t="s">
        <v>95</v>
      </c>
      <c r="F22" s="9"/>
      <c r="G22" s="9"/>
      <c r="H22" s="9"/>
      <c r="I22" s="9">
        <v>16009</v>
      </c>
      <c r="J22" s="9">
        <v>16870</v>
      </c>
      <c r="K22" s="9"/>
      <c r="L22" s="9">
        <v>16870</v>
      </c>
      <c r="M22" s="3">
        <v>23115</v>
      </c>
    </row>
    <row r="23" spans="1:13">
      <c r="A23" t="s">
        <v>1</v>
      </c>
      <c r="B23" s="20" t="s">
        <v>96</v>
      </c>
      <c r="C23" s="20"/>
      <c r="D23" s="20"/>
      <c r="E23" s="20"/>
      <c r="F23" s="49">
        <f>SUM(F16:F22)</f>
        <v>0</v>
      </c>
      <c r="G23" s="49">
        <f t="shared" ref="G23:J23" si="2">SUM(G16:G22)</f>
        <v>0</v>
      </c>
      <c r="H23" s="49">
        <f t="shared" si="2"/>
        <v>0</v>
      </c>
      <c r="I23" s="49">
        <f t="shared" si="2"/>
        <v>86173</v>
      </c>
      <c r="J23" s="49">
        <f t="shared" si="2"/>
        <v>92204</v>
      </c>
      <c r="K23" s="51"/>
      <c r="L23" s="49">
        <f>SUM(L16:L22)</f>
        <v>92204</v>
      </c>
      <c r="M23" s="49">
        <f>SUM(M16:M22)</f>
        <v>102075</v>
      </c>
    </row>
    <row r="24" spans="1:13">
      <c r="B24" s="20" t="s">
        <v>97</v>
      </c>
      <c r="C24" s="20"/>
      <c r="D24" s="20"/>
      <c r="E24" s="20"/>
      <c r="F24" s="49">
        <f t="shared" ref="F24:J24" si="3">SUM(F23,F15)</f>
        <v>0</v>
      </c>
      <c r="G24" s="49">
        <f t="shared" si="3"/>
        <v>0</v>
      </c>
      <c r="H24" s="49">
        <f t="shared" si="3"/>
        <v>0</v>
      </c>
      <c r="I24" s="49">
        <f t="shared" si="3"/>
        <v>229527</v>
      </c>
      <c r="J24" s="49">
        <f t="shared" si="3"/>
        <v>246926</v>
      </c>
      <c r="K24" s="9"/>
      <c r="L24" s="49">
        <f>SUM(L23,L15)</f>
        <v>246926</v>
      </c>
      <c r="M24" s="49">
        <f t="shared" ref="M24" si="4">SUM(M23,M15)</f>
        <v>255233</v>
      </c>
    </row>
    <row r="25" spans="1:13">
      <c r="A25" t="s">
        <v>1</v>
      </c>
      <c r="B25" s="1" t="s">
        <v>98</v>
      </c>
      <c r="F25" s="9"/>
      <c r="G25" s="9"/>
      <c r="H25" s="9"/>
      <c r="I25" s="9"/>
      <c r="J25" s="9"/>
      <c r="K25" s="9"/>
      <c r="L25" s="9"/>
      <c r="M25" s="3"/>
    </row>
    <row r="26" spans="1:13">
      <c r="B26" t="s">
        <v>99</v>
      </c>
      <c r="F26" s="9"/>
      <c r="G26" s="9"/>
      <c r="H26" s="9"/>
      <c r="I26" s="9">
        <v>661</v>
      </c>
      <c r="J26" s="9">
        <v>663</v>
      </c>
      <c r="K26" s="9"/>
      <c r="L26" s="9">
        <v>663</v>
      </c>
      <c r="M26" s="3">
        <v>639</v>
      </c>
    </row>
    <row r="27" spans="1:13">
      <c r="B27" t="s">
        <v>100</v>
      </c>
      <c r="F27" s="9"/>
      <c r="G27" s="9"/>
      <c r="H27" s="9"/>
      <c r="I27" s="9">
        <v>2325</v>
      </c>
      <c r="J27" s="9">
        <v>2432</v>
      </c>
      <c r="K27" s="9"/>
      <c r="L27" s="9">
        <v>2432</v>
      </c>
      <c r="M27" s="3">
        <v>2456</v>
      </c>
    </row>
    <row r="28" spans="1:13">
      <c r="B28" t="s">
        <v>101</v>
      </c>
      <c r="F28" s="9"/>
      <c r="G28" s="9"/>
      <c r="H28" s="9"/>
      <c r="I28" s="9">
        <v>71705</v>
      </c>
      <c r="J28" s="9">
        <v>85425</v>
      </c>
      <c r="K28" s="9"/>
      <c r="L28" s="9">
        <v>85425</v>
      </c>
      <c r="M28" s="3">
        <v>86959</v>
      </c>
    </row>
    <row r="29" spans="1:13">
      <c r="B29" t="s">
        <v>102</v>
      </c>
      <c r="F29" s="9"/>
      <c r="G29" s="9"/>
      <c r="H29" s="9"/>
      <c r="I29" s="9">
        <v>-325</v>
      </c>
      <c r="J29" s="53">
        <v>-117</v>
      </c>
      <c r="K29" s="9"/>
      <c r="L29" s="53">
        <v>-117</v>
      </c>
      <c r="M29" s="3">
        <v>-1333</v>
      </c>
    </row>
    <row r="30" spans="1:13">
      <c r="B30" t="s">
        <v>103</v>
      </c>
      <c r="F30" s="9"/>
      <c r="G30" s="9"/>
      <c r="H30" s="9"/>
      <c r="I30" s="9">
        <v>0</v>
      </c>
      <c r="J30" s="9">
        <v>-1278</v>
      </c>
      <c r="K30" s="9"/>
      <c r="L30" s="9">
        <v>-1278</v>
      </c>
      <c r="M30" s="3">
        <v>-319</v>
      </c>
    </row>
    <row r="31" spans="1:13">
      <c r="B31" s="20" t="s">
        <v>104</v>
      </c>
      <c r="C31" s="16"/>
      <c r="D31" s="16"/>
      <c r="E31" s="16"/>
      <c r="F31" s="52">
        <f>SUM(F26:F30)</f>
        <v>0</v>
      </c>
      <c r="G31" s="52">
        <f t="shared" ref="G31:J31" si="5">SUM(G26:G30)</f>
        <v>0</v>
      </c>
      <c r="H31" s="52">
        <f t="shared" si="5"/>
        <v>0</v>
      </c>
      <c r="I31" s="52">
        <f t="shared" si="5"/>
        <v>74366</v>
      </c>
      <c r="J31" s="52">
        <f t="shared" si="5"/>
        <v>87125</v>
      </c>
      <c r="K31" s="9"/>
      <c r="L31" s="52">
        <f t="shared" ref="L31" si="6">SUM(L26:L30)</f>
        <v>87125</v>
      </c>
      <c r="M31" s="52">
        <f>SUM(M26:M30)</f>
        <v>88402</v>
      </c>
    </row>
    <row r="32" spans="1:13">
      <c r="B32" t="s">
        <v>105</v>
      </c>
      <c r="F32" s="9"/>
      <c r="G32" s="9"/>
      <c r="H32" s="9"/>
      <c r="I32" s="9">
        <v>766</v>
      </c>
      <c r="J32" s="9">
        <v>4163</v>
      </c>
      <c r="K32" s="9"/>
      <c r="L32" s="9">
        <v>4163</v>
      </c>
      <c r="M32" s="3">
        <v>4567</v>
      </c>
    </row>
    <row r="33" spans="2:13">
      <c r="B33" s="20" t="s">
        <v>106</v>
      </c>
      <c r="C33" s="20"/>
      <c r="D33" s="20"/>
      <c r="E33" s="20"/>
      <c r="F33" s="49">
        <f t="shared" ref="F33:J33" si="7">F31+F32</f>
        <v>0</v>
      </c>
      <c r="G33" s="49">
        <f t="shared" si="7"/>
        <v>0</v>
      </c>
      <c r="H33" s="49">
        <f t="shared" si="7"/>
        <v>0</v>
      </c>
      <c r="I33" s="49">
        <f t="shared" si="7"/>
        <v>75132</v>
      </c>
      <c r="J33" s="49">
        <f t="shared" si="7"/>
        <v>91288</v>
      </c>
      <c r="K33" s="9"/>
      <c r="L33" s="49">
        <f>L31+L32</f>
        <v>91288</v>
      </c>
      <c r="M33" s="49">
        <f>M31+M32</f>
        <v>92969</v>
      </c>
    </row>
    <row r="34" spans="2:13">
      <c r="B34" t="s">
        <v>107</v>
      </c>
      <c r="F34" s="9"/>
      <c r="G34" s="9"/>
      <c r="H34" s="9"/>
      <c r="I34" s="9">
        <v>1247</v>
      </c>
      <c r="J34" s="9">
        <v>339</v>
      </c>
      <c r="K34" s="9"/>
      <c r="L34" s="9">
        <v>339</v>
      </c>
      <c r="M34" s="3">
        <v>220</v>
      </c>
    </row>
    <row r="35" spans="2:13">
      <c r="B35" t="s">
        <v>108</v>
      </c>
      <c r="F35" s="9"/>
      <c r="G35" s="9"/>
      <c r="H35" s="9"/>
      <c r="I35" s="9">
        <v>7206</v>
      </c>
      <c r="J35" s="9">
        <v>8445</v>
      </c>
      <c r="K35" s="9"/>
      <c r="L35" s="9">
        <v>8445</v>
      </c>
      <c r="M35" s="3">
        <v>8279</v>
      </c>
    </row>
    <row r="36" spans="2:13">
      <c r="B36" t="s">
        <v>89</v>
      </c>
      <c r="F36" s="9"/>
      <c r="G36" s="9"/>
      <c r="H36" s="9"/>
      <c r="I36" s="9">
        <v>1458</v>
      </c>
      <c r="J36" s="9">
        <v>2765</v>
      </c>
      <c r="K36" s="9"/>
      <c r="L36" s="9">
        <v>2765</v>
      </c>
      <c r="M36" s="3">
        <v>3207</v>
      </c>
    </row>
    <row r="37" spans="2:13">
      <c r="B37" t="s">
        <v>109</v>
      </c>
      <c r="F37" s="9"/>
      <c r="G37" s="9"/>
      <c r="H37" s="9"/>
      <c r="I37" s="9">
        <v>62342</v>
      </c>
      <c r="J37" s="9">
        <v>53469</v>
      </c>
      <c r="K37" s="9"/>
      <c r="L37" s="9">
        <v>53469</v>
      </c>
      <c r="M37" s="3">
        <v>52389</v>
      </c>
    </row>
    <row r="38" spans="2:13">
      <c r="B38" t="s">
        <v>110</v>
      </c>
      <c r="F38" s="9"/>
      <c r="G38" s="9"/>
      <c r="H38" s="9"/>
      <c r="I38" s="9">
        <v>5676</v>
      </c>
      <c r="J38" s="9">
        <v>6199</v>
      </c>
      <c r="K38" s="9"/>
      <c r="L38" s="9">
        <v>6199</v>
      </c>
      <c r="M38" s="3">
        <v>6924</v>
      </c>
    </row>
    <row r="39" spans="2:13">
      <c r="B39" s="20" t="s">
        <v>111</v>
      </c>
      <c r="C39" s="20"/>
      <c r="D39" s="20"/>
      <c r="E39" s="20"/>
      <c r="F39" s="49">
        <f>SUM(F34:F38)</f>
        <v>0</v>
      </c>
      <c r="G39" s="49">
        <f t="shared" ref="G39:J39" si="8">SUM(G34:G38)</f>
        <v>0</v>
      </c>
      <c r="H39" s="49">
        <f t="shared" si="8"/>
        <v>0</v>
      </c>
      <c r="I39" s="49">
        <f t="shared" si="8"/>
        <v>77929</v>
      </c>
      <c r="J39" s="49">
        <f t="shared" si="8"/>
        <v>71217</v>
      </c>
      <c r="K39" s="9"/>
      <c r="L39" s="49">
        <f t="shared" ref="L39" si="9">SUM(L34:L38)</f>
        <v>71217</v>
      </c>
      <c r="M39" s="49">
        <f t="shared" ref="M39" si="10">SUM(M34:M38)</f>
        <v>71019</v>
      </c>
    </row>
    <row r="40" spans="2:13">
      <c r="B40" t="s">
        <v>108</v>
      </c>
      <c r="F40" s="9"/>
      <c r="G40" s="9"/>
      <c r="H40" s="9"/>
      <c r="I40" s="9">
        <v>6748</v>
      </c>
      <c r="J40" s="9">
        <v>7316</v>
      </c>
      <c r="K40" s="9"/>
      <c r="L40" s="9">
        <v>7316</v>
      </c>
      <c r="M40" s="3">
        <v>8323</v>
      </c>
    </row>
    <row r="41" spans="2:13">
      <c r="B41" t="s">
        <v>94</v>
      </c>
      <c r="F41" s="9"/>
      <c r="G41" s="9"/>
      <c r="H41" s="9"/>
      <c r="I41" s="9">
        <v>921</v>
      </c>
      <c r="J41" s="9">
        <v>1224</v>
      </c>
      <c r="K41" s="9"/>
      <c r="L41" s="9">
        <v>1224</v>
      </c>
      <c r="M41" s="3">
        <v>1630</v>
      </c>
    </row>
    <row r="42" spans="2:13">
      <c r="B42" t="s">
        <v>109</v>
      </c>
      <c r="F42" s="9"/>
      <c r="G42" s="9"/>
      <c r="H42" s="9"/>
      <c r="I42" s="9">
        <v>41121</v>
      </c>
      <c r="J42" s="9">
        <v>40727</v>
      </c>
      <c r="K42" s="9"/>
      <c r="L42" s="9">
        <v>40727</v>
      </c>
      <c r="M42" s="3">
        <v>45122</v>
      </c>
    </row>
    <row r="43" spans="2:13">
      <c r="B43" t="s">
        <v>112</v>
      </c>
      <c r="F43" s="9"/>
      <c r="G43" s="9"/>
      <c r="H43" s="9"/>
      <c r="I43" s="9">
        <v>10932</v>
      </c>
      <c r="J43" s="9">
        <v>14120</v>
      </c>
      <c r="K43" s="9"/>
      <c r="L43" s="9">
        <v>14120</v>
      </c>
      <c r="M43" s="3">
        <v>16575</v>
      </c>
    </row>
    <row r="44" spans="2:13">
      <c r="B44" t="s">
        <v>110</v>
      </c>
      <c r="F44" s="9"/>
      <c r="G44" s="9"/>
      <c r="H44" s="9"/>
      <c r="I44" s="9">
        <v>16744</v>
      </c>
      <c r="J44" s="9">
        <v>21034</v>
      </c>
      <c r="K44" s="9"/>
      <c r="L44" s="9">
        <v>21034</v>
      </c>
      <c r="M44" s="3">
        <v>19595</v>
      </c>
    </row>
    <row r="45" spans="2:13">
      <c r="B45" s="20" t="s">
        <v>113</v>
      </c>
      <c r="C45" s="16"/>
      <c r="D45" s="16"/>
      <c r="E45" s="16"/>
      <c r="F45" s="49">
        <f>SUM(F40:F44)</f>
        <v>0</v>
      </c>
      <c r="G45" s="49">
        <f t="shared" ref="G45:J45" si="11">SUM(G40:G44)</f>
        <v>0</v>
      </c>
      <c r="H45" s="49">
        <f t="shared" si="11"/>
        <v>0</v>
      </c>
      <c r="I45" s="49">
        <f t="shared" si="11"/>
        <v>76466</v>
      </c>
      <c r="J45" s="49">
        <f t="shared" si="11"/>
        <v>84421</v>
      </c>
      <c r="K45" s="9"/>
      <c r="L45" s="49">
        <f t="shared" ref="L45" si="12">SUM(L40:L44)</f>
        <v>84421</v>
      </c>
      <c r="M45" s="49">
        <f t="shared" ref="M45" si="13">SUM(M40:M44)</f>
        <v>91245</v>
      </c>
    </row>
    <row r="46" spans="2:13">
      <c r="B46" s="20" t="s">
        <v>97</v>
      </c>
      <c r="C46" s="16"/>
      <c r="D46" s="16"/>
      <c r="E46" s="16"/>
      <c r="F46" s="49">
        <f t="shared" ref="F46" si="14">F45+F39+F33</f>
        <v>0</v>
      </c>
      <c r="G46" s="49">
        <f t="shared" ref="G46" si="15">G45+G39+G33</f>
        <v>0</v>
      </c>
      <c r="H46" s="49">
        <f t="shared" ref="H46" si="16">H45+H39+H33</f>
        <v>0</v>
      </c>
      <c r="I46" s="49">
        <f t="shared" ref="I46" si="17">I45+I39+I33</f>
        <v>229527</v>
      </c>
      <c r="J46" s="49">
        <f t="shared" ref="J46" si="18">J45+J39+J33</f>
        <v>246926</v>
      </c>
      <c r="K46" s="9"/>
      <c r="L46" s="49">
        <f t="shared" ref="L46" si="19">L45+L39+L33</f>
        <v>246926</v>
      </c>
      <c r="M46" s="49">
        <f>M45+M39+M33</f>
        <v>255233</v>
      </c>
    </row>
    <row r="47" spans="2:13">
      <c r="F47" s="9"/>
      <c r="G47" s="9"/>
      <c r="H47" s="9"/>
      <c r="I47" s="9"/>
      <c r="J47" s="9"/>
      <c r="K47" s="9"/>
      <c r="L47" s="9"/>
    </row>
    <row r="48" spans="2:13">
      <c r="F48" s="9"/>
      <c r="G48" s="9"/>
      <c r="H48" s="9"/>
      <c r="I48" s="9"/>
      <c r="J48" s="9"/>
      <c r="K48" s="9"/>
      <c r="L48" s="9"/>
    </row>
    <row r="49" spans="6:12">
      <c r="F49" s="9"/>
      <c r="G49" s="9"/>
      <c r="H49" s="9"/>
      <c r="I49" s="9"/>
      <c r="J49" s="9"/>
      <c r="K49" s="9"/>
      <c r="L49" s="9"/>
    </row>
    <row r="50" spans="6:12">
      <c r="F50" s="9"/>
      <c r="G50" s="9"/>
      <c r="H50" s="9"/>
      <c r="I50" s="9"/>
      <c r="J50" s="9"/>
      <c r="K50" s="9"/>
      <c r="L50" s="9"/>
    </row>
    <row r="51" spans="6:12">
      <c r="F51" s="9"/>
      <c r="G51" s="9"/>
      <c r="H51" s="9"/>
      <c r="I51" s="9"/>
      <c r="J51" s="9"/>
      <c r="K51" s="9"/>
      <c r="L51" s="9"/>
    </row>
    <row r="52" spans="6:12">
      <c r="F52" s="47"/>
      <c r="G52" s="47"/>
      <c r="H52" s="47"/>
      <c r="I52" s="47"/>
      <c r="J52" s="47"/>
      <c r="K52" s="47"/>
      <c r="L52" s="47"/>
    </row>
    <row r="53" spans="6:12">
      <c r="F53" s="47"/>
      <c r="G53" s="47"/>
      <c r="H53" s="47"/>
      <c r="I53" s="47"/>
      <c r="J53" s="47"/>
      <c r="K53" s="47"/>
      <c r="L53" s="47"/>
    </row>
    <row r="54" spans="6:12">
      <c r="F54" s="47"/>
      <c r="G54" s="47"/>
      <c r="H54" s="47"/>
      <c r="I54" s="47"/>
      <c r="J54" s="47"/>
      <c r="K54" s="47"/>
      <c r="L54" s="47"/>
    </row>
    <row r="55" spans="6:12">
      <c r="F55" s="47"/>
      <c r="G55" s="47"/>
      <c r="H55" s="47"/>
      <c r="I55" s="47"/>
      <c r="J55" s="47"/>
      <c r="K55" s="47"/>
      <c r="L55" s="47"/>
    </row>
    <row r="56" spans="6:12">
      <c r="F56" s="47"/>
      <c r="G56" s="47"/>
      <c r="H56" s="47"/>
      <c r="I56" s="47"/>
      <c r="J56" s="47"/>
      <c r="K56" s="47"/>
      <c r="L56" s="4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DB28B-95B7-724E-9E28-F4444E675499}">
  <dimension ref="A1:P39"/>
  <sheetViews>
    <sheetView showGridLines="0" tabSelected="1" workbookViewId="0">
      <selection activeCell="K20" sqref="K20"/>
    </sheetView>
  </sheetViews>
  <sheetFormatPr baseColWidth="10" defaultRowHeight="16"/>
  <cols>
    <col min="7" max="14" width="10.83203125" style="32"/>
  </cols>
  <sheetData>
    <row r="1" spans="1:14">
      <c r="A1" s="1" t="s">
        <v>134</v>
      </c>
    </row>
    <row r="2" spans="1:14">
      <c r="A2" t="s">
        <v>10</v>
      </c>
    </row>
    <row r="4" spans="1:14">
      <c r="F4" s="38"/>
      <c r="G4" s="31">
        <v>2018</v>
      </c>
      <c r="H4" s="31">
        <f>G4+1</f>
        <v>2019</v>
      </c>
      <c r="I4" s="31">
        <f t="shared" ref="I4:K4" si="0">H4+1</f>
        <v>2020</v>
      </c>
      <c r="J4" s="31">
        <f t="shared" si="0"/>
        <v>2021</v>
      </c>
      <c r="K4" s="31">
        <f t="shared" si="0"/>
        <v>2022</v>
      </c>
      <c r="L4" s="54"/>
      <c r="M4" s="55" t="s">
        <v>125</v>
      </c>
      <c r="N4" s="54" t="s">
        <v>126</v>
      </c>
    </row>
    <row r="5" spans="1:14">
      <c r="A5" t="s">
        <v>135</v>
      </c>
      <c r="J5" s="57">
        <v>16060</v>
      </c>
      <c r="K5" s="57">
        <v>23509</v>
      </c>
      <c r="M5" s="57">
        <v>20256</v>
      </c>
      <c r="N5" s="57">
        <v>13414</v>
      </c>
    </row>
    <row r="6" spans="1:14">
      <c r="A6" t="s">
        <v>140</v>
      </c>
      <c r="J6" s="57">
        <v>3217</v>
      </c>
      <c r="K6" s="57">
        <v>4512</v>
      </c>
      <c r="M6" s="32" t="s">
        <v>116</v>
      </c>
      <c r="N6" s="32" t="s">
        <v>116</v>
      </c>
    </row>
    <row r="7" spans="1:14">
      <c r="A7" t="s">
        <v>141</v>
      </c>
      <c r="J7" s="32">
        <v>130</v>
      </c>
      <c r="K7" s="32">
        <v>453</v>
      </c>
      <c r="M7" s="32" t="s">
        <v>116</v>
      </c>
      <c r="N7" s="32" t="s">
        <v>116</v>
      </c>
    </row>
    <row r="8" spans="1:14">
      <c r="A8" t="s">
        <v>142</v>
      </c>
      <c r="G8" s="64"/>
      <c r="J8" s="32">
        <v>-78</v>
      </c>
      <c r="K8" s="57">
        <v>206</v>
      </c>
      <c r="M8" s="32" t="s">
        <v>116</v>
      </c>
      <c r="N8" s="32" t="s">
        <v>116</v>
      </c>
    </row>
    <row r="9" spans="1:14">
      <c r="A9" t="s">
        <v>136</v>
      </c>
      <c r="J9" s="57">
        <v>6495</v>
      </c>
      <c r="K9" s="57">
        <v>8566</v>
      </c>
      <c r="M9" s="57">
        <v>6126</v>
      </c>
      <c r="N9" s="57">
        <v>6733</v>
      </c>
    </row>
    <row r="10" spans="1:14">
      <c r="A10" t="s">
        <v>143</v>
      </c>
      <c r="J10" s="32">
        <v>713</v>
      </c>
      <c r="K10" s="57">
        <v>7392</v>
      </c>
      <c r="M10" s="57" t="s">
        <v>116</v>
      </c>
      <c r="N10" s="57" t="s">
        <v>116</v>
      </c>
    </row>
    <row r="11" spans="1:14">
      <c r="A11" s="46" t="s">
        <v>39</v>
      </c>
      <c r="G11" s="57"/>
      <c r="H11" s="57"/>
      <c r="I11" s="57"/>
      <c r="J11" s="57">
        <v>-1520</v>
      </c>
      <c r="K11" s="57">
        <v>100</v>
      </c>
      <c r="M11" s="57" t="s">
        <v>116</v>
      </c>
      <c r="N11" s="57" t="s">
        <v>116</v>
      </c>
    </row>
    <row r="12" spans="1:14">
      <c r="A12" t="s">
        <v>144</v>
      </c>
      <c r="G12" s="64"/>
      <c r="J12" s="57">
        <v>-1282</v>
      </c>
      <c r="K12" s="57">
        <v>2794</v>
      </c>
      <c r="M12" s="57">
        <v>5291</v>
      </c>
      <c r="N12" s="57">
        <v>-89</v>
      </c>
    </row>
    <row r="13" spans="1:14">
      <c r="A13" t="s">
        <v>145</v>
      </c>
      <c r="G13" s="64"/>
      <c r="J13" s="32">
        <v>965</v>
      </c>
      <c r="K13" s="57">
        <v>1888</v>
      </c>
      <c r="M13" s="57" t="s">
        <v>116</v>
      </c>
      <c r="N13" s="57" t="s">
        <v>116</v>
      </c>
    </row>
    <row r="14" spans="1:14">
      <c r="A14" s="1" t="s">
        <v>138</v>
      </c>
      <c r="F14" s="65">
        <f t="shared" ref="F14:I14" si="1">SUM(F15:F17)</f>
        <v>0</v>
      </c>
      <c r="G14" s="65">
        <f t="shared" si="1"/>
        <v>0</v>
      </c>
      <c r="H14" s="65">
        <f t="shared" si="1"/>
        <v>0</v>
      </c>
      <c r="I14" s="65">
        <f t="shared" si="1"/>
        <v>0</v>
      </c>
      <c r="J14" s="70">
        <f>SUM(J15:J17)</f>
        <v>1355</v>
      </c>
      <c r="K14" s="65">
        <f>SUM(K15:K17)</f>
        <v>-523</v>
      </c>
      <c r="M14" s="65">
        <v>-582</v>
      </c>
      <c r="N14" s="59">
        <v>-3198</v>
      </c>
    </row>
    <row r="15" spans="1:14">
      <c r="A15" s="2" t="s">
        <v>146</v>
      </c>
      <c r="J15" s="32">
        <v>-563</v>
      </c>
      <c r="K15" s="32">
        <v>-115</v>
      </c>
      <c r="M15" s="32" t="s">
        <v>116</v>
      </c>
      <c r="N15" s="32" t="s">
        <v>116</v>
      </c>
    </row>
    <row r="16" spans="1:14">
      <c r="A16" s="66" t="s">
        <v>147</v>
      </c>
      <c r="G16" s="65"/>
      <c r="H16" s="65"/>
      <c r="I16" s="65"/>
      <c r="J16" s="32">
        <v>119</v>
      </c>
      <c r="K16" s="32">
        <v>-939</v>
      </c>
      <c r="L16" s="65"/>
      <c r="M16" s="32" t="s">
        <v>116</v>
      </c>
      <c r="N16" s="32" t="s">
        <v>116</v>
      </c>
    </row>
    <row r="17" spans="1:16">
      <c r="A17" s="66" t="s">
        <v>148</v>
      </c>
      <c r="G17" s="65"/>
      <c r="H17" s="65"/>
      <c r="I17" s="65"/>
      <c r="J17" s="57">
        <v>1799</v>
      </c>
      <c r="K17" s="32">
        <v>531</v>
      </c>
      <c r="L17" s="65"/>
      <c r="M17" s="32" t="s">
        <v>116</v>
      </c>
      <c r="N17" s="32" t="s">
        <v>116</v>
      </c>
    </row>
    <row r="18" spans="1:16">
      <c r="A18" s="68" t="s">
        <v>137</v>
      </c>
      <c r="J18" s="57">
        <v>-1256</v>
      </c>
      <c r="K18" s="32">
        <v>816</v>
      </c>
      <c r="M18" s="32">
        <v>550</v>
      </c>
      <c r="N18" s="57">
        <v>1046</v>
      </c>
      <c r="P18" s="32"/>
    </row>
    <row r="19" spans="1:16">
      <c r="A19" s="68" t="s">
        <v>150</v>
      </c>
      <c r="J19" s="57">
        <v>-1181</v>
      </c>
      <c r="K19" s="57">
        <v>-1970</v>
      </c>
      <c r="M19" s="57">
        <v>-12589</v>
      </c>
      <c r="N19" s="57">
        <v>-2166</v>
      </c>
    </row>
    <row r="20" spans="1:16">
      <c r="A20" s="67" t="s">
        <v>149</v>
      </c>
      <c r="F20" s="63"/>
      <c r="G20" s="61">
        <f t="shared" ref="G20:I20" si="2">G5-G6+G7-G8+G9-G10+G11+G12+G13+G14+G18+G19</f>
        <v>0</v>
      </c>
      <c r="H20" s="61">
        <f t="shared" si="2"/>
        <v>0</v>
      </c>
      <c r="I20" s="61">
        <f t="shared" si="2"/>
        <v>0</v>
      </c>
      <c r="J20" s="61">
        <f>J5-J6+J7-J8+J9-J10+J11+J12+J13+J14+J18+J19</f>
        <v>15914</v>
      </c>
      <c r="K20" s="61">
        <f>K5-K6+K7-K8+K9-K10+K11+K12+K13+K14+K18+K19</f>
        <v>23523</v>
      </c>
      <c r="L20" s="62"/>
      <c r="M20" s="60">
        <f>SUM(M5:M19)</f>
        <v>19052</v>
      </c>
      <c r="N20" s="58">
        <f>SUM(N5:N19)</f>
        <v>15740</v>
      </c>
      <c r="O20" s="3"/>
    </row>
    <row r="21" spans="1:16">
      <c r="A21" t="s">
        <v>151</v>
      </c>
      <c r="J21" s="32">
        <f>-6619+43+40</f>
        <v>-6536</v>
      </c>
      <c r="K21" s="69">
        <f>-9050+102+103</f>
        <v>-8845</v>
      </c>
      <c r="M21" s="57">
        <v>-5198</v>
      </c>
      <c r="N21" s="57">
        <v>-6744</v>
      </c>
    </row>
    <row r="22" spans="1:16">
      <c r="A22" t="s">
        <v>152</v>
      </c>
      <c r="B22" s="1"/>
      <c r="C22" s="1"/>
      <c r="J22" s="32">
        <v>0</v>
      </c>
      <c r="K22" s="71">
        <v>3587</v>
      </c>
      <c r="L22" s="65"/>
      <c r="M22" s="57">
        <v>3587</v>
      </c>
      <c r="N22" s="57">
        <v>0</v>
      </c>
    </row>
    <row r="23" spans="1:16">
      <c r="A23" t="s">
        <v>153</v>
      </c>
      <c r="J23" s="32">
        <f>-158+263</f>
        <v>105</v>
      </c>
      <c r="K23" s="69">
        <f>-117+32</f>
        <v>-85</v>
      </c>
      <c r="M23" s="32">
        <v>420</v>
      </c>
      <c r="N23" s="57">
        <v>1175</v>
      </c>
    </row>
    <row r="24" spans="1:16">
      <c r="A24" t="s">
        <v>154</v>
      </c>
      <c r="J24" s="32">
        <f>-271+302</f>
        <v>31</v>
      </c>
      <c r="K24" s="53">
        <f>-649+1220</f>
        <v>571</v>
      </c>
      <c r="M24" s="32">
        <v>120</v>
      </c>
      <c r="N24" s="32">
        <v>-168</v>
      </c>
    </row>
    <row r="25" spans="1:16">
      <c r="A25" s="67" t="s">
        <v>155</v>
      </c>
      <c r="F25" s="72">
        <f t="shared" ref="F25:J25" si="3">SUM(F21:F24)</f>
        <v>0</v>
      </c>
      <c r="G25" s="73">
        <f t="shared" si="3"/>
        <v>0</v>
      </c>
      <c r="H25" s="73">
        <f t="shared" si="3"/>
        <v>0</v>
      </c>
      <c r="I25" s="73">
        <f t="shared" si="3"/>
        <v>0</v>
      </c>
      <c r="J25" s="73">
        <f t="shared" si="3"/>
        <v>-6400</v>
      </c>
      <c r="K25" s="73">
        <f>SUM(K21:K24)</f>
        <v>-4772</v>
      </c>
      <c r="L25" s="62"/>
      <c r="M25" s="73">
        <f t="shared" ref="M25:N25" si="4">SUM(M21:M24)</f>
        <v>-1071</v>
      </c>
      <c r="N25" s="74">
        <f t="shared" si="4"/>
        <v>-5737</v>
      </c>
    </row>
    <row r="26" spans="1:16">
      <c r="A26" t="s">
        <v>156</v>
      </c>
      <c r="J26" s="32">
        <v>103</v>
      </c>
      <c r="K26" s="53">
        <v>85</v>
      </c>
      <c r="M26" s="32" t="s">
        <v>116</v>
      </c>
      <c r="N26" s="32" t="s">
        <v>116</v>
      </c>
    </row>
    <row r="27" spans="1:16">
      <c r="A27" t="s">
        <v>157</v>
      </c>
      <c r="J27" s="57">
        <v>0</v>
      </c>
      <c r="K27" s="53">
        <v>-1278</v>
      </c>
      <c r="M27" s="32" t="s">
        <v>116</v>
      </c>
      <c r="N27" s="32" t="s">
        <v>116</v>
      </c>
    </row>
    <row r="28" spans="1:16">
      <c r="A28" t="s">
        <v>158</v>
      </c>
      <c r="J28" s="53">
        <f>-(1253+24)</f>
        <v>-1277</v>
      </c>
      <c r="K28" s="53">
        <f>-(3827+1455)</f>
        <v>-5282</v>
      </c>
      <c r="M28" s="32" t="s">
        <v>116</v>
      </c>
      <c r="N28" s="32" t="s">
        <v>116</v>
      </c>
    </row>
    <row r="29" spans="1:16">
      <c r="A29" t="s">
        <v>159</v>
      </c>
      <c r="J29" s="32">
        <v>0</v>
      </c>
      <c r="K29" s="32">
        <v>0</v>
      </c>
      <c r="M29" s="32" t="s">
        <v>116</v>
      </c>
      <c r="N29" s="32" t="s">
        <v>116</v>
      </c>
    </row>
    <row r="30" spans="1:16">
      <c r="A30" t="s">
        <v>160</v>
      </c>
      <c r="J30" s="32">
        <v>-217</v>
      </c>
      <c r="K30" s="32">
        <v>-222</v>
      </c>
      <c r="M30" s="32" t="s">
        <v>116</v>
      </c>
      <c r="N30" s="32" t="s">
        <v>116</v>
      </c>
    </row>
    <row r="31" spans="1:16">
      <c r="A31" t="s">
        <v>161</v>
      </c>
      <c r="J31" s="57">
        <v>18811</v>
      </c>
      <c r="K31" s="57">
        <v>16050</v>
      </c>
      <c r="M31" s="32" t="s">
        <v>116</v>
      </c>
      <c r="N31" s="32" t="s">
        <v>116</v>
      </c>
    </row>
    <row r="32" spans="1:16">
      <c r="A32" t="s">
        <v>164</v>
      </c>
      <c r="J32" s="57">
        <v>-26434</v>
      </c>
      <c r="K32" s="57">
        <v>-26102</v>
      </c>
      <c r="M32" s="32" t="s">
        <v>116</v>
      </c>
      <c r="N32" s="32" t="s">
        <v>116</v>
      </c>
    </row>
    <row r="33" spans="1:14">
      <c r="A33" t="s">
        <v>162</v>
      </c>
      <c r="J33" s="57">
        <v>2279</v>
      </c>
      <c r="K33" s="57">
        <v>-1235</v>
      </c>
      <c r="M33" s="32" t="s">
        <v>116</v>
      </c>
      <c r="N33" s="32" t="s">
        <v>116</v>
      </c>
    </row>
    <row r="34" spans="1:14">
      <c r="A34" s="67" t="s">
        <v>163</v>
      </c>
      <c r="F34" s="76">
        <f t="shared" ref="F34:J34" si="5">SUM(F26:F33)</f>
        <v>0</v>
      </c>
      <c r="G34" s="77">
        <f t="shared" si="5"/>
        <v>0</v>
      </c>
      <c r="H34" s="77">
        <f t="shared" si="5"/>
        <v>0</v>
      </c>
      <c r="I34" s="77">
        <f t="shared" si="5"/>
        <v>0</v>
      </c>
      <c r="J34" s="77">
        <f t="shared" si="5"/>
        <v>-6735</v>
      </c>
      <c r="K34" s="77">
        <f>SUM(K26:K33)</f>
        <v>-17984</v>
      </c>
      <c r="L34" s="62"/>
      <c r="M34" s="77">
        <v>-9743</v>
      </c>
      <c r="N34" s="78">
        <v>-3216</v>
      </c>
    </row>
    <row r="35" spans="1:14">
      <c r="A35" t="s">
        <v>139</v>
      </c>
      <c r="J35" s="32">
        <v>-307</v>
      </c>
      <c r="K35" s="32">
        <v>104</v>
      </c>
      <c r="M35" s="32">
        <v>200</v>
      </c>
      <c r="N35" s="32">
        <v>-569</v>
      </c>
    </row>
    <row r="36" spans="1:14">
      <c r="A36" t="s">
        <v>165</v>
      </c>
      <c r="J36" s="32">
        <v>0</v>
      </c>
      <c r="K36" s="32">
        <v>-10</v>
      </c>
      <c r="M36" s="32">
        <v>0</v>
      </c>
      <c r="N36" s="32">
        <v>27</v>
      </c>
    </row>
    <row r="37" spans="1:14">
      <c r="A37" s="1" t="s">
        <v>166</v>
      </c>
      <c r="F37" s="76">
        <f t="shared" ref="F37:J37" si="6">SUM(F34,F20,F25,F35,F36)</f>
        <v>0</v>
      </c>
      <c r="G37" s="77">
        <f t="shared" si="6"/>
        <v>0</v>
      </c>
      <c r="H37" s="77">
        <f t="shared" si="6"/>
        <v>0</v>
      </c>
      <c r="I37" s="77">
        <f t="shared" si="6"/>
        <v>0</v>
      </c>
      <c r="J37" s="77">
        <f t="shared" si="6"/>
        <v>2472</v>
      </c>
      <c r="K37" s="77">
        <f>SUM(K34,K20,K25,K35,K36)</f>
        <v>861</v>
      </c>
      <c r="L37" s="62"/>
      <c r="M37" s="77">
        <f t="shared" ref="M37:N37" si="7">SUM(M34,M20,M25,M35,M36)</f>
        <v>8438</v>
      </c>
      <c r="N37" s="78">
        <f t="shared" si="7"/>
        <v>6245</v>
      </c>
    </row>
    <row r="38" spans="1:14">
      <c r="A38" t="s">
        <v>167</v>
      </c>
      <c r="J38" s="57">
        <v>13537</v>
      </c>
      <c r="K38" s="57">
        <v>16009</v>
      </c>
      <c r="M38" s="57">
        <v>16009</v>
      </c>
      <c r="N38" s="57">
        <v>16870</v>
      </c>
    </row>
    <row r="39" spans="1:14">
      <c r="A39" t="s">
        <v>168</v>
      </c>
      <c r="F39" s="75">
        <f t="shared" ref="F39:J39" si="8">F38+F37</f>
        <v>0</v>
      </c>
      <c r="G39" s="75">
        <f t="shared" si="8"/>
        <v>0</v>
      </c>
      <c r="H39" s="75">
        <f t="shared" si="8"/>
        <v>0</v>
      </c>
      <c r="I39" s="75">
        <f t="shared" si="8"/>
        <v>0</v>
      </c>
      <c r="J39" s="75">
        <f t="shared" si="8"/>
        <v>16009</v>
      </c>
      <c r="K39" s="75">
        <f>K38+K37</f>
        <v>16870</v>
      </c>
      <c r="M39" s="75">
        <f t="shared" ref="M39:N39" si="9">M38+M37</f>
        <v>24447</v>
      </c>
      <c r="N39" s="75">
        <f t="shared" si="9"/>
        <v>23115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92184-C137-7545-9A19-9783F75A7DD1}">
  <dimension ref="A1:R67"/>
  <sheetViews>
    <sheetView workbookViewId="0">
      <selection activeCell="L1" sqref="L1"/>
    </sheetView>
  </sheetViews>
  <sheetFormatPr baseColWidth="10" defaultRowHeight="16"/>
  <cols>
    <col min="1" max="1" width="4.5" customWidth="1"/>
    <col min="5" max="5" width="12.5" bestFit="1" customWidth="1"/>
    <col min="14" max="14" width="12.5" bestFit="1" customWidth="1"/>
  </cols>
  <sheetData>
    <row r="1" spans="1:18">
      <c r="A1" s="1" t="s">
        <v>19</v>
      </c>
    </row>
    <row r="3" spans="1:18">
      <c r="A3" s="1" t="s">
        <v>18</v>
      </c>
      <c r="M3" s="29"/>
    </row>
    <row r="4" spans="1:18">
      <c r="M4" s="28"/>
    </row>
    <row r="5" spans="1:18">
      <c r="E5">
        <v>2018</v>
      </c>
      <c r="F5">
        <f>E5+1</f>
        <v>2019</v>
      </c>
      <c r="G5">
        <f t="shared" ref="G5:I5" si="0">F5+1</f>
        <v>2020</v>
      </c>
      <c r="H5">
        <f t="shared" si="0"/>
        <v>2021</v>
      </c>
      <c r="I5">
        <f t="shared" si="0"/>
        <v>2022</v>
      </c>
      <c r="K5" s="32" t="s">
        <v>125</v>
      </c>
      <c r="L5" s="32" t="s">
        <v>126</v>
      </c>
      <c r="M5" s="28"/>
      <c r="N5" t="s">
        <v>127</v>
      </c>
      <c r="O5" t="s">
        <v>128</v>
      </c>
      <c r="P5" t="s">
        <v>127</v>
      </c>
      <c r="Q5" t="s">
        <v>128</v>
      </c>
    </row>
    <row r="6" spans="1:18" ht="51">
      <c r="A6" t="s">
        <v>1</v>
      </c>
      <c r="B6" s="5" t="s">
        <v>14</v>
      </c>
    </row>
    <row r="7" spans="1:18">
      <c r="B7" t="s">
        <v>11</v>
      </c>
      <c r="E7" s="3">
        <v>2117854</v>
      </c>
      <c r="F7" s="3">
        <v>2184939</v>
      </c>
      <c r="G7" s="3">
        <v>2028841</v>
      </c>
      <c r="H7" s="3">
        <v>2213790</v>
      </c>
      <c r="I7" s="3">
        <v>2100689</v>
      </c>
      <c r="K7" s="3">
        <v>1621267</v>
      </c>
      <c r="L7" s="3">
        <v>1533866</v>
      </c>
      <c r="N7" s="9">
        <f>99004+143928</f>
        <v>242932</v>
      </c>
      <c r="O7" s="10">
        <f>N7/K7</f>
        <v>0.14984083435979392</v>
      </c>
      <c r="P7" s="3">
        <f>246867+125891</f>
        <v>372758</v>
      </c>
      <c r="Q7" s="10">
        <f>P7/L7</f>
        <v>0.24301862092255777</v>
      </c>
      <c r="R7" s="46" t="s">
        <v>129</v>
      </c>
    </row>
    <row r="8" spans="1:18">
      <c r="B8" t="s">
        <v>12</v>
      </c>
      <c r="E8" s="3">
        <v>364101</v>
      </c>
      <c r="F8" s="3">
        <v>347465</v>
      </c>
      <c r="G8" s="3">
        <v>292582</v>
      </c>
      <c r="H8" s="3">
        <v>302138</v>
      </c>
      <c r="I8" s="3">
        <v>292922</v>
      </c>
      <c r="K8" s="3">
        <v>210741</v>
      </c>
      <c r="L8" s="3">
        <v>209271</v>
      </c>
      <c r="N8" s="9">
        <f>29191+11161</f>
        <v>40352</v>
      </c>
      <c r="O8" s="10">
        <f t="shared" ref="O8:O10" si="1">N8/K8</f>
        <v>0.19147674159276079</v>
      </c>
      <c r="P8" s="3">
        <f>29729+12653</f>
        <v>42382</v>
      </c>
      <c r="Q8" s="10">
        <f>P8/L8</f>
        <v>0.20252208858370246</v>
      </c>
    </row>
    <row r="9" spans="1:18">
      <c r="B9" t="s">
        <v>13</v>
      </c>
      <c r="E9" s="3">
        <v>4194</v>
      </c>
      <c r="F9" s="3">
        <v>5100</v>
      </c>
      <c r="G9" s="3">
        <v>3756</v>
      </c>
      <c r="H9" s="3">
        <v>5586</v>
      </c>
      <c r="I9" s="3">
        <v>6021</v>
      </c>
      <c r="K9" s="3">
        <v>4555</v>
      </c>
      <c r="L9" s="3">
        <v>4701</v>
      </c>
      <c r="N9" s="3">
        <v>0</v>
      </c>
      <c r="O9" s="10">
        <f t="shared" si="1"/>
        <v>0</v>
      </c>
      <c r="P9">
        <v>0</v>
      </c>
      <c r="Q9" s="10">
        <f>P9/L9</f>
        <v>0</v>
      </c>
    </row>
    <row r="10" spans="1:18">
      <c r="B10" s="1" t="s">
        <v>15</v>
      </c>
      <c r="E10" s="4">
        <f>SUM(E7:E9)</f>
        <v>2486149</v>
      </c>
      <c r="F10" s="4">
        <f>SUM(F7:F9)</f>
        <v>2537504</v>
      </c>
      <c r="G10" s="4">
        <f>SUM(G7:G9)</f>
        <v>2325179</v>
      </c>
      <c r="H10" s="4">
        <f t="shared" ref="H10:P10" si="2">SUM(H7:H9)</f>
        <v>2521514</v>
      </c>
      <c r="I10" s="4">
        <f t="shared" si="2"/>
        <v>2399632</v>
      </c>
      <c r="K10" s="4">
        <f t="shared" si="2"/>
        <v>1836563</v>
      </c>
      <c r="L10" s="4">
        <f t="shared" si="2"/>
        <v>1747838</v>
      </c>
      <c r="N10" s="4">
        <f t="shared" si="2"/>
        <v>283284</v>
      </c>
      <c r="O10" s="48">
        <f t="shared" si="1"/>
        <v>0.15424681864983669</v>
      </c>
      <c r="P10" s="4">
        <f t="shared" si="2"/>
        <v>415140</v>
      </c>
      <c r="Q10" s="48">
        <f>P10/L10</f>
        <v>0.23751629155562473</v>
      </c>
    </row>
    <row r="11" spans="1:18">
      <c r="B11" s="7"/>
      <c r="C11" s="6"/>
      <c r="D11" s="6"/>
      <c r="E11" s="8"/>
      <c r="F11" s="8"/>
      <c r="G11" s="8"/>
      <c r="H11" s="8"/>
      <c r="I11" s="8"/>
      <c r="K11" s="6"/>
      <c r="L11" s="6"/>
    </row>
    <row r="13" spans="1:18">
      <c r="E13">
        <v>2018</v>
      </c>
      <c r="F13">
        <f>E13+1</f>
        <v>2019</v>
      </c>
      <c r="G13">
        <f t="shared" ref="G13:I13" si="3">F13+1</f>
        <v>2020</v>
      </c>
      <c r="H13">
        <f t="shared" si="3"/>
        <v>2021</v>
      </c>
      <c r="I13">
        <f t="shared" si="3"/>
        <v>2022</v>
      </c>
      <c r="K13" s="32" t="s">
        <v>124</v>
      </c>
      <c r="L13" s="32" t="s">
        <v>123</v>
      </c>
    </row>
    <row r="14" spans="1:18" ht="51">
      <c r="A14" t="s">
        <v>1</v>
      </c>
      <c r="B14" s="5" t="s">
        <v>16</v>
      </c>
    </row>
    <row r="15" spans="1:18">
      <c r="B15" t="s">
        <v>11</v>
      </c>
      <c r="E15" s="3">
        <v>2168496</v>
      </c>
      <c r="F15" s="3">
        <v>2205841</v>
      </c>
      <c r="G15" s="3">
        <v>1980740</v>
      </c>
      <c r="H15" s="3">
        <v>2166644</v>
      </c>
      <c r="I15" s="3">
        <v>2089801</v>
      </c>
    </row>
    <row r="16" spans="1:18">
      <c r="B16" t="s">
        <v>12</v>
      </c>
      <c r="E16" s="3">
        <v>368685</v>
      </c>
      <c r="F16" s="3">
        <v>352729</v>
      </c>
      <c r="G16" s="3">
        <v>271121</v>
      </c>
      <c r="H16" s="3">
        <v>288713</v>
      </c>
      <c r="I16" s="3">
        <v>286265</v>
      </c>
    </row>
    <row r="17" spans="1:12">
      <c r="B17" t="s">
        <v>13</v>
      </c>
      <c r="E17" s="3">
        <v>4353</v>
      </c>
      <c r="F17" s="3">
        <v>5455</v>
      </c>
      <c r="G17" s="3">
        <v>3776</v>
      </c>
      <c r="H17" s="3">
        <v>5912</v>
      </c>
      <c r="I17" s="3">
        <v>6239</v>
      </c>
    </row>
    <row r="18" spans="1:12">
      <c r="B18" s="1" t="s">
        <v>15</v>
      </c>
      <c r="E18" s="4">
        <f>SUM(E15:E17)</f>
        <v>2541534</v>
      </c>
      <c r="F18" s="4">
        <f>SUM(F15:F17)</f>
        <v>2564025</v>
      </c>
      <c r="G18" s="4">
        <f>SUM(G15:G17)</f>
        <v>2255637</v>
      </c>
      <c r="H18" s="4">
        <f t="shared" ref="H18" si="4">SUM(H15:H17)</f>
        <v>2461269</v>
      </c>
      <c r="I18" s="4">
        <f t="shared" ref="I18" si="5">SUM(I15:I17)</f>
        <v>2382305</v>
      </c>
      <c r="K18" s="1"/>
      <c r="L18" s="4">
        <v>1979456</v>
      </c>
    </row>
    <row r="20" spans="1:12">
      <c r="A20" t="s">
        <v>1</v>
      </c>
      <c r="B20" s="1" t="s">
        <v>17</v>
      </c>
      <c r="E20" s="4">
        <f>E18-E10</f>
        <v>55385</v>
      </c>
      <c r="F20" s="4">
        <f t="shared" ref="F20:L20" si="6">F18-F10</f>
        <v>26521</v>
      </c>
      <c r="G20" s="4">
        <f t="shared" si="6"/>
        <v>-69542</v>
      </c>
      <c r="H20" s="4">
        <f t="shared" si="6"/>
        <v>-60245</v>
      </c>
      <c r="I20" s="4">
        <f t="shared" si="6"/>
        <v>-17327</v>
      </c>
      <c r="K20" s="4">
        <f t="shared" si="6"/>
        <v>-1836563</v>
      </c>
      <c r="L20" s="4">
        <f t="shared" si="6"/>
        <v>231618</v>
      </c>
    </row>
    <row r="22" spans="1:12">
      <c r="B22" s="6"/>
      <c r="C22" s="6"/>
      <c r="D22" s="6"/>
      <c r="E22" s="6"/>
      <c r="F22" s="6"/>
      <c r="G22" s="6"/>
      <c r="H22" s="6"/>
      <c r="I22" s="6"/>
    </row>
    <row r="23" spans="1:12">
      <c r="B23" s="1"/>
    </row>
    <row r="24" spans="1:12">
      <c r="B24" s="1" t="s">
        <v>22</v>
      </c>
    </row>
    <row r="26" spans="1:12">
      <c r="A26" t="s">
        <v>1</v>
      </c>
      <c r="B26" s="1" t="s">
        <v>20</v>
      </c>
      <c r="E26">
        <v>2018</v>
      </c>
      <c r="F26">
        <f>E26+1</f>
        <v>2019</v>
      </c>
      <c r="G26">
        <f t="shared" ref="G26:I26" si="7">F26+1</f>
        <v>2020</v>
      </c>
      <c r="H26">
        <f t="shared" si="7"/>
        <v>2021</v>
      </c>
      <c r="I26">
        <f t="shared" si="7"/>
        <v>2022</v>
      </c>
      <c r="K26" s="32" t="s">
        <v>125</v>
      </c>
      <c r="L26" s="32" t="s">
        <v>126</v>
      </c>
    </row>
    <row r="27" spans="1:12">
      <c r="B27" t="s">
        <v>11</v>
      </c>
      <c r="E27" s="9">
        <v>162687</v>
      </c>
      <c r="F27" s="3">
        <v>187116</v>
      </c>
      <c r="G27" s="3">
        <v>168104</v>
      </c>
      <c r="H27" s="3">
        <v>187500</v>
      </c>
      <c r="I27" s="3">
        <v>215932</v>
      </c>
    </row>
    <row r="28" spans="1:12">
      <c r="B28" s="2" t="s">
        <v>21</v>
      </c>
      <c r="F28" s="10">
        <f>F27/E27-1</f>
        <v>0.15015950874993078</v>
      </c>
      <c r="G28" s="10">
        <f t="shared" ref="G28:I28" si="8">G27/F27-1</f>
        <v>-0.10160542123602467</v>
      </c>
      <c r="H28" s="10">
        <f t="shared" si="8"/>
        <v>0.11538095464712317</v>
      </c>
      <c r="I28" s="10">
        <f t="shared" si="8"/>
        <v>0.1516373333333334</v>
      </c>
    </row>
    <row r="30" spans="1:12">
      <c r="B30" s="6"/>
      <c r="C30" s="6"/>
      <c r="D30" s="6"/>
      <c r="E30" s="6"/>
      <c r="F30" s="6"/>
      <c r="G30" s="6"/>
      <c r="H30" s="6"/>
      <c r="I30" s="6"/>
    </row>
    <row r="32" spans="1:12">
      <c r="B32" s="1" t="s">
        <v>23</v>
      </c>
      <c r="K32" s="32" t="s">
        <v>125</v>
      </c>
      <c r="L32" s="32" t="s">
        <v>126</v>
      </c>
    </row>
    <row r="33" spans="1:12">
      <c r="E33">
        <v>2018</v>
      </c>
      <c r="F33">
        <f>E33+1</f>
        <v>2019</v>
      </c>
      <c r="G33">
        <f t="shared" ref="G33:I33" si="9">F33+1</f>
        <v>2020</v>
      </c>
      <c r="H33">
        <f t="shared" si="9"/>
        <v>2021</v>
      </c>
      <c r="I33">
        <f t="shared" si="9"/>
        <v>2022</v>
      </c>
    </row>
    <row r="34" spans="1:12" ht="51" customHeight="1">
      <c r="B34" s="80" t="s">
        <v>24</v>
      </c>
      <c r="C34" s="80"/>
      <c r="E34" s="3">
        <v>1908640</v>
      </c>
      <c r="F34" s="3">
        <v>2003782</v>
      </c>
      <c r="G34" s="3">
        <v>1845271</v>
      </c>
      <c r="H34" s="3">
        <v>1956514</v>
      </c>
      <c r="I34" s="3">
        <v>1545490</v>
      </c>
      <c r="K34" s="3">
        <v>362838</v>
      </c>
      <c r="L34" s="3">
        <v>383509</v>
      </c>
    </row>
    <row r="35" spans="1:12">
      <c r="B35" s="2" t="s">
        <v>21</v>
      </c>
      <c r="F35" s="10">
        <f>F34/E34-1</f>
        <v>4.9848059351160989E-2</v>
      </c>
      <c r="G35" s="10">
        <f t="shared" ref="G35" si="10">G34/F34-1</f>
        <v>-7.9105910722823136E-2</v>
      </c>
      <c r="H35" s="10">
        <f t="shared" ref="H35" si="11">H34/G34-1</f>
        <v>6.0285454006484773E-2</v>
      </c>
      <c r="I35" s="10">
        <f t="shared" ref="I35" si="12">I34/H34-1</f>
        <v>-0.21007976431551223</v>
      </c>
      <c r="K35" s="10"/>
      <c r="L35" s="10">
        <f t="shared" ref="L35" si="13">L34/K34-1</f>
        <v>5.697032835590532E-2</v>
      </c>
    </row>
    <row r="39" spans="1:12">
      <c r="A39" s="1" t="s">
        <v>1</v>
      </c>
      <c r="B39" s="1" t="s">
        <v>69</v>
      </c>
    </row>
    <row r="40" spans="1:12">
      <c r="D40" t="s">
        <v>67</v>
      </c>
      <c r="E40">
        <f>F40-1</f>
        <v>2018</v>
      </c>
      <c r="F40">
        <f>G40-1</f>
        <v>2019</v>
      </c>
      <c r="G40">
        <f t="shared" ref="G40" si="14">H40-1</f>
        <v>2020</v>
      </c>
      <c r="H40">
        <f>I40-1</f>
        <v>2021</v>
      </c>
      <c r="I40">
        <v>2022</v>
      </c>
      <c r="K40" s="32"/>
      <c r="L40" s="32"/>
    </row>
    <row r="41" spans="1:12">
      <c r="B41" t="s">
        <v>11</v>
      </c>
    </row>
    <row r="42" spans="1:12">
      <c r="B42" t="s">
        <v>57</v>
      </c>
      <c r="H42" s="3">
        <v>265964</v>
      </c>
      <c r="I42" s="3">
        <v>205971</v>
      </c>
    </row>
    <row r="43" spans="1:12">
      <c r="B43" t="s">
        <v>58</v>
      </c>
      <c r="H43" s="3">
        <v>490969</v>
      </c>
      <c r="I43" s="3">
        <v>478932</v>
      </c>
    </row>
    <row r="44" spans="1:12">
      <c r="B44" t="s">
        <v>59</v>
      </c>
      <c r="H44" s="3">
        <v>326212</v>
      </c>
      <c r="I44" s="3">
        <v>315590</v>
      </c>
    </row>
    <row r="45" spans="1:12">
      <c r="B45" t="s">
        <v>60</v>
      </c>
      <c r="H45" s="3">
        <v>62628</v>
      </c>
      <c r="I45" s="3">
        <v>48708</v>
      </c>
    </row>
    <row r="46" spans="1:12">
      <c r="B46" t="s">
        <v>61</v>
      </c>
      <c r="H46" s="3">
        <v>14778</v>
      </c>
      <c r="I46" s="3">
        <v>12029</v>
      </c>
    </row>
    <row r="47" spans="1:12">
      <c r="B47" t="s">
        <v>62</v>
      </c>
      <c r="H47" s="3">
        <v>311928</v>
      </c>
      <c r="I47" s="3">
        <v>242189</v>
      </c>
    </row>
    <row r="48" spans="1:12">
      <c r="B48" t="s">
        <v>63</v>
      </c>
      <c r="H48" s="3">
        <v>414671</v>
      </c>
      <c r="I48" s="3">
        <v>400898</v>
      </c>
    </row>
    <row r="49" spans="1:9">
      <c r="B49" t="s">
        <v>64</v>
      </c>
      <c r="H49" s="3">
        <v>240504</v>
      </c>
      <c r="I49" s="3">
        <v>277057</v>
      </c>
    </row>
    <row r="50" spans="1:9">
      <c r="B50" t="s">
        <v>65</v>
      </c>
      <c r="H50" s="3">
        <v>54957</v>
      </c>
      <c r="I50" s="3">
        <v>57905</v>
      </c>
    </row>
    <row r="51" spans="1:9">
      <c r="B51" t="s">
        <v>66</v>
      </c>
      <c r="H51" s="3">
        <v>2638</v>
      </c>
      <c r="I51" s="3">
        <v>39130</v>
      </c>
    </row>
    <row r="52" spans="1:9">
      <c r="B52" t="s">
        <v>68</v>
      </c>
      <c r="H52" s="3">
        <v>28541</v>
      </c>
      <c r="I52" s="3">
        <v>22280</v>
      </c>
    </row>
    <row r="53" spans="1:9">
      <c r="B53" s="1" t="s">
        <v>79</v>
      </c>
      <c r="E53" s="4">
        <f>SUM(E42:E52)</f>
        <v>0</v>
      </c>
      <c r="F53" s="4">
        <f>SUM(F42:F52)</f>
        <v>0</v>
      </c>
      <c r="G53" s="4">
        <f>SUM(G42:G52)</f>
        <v>0</v>
      </c>
      <c r="H53" s="4">
        <f>SUM(H42:H52)</f>
        <v>2213790</v>
      </c>
      <c r="I53" s="4">
        <f>SUM(I42:I52)</f>
        <v>2100689</v>
      </c>
    </row>
    <row r="54" spans="1:9">
      <c r="A54" s="24"/>
    </row>
    <row r="55" spans="1:9">
      <c r="B55" t="s">
        <v>12</v>
      </c>
    </row>
    <row r="56" spans="1:9">
      <c r="B56" t="s">
        <v>70</v>
      </c>
      <c r="H56" s="3">
        <v>164270</v>
      </c>
      <c r="I56" s="3">
        <v>163929</v>
      </c>
    </row>
    <row r="57" spans="1:9">
      <c r="B57" t="s">
        <v>71</v>
      </c>
      <c r="H57" s="3">
        <v>25120</v>
      </c>
      <c r="I57" s="3">
        <v>24423</v>
      </c>
    </row>
    <row r="58" spans="1:9">
      <c r="B58" t="s">
        <v>75</v>
      </c>
      <c r="H58" s="3">
        <v>30385</v>
      </c>
      <c r="I58" s="3">
        <v>27870</v>
      </c>
    </row>
    <row r="59" spans="1:9">
      <c r="B59" t="s">
        <v>72</v>
      </c>
      <c r="H59" s="3">
        <v>82363</v>
      </c>
      <c r="I59" s="3">
        <v>76700</v>
      </c>
    </row>
    <row r="60" spans="1:9">
      <c r="B60" s="1" t="s">
        <v>79</v>
      </c>
      <c r="E60" s="4">
        <f t="shared" ref="E60:H60" si="15">SUM(E56:E59)</f>
        <v>0</v>
      </c>
      <c r="F60" s="4">
        <f t="shared" si="15"/>
        <v>0</v>
      </c>
      <c r="G60" s="4">
        <f t="shared" si="15"/>
        <v>0</v>
      </c>
      <c r="H60" s="4">
        <f t="shared" si="15"/>
        <v>302138</v>
      </c>
      <c r="I60" s="4">
        <f>SUM(I56:I59)</f>
        <v>292922</v>
      </c>
    </row>
    <row r="62" spans="1:9">
      <c r="B62" t="s">
        <v>73</v>
      </c>
    </row>
    <row r="63" spans="1:9">
      <c r="B63" t="s">
        <v>74</v>
      </c>
      <c r="H63">
        <v>427</v>
      </c>
      <c r="I63" s="3">
        <v>418</v>
      </c>
    </row>
    <row r="64" spans="1:9">
      <c r="B64" t="s">
        <v>76</v>
      </c>
      <c r="H64" s="3">
        <v>1909</v>
      </c>
      <c r="I64" s="3">
        <v>2015</v>
      </c>
    </row>
    <row r="65" spans="2:9">
      <c r="B65" t="s">
        <v>77</v>
      </c>
      <c r="H65">
        <v>828</v>
      </c>
      <c r="I65" s="3">
        <v>328</v>
      </c>
    </row>
    <row r="66" spans="2:9">
      <c r="B66" t="s">
        <v>78</v>
      </c>
      <c r="H66" s="3">
        <v>2422</v>
      </c>
      <c r="I66" s="3">
        <v>3260</v>
      </c>
    </row>
    <row r="67" spans="2:9">
      <c r="B67" s="1" t="s">
        <v>79</v>
      </c>
      <c r="E67" s="1">
        <f t="shared" ref="E67:G67" si="16">SUM(E63:E66)</f>
        <v>0</v>
      </c>
      <c r="F67" s="1">
        <f t="shared" si="16"/>
        <v>0</v>
      </c>
      <c r="G67" s="1">
        <f t="shared" si="16"/>
        <v>0</v>
      </c>
      <c r="H67" s="1">
        <f>SUM(H63:H66)</f>
        <v>5586</v>
      </c>
      <c r="I67" s="4">
        <f>SUM(I63:I66)</f>
        <v>6021</v>
      </c>
    </row>
  </sheetData>
  <mergeCells count="1">
    <mergeCell ref="B34:C34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F5FE-80CF-874E-A289-AB4CA37BDD5A}">
  <dimension ref="A1:G10"/>
  <sheetViews>
    <sheetView showGridLines="0" workbookViewId="0">
      <selection activeCell="C10" sqref="C10"/>
    </sheetView>
  </sheetViews>
  <sheetFormatPr baseColWidth="10" defaultRowHeight="16"/>
  <cols>
    <col min="1" max="1" width="5.5" customWidth="1"/>
    <col min="2" max="2" width="16.1640625" customWidth="1"/>
    <col min="3" max="3" width="11.6640625" bestFit="1" customWidth="1"/>
  </cols>
  <sheetData>
    <row r="1" spans="1:7">
      <c r="A1" s="1" t="s">
        <v>169</v>
      </c>
    </row>
    <row r="3" spans="1:7">
      <c r="A3" s="1" t="s">
        <v>1</v>
      </c>
    </row>
    <row r="5" spans="1:7">
      <c r="B5" s="1" t="s">
        <v>173</v>
      </c>
      <c r="G5" s="1" t="s">
        <v>170</v>
      </c>
    </row>
    <row r="6" spans="1:7">
      <c r="B6" s="1" t="s">
        <v>171</v>
      </c>
      <c r="C6" s="82">
        <f>Unternehmensprofil!J8</f>
        <v>59854.083388250001</v>
      </c>
    </row>
    <row r="7" spans="1:7">
      <c r="B7" t="s">
        <v>174</v>
      </c>
    </row>
    <row r="8" spans="1:7">
      <c r="B8" t="s">
        <v>172</v>
      </c>
      <c r="C8" s="81">
        <f>C6/'Income Statement'!J11</f>
        <v>0.41970467280169693</v>
      </c>
    </row>
    <row r="9" spans="1:7">
      <c r="B9" t="s">
        <v>175</v>
      </c>
      <c r="C9" s="81">
        <f>'Ratios und Multiples'!C6/'Income Statement'!J24</f>
        <v>4.2755970703800275</v>
      </c>
    </row>
    <row r="10" spans="1:7">
      <c r="B10" t="s">
        <v>176</v>
      </c>
      <c r="C10" s="81">
        <f>C6/'Income Statement'!J37</f>
        <v>3.2210786453691744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E91E6-23E6-2343-B392-DCE008890884}">
  <dimension ref="A1"/>
  <sheetViews>
    <sheetView workbookViewId="0">
      <selection activeCell="A2" sqref="A2"/>
    </sheetView>
  </sheetViews>
  <sheetFormatPr baseColWidth="10" defaultRowHeight="16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2EC1-682D-4B4D-9A9F-83389A364D41}">
  <dimension ref="A1:G101"/>
  <sheetViews>
    <sheetView workbookViewId="0">
      <selection activeCell="A2" sqref="A2"/>
    </sheetView>
  </sheetViews>
  <sheetFormatPr baseColWidth="10" defaultRowHeight="16"/>
  <sheetData>
    <row r="1" spans="1:7">
      <c r="A1" s="41"/>
      <c r="B1" s="41"/>
      <c r="C1" s="41"/>
      <c r="D1" s="41"/>
      <c r="E1" s="41"/>
      <c r="F1" s="41"/>
      <c r="G1" s="41"/>
    </row>
    <row r="2" spans="1:7">
      <c r="A2" s="42"/>
      <c r="B2" s="43"/>
      <c r="C2" s="43"/>
      <c r="D2" s="43"/>
      <c r="E2" s="43"/>
      <c r="F2" s="44"/>
      <c r="G2" s="44"/>
    </row>
    <row r="3" spans="1:7">
      <c r="A3" s="42"/>
      <c r="B3" s="43"/>
      <c r="C3" s="43"/>
      <c r="D3" s="43"/>
      <c r="E3" s="43"/>
      <c r="F3" s="44"/>
      <c r="G3" s="43"/>
    </row>
    <row r="4" spans="1:7">
      <c r="A4" s="42"/>
      <c r="B4" s="43"/>
      <c r="C4" s="43"/>
      <c r="D4" s="43"/>
      <c r="E4" s="43"/>
      <c r="F4" s="44"/>
      <c r="G4" s="43"/>
    </row>
    <row r="5" spans="1:7">
      <c r="A5" s="42"/>
      <c r="B5" s="43"/>
      <c r="C5" s="43"/>
      <c r="D5" s="43"/>
      <c r="E5" s="43"/>
      <c r="F5" s="44"/>
      <c r="G5" s="43"/>
    </row>
    <row r="6" spans="1:7">
      <c r="A6" s="42"/>
      <c r="B6" s="43"/>
      <c r="C6" s="43"/>
      <c r="D6" s="43"/>
      <c r="E6" s="43"/>
      <c r="F6" s="44"/>
      <c r="G6" s="44"/>
    </row>
    <row r="7" spans="1:7">
      <c r="A7" s="42"/>
      <c r="B7" s="43"/>
      <c r="C7" s="43"/>
      <c r="D7" s="43"/>
      <c r="E7" s="43"/>
      <c r="F7" s="44"/>
      <c r="G7" s="43"/>
    </row>
    <row r="8" spans="1:7">
      <c r="A8" s="42"/>
      <c r="B8" s="43"/>
      <c r="C8" s="43"/>
      <c r="D8" s="43"/>
      <c r="E8" s="43"/>
      <c r="F8" s="44"/>
      <c r="G8" s="44"/>
    </row>
    <row r="9" spans="1:7">
      <c r="A9" s="42"/>
      <c r="B9" s="43"/>
      <c r="C9" s="43"/>
      <c r="D9" s="43"/>
      <c r="E9" s="43"/>
      <c r="F9" s="44"/>
      <c r="G9" s="44"/>
    </row>
    <row r="10" spans="1:7">
      <c r="A10" s="42"/>
      <c r="B10" s="43"/>
      <c r="C10" s="43"/>
      <c r="D10" s="43"/>
      <c r="E10" s="43"/>
      <c r="F10" s="44"/>
      <c r="G10" s="43"/>
    </row>
    <row r="11" spans="1:7">
      <c r="A11" s="42"/>
      <c r="B11" s="43"/>
      <c r="C11" s="43"/>
      <c r="D11" s="43"/>
      <c r="E11" s="43"/>
      <c r="F11" s="44"/>
      <c r="G11" s="44"/>
    </row>
    <row r="12" spans="1:7">
      <c r="A12" s="42"/>
      <c r="B12" s="43"/>
      <c r="C12" s="43"/>
      <c r="D12" s="43"/>
      <c r="E12" s="43"/>
      <c r="F12" s="44"/>
      <c r="G12" s="43"/>
    </row>
    <row r="13" spans="1:7">
      <c r="A13" s="42"/>
      <c r="B13" s="43"/>
      <c r="C13" s="43"/>
      <c r="D13" s="43"/>
      <c r="E13" s="43"/>
      <c r="F13" s="44"/>
      <c r="G13" s="43"/>
    </row>
    <row r="14" spans="1:7">
      <c r="A14" s="42"/>
      <c r="B14" s="43"/>
      <c r="C14" s="43"/>
      <c r="D14" s="43"/>
      <c r="E14" s="43"/>
      <c r="F14" s="44"/>
      <c r="G14" s="44"/>
    </row>
    <row r="15" spans="1:7">
      <c r="A15" s="42"/>
      <c r="B15" s="43"/>
      <c r="C15" s="43"/>
      <c r="D15" s="43"/>
      <c r="E15" s="43"/>
      <c r="F15" s="44"/>
      <c r="G15" s="43"/>
    </row>
    <row r="16" spans="1:7">
      <c r="A16" s="42"/>
      <c r="B16" s="43"/>
      <c r="C16" s="43"/>
      <c r="D16" s="43"/>
      <c r="E16" s="43"/>
      <c r="F16" s="44"/>
      <c r="G16" s="44"/>
    </row>
    <row r="17" spans="1:7">
      <c r="A17" s="42"/>
      <c r="B17" s="43"/>
      <c r="C17" s="43"/>
      <c r="D17" s="43"/>
      <c r="E17" s="43"/>
      <c r="F17" s="44"/>
      <c r="G17" s="44"/>
    </row>
    <row r="18" spans="1:7">
      <c r="A18" s="42"/>
      <c r="B18" s="43"/>
      <c r="C18" s="43"/>
      <c r="D18" s="43"/>
      <c r="E18" s="43"/>
      <c r="F18" s="44"/>
      <c r="G18" s="43"/>
    </row>
    <row r="19" spans="1:7">
      <c r="A19" s="42"/>
      <c r="B19" s="43"/>
      <c r="C19" s="43"/>
      <c r="D19" s="43"/>
      <c r="E19" s="43"/>
      <c r="F19" s="44"/>
      <c r="G19" s="43"/>
    </row>
    <row r="20" spans="1:7">
      <c r="A20" s="42"/>
      <c r="B20" s="43"/>
      <c r="C20" s="43"/>
      <c r="D20" s="43"/>
      <c r="E20" s="43"/>
      <c r="F20" s="44"/>
      <c r="G20" s="44"/>
    </row>
    <row r="21" spans="1:7">
      <c r="A21" s="42"/>
      <c r="B21" s="43"/>
      <c r="C21" s="43"/>
      <c r="D21" s="43"/>
      <c r="E21" s="43"/>
      <c r="F21" s="44"/>
      <c r="G21" s="43"/>
    </row>
    <row r="22" spans="1:7">
      <c r="A22" s="42"/>
      <c r="B22" s="43"/>
      <c r="C22" s="43"/>
      <c r="D22" s="43"/>
      <c r="E22" s="43"/>
      <c r="F22" s="44"/>
      <c r="G22" s="44"/>
    </row>
    <row r="23" spans="1:7">
      <c r="A23" s="42"/>
      <c r="B23" s="43"/>
      <c r="C23" s="43"/>
      <c r="D23" s="43"/>
      <c r="E23" s="43"/>
      <c r="F23" s="44"/>
      <c r="G23" s="44"/>
    </row>
    <row r="24" spans="1:7">
      <c r="A24" s="42"/>
      <c r="B24" s="43"/>
      <c r="C24" s="43"/>
      <c r="D24" s="43"/>
      <c r="E24" s="43"/>
      <c r="F24" s="44"/>
      <c r="G24" s="43"/>
    </row>
    <row r="25" spans="1:7">
      <c r="A25" s="42"/>
      <c r="B25" s="43"/>
      <c r="C25" s="43"/>
      <c r="D25" s="43"/>
      <c r="E25" s="43"/>
      <c r="F25" s="44"/>
      <c r="G25" s="44"/>
    </row>
    <row r="26" spans="1:7">
      <c r="A26" s="42"/>
      <c r="B26" s="43"/>
      <c r="C26" s="43"/>
      <c r="D26" s="43"/>
      <c r="E26" s="43"/>
      <c r="F26" s="44"/>
      <c r="G26" s="44"/>
    </row>
    <row r="27" spans="1:7">
      <c r="A27" s="42"/>
      <c r="B27" s="43"/>
      <c r="C27" s="43"/>
      <c r="D27" s="43"/>
      <c r="E27" s="43"/>
      <c r="F27" s="44"/>
      <c r="G27" s="43"/>
    </row>
    <row r="28" spans="1:7">
      <c r="A28" s="42"/>
      <c r="B28" s="43"/>
      <c r="C28" s="43"/>
      <c r="D28" s="43"/>
      <c r="E28" s="43"/>
      <c r="F28" s="44"/>
      <c r="G28" s="43"/>
    </row>
    <row r="29" spans="1:7">
      <c r="A29" s="42"/>
      <c r="B29" s="43"/>
      <c r="C29" s="43"/>
      <c r="D29" s="43"/>
      <c r="E29" s="43"/>
      <c r="F29" s="44"/>
      <c r="G29" s="44"/>
    </row>
    <row r="30" spans="1:7">
      <c r="A30" s="42"/>
      <c r="B30" s="43"/>
      <c r="C30" s="43"/>
      <c r="D30" s="43"/>
      <c r="E30" s="43"/>
      <c r="F30" s="44"/>
      <c r="G30" s="43"/>
    </row>
    <row r="31" spans="1:7">
      <c r="A31" s="42"/>
      <c r="B31" s="43"/>
      <c r="C31" s="43"/>
      <c r="D31" s="43"/>
      <c r="E31" s="43"/>
      <c r="F31" s="44"/>
      <c r="G31" s="43"/>
    </row>
    <row r="32" spans="1:7">
      <c r="A32" s="42"/>
      <c r="B32" s="43"/>
      <c r="C32" s="43"/>
      <c r="D32" s="43"/>
      <c r="E32" s="43"/>
      <c r="F32" s="44"/>
      <c r="G32" s="43"/>
    </row>
    <row r="33" spans="1:7">
      <c r="A33" s="42"/>
      <c r="B33" s="43"/>
      <c r="C33" s="43"/>
      <c r="D33" s="43"/>
      <c r="E33" s="43"/>
      <c r="F33" s="44"/>
      <c r="G33" s="44"/>
    </row>
    <row r="34" spans="1:7">
      <c r="A34" s="42"/>
      <c r="B34" s="43"/>
      <c r="C34" s="43"/>
      <c r="D34" s="43"/>
      <c r="E34" s="43"/>
      <c r="F34" s="44"/>
      <c r="G34" s="43"/>
    </row>
    <row r="35" spans="1:7">
      <c r="A35" s="42"/>
      <c r="B35" s="43"/>
      <c r="C35" s="43"/>
      <c r="D35" s="43"/>
      <c r="E35" s="43"/>
      <c r="F35" s="44"/>
      <c r="G35" s="44"/>
    </row>
    <row r="36" spans="1:7">
      <c r="A36" s="42"/>
      <c r="B36" s="43"/>
      <c r="C36" s="43"/>
      <c r="D36" s="43"/>
      <c r="E36" s="43"/>
      <c r="F36" s="44"/>
      <c r="G36" s="44"/>
    </row>
    <row r="37" spans="1:7">
      <c r="A37" s="42"/>
      <c r="B37" s="43"/>
      <c r="C37" s="43"/>
      <c r="D37" s="43"/>
      <c r="E37" s="43"/>
      <c r="F37" s="44"/>
      <c r="G37" s="44"/>
    </row>
    <row r="38" spans="1:7">
      <c r="A38" s="42"/>
      <c r="B38" s="43"/>
      <c r="C38" s="43"/>
      <c r="D38" s="43"/>
      <c r="E38" s="43"/>
      <c r="F38" s="44"/>
      <c r="G38" s="43"/>
    </row>
    <row r="39" spans="1:7">
      <c r="A39" s="42"/>
      <c r="B39" s="43"/>
      <c r="C39" s="43"/>
      <c r="D39" s="43"/>
      <c r="E39" s="43"/>
      <c r="F39" s="44"/>
      <c r="G39" s="43"/>
    </row>
    <row r="40" spans="1:7">
      <c r="A40" s="42"/>
      <c r="B40" s="43"/>
      <c r="C40" s="43"/>
      <c r="D40" s="43"/>
      <c r="E40" s="43"/>
      <c r="F40" s="44"/>
      <c r="G40" s="44"/>
    </row>
    <row r="41" spans="1:7">
      <c r="A41" s="42"/>
      <c r="B41" s="43"/>
      <c r="C41" s="43"/>
      <c r="D41" s="43"/>
      <c r="E41" s="43"/>
      <c r="F41" s="44"/>
      <c r="G41" s="43"/>
    </row>
    <row r="42" spans="1:7">
      <c r="A42" s="42"/>
      <c r="B42" s="43"/>
      <c r="C42" s="43"/>
      <c r="D42" s="43"/>
      <c r="E42" s="43"/>
      <c r="F42" s="44"/>
      <c r="G42" s="43"/>
    </row>
    <row r="43" spans="1:7">
      <c r="A43" s="42"/>
      <c r="B43" s="43"/>
      <c r="C43" s="43"/>
      <c r="D43" s="43"/>
      <c r="E43" s="43"/>
      <c r="F43" s="44"/>
      <c r="G43" s="44"/>
    </row>
    <row r="44" spans="1:7">
      <c r="A44" s="42"/>
      <c r="B44" s="43"/>
      <c r="C44" s="43"/>
      <c r="D44" s="43"/>
      <c r="E44" s="43"/>
      <c r="F44" s="44"/>
      <c r="G44" s="43"/>
    </row>
    <row r="45" spans="1:7">
      <c r="A45" s="42"/>
      <c r="B45" s="43"/>
      <c r="C45" s="43"/>
      <c r="D45" s="43"/>
      <c r="E45" s="43"/>
      <c r="F45" s="44"/>
      <c r="G45" s="44"/>
    </row>
    <row r="46" spans="1:7">
      <c r="A46" s="42"/>
      <c r="B46" s="43"/>
      <c r="C46" s="43"/>
      <c r="D46" s="43"/>
      <c r="E46" s="43"/>
      <c r="F46" s="44"/>
      <c r="G46" s="43"/>
    </row>
    <row r="47" spans="1:7">
      <c r="A47" s="42"/>
      <c r="B47" s="43"/>
      <c r="C47" s="43"/>
      <c r="D47" s="43"/>
      <c r="E47" s="43"/>
      <c r="F47" s="44"/>
      <c r="G47" s="44"/>
    </row>
    <row r="48" spans="1:7">
      <c r="A48" s="42"/>
      <c r="B48" s="43"/>
      <c r="C48" s="43"/>
      <c r="D48" s="43"/>
      <c r="E48" s="43"/>
      <c r="F48" s="44"/>
      <c r="G48" s="43"/>
    </row>
    <row r="49" spans="1:7">
      <c r="A49" s="42"/>
      <c r="B49" s="43"/>
      <c r="C49" s="43"/>
      <c r="D49" s="43"/>
      <c r="E49" s="43"/>
      <c r="F49" s="44"/>
      <c r="G49" s="43"/>
    </row>
    <row r="50" spans="1:7">
      <c r="A50" s="42"/>
      <c r="B50" s="43"/>
      <c r="C50" s="43"/>
      <c r="D50" s="43"/>
      <c r="E50" s="43"/>
      <c r="F50" s="44"/>
      <c r="G50" s="43"/>
    </row>
    <row r="51" spans="1:7">
      <c r="A51" s="42"/>
      <c r="B51" s="43"/>
      <c r="C51" s="43"/>
      <c r="D51" s="43"/>
      <c r="E51" s="43"/>
      <c r="F51" s="44"/>
      <c r="G51" s="43"/>
    </row>
    <row r="52" spans="1:7">
      <c r="A52" s="42"/>
      <c r="B52" s="43"/>
      <c r="C52" s="43"/>
      <c r="D52" s="43"/>
      <c r="E52" s="43"/>
      <c r="F52" s="44"/>
      <c r="G52" s="43"/>
    </row>
    <row r="53" spans="1:7">
      <c r="A53" s="42"/>
      <c r="B53" s="43"/>
      <c r="C53" s="43"/>
      <c r="D53" s="43"/>
      <c r="E53" s="43"/>
      <c r="F53" s="44"/>
      <c r="G53" s="44"/>
    </row>
    <row r="54" spans="1:7">
      <c r="A54" s="42"/>
      <c r="B54" s="43"/>
      <c r="C54" s="43"/>
      <c r="D54" s="43"/>
      <c r="E54" s="43"/>
      <c r="F54" s="44"/>
      <c r="G54" s="44"/>
    </row>
    <row r="55" spans="1:7">
      <c r="A55" s="42"/>
      <c r="B55" s="43"/>
      <c r="C55" s="43"/>
      <c r="D55" s="43"/>
      <c r="E55" s="43"/>
      <c r="F55" s="44"/>
      <c r="G55" s="43"/>
    </row>
    <row r="56" spans="1:7">
      <c r="A56" s="42"/>
      <c r="B56" s="43"/>
      <c r="C56" s="43"/>
      <c r="D56" s="43"/>
      <c r="E56" s="43"/>
      <c r="F56" s="44"/>
      <c r="G56" s="44"/>
    </row>
    <row r="57" spans="1:7">
      <c r="A57" s="42"/>
      <c r="B57" s="43"/>
      <c r="C57" s="43"/>
      <c r="D57" s="43"/>
      <c r="E57" s="43"/>
      <c r="F57" s="44"/>
      <c r="G57" s="43"/>
    </row>
    <row r="58" spans="1:7">
      <c r="A58" s="42"/>
      <c r="B58" s="43"/>
      <c r="C58" s="43"/>
      <c r="D58" s="43"/>
      <c r="E58" s="43"/>
      <c r="F58" s="44"/>
      <c r="G58" s="43"/>
    </row>
    <row r="59" spans="1:7">
      <c r="A59" s="42"/>
      <c r="B59" s="43"/>
      <c r="C59" s="43"/>
      <c r="D59" s="43"/>
      <c r="E59" s="43"/>
      <c r="F59" s="44"/>
      <c r="G59" s="43"/>
    </row>
    <row r="60" spans="1:7">
      <c r="A60" s="42"/>
      <c r="B60" s="43"/>
      <c r="C60" s="43"/>
      <c r="D60" s="43"/>
      <c r="E60" s="43"/>
      <c r="F60" s="44"/>
      <c r="G60" s="44"/>
    </row>
    <row r="61" spans="1:7">
      <c r="A61" s="42"/>
      <c r="B61" s="43"/>
      <c r="C61" s="43"/>
      <c r="D61" s="43"/>
      <c r="E61" s="43"/>
      <c r="F61" s="44"/>
      <c r="G61" s="43"/>
    </row>
    <row r="62" spans="1:7">
      <c r="A62" s="42"/>
      <c r="B62" s="43"/>
      <c r="C62" s="43"/>
      <c r="D62" s="43"/>
      <c r="E62" s="43"/>
      <c r="F62" s="44"/>
      <c r="G62" s="44"/>
    </row>
    <row r="63" spans="1:7">
      <c r="A63" s="42"/>
      <c r="B63" s="43"/>
      <c r="C63" s="43"/>
      <c r="D63" s="43"/>
      <c r="E63" s="43"/>
      <c r="F63" s="44"/>
      <c r="G63" s="43"/>
    </row>
    <row r="64" spans="1:7">
      <c r="A64" s="42"/>
      <c r="B64" s="43"/>
      <c r="C64" s="43"/>
      <c r="D64" s="43"/>
      <c r="E64" s="43"/>
      <c r="F64" s="44"/>
      <c r="G64" s="43"/>
    </row>
    <row r="65" spans="1:7">
      <c r="A65" s="42"/>
      <c r="B65" s="43"/>
      <c r="C65" s="43"/>
      <c r="D65" s="43"/>
      <c r="E65" s="43"/>
      <c r="F65" s="44"/>
      <c r="G65" s="43"/>
    </row>
    <row r="66" spans="1:7">
      <c r="A66" s="42"/>
      <c r="B66" s="43"/>
      <c r="C66" s="43"/>
      <c r="D66" s="43"/>
      <c r="E66" s="43"/>
      <c r="F66" s="44"/>
      <c r="G66" s="44"/>
    </row>
    <row r="67" spans="1:7">
      <c r="A67" s="42"/>
      <c r="B67" s="43"/>
      <c r="C67" s="43"/>
      <c r="D67" s="43"/>
      <c r="E67" s="43"/>
      <c r="F67" s="44"/>
      <c r="G67" s="43"/>
    </row>
    <row r="68" spans="1:7">
      <c r="A68" s="42"/>
      <c r="B68" s="43"/>
      <c r="C68" s="43"/>
      <c r="D68" s="43"/>
      <c r="E68" s="43"/>
      <c r="F68" s="44"/>
      <c r="G68" s="43"/>
    </row>
    <row r="69" spans="1:7">
      <c r="A69" s="42"/>
      <c r="B69" s="43"/>
      <c r="C69" s="43"/>
      <c r="D69" s="43"/>
      <c r="E69" s="43"/>
      <c r="F69" s="44"/>
      <c r="G69" s="43"/>
    </row>
    <row r="70" spans="1:7">
      <c r="A70" s="42"/>
      <c r="B70" s="43"/>
      <c r="C70" s="43"/>
      <c r="D70" s="43"/>
      <c r="E70" s="43"/>
      <c r="F70" s="44"/>
      <c r="G70" s="43"/>
    </row>
    <row r="71" spans="1:7">
      <c r="A71" s="42"/>
      <c r="B71" s="43"/>
      <c r="C71" s="43"/>
      <c r="D71" s="43"/>
      <c r="E71" s="43"/>
      <c r="F71" s="44"/>
      <c r="G71" s="44"/>
    </row>
    <row r="72" spans="1:7">
      <c r="A72" s="42"/>
      <c r="B72" s="43"/>
      <c r="C72" s="43"/>
      <c r="D72" s="43"/>
      <c r="E72" s="43"/>
      <c r="F72" s="44"/>
      <c r="G72" s="44"/>
    </row>
    <row r="73" spans="1:7">
      <c r="A73" s="42"/>
      <c r="B73" s="43"/>
      <c r="C73" s="43"/>
      <c r="D73" s="43"/>
      <c r="E73" s="43"/>
      <c r="F73" s="44"/>
      <c r="G73" s="43"/>
    </row>
    <row r="74" spans="1:7">
      <c r="A74" s="42"/>
      <c r="B74" s="43"/>
      <c r="C74" s="43"/>
      <c r="D74" s="43"/>
      <c r="E74" s="43"/>
      <c r="F74" s="44"/>
      <c r="G74" s="43"/>
    </row>
    <row r="75" spans="1:7">
      <c r="A75" s="42"/>
      <c r="B75" s="43"/>
      <c r="C75" s="43"/>
      <c r="D75" s="43"/>
      <c r="E75" s="43"/>
      <c r="F75" s="44"/>
      <c r="G75" s="43"/>
    </row>
    <row r="76" spans="1:7">
      <c r="A76" s="42"/>
      <c r="B76" s="43"/>
      <c r="C76" s="43"/>
      <c r="D76" s="43"/>
      <c r="E76" s="43"/>
      <c r="F76" s="44"/>
      <c r="G76" s="44"/>
    </row>
    <row r="77" spans="1:7">
      <c r="A77" s="42"/>
      <c r="B77" s="43"/>
      <c r="C77" s="43"/>
      <c r="D77" s="43"/>
      <c r="E77" s="43"/>
      <c r="F77" s="44"/>
      <c r="G77" s="44"/>
    </row>
    <row r="78" spans="1:7">
      <c r="A78" s="42"/>
      <c r="B78" s="43"/>
      <c r="C78" s="43"/>
      <c r="D78" s="43"/>
      <c r="E78" s="43"/>
      <c r="F78" s="44"/>
      <c r="G78" s="43"/>
    </row>
    <row r="79" spans="1:7">
      <c r="A79" s="42"/>
      <c r="B79" s="43"/>
      <c r="C79" s="43"/>
      <c r="D79" s="43"/>
      <c r="E79" s="43"/>
      <c r="F79" s="44"/>
      <c r="G79" s="44"/>
    </row>
    <row r="80" spans="1:7">
      <c r="A80" s="42"/>
      <c r="B80" s="43"/>
      <c r="C80" s="43"/>
      <c r="D80" s="43"/>
      <c r="E80" s="43"/>
      <c r="F80" s="44"/>
      <c r="G80" s="44"/>
    </row>
    <row r="81" spans="1:7">
      <c r="A81" s="42"/>
      <c r="B81" s="43"/>
      <c r="C81" s="43"/>
      <c r="D81" s="43"/>
      <c r="E81" s="43"/>
      <c r="F81" s="44"/>
      <c r="G81" s="43"/>
    </row>
    <row r="82" spans="1:7">
      <c r="A82" s="42"/>
      <c r="B82" s="43"/>
      <c r="C82" s="43"/>
      <c r="D82" s="43"/>
      <c r="E82" s="43"/>
      <c r="F82" s="44"/>
      <c r="G82" s="44"/>
    </row>
    <row r="83" spans="1:7">
      <c r="A83" s="42"/>
      <c r="B83" s="43"/>
      <c r="C83" s="43"/>
      <c r="D83" s="43"/>
      <c r="E83" s="43"/>
      <c r="F83" s="44"/>
      <c r="G83" s="44"/>
    </row>
    <row r="84" spans="1:7">
      <c r="A84" s="42"/>
      <c r="B84" s="43"/>
      <c r="C84" s="43"/>
      <c r="D84" s="43"/>
      <c r="E84" s="43"/>
      <c r="F84" s="44"/>
      <c r="G84" s="44"/>
    </row>
    <row r="85" spans="1:7">
      <c r="A85" s="42"/>
      <c r="B85" s="43"/>
      <c r="C85" s="43"/>
      <c r="D85" s="43"/>
      <c r="E85" s="43"/>
      <c r="F85" s="44"/>
      <c r="G85" s="44"/>
    </row>
    <row r="86" spans="1:7">
      <c r="A86" s="42"/>
      <c r="B86" s="43"/>
      <c r="C86" s="43"/>
      <c r="D86" s="43"/>
      <c r="E86" s="43"/>
      <c r="F86" s="44"/>
      <c r="G86" s="44"/>
    </row>
    <row r="87" spans="1:7">
      <c r="A87" s="42"/>
      <c r="B87" s="43"/>
      <c r="C87" s="43"/>
      <c r="D87" s="43"/>
      <c r="E87" s="43"/>
      <c r="F87" s="44"/>
      <c r="G87" s="44"/>
    </row>
    <row r="88" spans="1:7">
      <c r="A88" s="42"/>
      <c r="B88" s="43"/>
      <c r="C88" s="43"/>
      <c r="D88" s="43"/>
      <c r="E88" s="43"/>
      <c r="F88" s="44"/>
      <c r="G88" s="44"/>
    </row>
    <row r="89" spans="1:7">
      <c r="A89" s="42"/>
      <c r="B89" s="43"/>
      <c r="C89" s="43"/>
      <c r="D89" s="43"/>
      <c r="E89" s="43"/>
      <c r="F89" s="44"/>
      <c r="G89" s="44"/>
    </row>
    <row r="90" spans="1:7">
      <c r="A90" s="42"/>
      <c r="B90" s="43"/>
      <c r="C90" s="43"/>
      <c r="D90" s="43"/>
      <c r="E90" s="43"/>
      <c r="F90" s="44"/>
      <c r="G90" s="43"/>
    </row>
    <row r="91" spans="1:7">
      <c r="A91" s="42"/>
      <c r="B91" s="43"/>
      <c r="C91" s="43"/>
      <c r="D91" s="43"/>
      <c r="E91" s="43"/>
      <c r="F91" s="44"/>
      <c r="G91" s="43"/>
    </row>
    <row r="92" spans="1:7">
      <c r="A92" s="42"/>
      <c r="B92" s="43"/>
      <c r="C92" s="43"/>
      <c r="D92" s="43"/>
      <c r="E92" s="43"/>
      <c r="F92" s="44"/>
      <c r="G92" s="43"/>
    </row>
    <row r="93" spans="1:7">
      <c r="A93" s="42"/>
      <c r="B93" s="43"/>
      <c r="C93" s="43"/>
      <c r="D93" s="43"/>
      <c r="E93" s="43"/>
      <c r="F93" s="44"/>
      <c r="G93" s="43"/>
    </row>
    <row r="94" spans="1:7">
      <c r="A94" s="42"/>
      <c r="B94" s="43"/>
      <c r="C94" s="43"/>
      <c r="D94" s="43"/>
      <c r="E94" s="43"/>
      <c r="F94" s="44"/>
      <c r="G94" s="43"/>
    </row>
    <row r="95" spans="1:7">
      <c r="A95" s="42"/>
      <c r="B95" s="43"/>
      <c r="C95" s="43"/>
      <c r="D95" s="43"/>
      <c r="E95" s="43"/>
      <c r="F95" s="44"/>
      <c r="G95" s="43"/>
    </row>
    <row r="96" spans="1:7">
      <c r="A96" s="42"/>
      <c r="B96" s="43"/>
      <c r="C96" s="43"/>
      <c r="D96" s="43"/>
      <c r="E96" s="43"/>
      <c r="F96" s="44"/>
      <c r="G96" s="43"/>
    </row>
    <row r="97" spans="1:7">
      <c r="A97" s="42"/>
      <c r="B97" s="43"/>
      <c r="C97" s="43"/>
      <c r="D97" s="43"/>
      <c r="E97" s="43"/>
      <c r="F97" s="44"/>
      <c r="G97" s="44"/>
    </row>
    <row r="98" spans="1:7">
      <c r="A98" s="42"/>
      <c r="B98" s="43"/>
      <c r="C98" s="43"/>
      <c r="D98" s="43"/>
      <c r="E98" s="43"/>
      <c r="F98" s="44"/>
      <c r="G98" s="43"/>
    </row>
    <row r="99" spans="1:7">
      <c r="A99" s="42"/>
      <c r="B99" s="43"/>
      <c r="C99" s="43"/>
      <c r="D99" s="43"/>
      <c r="E99" s="43"/>
      <c r="F99" s="44"/>
      <c r="G99" s="44"/>
    </row>
    <row r="100" spans="1:7">
      <c r="A100" s="42"/>
      <c r="B100" s="43"/>
      <c r="C100" s="43"/>
      <c r="D100" s="43"/>
      <c r="E100" s="43"/>
      <c r="F100" s="44"/>
      <c r="G100" s="44"/>
    </row>
    <row r="101" spans="1:7">
      <c r="A101" s="42"/>
      <c r="B101" s="43"/>
      <c r="C101" s="43"/>
      <c r="D101" s="43"/>
      <c r="E101" s="43"/>
      <c r="F101" s="44"/>
      <c r="G101" s="4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Unternehmensprofil</vt:lpstr>
      <vt:lpstr>Income Statement</vt:lpstr>
      <vt:lpstr>Bilanz</vt:lpstr>
      <vt:lpstr>Cash Flow Statement</vt:lpstr>
      <vt:lpstr>Produkte </vt:lpstr>
      <vt:lpstr>Ratios und Multiples</vt:lpstr>
      <vt:lpstr>Relative Valuation</vt:lpstr>
      <vt:lpstr>Aktienkurs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2023-11-24T13:24:47Z</dcterms:created>
  <dcterms:modified xsi:type="dcterms:W3CDTF">2023-11-28T09:23:03Z</dcterms:modified>
</cp:coreProperties>
</file>