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ff36870b9739543/Dokumente/Investments/2.Unternehmen/Kering/Research und Bewertung/Kering.excl/"/>
    </mc:Choice>
  </mc:AlternateContent>
  <xr:revisionPtr revIDLastSave="2505" documentId="8_{6068961D-14B9-4B91-BDAF-BE9FE06C28E9}" xr6:coauthVersionLast="47" xr6:coauthVersionMax="47" xr10:uidLastSave="{FD02924E-0106-4FF7-9C27-1FE3FD64DA13}"/>
  <bookViews>
    <workbookView xWindow="-110" yWindow="-110" windowWidth="19420" windowHeight="10300" activeTab="3" xr2:uid="{66E5C31B-706B-034C-8A86-6EBB8210369C}"/>
  </bookViews>
  <sheets>
    <sheet name="DCF" sheetId="7" r:id="rId1"/>
    <sheet name="Income Statement" sheetId="2" r:id="rId2"/>
    <sheet name="Working Capital Schedule" sheetId="8" r:id="rId3"/>
    <sheet name="Fixed Asset Schedule" sheetId="9" r:id="rId4"/>
    <sheet name="Debt Schedule" sheetId="10" r:id="rId5"/>
    <sheet name="Discount rates" sheetId="6"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8" l="1"/>
  <c r="K9" i="2"/>
  <c r="D94" i="7" l="1"/>
  <c r="E94" i="7" s="1"/>
  <c r="F94" i="7" s="1"/>
  <c r="G94" i="7" s="1"/>
  <c r="H94" i="7" s="1"/>
  <c r="I94" i="7" s="1"/>
  <c r="B8" i="7"/>
  <c r="Q63" i="7"/>
  <c r="P63" i="7"/>
  <c r="O63" i="7"/>
  <c r="N63" i="7"/>
  <c r="M63" i="7"/>
  <c r="L63" i="7"/>
  <c r="K63" i="7"/>
  <c r="J63" i="7"/>
  <c r="J40" i="7"/>
  <c r="K40" i="7"/>
  <c r="L40" i="7"/>
  <c r="M40" i="7"/>
  <c r="N40" i="7"/>
  <c r="O40" i="7"/>
  <c r="P40" i="7"/>
  <c r="Q40" i="7"/>
  <c r="D84" i="7"/>
  <c r="E84" i="7" s="1"/>
  <c r="F84" i="7" s="1"/>
  <c r="G84" i="7" s="1"/>
  <c r="H84" i="7" s="1"/>
  <c r="I84" i="7" s="1"/>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H15" i="6" s="1"/>
  <c r="F24" i="6"/>
  <c r="H25" i="6" s="1"/>
  <c r="H16" i="6" s="1"/>
  <c r="Q72" i="7"/>
  <c r="Q73" i="7"/>
  <c r="H33" i="6"/>
  <c r="H31" i="6"/>
  <c r="H7" i="7" a="1"/>
  <c r="H7" i="7" s="1"/>
  <c r="P8" i="6" l="1"/>
  <c r="P7" i="6"/>
  <c r="H17" i="6" l="1"/>
  <c r="H8" i="6"/>
  <c r="P9" i="7"/>
  <c r="P7" i="7"/>
  <c r="I37" i="7"/>
  <c r="D51" i="7"/>
  <c r="I15" i="8"/>
  <c r="I26" i="8" s="1"/>
  <c r="H15" i="8"/>
  <c r="H26" i="8" s="1"/>
  <c r="G15" i="8"/>
  <c r="G26" i="8" s="1"/>
  <c r="F15" i="8"/>
  <c r="F26" i="8" s="1"/>
  <c r="E15" i="8"/>
  <c r="E26" i="8" s="1"/>
  <c r="I16" i="8"/>
  <c r="I27" i="8" s="1"/>
  <c r="H16" i="8"/>
  <c r="H27" i="8" s="1"/>
  <c r="G16" i="8"/>
  <c r="G27" i="8" s="1"/>
  <c r="F16" i="8"/>
  <c r="F27" i="8" s="1"/>
  <c r="H17" i="8"/>
  <c r="E17" i="8"/>
  <c r="E16" i="8"/>
  <c r="E27" i="8" s="1"/>
  <c r="I11" i="8"/>
  <c r="H11" i="8"/>
  <c r="G11" i="8"/>
  <c r="F11" i="8"/>
  <c r="I9" i="8"/>
  <c r="H9" i="8"/>
  <c r="G9" i="8"/>
  <c r="F9" i="8"/>
  <c r="E9" i="8"/>
  <c r="E10" i="8"/>
  <c r="E24" i="8" s="1"/>
  <c r="I10" i="8"/>
  <c r="I24" i="8" s="1"/>
  <c r="H10" i="8"/>
  <c r="H24" i="8" s="1"/>
  <c r="G10" i="8"/>
  <c r="G24" i="8" s="1"/>
  <c r="F10" i="8"/>
  <c r="F24" i="8" s="1"/>
  <c r="E10" i="10"/>
  <c r="J11" i="9"/>
  <c r="K8" i="9"/>
  <c r="L14" i="7" l="1"/>
  <c r="E12" i="9"/>
  <c r="F12" i="9"/>
  <c r="G12" i="9"/>
  <c r="H12" i="9"/>
  <c r="J10" i="9" l="1"/>
  <c r="F8" i="9"/>
  <c r="H10" i="9"/>
  <c r="I10" i="9"/>
  <c r="E29" i="2"/>
  <c r="F29" i="2"/>
  <c r="F11" i="9" s="1"/>
  <c r="F10" i="9" s="1"/>
  <c r="G29" i="2"/>
  <c r="G11" i="9" s="1"/>
  <c r="H29" i="2"/>
  <c r="H11" i="9" s="1"/>
  <c r="I29" i="2"/>
  <c r="I11" i="9" s="1"/>
  <c r="I10" i="10"/>
  <c r="J8" i="10" s="1"/>
  <c r="H10" i="10"/>
  <c r="F10" i="10"/>
  <c r="G10" i="10"/>
  <c r="F8" i="10"/>
  <c r="E8" i="10"/>
  <c r="E13" i="10" s="1"/>
  <c r="A1" i="10"/>
  <c r="A1" i="9"/>
  <c r="I45" i="7"/>
  <c r="H45" i="7"/>
  <c r="G45" i="7"/>
  <c r="F45" i="7"/>
  <c r="E45" i="7"/>
  <c r="D45" i="7"/>
  <c r="H37" i="7"/>
  <c r="G37" i="7"/>
  <c r="F37" i="7"/>
  <c r="E37" i="7"/>
  <c r="D37" i="7"/>
  <c r="D31" i="7"/>
  <c r="J46" i="2"/>
  <c r="I46" i="2"/>
  <c r="J44" i="2"/>
  <c r="K44" i="2" s="1"/>
  <c r="I44" i="2"/>
  <c r="H44" i="2"/>
  <c r="G44" i="2"/>
  <c r="F44" i="2"/>
  <c r="E44" i="2"/>
  <c r="J42" i="2"/>
  <c r="I42" i="2"/>
  <c r="H42" i="2"/>
  <c r="G42" i="2"/>
  <c r="F42" i="2"/>
  <c r="E42" i="2"/>
  <c r="J40" i="2"/>
  <c r="I40" i="2"/>
  <c r="H40" i="2"/>
  <c r="G40" i="2"/>
  <c r="F40" i="2"/>
  <c r="E40" i="2"/>
  <c r="J38" i="2"/>
  <c r="I38" i="2"/>
  <c r="H38" i="2"/>
  <c r="G38" i="2"/>
  <c r="F38" i="2"/>
  <c r="E38" i="2"/>
  <c r="K35" i="2"/>
  <c r="J36" i="2"/>
  <c r="I36" i="2"/>
  <c r="H36" i="2"/>
  <c r="G36" i="2"/>
  <c r="F36" i="2"/>
  <c r="E36" i="2"/>
  <c r="E32" i="2"/>
  <c r="J12" i="10" l="1"/>
  <c r="J10" i="10"/>
  <c r="L44" i="2"/>
  <c r="F9" i="9"/>
  <c r="E30" i="2"/>
  <c r="F22" i="9" s="1"/>
  <c r="F21" i="9" s="1"/>
  <c r="E11" i="9"/>
  <c r="E55" i="2"/>
  <c r="E54" i="2" s="1"/>
  <c r="E9" i="10"/>
  <c r="F9" i="10"/>
  <c r="M44" i="2" l="1"/>
  <c r="M18" i="2"/>
  <c r="N18" i="2"/>
  <c r="O18" i="2"/>
  <c r="P18" i="2"/>
  <c r="Q18" i="2"/>
  <c r="R18" i="2" s="1"/>
  <c r="N10" i="2"/>
  <c r="O10" i="2" s="1"/>
  <c r="P10" i="2" s="1"/>
  <c r="Q10" i="2" s="1"/>
  <c r="R10" i="2" s="1"/>
  <c r="M10" i="2"/>
  <c r="K19" i="2"/>
  <c r="K45" i="2" s="1"/>
  <c r="K18" i="2"/>
  <c r="K17" i="2"/>
  <c r="K43" i="2" s="1"/>
  <c r="K15" i="2"/>
  <c r="K41" i="2" s="1"/>
  <c r="K13" i="2"/>
  <c r="K39" i="2" s="1"/>
  <c r="K11" i="2"/>
  <c r="K37" i="2" s="1"/>
  <c r="K10" i="2"/>
  <c r="Y6" i="2"/>
  <c r="X6" i="2"/>
  <c r="Y7" i="2" s="1"/>
  <c r="V6" i="2"/>
  <c r="V7" i="2" s="1"/>
  <c r="U6" i="2"/>
  <c r="Y20" i="2"/>
  <c r="Y18" i="2"/>
  <c r="Y16" i="2"/>
  <c r="Y14" i="2"/>
  <c r="Y12" i="2"/>
  <c r="V20" i="2"/>
  <c r="V18" i="2"/>
  <c r="V16" i="2"/>
  <c r="V14" i="2"/>
  <c r="V12" i="2"/>
  <c r="Y10" i="2"/>
  <c r="V10" i="2"/>
  <c r="K20" i="2" l="1"/>
  <c r="L20" i="2" s="1"/>
  <c r="M20" i="2" s="1"/>
  <c r="N20" i="2" s="1"/>
  <c r="O20" i="2" s="1"/>
  <c r="P20" i="2" s="1"/>
  <c r="Q20" i="2" s="1"/>
  <c r="R20" i="2" s="1"/>
  <c r="K12" i="2"/>
  <c r="N44" i="2"/>
  <c r="K14" i="2"/>
  <c r="K16" i="2"/>
  <c r="K52" i="2"/>
  <c r="J6" i="10"/>
  <c r="K6" i="10" s="1"/>
  <c r="L6" i="10" s="1"/>
  <c r="M6" i="10" s="1"/>
  <c r="N6" i="10" s="1"/>
  <c r="O6" i="10" s="1"/>
  <c r="P6" i="10" s="1"/>
  <c r="Q6" i="10" s="1"/>
  <c r="G8" i="10"/>
  <c r="G9" i="10" s="1"/>
  <c r="H8" i="10"/>
  <c r="H9" i="10" s="1"/>
  <c r="I8" i="10"/>
  <c r="K6" i="9"/>
  <c r="L6" i="9" s="1"/>
  <c r="M6" i="9" s="1"/>
  <c r="N6" i="9" s="1"/>
  <c r="O6" i="9" s="1"/>
  <c r="P6" i="9" s="1"/>
  <c r="Q6" i="9" s="1"/>
  <c r="R6" i="9" s="1"/>
  <c r="G8" i="9"/>
  <c r="H8" i="9"/>
  <c r="I8" i="9"/>
  <c r="I9" i="9" s="1"/>
  <c r="J8" i="9"/>
  <c r="J9" i="9" s="1"/>
  <c r="G10" i="9"/>
  <c r="F19" i="9"/>
  <c r="G19" i="9"/>
  <c r="H19" i="9"/>
  <c r="I19" i="9"/>
  <c r="J19" i="9"/>
  <c r="K19" i="9"/>
  <c r="A2" i="8"/>
  <c r="A3" i="8"/>
  <c r="J6" i="8"/>
  <c r="K6" i="8"/>
  <c r="L6" i="8"/>
  <c r="M6" i="8"/>
  <c r="N6" i="8" s="1"/>
  <c r="O6" i="8" s="1"/>
  <c r="P6" i="8" s="1"/>
  <c r="Q6" i="8" s="1"/>
  <c r="E12" i="8"/>
  <c r="F12" i="8"/>
  <c r="G12" i="8"/>
  <c r="H12" i="8"/>
  <c r="I12" i="8"/>
  <c r="E18" i="8"/>
  <c r="H18" i="8"/>
  <c r="O44" i="2" l="1"/>
  <c r="H20" i="8"/>
  <c r="A3" i="10"/>
  <c r="A3" i="9"/>
  <c r="B1" i="6" s="1"/>
  <c r="A2" i="10"/>
  <c r="A2" i="9"/>
  <c r="F20" i="9"/>
  <c r="F32" i="9" s="1"/>
  <c r="E20" i="8"/>
  <c r="G13" i="10"/>
  <c r="H13" i="10"/>
  <c r="G14" i="9"/>
  <c r="H9" i="9"/>
  <c r="G9" i="9"/>
  <c r="I14" i="9"/>
  <c r="H14" i="9"/>
  <c r="J14" i="9"/>
  <c r="I13" i="10"/>
  <c r="I9" i="10"/>
  <c r="K8" i="10"/>
  <c r="K12" i="10" s="1"/>
  <c r="F25" i="9"/>
  <c r="H25" i="7"/>
  <c r="G25" i="7"/>
  <c r="F25" i="7"/>
  <c r="E25" i="7"/>
  <c r="D43" i="7"/>
  <c r="M12" i="2"/>
  <c r="N12" i="2" s="1"/>
  <c r="O12" i="2" s="1"/>
  <c r="P12" i="2" s="1"/>
  <c r="Q12" i="2" s="1"/>
  <c r="R12" i="2" s="1"/>
  <c r="M16" i="2"/>
  <c r="N16" i="2" s="1"/>
  <c r="O16" i="2" s="1"/>
  <c r="P16" i="2" s="1"/>
  <c r="Q16" i="2" s="1"/>
  <c r="R16" i="2" s="1"/>
  <c r="L15" i="2"/>
  <c r="L41" i="2" s="1"/>
  <c r="L19" i="2"/>
  <c r="J20" i="2"/>
  <c r="L13" i="2"/>
  <c r="L39" i="2" s="1"/>
  <c r="J16" i="2"/>
  <c r="I16" i="2"/>
  <c r="H16" i="2"/>
  <c r="G16" i="2"/>
  <c r="F16" i="2"/>
  <c r="J18" i="2"/>
  <c r="I18" i="2"/>
  <c r="H18" i="2"/>
  <c r="G18" i="2"/>
  <c r="F18" i="2"/>
  <c r="I6" i="2"/>
  <c r="H6" i="2"/>
  <c r="G6" i="2"/>
  <c r="F6" i="2"/>
  <c r="E6" i="2"/>
  <c r="J7" i="2"/>
  <c r="J6" i="2"/>
  <c r="J23" i="2" s="1"/>
  <c r="J26" i="2" s="1"/>
  <c r="J14" i="2"/>
  <c r="I14" i="2"/>
  <c r="H14" i="2"/>
  <c r="G14" i="2"/>
  <c r="F14" i="2"/>
  <c r="J12" i="2"/>
  <c r="I12" i="2"/>
  <c r="H12" i="2"/>
  <c r="G12" i="2"/>
  <c r="F12" i="2"/>
  <c r="J10" i="2"/>
  <c r="I10" i="2"/>
  <c r="H10" i="2"/>
  <c r="G10" i="2"/>
  <c r="F10" i="2"/>
  <c r="E5" i="2"/>
  <c r="J32" i="2"/>
  <c r="I31" i="7" s="1"/>
  <c r="I32" i="2"/>
  <c r="H31" i="7" s="1"/>
  <c r="H32" i="2"/>
  <c r="G31" i="7" s="1"/>
  <c r="G32" i="2"/>
  <c r="F31" i="7" s="1"/>
  <c r="F32" i="2"/>
  <c r="F25" i="8" l="1"/>
  <c r="F23" i="8"/>
  <c r="F23" i="2"/>
  <c r="F26" i="2" s="1"/>
  <c r="G25" i="8"/>
  <c r="G23" i="8"/>
  <c r="H16" i="9"/>
  <c r="G23" i="2"/>
  <c r="G26" i="2" s="1"/>
  <c r="H25" i="8"/>
  <c r="H23" i="8"/>
  <c r="I16" i="9"/>
  <c r="H23" i="2"/>
  <c r="H26" i="2" s="1"/>
  <c r="H28" i="8" s="1"/>
  <c r="I25" i="7"/>
  <c r="I46" i="7" s="1"/>
  <c r="D57" i="7"/>
  <c r="F33" i="9"/>
  <c r="I23" i="8"/>
  <c r="I25" i="8"/>
  <c r="J16" i="9"/>
  <c r="I23" i="2"/>
  <c r="I26" i="2" s="1"/>
  <c r="P44" i="2"/>
  <c r="F27" i="9"/>
  <c r="E31" i="8"/>
  <c r="E25" i="8"/>
  <c r="E23" i="8"/>
  <c r="E33" i="2"/>
  <c r="F16" i="9"/>
  <c r="E23" i="2"/>
  <c r="F55" i="2"/>
  <c r="F54" i="2" s="1"/>
  <c r="E38" i="7" s="1"/>
  <c r="E31" i="7"/>
  <c r="E32" i="7" s="1"/>
  <c r="M19" i="2"/>
  <c r="L45" i="2"/>
  <c r="G16" i="9"/>
  <c r="D25" i="7"/>
  <c r="E26" i="7" s="1"/>
  <c r="E46" i="7"/>
  <c r="F32" i="7"/>
  <c r="F46" i="7"/>
  <c r="G32" i="7"/>
  <c r="G46" i="7"/>
  <c r="H46" i="7"/>
  <c r="H26" i="7"/>
  <c r="H32" i="7"/>
  <c r="F26" i="7"/>
  <c r="G26" i="7"/>
  <c r="M15" i="2"/>
  <c r="M14" i="2"/>
  <c r="N14" i="2" s="1"/>
  <c r="O14" i="2" s="1"/>
  <c r="P14" i="2" s="1"/>
  <c r="Q14" i="2" s="1"/>
  <c r="R14" i="2" s="1"/>
  <c r="L9" i="2"/>
  <c r="M13" i="2"/>
  <c r="L11" i="2"/>
  <c r="K10" i="10"/>
  <c r="L8" i="10" s="1"/>
  <c r="L52" i="2"/>
  <c r="K6" i="2"/>
  <c r="L17" i="2"/>
  <c r="F7" i="2"/>
  <c r="D58" i="7" l="1"/>
  <c r="I26" i="7"/>
  <c r="I32" i="7"/>
  <c r="D66" i="7"/>
  <c r="E26" i="2"/>
  <c r="E28" i="8" s="1"/>
  <c r="E24" i="2"/>
  <c r="D32" i="7"/>
  <c r="N19" i="2"/>
  <c r="M45" i="2"/>
  <c r="M17" i="2"/>
  <c r="M43" i="2" s="1"/>
  <c r="L43" i="2"/>
  <c r="D46" i="7"/>
  <c r="N15" i="2"/>
  <c r="M41" i="2"/>
  <c r="N13" i="2"/>
  <c r="N39" i="2" s="1"/>
  <c r="M39" i="2"/>
  <c r="D52" i="7"/>
  <c r="M11" i="2"/>
  <c r="L37" i="2"/>
  <c r="Q44" i="2"/>
  <c r="K7" i="2"/>
  <c r="J28" i="7" s="1"/>
  <c r="J27" i="7" s="1"/>
  <c r="J9" i="8"/>
  <c r="K21" i="9"/>
  <c r="J11" i="8"/>
  <c r="K10" i="9"/>
  <c r="M9" i="2"/>
  <c r="M6" i="2" s="1"/>
  <c r="L35" i="2"/>
  <c r="L6" i="2"/>
  <c r="L12" i="10"/>
  <c r="M52" i="2" s="1"/>
  <c r="L10" i="10"/>
  <c r="M8" i="10" s="1"/>
  <c r="O13" i="2"/>
  <c r="O39" i="2" s="1"/>
  <c r="J26" i="7" l="1"/>
  <c r="J29" i="7"/>
  <c r="N11" i="2"/>
  <c r="M37" i="2"/>
  <c r="O19" i="2"/>
  <c r="N45" i="2"/>
  <c r="N17" i="2"/>
  <c r="O15" i="2"/>
  <c r="N41" i="2"/>
  <c r="M10" i="9"/>
  <c r="L9" i="8"/>
  <c r="M21" i="9"/>
  <c r="L11" i="8"/>
  <c r="L7" i="2"/>
  <c r="K28" i="7" s="1"/>
  <c r="K29" i="7" s="1"/>
  <c r="L10" i="9"/>
  <c r="K9" i="8"/>
  <c r="L21" i="9"/>
  <c r="K11" i="8"/>
  <c r="N9" i="2"/>
  <c r="N6" i="2" s="1"/>
  <c r="M35" i="2"/>
  <c r="K11" i="9"/>
  <c r="K29" i="2" s="1"/>
  <c r="K9" i="9"/>
  <c r="K12" i="9"/>
  <c r="L8" i="9" s="1"/>
  <c r="L9" i="9" s="1"/>
  <c r="K22" i="9"/>
  <c r="K30" i="2" s="1"/>
  <c r="K20" i="9"/>
  <c r="M7" i="2"/>
  <c r="L28" i="7" s="1"/>
  <c r="L26" i="7" s="1"/>
  <c r="M10" i="10"/>
  <c r="N8" i="10" s="1"/>
  <c r="M12" i="10"/>
  <c r="N52" i="2" s="1"/>
  <c r="P13" i="2"/>
  <c r="P39" i="2" s="1"/>
  <c r="B6" i="7"/>
  <c r="J64" i="7" s="1"/>
  <c r="K64" i="7" s="1"/>
  <c r="L64" i="7" s="1"/>
  <c r="M64" i="7" s="1"/>
  <c r="N64" i="7" s="1"/>
  <c r="O64" i="7" s="1"/>
  <c r="P64" i="7" s="1"/>
  <c r="Q64" i="7" s="1"/>
  <c r="H14" i="6"/>
  <c r="H19" i="6" s="1"/>
  <c r="J55" i="2"/>
  <c r="J54" i="2" s="1"/>
  <c r="I55" i="2"/>
  <c r="I54" i="2" s="1"/>
  <c r="H38" i="7" s="1"/>
  <c r="H55" i="2"/>
  <c r="H54" i="2" s="1"/>
  <c r="G38" i="7" s="1"/>
  <c r="G55" i="2"/>
  <c r="G54" i="2" s="1"/>
  <c r="F38" i="7" s="1"/>
  <c r="J30" i="2"/>
  <c r="I30" i="2"/>
  <c r="J22" i="9" s="1"/>
  <c r="J21" i="9" s="1"/>
  <c r="H30" i="2"/>
  <c r="I22" i="9" s="1"/>
  <c r="I21" i="9" s="1"/>
  <c r="G30" i="2"/>
  <c r="H22" i="9" s="1"/>
  <c r="F30" i="2"/>
  <c r="G22" i="9" s="1"/>
  <c r="J33" i="2"/>
  <c r="K33" i="2" s="1"/>
  <c r="I33" i="2"/>
  <c r="H33" i="2"/>
  <c r="G33" i="2"/>
  <c r="F33" i="2"/>
  <c r="J24" i="2"/>
  <c r="I24" i="2"/>
  <c r="H24" i="2"/>
  <c r="G24" i="2"/>
  <c r="F24" i="2"/>
  <c r="I7" i="2"/>
  <c r="H7" i="2"/>
  <c r="G7" i="2"/>
  <c r="I43" i="7"/>
  <c r="H43" i="7"/>
  <c r="G43" i="7"/>
  <c r="F43" i="7"/>
  <c r="E43" i="7"/>
  <c r="K24" i="7"/>
  <c r="L24" i="7" s="1"/>
  <c r="M24" i="7" s="1"/>
  <c r="N24" i="7" s="1"/>
  <c r="O24" i="7" s="1"/>
  <c r="P24" i="7" s="1"/>
  <c r="Q24" i="7" s="1"/>
  <c r="H21" i="9" l="1"/>
  <c r="H25" i="9"/>
  <c r="P15" i="2"/>
  <c r="O41" i="2"/>
  <c r="O17" i="2"/>
  <c r="N43" i="2"/>
  <c r="P19" i="2"/>
  <c r="O45" i="2"/>
  <c r="I25" i="9"/>
  <c r="I20" i="9"/>
  <c r="I32" i="9" s="1"/>
  <c r="I27" i="9"/>
  <c r="J25" i="9"/>
  <c r="J20" i="9"/>
  <c r="J32" i="9" s="1"/>
  <c r="J27" i="9"/>
  <c r="L33" i="2"/>
  <c r="J34" i="7"/>
  <c r="K27" i="7"/>
  <c r="G21" i="9"/>
  <c r="G25" i="9"/>
  <c r="I38" i="7"/>
  <c r="H9" i="6"/>
  <c r="H10" i="6" s="1"/>
  <c r="O11" i="2"/>
  <c r="N37" i="2"/>
  <c r="L11" i="9"/>
  <c r="L29" i="2" s="1"/>
  <c r="L12" i="9"/>
  <c r="M8" i="9" s="1"/>
  <c r="M9" i="9" s="1"/>
  <c r="K32" i="9"/>
  <c r="K28" i="2"/>
  <c r="N7" i="2"/>
  <c r="M28" i="7" s="1"/>
  <c r="M29" i="7" s="1"/>
  <c r="M9" i="8"/>
  <c r="N21" i="9"/>
  <c r="M11" i="8"/>
  <c r="N10" i="9"/>
  <c r="O9" i="2"/>
  <c r="N35" i="2"/>
  <c r="K23" i="9"/>
  <c r="L19" i="9" s="1"/>
  <c r="M11" i="9"/>
  <c r="M29" i="2" s="1"/>
  <c r="N24" i="2"/>
  <c r="M24" i="2"/>
  <c r="M23" i="2" s="1"/>
  <c r="M22" i="2" s="1"/>
  <c r="L24" i="2"/>
  <c r="L23" i="2" s="1"/>
  <c r="L22" i="2" s="1"/>
  <c r="K24" i="2"/>
  <c r="K23" i="2" s="1"/>
  <c r="K22" i="2" s="1"/>
  <c r="R24" i="2"/>
  <c r="Q24" i="2"/>
  <c r="P24" i="2"/>
  <c r="O24" i="2"/>
  <c r="L29" i="7"/>
  <c r="L27" i="7"/>
  <c r="N10" i="10"/>
  <c r="O8" i="10" s="1"/>
  <c r="N12" i="10"/>
  <c r="O52" i="2" s="1"/>
  <c r="Q13" i="2"/>
  <c r="Q39" i="2" s="1"/>
  <c r="M8" i="6"/>
  <c r="M7" i="6"/>
  <c r="G20" i="9" l="1"/>
  <c r="G32" i="9" s="1"/>
  <c r="G27" i="9"/>
  <c r="P17" i="2"/>
  <c r="O43" i="2"/>
  <c r="G57" i="7"/>
  <c r="I33" i="9"/>
  <c r="H57" i="7"/>
  <c r="J33" i="9"/>
  <c r="Q15" i="2"/>
  <c r="P41" i="2"/>
  <c r="J35" i="7"/>
  <c r="J32" i="7"/>
  <c r="J33" i="7"/>
  <c r="P11" i="2"/>
  <c r="O37" i="2"/>
  <c r="M33" i="2"/>
  <c r="K34" i="7"/>
  <c r="Q19" i="2"/>
  <c r="P45" i="2"/>
  <c r="H20" i="9"/>
  <c r="H32" i="9" s="1"/>
  <c r="H27" i="9"/>
  <c r="M27" i="7"/>
  <c r="T28" i="2"/>
  <c r="J48" i="7" s="1"/>
  <c r="K15" i="8"/>
  <c r="K10" i="8"/>
  <c r="K12" i="8" s="1"/>
  <c r="J15" i="8"/>
  <c r="J10" i="8"/>
  <c r="J12" i="8" s="1"/>
  <c r="K33" i="9"/>
  <c r="J60" i="7" s="1"/>
  <c r="I57" i="7"/>
  <c r="I58" i="7" s="1"/>
  <c r="P9" i="2"/>
  <c r="O35" i="2"/>
  <c r="O6" i="2"/>
  <c r="L15" i="8"/>
  <c r="L10" i="8"/>
  <c r="L12" i="8" s="1"/>
  <c r="N11" i="9"/>
  <c r="N29" i="2" s="1"/>
  <c r="N12" i="9"/>
  <c r="O8" i="9" s="1"/>
  <c r="M12" i="9"/>
  <c r="N8" i="9" s="1"/>
  <c r="N9" i="9" s="1"/>
  <c r="P10" i="6"/>
  <c r="L8" i="7" s="1"/>
  <c r="O12" i="10"/>
  <c r="P52" i="2" s="1"/>
  <c r="O10" i="10"/>
  <c r="P8" i="10" s="1"/>
  <c r="R13" i="2"/>
  <c r="R39" i="2" s="1"/>
  <c r="N23" i="2"/>
  <c r="N22" i="2" s="1"/>
  <c r="H33" i="9" l="1"/>
  <c r="F57" i="7"/>
  <c r="N33" i="2"/>
  <c r="L34" i="7"/>
  <c r="H58" i="7"/>
  <c r="Q11" i="2"/>
  <c r="P37" i="2"/>
  <c r="G58" i="7"/>
  <c r="Q17" i="2"/>
  <c r="P43" i="2"/>
  <c r="R19" i="2"/>
  <c r="R45" i="2" s="1"/>
  <c r="Q45" i="2"/>
  <c r="K32" i="7"/>
  <c r="K35" i="7"/>
  <c r="K33" i="7"/>
  <c r="R15" i="2"/>
  <c r="R41" i="2" s="1"/>
  <c r="Q41" i="2"/>
  <c r="G33" i="9"/>
  <c r="E57" i="7"/>
  <c r="N9" i="8"/>
  <c r="O21" i="9"/>
  <c r="N11" i="8"/>
  <c r="O10" i="9"/>
  <c r="O7" i="2"/>
  <c r="N28" i="7" s="1"/>
  <c r="M15" i="8"/>
  <c r="M10" i="8"/>
  <c r="M12" i="8" s="1"/>
  <c r="Q9" i="2"/>
  <c r="P35" i="2"/>
  <c r="P6" i="2"/>
  <c r="J58" i="7"/>
  <c r="J59" i="7"/>
  <c r="J61" i="7"/>
  <c r="J49" i="7"/>
  <c r="J46" i="7"/>
  <c r="J47" i="7"/>
  <c r="L9" i="7"/>
  <c r="L7" i="7"/>
  <c r="P10" i="10"/>
  <c r="Q8" i="10" s="1"/>
  <c r="P12" i="10"/>
  <c r="Q52" i="2" s="1"/>
  <c r="O23" i="2"/>
  <c r="O22" i="2" s="1"/>
  <c r="L32" i="7" l="1"/>
  <c r="L35" i="7"/>
  <c r="L33" i="7"/>
  <c r="R17" i="2"/>
  <c r="R43" i="2" s="1"/>
  <c r="Q43" i="2"/>
  <c r="O33" i="2"/>
  <c r="M34" i="7"/>
  <c r="F58" i="7"/>
  <c r="R11" i="2"/>
  <c r="R37" i="2" s="1"/>
  <c r="Q37" i="2"/>
  <c r="E58" i="7"/>
  <c r="R9" i="2"/>
  <c r="Q35" i="2"/>
  <c r="Q6" i="2"/>
  <c r="N29" i="7"/>
  <c r="N27" i="7"/>
  <c r="O11" i="9"/>
  <c r="O29" i="2" s="1"/>
  <c r="O12" i="9"/>
  <c r="P8" i="9" s="1"/>
  <c r="O9" i="9"/>
  <c r="O11" i="8"/>
  <c r="P10" i="9"/>
  <c r="O9" i="8"/>
  <c r="P21" i="9"/>
  <c r="P7" i="2"/>
  <c r="O28" i="7" s="1"/>
  <c r="N15" i="8"/>
  <c r="N10" i="8"/>
  <c r="N12" i="8"/>
  <c r="L13" i="7" a="1"/>
  <c r="L13" i="7" s="1"/>
  <c r="Q10" i="10"/>
  <c r="Q12" i="10"/>
  <c r="R52" i="2" s="1"/>
  <c r="P23" i="2"/>
  <c r="P22" i="2" s="1"/>
  <c r="P9" i="9" l="1"/>
  <c r="P33" i="2"/>
  <c r="N34" i="7"/>
  <c r="M32" i="7"/>
  <c r="M33" i="7"/>
  <c r="M35" i="7"/>
  <c r="O29" i="7"/>
  <c r="O27" i="7"/>
  <c r="Q10" i="9"/>
  <c r="P11" i="8"/>
  <c r="P9" i="8"/>
  <c r="Q21" i="9"/>
  <c r="Q7" i="2"/>
  <c r="P28" i="7" s="1"/>
  <c r="O15" i="8"/>
  <c r="O10" i="8"/>
  <c r="O12" i="8"/>
  <c r="P11" i="9"/>
  <c r="P29" i="2" s="1"/>
  <c r="P12" i="9"/>
  <c r="Q8" i="9" s="1"/>
  <c r="Q9" i="9" s="1"/>
  <c r="R35" i="2"/>
  <c r="R6" i="2"/>
  <c r="Q23" i="2"/>
  <c r="Q22" i="2" s="1"/>
  <c r="A3" i="2"/>
  <c r="N35" i="7" l="1"/>
  <c r="N32" i="7"/>
  <c r="N33" i="7"/>
  <c r="Q33" i="2"/>
  <c r="O34" i="7"/>
  <c r="P10" i="8"/>
  <c r="P15" i="8"/>
  <c r="P26" i="7"/>
  <c r="P29" i="7"/>
  <c r="P27" i="7"/>
  <c r="R10" i="9"/>
  <c r="Q11" i="8"/>
  <c r="Q9" i="8"/>
  <c r="R21" i="9"/>
  <c r="R7" i="2"/>
  <c r="Q28" i="7" s="1"/>
  <c r="P12" i="8"/>
  <c r="Q11" i="9"/>
  <c r="Q29" i="2" s="1"/>
  <c r="Q12" i="9"/>
  <c r="R8" i="9" s="1"/>
  <c r="R23" i="2"/>
  <c r="R22" i="2" s="1"/>
  <c r="K5" i="2"/>
  <c r="L5" i="2" s="1"/>
  <c r="M5" i="2" s="1"/>
  <c r="N5" i="2" s="1"/>
  <c r="O5" i="2" s="1"/>
  <c r="P5" i="2" s="1"/>
  <c r="Q5" i="2" s="1"/>
  <c r="R5" i="2" s="1"/>
  <c r="R33" i="2" l="1"/>
  <c r="Q34" i="7" s="1"/>
  <c r="P34" i="7"/>
  <c r="O35" i="7"/>
  <c r="O33" i="7"/>
  <c r="O32" i="7"/>
  <c r="Q15" i="8"/>
  <c r="Q10" i="8"/>
  <c r="Q12" i="8" s="1"/>
  <c r="R11" i="9"/>
  <c r="R29" i="2" s="1"/>
  <c r="R9" i="9"/>
  <c r="Q29" i="7"/>
  <c r="Q27" i="7"/>
  <c r="J45" i="7"/>
  <c r="Q26" i="7"/>
  <c r="J25" i="7"/>
  <c r="K26" i="7"/>
  <c r="O26" i="7"/>
  <c r="M26" i="7"/>
  <c r="N26" i="7"/>
  <c r="P35" i="7" l="1"/>
  <c r="P33" i="7"/>
  <c r="P32" i="7"/>
  <c r="R12" i="9"/>
  <c r="Q33" i="7"/>
  <c r="Q35" i="7"/>
  <c r="Q32" i="7"/>
  <c r="J57" i="7"/>
  <c r="J31" i="7"/>
  <c r="K25" i="7"/>
  <c r="L25" i="7" l="1"/>
  <c r="K31" i="7"/>
  <c r="M25" i="7" l="1"/>
  <c r="L31" i="7"/>
  <c r="N25" i="7" l="1"/>
  <c r="M31" i="7"/>
  <c r="O25" i="7" l="1"/>
  <c r="N31" i="7"/>
  <c r="P25" i="7" l="1"/>
  <c r="O31" i="7"/>
  <c r="Q25" i="7" l="1"/>
  <c r="P31" i="7"/>
  <c r="Q31" i="7" l="1"/>
  <c r="K32" i="2" l="1"/>
  <c r="K26" i="2" s="1"/>
  <c r="J17" i="8" s="1"/>
  <c r="K55" i="2"/>
  <c r="L32" i="2"/>
  <c r="L55" i="2" s="1"/>
  <c r="M32" i="2"/>
  <c r="M55" i="2"/>
  <c r="N32" i="2"/>
  <c r="O32" i="2"/>
  <c r="P32" i="2"/>
  <c r="P55" i="2" s="1"/>
  <c r="Q32" i="2"/>
  <c r="Q55" i="2" s="1"/>
  <c r="R32" i="2"/>
  <c r="R55" i="2" s="1"/>
  <c r="M56" i="2" l="1"/>
  <c r="L16" i="8" s="1"/>
  <c r="R56" i="2"/>
  <c r="Q16" i="8" s="1"/>
  <c r="Q56" i="2"/>
  <c r="P16" i="8" s="1"/>
  <c r="L56" i="2"/>
  <c r="K16" i="8" s="1"/>
  <c r="K56" i="2"/>
  <c r="P56" i="2"/>
  <c r="O16" i="8" s="1"/>
  <c r="N55" i="2"/>
  <c r="O55" i="2"/>
  <c r="J16" i="8" l="1"/>
  <c r="J18" i="8" s="1"/>
  <c r="J20" i="8" s="1"/>
  <c r="N56" i="2"/>
  <c r="M16" i="8" s="1"/>
  <c r="O56" i="2"/>
  <c r="N16" i="8" s="1"/>
  <c r="F13" i="10"/>
  <c r="F14" i="9" l="1"/>
  <c r="L22" i="9"/>
  <c r="L23" i="9" s="1"/>
  <c r="M19" i="9" s="1"/>
  <c r="M20" i="9" s="1"/>
  <c r="M32" i="9" s="1"/>
  <c r="M33" i="9" s="1"/>
  <c r="L60" i="7" s="1"/>
  <c r="N22" i="9"/>
  <c r="N30" i="2" s="1"/>
  <c r="N28" i="2" s="1"/>
  <c r="P22" i="9"/>
  <c r="P30" i="2"/>
  <c r="P28" i="2"/>
  <c r="Y28" i="2" s="1"/>
  <c r="O48" i="7" s="1"/>
  <c r="P26" i="2"/>
  <c r="O17" i="8" s="1"/>
  <c r="O18" i="8" s="1"/>
  <c r="O20" i="8" s="1"/>
  <c r="Q22" i="9"/>
  <c r="Q23" i="9" s="1"/>
  <c r="R19" i="9" s="1"/>
  <c r="R20" i="9" s="1"/>
  <c r="R32" i="9" s="1"/>
  <c r="R33" i="9" s="1"/>
  <c r="Q60" i="7" s="1"/>
  <c r="Q30" i="2"/>
  <c r="Q28" i="2" s="1"/>
  <c r="O22" i="9"/>
  <c r="O30" i="2" s="1"/>
  <c r="O28" i="2" s="1"/>
  <c r="M22" i="9"/>
  <c r="M30" i="2" s="1"/>
  <c r="M28" i="2" s="1"/>
  <c r="R22" i="9"/>
  <c r="R23" i="9" s="1"/>
  <c r="R30" i="2"/>
  <c r="R28" i="2"/>
  <c r="P23" i="9"/>
  <c r="Q19" i="9" s="1"/>
  <c r="Q20" i="9" s="1"/>
  <c r="Q32" i="9" s="1"/>
  <c r="Q33" i="9" s="1"/>
  <c r="P60" i="7" s="1"/>
  <c r="L20" i="9"/>
  <c r="L32" i="9" s="1"/>
  <c r="L33" i="9" s="1"/>
  <c r="K60" i="7" s="1"/>
  <c r="O23" i="9"/>
  <c r="P19" i="9" s="1"/>
  <c r="P20" i="9" s="1"/>
  <c r="P32" i="9" s="1"/>
  <c r="P33" i="9" s="1"/>
  <c r="O60" i="7" s="1"/>
  <c r="N23" i="9" l="1"/>
  <c r="O19" i="9" s="1"/>
  <c r="O20" i="9" s="1"/>
  <c r="O32" i="9" s="1"/>
  <c r="O33" i="9" s="1"/>
  <c r="N60" i="7" s="1"/>
  <c r="N26" i="2"/>
  <c r="M17" i="8" s="1"/>
  <c r="M18" i="8" s="1"/>
  <c r="M20" i="8" s="1"/>
  <c r="W28" i="2"/>
  <c r="M48" i="7" s="1"/>
  <c r="Q26" i="2"/>
  <c r="P17" i="8" s="1"/>
  <c r="P18" i="8" s="1"/>
  <c r="P20" i="8" s="1"/>
  <c r="P21" i="8" s="1"/>
  <c r="P31" i="8" s="1"/>
  <c r="P54" i="7" s="1"/>
  <c r="Z28" i="2"/>
  <c r="P48" i="7" s="1"/>
  <c r="P61" i="7"/>
  <c r="P58" i="7"/>
  <c r="P57" i="7" s="1"/>
  <c r="P59" i="7"/>
  <c r="O49" i="7"/>
  <c r="O46" i="7"/>
  <c r="O47" i="7"/>
  <c r="N61" i="7"/>
  <c r="N58" i="7"/>
  <c r="N57" i="7" s="1"/>
  <c r="N59" i="7"/>
  <c r="M26" i="2"/>
  <c r="L17" i="8" s="1"/>
  <c r="L18" i="8" s="1"/>
  <c r="L20" i="8" s="1"/>
  <c r="V28" i="2"/>
  <c r="L48" i="7" s="1"/>
  <c r="K58" i="7"/>
  <c r="K57" i="7" s="1"/>
  <c r="K59" i="7"/>
  <c r="K61" i="7"/>
  <c r="O26" i="2"/>
  <c r="N17" i="8" s="1"/>
  <c r="N18" i="8" s="1"/>
  <c r="N20" i="8" s="1"/>
  <c r="X28" i="2"/>
  <c r="N48" i="7" s="1"/>
  <c r="O61" i="7"/>
  <c r="O58" i="7"/>
  <c r="O57" i="7" s="1"/>
  <c r="O59" i="7"/>
  <c r="R26" i="2"/>
  <c r="Q17" i="8" s="1"/>
  <c r="Q18" i="8" s="1"/>
  <c r="Q20" i="8" s="1"/>
  <c r="AA28" i="2"/>
  <c r="Q48" i="7" s="1"/>
  <c r="L59" i="7"/>
  <c r="L61" i="7"/>
  <c r="L58" i="7"/>
  <c r="L57" i="7" s="1"/>
  <c r="Q61" i="7"/>
  <c r="Q58" i="7"/>
  <c r="Q57" i="7" s="1"/>
  <c r="Q59" i="7"/>
  <c r="L30" i="2"/>
  <c r="L28" i="2" s="1"/>
  <c r="M23" i="9"/>
  <c r="N19" i="9" s="1"/>
  <c r="N20" i="9" s="1"/>
  <c r="N32" i="9" s="1"/>
  <c r="N33" i="9" s="1"/>
  <c r="M60" i="7" s="1"/>
  <c r="N21" i="8" l="1"/>
  <c r="N31" i="8" s="1"/>
  <c r="N54" i="7" s="1"/>
  <c r="N52" i="7" s="1"/>
  <c r="N51" i="7" s="1"/>
  <c r="Q21" i="8"/>
  <c r="Q31" i="8" s="1"/>
  <c r="Q54" i="7" s="1"/>
  <c r="Q55" i="7" s="1"/>
  <c r="O21" i="8"/>
  <c r="O31" i="8" s="1"/>
  <c r="O54" i="7" s="1"/>
  <c r="O53" i="7" s="1"/>
  <c r="L47" i="7"/>
  <c r="L49" i="7"/>
  <c r="L46" i="7"/>
  <c r="N49" i="7"/>
  <c r="N47" i="7"/>
  <c r="N46" i="7"/>
  <c r="M59" i="7"/>
  <c r="M61" i="7"/>
  <c r="M58" i="7"/>
  <c r="M57" i="7" s="1"/>
  <c r="P47" i="7"/>
  <c r="P49" i="7"/>
  <c r="P46" i="7"/>
  <c r="L26" i="2"/>
  <c r="K17" i="8" s="1"/>
  <c r="K18" i="8" s="1"/>
  <c r="K20" i="8" s="1"/>
  <c r="K21" i="8" s="1"/>
  <c r="K31" i="8" s="1"/>
  <c r="K54" i="7" s="1"/>
  <c r="U28" i="2"/>
  <c r="K48" i="7" s="1"/>
  <c r="P52" i="7"/>
  <c r="P51" i="7" s="1"/>
  <c r="P53" i="7"/>
  <c r="P55" i="7"/>
  <c r="Q47" i="7"/>
  <c r="Q49" i="7"/>
  <c r="Q46" i="7"/>
  <c r="M49" i="7"/>
  <c r="M46" i="7"/>
  <c r="M47" i="7"/>
  <c r="M21" i="8"/>
  <c r="M31" i="8" s="1"/>
  <c r="M54" i="7" s="1"/>
  <c r="N38" i="7"/>
  <c r="N37" i="7" s="1"/>
  <c r="N43" i="7" s="1"/>
  <c r="K38" i="7"/>
  <c r="K37" i="7" s="1"/>
  <c r="K43" i="7" s="1"/>
  <c r="L38" i="7"/>
  <c r="L37" i="7" s="1"/>
  <c r="L43" i="7" s="1"/>
  <c r="Q38" i="7"/>
  <c r="Q37" i="7" s="1"/>
  <c r="Q43" i="7" s="1"/>
  <c r="J38" i="7"/>
  <c r="J37" i="7" s="1"/>
  <c r="J43" i="7" s="1"/>
  <c r="O38" i="7"/>
  <c r="O37" i="7" s="1"/>
  <c r="O43" i="7" s="1"/>
  <c r="M38" i="7"/>
  <c r="M37" i="7" s="1"/>
  <c r="M43" i="7" s="1"/>
  <c r="P38" i="7"/>
  <c r="P37" i="7" s="1"/>
  <c r="P43" i="7" s="1"/>
  <c r="N53" i="7" l="1"/>
  <c r="Q53" i="7"/>
  <c r="N55" i="7"/>
  <c r="Q52" i="7"/>
  <c r="Q51" i="7" s="1"/>
  <c r="O52" i="7"/>
  <c r="O51" i="7" s="1"/>
  <c r="O55" i="7"/>
  <c r="L21" i="8"/>
  <c r="L31" i="8" s="1"/>
  <c r="L54" i="7" s="1"/>
  <c r="K49" i="7"/>
  <c r="K46" i="7"/>
  <c r="K45" i="7" s="1"/>
  <c r="L45" i="7" s="1"/>
  <c r="M45" i="7" s="1"/>
  <c r="N45" i="7" s="1"/>
  <c r="O45" i="7" s="1"/>
  <c r="P45" i="7" s="1"/>
  <c r="Q45" i="7" s="1"/>
  <c r="K47" i="7"/>
  <c r="M52" i="7"/>
  <c r="M51" i="7" s="1"/>
  <c r="M53" i="7"/>
  <c r="M55" i="7"/>
  <c r="K52" i="7"/>
  <c r="K51" i="7" s="1"/>
  <c r="K53" i="7"/>
  <c r="K55" i="7"/>
  <c r="Q66" i="7" l="1"/>
  <c r="Q67" i="7" s="1"/>
  <c r="N66" i="7"/>
  <c r="N67" i="7" s="1"/>
  <c r="K66" i="7"/>
  <c r="K67" i="7" s="1"/>
  <c r="M66" i="7"/>
  <c r="M67" i="7" s="1"/>
  <c r="L52" i="7"/>
  <c r="L51" i="7" s="1"/>
  <c r="L66" i="7" s="1"/>
  <c r="L67" i="7" s="1"/>
  <c r="L55" i="7"/>
  <c r="L53" i="7"/>
  <c r="P66" i="7"/>
  <c r="P67" i="7" s="1"/>
  <c r="O66" i="7"/>
  <c r="O67" i="7" s="1"/>
  <c r="Q69" i="7" l="1"/>
  <c r="Q70" i="7" s="1"/>
  <c r="F17" i="8" l="1"/>
  <c r="G17" i="8"/>
  <c r="I17" i="8"/>
  <c r="F18" i="8" l="1"/>
  <c r="F20" i="8" s="1"/>
  <c r="F28" i="8"/>
  <c r="I18" i="8"/>
  <c r="I20" i="8" s="1"/>
  <c r="I28" i="8"/>
  <c r="G18" i="8"/>
  <c r="G20" i="8" s="1"/>
  <c r="H21" i="8" s="1"/>
  <c r="G28" i="8"/>
  <c r="I21" i="8" l="1"/>
  <c r="J21" i="8"/>
  <c r="I51" i="7" s="1"/>
  <c r="G51" i="7"/>
  <c r="H31" i="8"/>
  <c r="G21" i="8"/>
  <c r="F21" i="8"/>
  <c r="J31" i="8" l="1"/>
  <c r="J54" i="7" s="1"/>
  <c r="I31" i="8"/>
  <c r="H51" i="7"/>
  <c r="G31" i="8"/>
  <c r="F51" i="7"/>
  <c r="G52" i="7"/>
  <c r="G66" i="7"/>
  <c r="F31" i="8"/>
  <c r="E51" i="7"/>
  <c r="I66" i="7" l="1"/>
  <c r="I52" i="7"/>
  <c r="F52" i="7"/>
  <c r="F66" i="7"/>
  <c r="J52" i="7"/>
  <c r="J51" i="7" s="1"/>
  <c r="J55" i="7"/>
  <c r="J53" i="7"/>
  <c r="H52" i="7"/>
  <c r="H66" i="7"/>
  <c r="E52" i="7"/>
  <c r="E66" i="7"/>
  <c r="J66" i="7" l="1"/>
  <c r="J67" i="7" s="1"/>
  <c r="Q68" i="7" s="1"/>
  <c r="Q71" i="7" s="1"/>
  <c r="Q74" i="7" s="1"/>
  <c r="Q76" i="7" s="1"/>
  <c r="B84" i="7" s="1"/>
  <c r="H6" i="7" l="1"/>
  <c r="H8" i="7" s="1"/>
  <c r="B9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<sst xmlns="http://schemas.openxmlformats.org/spreadsheetml/2006/main" count="298" uniqueCount="148">
  <si>
    <t>Income Statement</t>
  </si>
  <si>
    <t>Figures in mm EUR</t>
  </si>
  <si>
    <t>Sales/Revenue</t>
  </si>
  <si>
    <t>Growth rate %</t>
  </si>
  <si>
    <t>x</t>
  </si>
  <si>
    <t xml:space="preserve">Cost of Sales </t>
  </si>
  <si>
    <t>Gross Profit</t>
  </si>
  <si>
    <t>Gross Margin %</t>
  </si>
  <si>
    <t xml:space="preserve">Depreciation &amp; Amortaziation </t>
  </si>
  <si>
    <t>Depreciation</t>
  </si>
  <si>
    <t>Amortaziation</t>
  </si>
  <si>
    <t>Operatin Profit (EBIT)</t>
  </si>
  <si>
    <t>EBIT Margin %</t>
  </si>
  <si>
    <t>Taxes</t>
  </si>
  <si>
    <t>PBT</t>
  </si>
  <si>
    <t>Tax expenses</t>
  </si>
  <si>
    <t>H</t>
  </si>
  <si>
    <t>P</t>
  </si>
  <si>
    <t>Current Assets</t>
  </si>
  <si>
    <t>Debtors</t>
  </si>
  <si>
    <t>Inventory</t>
  </si>
  <si>
    <t xml:space="preserve">Other Current Assets </t>
  </si>
  <si>
    <t>Current Liabilities</t>
  </si>
  <si>
    <t>Creditors</t>
  </si>
  <si>
    <t xml:space="preserve">Other accurals </t>
  </si>
  <si>
    <t xml:space="preserve">Total Current Liabilties </t>
  </si>
  <si>
    <t>Total Net Working Capital</t>
  </si>
  <si>
    <t xml:space="preserve">Change in Net Working Capital </t>
  </si>
  <si>
    <t>Inventory Days</t>
  </si>
  <si>
    <t xml:space="preserve">Other Current Assets as % of revenue </t>
  </si>
  <si>
    <t>Creditor days</t>
  </si>
  <si>
    <t xml:space="preserve">Interest Expenses </t>
  </si>
  <si>
    <t>Interes rate (pre tax)</t>
  </si>
  <si>
    <t>Fixed Assets Schedule</t>
  </si>
  <si>
    <t>Add: Net puchases</t>
  </si>
  <si>
    <t>Total Fixed Assets</t>
  </si>
  <si>
    <t>Less Depreciation</t>
  </si>
  <si>
    <t xml:space="preserve">Rate of Depreciation </t>
  </si>
  <si>
    <t>Fixed Assets Turn Over Ratio</t>
  </si>
  <si>
    <t xml:space="preserve">Other Intangible Assets Schedule </t>
  </si>
  <si>
    <t xml:space="preserve">Rate of Amortization </t>
  </si>
  <si>
    <t>Cost of Debt</t>
  </si>
  <si>
    <t>Risk free Rate</t>
  </si>
  <si>
    <t>Implied Share Price</t>
  </si>
  <si>
    <t>Latest Share Price</t>
  </si>
  <si>
    <t>EBIT</t>
  </si>
  <si>
    <t xml:space="preserve">Revenue </t>
  </si>
  <si>
    <t xml:space="preserve">Taxes </t>
  </si>
  <si>
    <t>D&amp;A</t>
  </si>
  <si>
    <t>Change in NWC</t>
  </si>
  <si>
    <t>CapEx</t>
  </si>
  <si>
    <t>WACC</t>
  </si>
  <si>
    <t>TGR</t>
  </si>
  <si>
    <t>Switches</t>
  </si>
  <si>
    <t>DCF</t>
  </si>
  <si>
    <t>Optimistic</t>
  </si>
  <si>
    <t xml:space="preserve">Base </t>
  </si>
  <si>
    <t>growth %</t>
  </si>
  <si>
    <t xml:space="preserve">% of Revenue </t>
  </si>
  <si>
    <t>EBIAT</t>
  </si>
  <si>
    <t>Cap EX</t>
  </si>
  <si>
    <t>Consevarive</t>
  </si>
  <si>
    <t>Conservative</t>
  </si>
  <si>
    <t>Unlevered FCF</t>
  </si>
  <si>
    <t>Present Value of FCF</t>
  </si>
  <si>
    <t xml:space="preserve">Terminal Value </t>
  </si>
  <si>
    <t xml:space="preserve">Present Value </t>
  </si>
  <si>
    <t xml:space="preserve">Enterprise Value </t>
  </si>
  <si>
    <t xml:space="preserve">(-)Cash </t>
  </si>
  <si>
    <t>(+)Debt</t>
  </si>
  <si>
    <t xml:space="preserve">Equity Value </t>
  </si>
  <si>
    <t>Number of shares</t>
  </si>
  <si>
    <t>Implied Upside</t>
  </si>
  <si>
    <t>Intrest Expenses</t>
  </si>
  <si>
    <t>Taxe Rate</t>
  </si>
  <si>
    <t>Durchsnitt</t>
  </si>
  <si>
    <t>Less Amortization</t>
  </si>
  <si>
    <t>Total OIA Assets</t>
  </si>
  <si>
    <t>Other Operating Expenses</t>
  </si>
  <si>
    <t>Add/Less Debt taken/repaid</t>
  </si>
  <si>
    <t>Accured income tax payables (% of Income tax)</t>
  </si>
  <si>
    <t>Other accruals (% of operating expenses)</t>
  </si>
  <si>
    <t xml:space="preserve">Debtor Days </t>
  </si>
  <si>
    <t>Add: Company Risk Premium</t>
  </si>
  <si>
    <t xml:space="preserve">Add: Country Risk Premium </t>
  </si>
  <si>
    <t>Tax Rates</t>
  </si>
  <si>
    <t>Post Tax cost of Debt</t>
  </si>
  <si>
    <t>Cost of Equity</t>
  </si>
  <si>
    <t>Beta</t>
  </si>
  <si>
    <t>Return on markets</t>
  </si>
  <si>
    <t>Start Date</t>
  </si>
  <si>
    <t>Valuation Date</t>
  </si>
  <si>
    <t>Years</t>
  </si>
  <si>
    <t>CAGR</t>
  </si>
  <si>
    <t>Calculation of Return of the market</t>
  </si>
  <si>
    <t xml:space="preserve">Calculation of market value weights </t>
  </si>
  <si>
    <t xml:space="preserve">Shares outstanding </t>
  </si>
  <si>
    <t>Price per Share</t>
  </si>
  <si>
    <t>Value of equity Shares</t>
  </si>
  <si>
    <t>WACC Calculation</t>
  </si>
  <si>
    <t>Cd</t>
  </si>
  <si>
    <t>Ce</t>
  </si>
  <si>
    <t>Wd</t>
  </si>
  <si>
    <t>We</t>
  </si>
  <si>
    <t>Ashwath Damodran Dataset</t>
  </si>
  <si>
    <t>Marginal Rate</t>
  </si>
  <si>
    <t>Date</t>
  </si>
  <si>
    <t>Calculation of Beta</t>
  </si>
  <si>
    <t>Value of Debt</t>
  </si>
  <si>
    <t>Kering SA</t>
  </si>
  <si>
    <t xml:space="preserve">Share </t>
  </si>
  <si>
    <t xml:space="preserve">Assumption </t>
  </si>
  <si>
    <t xml:space="preserve">Valuation Assumptions </t>
  </si>
  <si>
    <t xml:space="preserve">Growth </t>
  </si>
  <si>
    <t>Gucci</t>
  </si>
  <si>
    <t xml:space="preserve">Yves Saint Laurent </t>
  </si>
  <si>
    <t>Bottega Veneta</t>
  </si>
  <si>
    <t>Other Houeses</t>
  </si>
  <si>
    <t>Kering Eyewear and Corporate</t>
  </si>
  <si>
    <t xml:space="preserve">Elminations </t>
  </si>
  <si>
    <t xml:space="preserve">Tax Rate % </t>
  </si>
  <si>
    <t>Sum of present Value of FFC</t>
  </si>
  <si>
    <t>Closing Balance PPE</t>
  </si>
  <si>
    <t>Opening Balance PPE</t>
  </si>
  <si>
    <t>Opening Balance OIA</t>
  </si>
  <si>
    <t>Closing Balance OIA</t>
  </si>
  <si>
    <t>Intangible Assets Turn Over Ratio</t>
  </si>
  <si>
    <t xml:space="preserve">Oppening balance total debt  </t>
  </si>
  <si>
    <t xml:space="preserve">Closing Balance total debt </t>
  </si>
  <si>
    <t xml:space="preserve">Total Operating Current Assets </t>
  </si>
  <si>
    <t xml:space="preserve">Accured income tax payables </t>
  </si>
  <si>
    <t xml:space="preserve">Change in WC as % of Revenue </t>
  </si>
  <si>
    <t xml:space="preserve">%of Revenue </t>
  </si>
  <si>
    <t xml:space="preserve">Kering Aktie </t>
  </si>
  <si>
    <t xml:space="preserve">Last 5 Years </t>
  </si>
  <si>
    <t xml:space="preserve">Adj. Close </t>
  </si>
  <si>
    <t>Adj Close**</t>
  </si>
  <si>
    <t>S&amp;P 500</t>
  </si>
  <si>
    <t xml:space="preserve">Sensitivity Table </t>
  </si>
  <si>
    <t xml:space="preserve">Optimistic </t>
  </si>
  <si>
    <t xml:space="preserve">Conservative </t>
  </si>
  <si>
    <t xml:space="preserve">Share Price </t>
  </si>
  <si>
    <t xml:space="preserve">Period </t>
  </si>
  <si>
    <t xml:space="preserve">Discount Rate </t>
  </si>
  <si>
    <t>Upside/Downside</t>
  </si>
  <si>
    <t>Case</t>
  </si>
  <si>
    <t>Vgl LVMH</t>
  </si>
  <si>
    <t>38 Milliaden Umsatz im Segment Mode und Lederwaren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</si>
</sst>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
    <numFmt numFmtId="165" formatCode="#,##0.0;[Red]#,##0.0"/>
    <numFmt numFmtId="166" formatCode="0.0"/>
    <numFmt numFmtId="167" formatCode="#,##0.0_ ;[Red]\-#,##0.0\ "/>
    <numFmt numFmtId="168" formatCode="#,##0.000;[Red]#,##0.000"/>
    <numFmt numFmtId="169" formatCode="0.000"/>
  </numFmts>
  <fonts count="12"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4"/>
      <color theme="1"/>
      <name val="Calibri"/>
      <family val="2"/>
      <scheme val="minor"/>
    </font>
    <font>
      <sz val="12"/>
      <color rgb="FF7030A0"/>
      <name val="Calibri"/>
      <family val="2"/>
      <scheme val="minor"/>
    </font>
    <font>
      <sz val="12"/>
      <color theme="1" tint="4.9989318521683403E-2"/>
      <name val="Calibri"/>
      <family val="2"/>
      <scheme val="minor"/>
    </font>
    <font>
      <sz val="12"/>
      <color theme="1"/>
      <name val="Calibri"/>
      <family val="2"/>
      <scheme val="minor"/>
    </font>
    <font>
      <i/>
      <sz val="12"/>
      <color theme="1"/>
      <name val="Calibri"/>
      <family val="2"/>
      <scheme val="minor"/>
    </font>
    <font>
      <sz val="11"/>
      <color theme="1"/>
      <name val="Arial"/>
      <family val="2"/>
    </font>
    <font>
      <sz val="12"/>
      <color theme="0" tint="-0.499984740745262"/>
      <name val="Calibri"/>
      <family val="2"/>
      <scheme val="minor"/>
    </font>
    <font>
      <b/>
      <sz val="12"/>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34998626667073579"/>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01">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3" borderId="0" xfId="0" applyFill="1" applyAlignment="1">
      <alignment horizontal="center"/>
    </xf>
    <xf numFmtId="0" fontId="3" fillId="0" borderId="0" xfId="0" applyFont="1"/>
    <xf numFmtId="0" fontId="1" fillId="0" borderId="1" xfId="0" applyFont="1" applyBorder="1"/>
    <xf numFmtId="0" fontId="0" fillId="0" borderId="1" xfId="0" applyBorder="1"/>
    <xf numFmtId="0" fontId="3" fillId="0" borderId="1" xfId="0" applyFont="1" applyBorder="1"/>
    <xf numFmtId="0" fontId="2" fillId="2" borderId="0" xfId="0" applyFont="1" applyFill="1" applyAlignment="1">
      <alignment horizontal="left"/>
    </xf>
    <xf numFmtId="0" fontId="0" fillId="0" borderId="2" xfId="0" applyBorder="1"/>
    <xf numFmtId="0" fontId="4" fillId="0" borderId="2" xfId="0" applyFont="1" applyBorder="1"/>
    <xf numFmtId="0" fontId="1" fillId="0" borderId="2" xfId="0" applyFont="1" applyBorder="1" applyAlignment="1">
      <alignment horizontal="center"/>
    </xf>
    <xf numFmtId="0" fontId="0" fillId="4" borderId="3" xfId="0" applyFill="1" applyBorder="1"/>
    <xf numFmtId="0" fontId="1" fillId="0" borderId="2" xfId="0" applyFont="1" applyBorder="1"/>
    <xf numFmtId="0" fontId="0" fillId="0" borderId="4" xfId="0" applyBorder="1"/>
    <xf numFmtId="0" fontId="0" fillId="3" borderId="0" xfId="0" applyFill="1"/>
    <xf numFmtId="0" fontId="5" fillId="0" borderId="0" xfId="0" applyFont="1"/>
    <xf numFmtId="0" fontId="1" fillId="0" borderId="0" xfId="0" applyFont="1" applyAlignment="1">
      <alignment horizontal="left" indent="1"/>
    </xf>
    <xf numFmtId="0" fontId="0" fillId="0" borderId="0" xfId="0" quotePrefix="1"/>
    <xf numFmtId="0" fontId="6" fillId="0" borderId="0" xfId="0" applyFont="1"/>
    <xf numFmtId="0" fontId="6" fillId="0" borderId="0" xfId="0" quotePrefix="1" applyFont="1"/>
    <xf numFmtId="9" fontId="0" fillId="0" borderId="0" xfId="0" applyNumberFormat="1"/>
    <xf numFmtId="164" fontId="0" fillId="0" borderId="0" xfId="1" applyNumberFormat="1" applyFont="1"/>
    <xf numFmtId="164" fontId="5" fillId="0" borderId="0" xfId="1" applyNumberFormat="1" applyFont="1"/>
    <xf numFmtId="0" fontId="1" fillId="0" borderId="0" xfId="0" applyFont="1" applyAlignment="1">
      <alignment horizontal="left"/>
    </xf>
    <xf numFmtId="14" fontId="1" fillId="0" borderId="0" xfId="0" applyNumberFormat="1" applyFont="1" applyAlignment="1">
      <alignment horizontal="left"/>
    </xf>
    <xf numFmtId="164" fontId="0" fillId="4" borderId="3" xfId="0" applyNumberFormat="1" applyFill="1" applyBorder="1"/>
    <xf numFmtId="0" fontId="2" fillId="0" borderId="0" xfId="0" applyFont="1"/>
    <xf numFmtId="0" fontId="1" fillId="0" borderId="0" xfId="0" applyFont="1" applyAlignment="1">
      <alignment horizontal="left" vertical="top"/>
    </xf>
    <xf numFmtId="0" fontId="8" fillId="0" borderId="0" xfId="0" applyFont="1" applyAlignment="1">
      <alignment horizontal="left" indent="1"/>
    </xf>
    <xf numFmtId="0" fontId="8" fillId="0" borderId="2" xfId="0" applyFont="1" applyBorder="1" applyAlignment="1">
      <alignment horizontal="left" indent="1"/>
    </xf>
    <xf numFmtId="164" fontId="0" fillId="0" borderId="2" xfId="1" applyNumberFormat="1" applyFont="1" applyBorder="1"/>
    <xf numFmtId="164" fontId="5" fillId="0" borderId="2" xfId="1" applyNumberFormat="1" applyFont="1" applyBorder="1"/>
    <xf numFmtId="0" fontId="8" fillId="0" borderId="1" xfId="0" applyFont="1" applyBorder="1" applyAlignment="1">
      <alignment horizontal="left" indent="1"/>
    </xf>
    <xf numFmtId="165" fontId="0" fillId="0" borderId="0" xfId="0" applyNumberFormat="1"/>
    <xf numFmtId="165" fontId="5" fillId="0" borderId="0" xfId="0" applyNumberFormat="1" applyFont="1"/>
    <xf numFmtId="9" fontId="5" fillId="0" borderId="0" xfId="0" applyNumberFormat="1" applyFont="1"/>
    <xf numFmtId="164" fontId="0" fillId="0" borderId="0" xfId="1" applyNumberFormat="1" applyFont="1" applyBorder="1"/>
    <xf numFmtId="164" fontId="5" fillId="0" borderId="0" xfId="1" applyNumberFormat="1" applyFont="1" applyBorder="1"/>
    <xf numFmtId="164" fontId="0" fillId="0" borderId="0" xfId="0" applyNumberFormat="1"/>
    <xf numFmtId="9" fontId="0" fillId="0" borderId="0" xfId="1" applyFont="1"/>
    <xf numFmtId="164" fontId="0" fillId="4" borderId="3" xfId="1" applyNumberFormat="1" applyFont="1" applyFill="1" applyBorder="1"/>
    <xf numFmtId="164" fontId="5" fillId="0" borderId="0" xfId="0" applyNumberFormat="1" applyFont="1"/>
    <xf numFmtId="165" fontId="0" fillId="0" borderId="2" xfId="0" applyNumberFormat="1" applyBorder="1"/>
    <xf numFmtId="9" fontId="0" fillId="0" borderId="2" xfId="1" applyFont="1" applyBorder="1"/>
    <xf numFmtId="9" fontId="5" fillId="0" borderId="2" xfId="0" applyNumberFormat="1" applyFont="1" applyBorder="1"/>
    <xf numFmtId="9" fontId="0" fillId="4" borderId="3" xfId="1" applyFont="1" applyFill="1" applyBorder="1"/>
    <xf numFmtId="9" fontId="0" fillId="4" borderId="3" xfId="0" applyNumberFormat="1" applyFill="1" applyBorder="1"/>
    <xf numFmtId="165" fontId="0" fillId="0" borderId="4" xfId="0" applyNumberFormat="1" applyBorder="1"/>
    <xf numFmtId="0" fontId="0" fillId="0" borderId="0" xfId="0" applyAlignment="1">
      <alignment horizontal="right"/>
    </xf>
    <xf numFmtId="0" fontId="0" fillId="0" borderId="2" xfId="0" applyBorder="1" applyAlignment="1">
      <alignment horizontal="right"/>
    </xf>
    <xf numFmtId="165" fontId="0" fillId="0" borderId="0" xfId="0" applyNumberFormat="1" applyAlignment="1">
      <alignment horizontal="right"/>
    </xf>
    <xf numFmtId="165" fontId="5" fillId="0" borderId="1" xfId="0" applyNumberFormat="1" applyFont="1" applyBorder="1"/>
    <xf numFmtId="9" fontId="5" fillId="0" borderId="0" xfId="1" applyFont="1"/>
    <xf numFmtId="165" fontId="5" fillId="0" borderId="2" xfId="0" applyNumberFormat="1" applyFont="1" applyBorder="1"/>
    <xf numFmtId="2" fontId="0" fillId="0" borderId="0" xfId="0" applyNumberFormat="1"/>
    <xf numFmtId="166" fontId="0" fillId="0" borderId="0" xfId="0" applyNumberFormat="1"/>
    <xf numFmtId="165" fontId="0" fillId="0" borderId="1" xfId="0" applyNumberFormat="1" applyBorder="1"/>
    <xf numFmtId="166" fontId="5" fillId="0" borderId="0" xfId="0" applyNumberFormat="1" applyFont="1"/>
    <xf numFmtId="9" fontId="1" fillId="0" borderId="0" xfId="1" applyFont="1"/>
    <xf numFmtId="9" fontId="0" fillId="0" borderId="2" xfId="0" applyNumberFormat="1" applyBorder="1"/>
    <xf numFmtId="10" fontId="0" fillId="0" borderId="0" xfId="0" applyNumberFormat="1"/>
    <xf numFmtId="10" fontId="0" fillId="0" borderId="0" xfId="0" applyNumberFormat="1" applyAlignment="1">
      <alignment horizontal="right"/>
    </xf>
    <xf numFmtId="10" fontId="0" fillId="0" borderId="0" xfId="1" applyNumberFormat="1" applyFont="1"/>
    <xf numFmtId="2" fontId="0" fillId="4" borderId="3" xfId="0" applyNumberFormat="1" applyFill="1" applyBorder="1"/>
    <xf numFmtId="14" fontId="0" fillId="0" borderId="0" xfId="0" applyNumberFormat="1"/>
    <xf numFmtId="2" fontId="0" fillId="0" borderId="0" xfId="1" applyNumberFormat="1" applyFont="1" applyAlignment="1">
      <alignment horizontal="right"/>
    </xf>
    <xf numFmtId="167" fontId="0" fillId="0" borderId="0" xfId="2" applyNumberFormat="1" applyFont="1"/>
    <xf numFmtId="168" fontId="0" fillId="0" borderId="0" xfId="0" applyNumberFormat="1"/>
    <xf numFmtId="164" fontId="0" fillId="0" borderId="0" xfId="0" applyNumberFormat="1" applyAlignment="1">
      <alignment horizontal="right"/>
    </xf>
    <xf numFmtId="164" fontId="1" fillId="0" borderId="0" xfId="1" applyNumberFormat="1" applyFont="1" applyAlignment="1">
      <alignment horizontal="right"/>
    </xf>
    <xf numFmtId="167" fontId="0" fillId="0" borderId="2" xfId="2" applyNumberFormat="1" applyFont="1" applyBorder="1"/>
    <xf numFmtId="165" fontId="0" fillId="0" borderId="2" xfId="0" applyNumberFormat="1" applyBorder="1" applyAlignment="1">
      <alignment horizontal="right"/>
    </xf>
    <xf numFmtId="166" fontId="0" fillId="4" borderId="3" xfId="0" applyNumberFormat="1" applyFill="1" applyBorder="1"/>
    <xf numFmtId="4" fontId="0" fillId="0" borderId="0" xfId="0" applyNumberFormat="1"/>
    <xf numFmtId="3" fontId="0" fillId="0" borderId="0" xfId="0" applyNumberFormat="1"/>
    <xf numFmtId="0" fontId="9" fillId="0" borderId="0" xfId="0" applyFont="1" applyAlignment="1">
      <alignment horizontal="center" vertical="center"/>
    </xf>
    <xf numFmtId="165" fontId="0" fillId="6" borderId="0" xfId="0" applyNumberFormat="1" applyFill="1"/>
    <xf numFmtId="165" fontId="0" fillId="7" borderId="0" xfId="0" applyNumberFormat="1" applyFill="1"/>
    <xf numFmtId="2" fontId="0" fillId="0" borderId="0" xfId="3" applyNumberFormat="1" applyFont="1" applyAlignment="1">
      <alignment horizontal="right"/>
    </xf>
    <xf numFmtId="0" fontId="0" fillId="0" borderId="0" xfId="0" applyAlignment="1">
      <alignment horizontal="left"/>
    </xf>
    <xf numFmtId="14" fontId="2" fillId="0" borderId="0" xfId="0" applyNumberFormat="1" applyFont="1"/>
    <xf numFmtId="169" fontId="0" fillId="0" borderId="2" xfId="0" applyNumberFormat="1" applyBorder="1"/>
    <xf numFmtId="9" fontId="0" fillId="7" borderId="0" xfId="1" applyFont="1" applyFill="1"/>
    <xf numFmtId="9" fontId="0" fillId="6" borderId="0" xfId="1" applyFont="1" applyFill="1"/>
    <xf numFmtId="164" fontId="2" fillId="5" borderId="5" xfId="0" applyNumberFormat="1" applyFont="1" applyFill="1" applyBorder="1"/>
    <xf numFmtId="164" fontId="2" fillId="5" borderId="6" xfId="0" applyNumberFormat="1" applyFont="1" applyFill="1" applyBorder="1"/>
    <xf numFmtId="164" fontId="2" fillId="5" borderId="4" xfId="0" applyNumberFormat="1" applyFont="1" applyFill="1" applyBorder="1"/>
    <xf numFmtId="164" fontId="2" fillId="5" borderId="8" xfId="0" applyNumberFormat="1" applyFont="1" applyFill="1" applyBorder="1"/>
    <xf numFmtId="2" fontId="10" fillId="5" borderId="9" xfId="0" applyNumberFormat="1" applyFont="1" applyFill="1" applyBorder="1"/>
    <xf numFmtId="0" fontId="11" fillId="8" borderId="2" xfId="0" applyFont="1" applyFill="1" applyBorder="1"/>
    <xf numFmtId="165" fontId="11" fillId="8" borderId="4" xfId="0" applyNumberFormat="1" applyFont="1" applyFill="1" applyBorder="1"/>
    <xf numFmtId="0" fontId="11" fillId="8" borderId="7" xfId="0" applyFont="1" applyFill="1" applyBorder="1"/>
    <xf numFmtId="0" fontId="0" fillId="0" borderId="10" xfId="0" applyBorder="1"/>
    <xf numFmtId="14" fontId="1" fillId="0" borderId="0" xfId="0" applyNumberFormat="1" applyFont="1" applyAlignment="1">
      <alignment horizontal="left"/>
    </xf>
    <xf numFmtId="0" fontId="0" fillId="0" borderId="0" xfId="0" applyAlignment="1">
      <alignment horizontal="center"/>
    </xf>
    <xf numFmtId="0" fontId="2" fillId="2" borderId="0" xfId="0" applyFont="1" applyFill="1" applyAlignment="1">
      <alignment horizontal="center"/>
    </xf>
  </cellXfs>
  <cellStyles count="4">
    <cellStyle name="Komma" xfId="2" builtinId="3"/>
    <cellStyle name="Prozent" xfId="1" builtinId="5"/>
    <cellStyle name="Standard" xfId="0" builtinId="0"/>
    <cellStyle name="Währung"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DCF%20und%20Bewertung.xlsx" TargetMode="External"/><Relationship Id="rId1" Type="http://schemas.openxmlformats.org/officeDocument/2006/relationships/externalLinkPath" Target="DCF%20und%20Bewertu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excl/Kering.xlsx" TargetMode="External"/><Relationship Id="rId1" Type="http://schemas.openxmlformats.org/officeDocument/2006/relationships/externalLinkPath" Target="Ke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elle1"/>
      <sheetName val="DCF"/>
      <sheetName val="Income Statement"/>
      <sheetName val="Discount rates"/>
    </sheetNames>
    <sheetDataSet>
      <sheetData sheetId="0" refreshError="1"/>
      <sheetData sheetId="1" refreshError="1"/>
      <sheetData sheetId="2" refreshError="1">
        <row r="2">
          <cell r="A2" t="str">
            <v>Figures in mm EUR</v>
          </cell>
        </row>
        <row r="3">
          <cell r="A3" t="str">
            <v>Date: 14/10/2023</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Brands Products "/>
      <sheetName val="Aktienkurs "/>
      <sheetName val="Input"/>
      <sheetName val="Financials-&gt;"/>
      <sheetName val="Income Statement "/>
      <sheetName val="Balance Sheet"/>
      <sheetName val="Cashflow Statement "/>
      <sheetName val="Ratios "/>
      <sheetName val="Relative Valuation"/>
    </sheetNames>
    <sheetDataSet>
      <sheetData sheetId="0"/>
      <sheetData sheetId="1"/>
      <sheetData sheetId="2"/>
      <sheetData sheetId="3"/>
      <sheetData sheetId="4"/>
      <sheetData sheetId="5"/>
      <sheetData sheetId="6">
        <row r="13">
          <cell r="G13">
            <v>2267.6</v>
          </cell>
          <cell r="H13">
            <v>2228.5</v>
          </cell>
          <cell r="I13">
            <v>2619.3000000000002</v>
          </cell>
          <cell r="J13">
            <v>2670.2</v>
          </cell>
        </row>
        <row r="19">
          <cell r="G19">
            <v>2699.1</v>
          </cell>
          <cell r="H19">
            <v>2414.6999999999998</v>
          </cell>
          <cell r="I19">
            <v>2959.2</v>
          </cell>
          <cell r="J19">
            <v>2845.5</v>
          </cell>
          <cell r="K19">
            <v>3369</v>
          </cell>
        </row>
        <row r="20">
          <cell r="G20">
            <v>1366.5</v>
          </cell>
          <cell r="H20">
            <v>849.5</v>
          </cell>
          <cell r="I20">
            <v>996</v>
          </cell>
          <cell r="J20">
            <v>824.2</v>
          </cell>
          <cell r="K20">
            <v>977</v>
          </cell>
        </row>
        <row r="23">
          <cell r="G23">
            <v>880.3</v>
          </cell>
          <cell r="H23">
            <v>899.5</v>
          </cell>
          <cell r="I23">
            <v>979.4</v>
          </cell>
          <cell r="J23">
            <v>1149.0999999999999</v>
          </cell>
          <cell r="K23">
            <v>975</v>
          </cell>
        </row>
        <row r="31">
          <cell r="G31">
            <v>4245.5</v>
          </cell>
          <cell r="H31">
            <v>3171.6</v>
          </cell>
          <cell r="I31">
            <v>3122.2</v>
          </cell>
          <cell r="K31">
            <v>2976</v>
          </cell>
          <cell r="L31">
            <v>4347</v>
          </cell>
        </row>
        <row r="39">
          <cell r="G39">
            <v>939.7</v>
          </cell>
          <cell r="H39">
            <v>756.4</v>
          </cell>
          <cell r="I39">
            <v>1975.9</v>
          </cell>
          <cell r="K39">
            <v>2442</v>
          </cell>
          <cell r="L39">
            <v>2295</v>
          </cell>
        </row>
        <row r="44">
          <cell r="G44">
            <v>182.4</v>
          </cell>
          <cell r="H44">
            <v>255.7</v>
          </cell>
          <cell r="I44">
            <v>216</v>
          </cell>
          <cell r="J44">
            <v>212.4</v>
          </cell>
          <cell r="K44">
            <v>138</v>
          </cell>
        </row>
        <row r="45">
          <cell r="G45">
            <v>815.4</v>
          </cell>
          <cell r="H45">
            <v>1303.3</v>
          </cell>
          <cell r="I45">
            <v>1361.5</v>
          </cell>
          <cell r="J45">
            <v>901.3</v>
          </cell>
          <cell r="K45">
            <v>1148</v>
          </cell>
        </row>
        <row r="46">
          <cell r="G46">
            <v>2206.1</v>
          </cell>
          <cell r="H46">
            <v>2787.5</v>
          </cell>
          <cell r="I46">
            <v>2553.3000000000002</v>
          </cell>
          <cell r="J46">
            <v>2290.4</v>
          </cell>
          <cell r="K46">
            <v>1875</v>
          </cell>
        </row>
      </sheetData>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603.6</v>
    <v>371.35</v>
    <v>-2.2999999999999998</v>
    <v>-5.9899999999999997E-3</v>
    <v>123420800</v>
    <v>Kering SA ist eine in Frankreich ansässige Luxusgruppe. Die Gruppe verwaltet die Entwicklung einer Reihe renommierter Mode-, Lederwaren- und Schmuckhäuser: Gucci, Saint Laurent, Bottega Veneta, Balenciaga, Alexander McQueen, Brioni, Boucheron, Pomellato, DoDo, Qeelin sowie Kering Eyewear. Es produziert und verkauft, hauptsächlich über geführte Einzelhandelsgeschäfte, eine Reihe von Produkten, darunter Lederwaren, Bekleidung, Accessoires, Schuhe, Schmuck und andere für Männer, Frauen und Kinder. Der Konzern ist weltweit tätig.</v>
    <v>1.113</v>
    <v>47393580000</v>
    <v>Euronext Paris</v>
    <v>XPAR</v>
    <v>XPAR</v>
    <v>40 rue de Sevres, PARIS, ILE-DE-FRANCE, 75007 FR</v>
    <v>386.4</v>
    <v>Specialty Retailers</v>
    <v>Aktie</v>
    <v>13.7925</v>
    <v>0</v>
    <v>45301.708333333336</v>
    <v>21127</v>
    <v>Kering SA</v>
    <v>379.6</v>
    <v>Kering SA</v>
    <v>382.95</v>
    <v>381.7</v>
    <v>384</v>
    <v>KER</v>
    <v>Kering SA (XPAR:KER)</v>
    <v>1955</v>
    <v>135198</v>
    <v>156690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13A74-6F8A-3844-B3B9-5088287A58BE}">
  <sheetPr>
    <pageSetUpPr fitToPage="1"/>
  </sheetPr>
  <dimension ref="A2:U101"/>
  <sheetViews>
    <sheetView showGridLines="0" zoomScale="60" zoomScaleNormal="60" workbookViewId="0">
      <selection activeCell="A2" sqref="A2"/>
    </sheetView>
  </sheetViews>
  <sheetFormatPr baseColWidth="10" defaultRowHeight="15.5" x14ac:dyDescent="0.35"/>
  <cols>
    <col min="1" max="1" width="5.58203125" style="3" customWidth="1"/>
    <col min="8" max="8" width="11.25" bestFit="1" customWidth="1"/>
    <col min="17" max="17" width="11.25" bestFit="1" customWidth="1"/>
  </cols>
  <sheetData>
    <row r="2" spans="1:21" ht="18.5" x14ac:dyDescent="0.45">
      <c r="A2" s="15"/>
      <c r="B2" s="14" t="s">
        <v>109</v>
      </c>
      <c r="C2" s="13"/>
      <c r="D2" s="13"/>
      <c r="E2" s="13"/>
      <c r="F2" s="13"/>
      <c r="G2" s="13"/>
      <c r="H2" s="13"/>
      <c r="I2" s="13"/>
      <c r="J2" s="13"/>
      <c r="K2" s="13"/>
      <c r="L2" s="13"/>
      <c r="M2" s="13"/>
      <c r="N2" s="13"/>
      <c r="O2" s="13"/>
      <c r="P2" s="13"/>
      <c r="Q2" s="13"/>
      <c r="R2" s="13"/>
    </row>
    <row r="5" spans="1:21" x14ac:dyDescent="0.35">
      <c r="B5" s="6" t="s">
        <v>110</v>
      </c>
      <c r="C5" s="6"/>
      <c r="D5" s="6"/>
      <c r="E5" s="6"/>
      <c r="F5" s="6"/>
      <c r="G5" s="6"/>
      <c r="H5" s="6"/>
      <c r="J5" s="6" t="s">
        <v>111</v>
      </c>
      <c r="K5" s="6"/>
      <c r="L5" s="6"/>
      <c r="M5" s="6"/>
      <c r="N5" s="6"/>
      <c r="O5" s="6"/>
      <c r="P5" s="6"/>
    </row>
    <row r="6" spans="1:21" x14ac:dyDescent="0.35">
      <c r="A6" s="3" t="s">
        <v>4</v>
      </c>
      <c r="B6" s="29">
        <f>DATE(2023,12,6)</f>
        <v>45266</v>
      </c>
      <c r="F6" t="s">
        <v>43</v>
      </c>
      <c r="H6" s="77">
        <f ca="1">Q76</f>
        <v>721.52822599749175</v>
      </c>
      <c r="J6" s="1" t="s">
        <v>51</v>
      </c>
      <c r="N6" s="1" t="s">
        <v>52</v>
      </c>
    </row>
    <row r="7" spans="1:21" x14ac:dyDescent="0.35">
      <c r="B7" s="28" t="e" vm="1">
        <v>#VALUE!</v>
      </c>
      <c r="F7" t="s">
        <v>44</v>
      </c>
      <c r="H7" s="68" cm="1">
        <f t="array" ref="H7">_FV(B7,"Schlusskurs des Vortags",TRUE)</f>
        <v>384</v>
      </c>
      <c r="J7" s="2" t="s">
        <v>62</v>
      </c>
      <c r="L7" s="30">
        <f>L8+1%</f>
        <v>7.0930248303347598E-2</v>
      </c>
      <c r="N7" s="2" t="s">
        <v>62</v>
      </c>
      <c r="P7" s="30">
        <f>P8-0.5%</f>
        <v>1.4999999999999999E-2</v>
      </c>
    </row>
    <row r="8" spans="1:21" x14ac:dyDescent="0.35">
      <c r="B8" s="85">
        <f>DATE(2023,12,31)</f>
        <v>45291</v>
      </c>
      <c r="F8" t="s">
        <v>72</v>
      </c>
      <c r="H8" s="30">
        <f ca="1">H6/H7-1</f>
        <v>0.87897975520180149</v>
      </c>
      <c r="J8" s="2" t="s">
        <v>56</v>
      </c>
      <c r="L8" s="30">
        <f>'Discount rates'!P10</f>
        <v>6.0930248303347603E-2</v>
      </c>
      <c r="N8" s="2" t="s">
        <v>56</v>
      </c>
      <c r="P8" s="51">
        <v>0.02</v>
      </c>
    </row>
    <row r="9" spans="1:21" x14ac:dyDescent="0.35">
      <c r="J9" s="2" t="s">
        <v>55</v>
      </c>
      <c r="L9" s="30">
        <f>L8-1%</f>
        <v>5.0930248303347601E-2</v>
      </c>
      <c r="N9" s="2" t="s">
        <v>55</v>
      </c>
      <c r="P9" s="30">
        <f>P8+0.5%</f>
        <v>2.5000000000000001E-2</v>
      </c>
    </row>
    <row r="11" spans="1:21" x14ac:dyDescent="0.35">
      <c r="A11" s="3" t="s">
        <v>4</v>
      </c>
      <c r="B11" s="6" t="s">
        <v>53</v>
      </c>
      <c r="C11" s="6"/>
      <c r="D11" s="6"/>
      <c r="E11" s="6"/>
      <c r="F11" s="6"/>
      <c r="G11" s="6"/>
      <c r="H11" s="6"/>
      <c r="I11" s="31"/>
      <c r="J11" s="6" t="s">
        <v>112</v>
      </c>
      <c r="K11" s="6"/>
      <c r="L11" s="6"/>
      <c r="M11" s="6"/>
      <c r="N11" s="6"/>
      <c r="O11" s="6"/>
      <c r="P11" s="6"/>
    </row>
    <row r="12" spans="1:21" x14ac:dyDescent="0.35">
      <c r="B12" t="s">
        <v>46</v>
      </c>
      <c r="D12" s="16">
        <v>2</v>
      </c>
      <c r="F12" t="s">
        <v>51</v>
      </c>
      <c r="H12" s="16">
        <v>2</v>
      </c>
      <c r="J12" s="32" t="s">
        <v>112</v>
      </c>
      <c r="N12" s="28" t="s">
        <v>145</v>
      </c>
    </row>
    <row r="13" spans="1:21" x14ac:dyDescent="0.35">
      <c r="B13" t="s">
        <v>45</v>
      </c>
      <c r="D13" s="16">
        <v>2</v>
      </c>
      <c r="F13" t="s">
        <v>52</v>
      </c>
      <c r="H13" s="16">
        <v>1</v>
      </c>
      <c r="J13" t="s">
        <v>51</v>
      </c>
      <c r="L13" s="45" cm="1">
        <f t="array" aca="1" ref="L13" ca="1">OFFSET(L6,H12,,)</f>
        <v>6.0930248303347603E-2</v>
      </c>
      <c r="N13" s="84" t="s">
        <v>140</v>
      </c>
      <c r="P13" s="68">
        <v>410.45</v>
      </c>
    </row>
    <row r="14" spans="1:21" x14ac:dyDescent="0.35">
      <c r="B14" t="s">
        <v>47</v>
      </c>
      <c r="D14" s="16">
        <v>2</v>
      </c>
      <c r="J14" t="s">
        <v>113</v>
      </c>
      <c r="L14" s="50">
        <f ca="1">OFFSET(P6,H13,)</f>
        <v>1.4999999999999999E-2</v>
      </c>
      <c r="N14" t="s">
        <v>56</v>
      </c>
      <c r="P14" s="68">
        <v>785.21140075005269</v>
      </c>
    </row>
    <row r="15" spans="1:21" x14ac:dyDescent="0.35">
      <c r="B15" t="s">
        <v>48</v>
      </c>
      <c r="D15" s="16">
        <v>2</v>
      </c>
      <c r="N15" t="s">
        <v>139</v>
      </c>
      <c r="P15" s="68">
        <v>2065.1</v>
      </c>
    </row>
    <row r="16" spans="1:21" x14ac:dyDescent="0.35">
      <c r="B16" t="s">
        <v>49</v>
      </c>
      <c r="D16" s="16">
        <v>2</v>
      </c>
      <c r="O16" s="2"/>
      <c r="S16" s="2"/>
      <c r="U16" s="2"/>
    </row>
    <row r="17" spans="1:21" x14ac:dyDescent="0.35">
      <c r="B17" t="s">
        <v>50</v>
      </c>
      <c r="D17" s="16">
        <v>2</v>
      </c>
      <c r="O17" s="2"/>
      <c r="S17" s="2"/>
      <c r="U17" s="2"/>
    </row>
    <row r="18" spans="1:21" x14ac:dyDescent="0.35">
      <c r="O18" s="2"/>
      <c r="S18" s="2"/>
      <c r="U18" s="2"/>
    </row>
    <row r="19" spans="1:21" x14ac:dyDescent="0.35">
      <c r="O19" s="2"/>
      <c r="S19" s="2"/>
      <c r="U19" s="2"/>
    </row>
    <row r="20" spans="1:21" x14ac:dyDescent="0.35">
      <c r="O20" s="2"/>
      <c r="S20" s="2"/>
      <c r="U20" s="2"/>
    </row>
    <row r="23" spans="1:21" x14ac:dyDescent="0.35">
      <c r="J23" s="19">
        <v>1</v>
      </c>
      <c r="K23" s="19">
        <v>2</v>
      </c>
      <c r="L23" s="19">
        <v>3</v>
      </c>
      <c r="M23" s="19">
        <v>4</v>
      </c>
      <c r="N23" s="19">
        <v>5</v>
      </c>
      <c r="O23" s="19">
        <v>6</v>
      </c>
      <c r="P23" s="19">
        <v>7</v>
      </c>
      <c r="Q23" s="19">
        <v>8</v>
      </c>
    </row>
    <row r="24" spans="1:21" x14ac:dyDescent="0.35">
      <c r="A24" s="3" t="s">
        <v>4</v>
      </c>
      <c r="B24" s="6" t="s">
        <v>54</v>
      </c>
      <c r="C24" s="6"/>
      <c r="D24" s="6">
        <v>2017</v>
      </c>
      <c r="E24" s="6">
        <v>2018</v>
      </c>
      <c r="F24" s="6">
        <v>2019</v>
      </c>
      <c r="G24" s="6">
        <v>2020</v>
      </c>
      <c r="H24" s="6">
        <v>2021</v>
      </c>
      <c r="I24" s="6">
        <v>2022</v>
      </c>
      <c r="J24" s="6">
        <v>2023</v>
      </c>
      <c r="K24" s="6">
        <f>J24+1</f>
        <v>2024</v>
      </c>
      <c r="L24" s="6">
        <f>K24+1</f>
        <v>2025</v>
      </c>
      <c r="M24" s="6">
        <f>L24+1</f>
        <v>2026</v>
      </c>
      <c r="N24" s="6">
        <f>M24+1</f>
        <v>2027</v>
      </c>
      <c r="O24" s="6">
        <f t="shared" ref="O24:Q24" si="0">N24+1</f>
        <v>2028</v>
      </c>
      <c r="P24" s="6">
        <f t="shared" si="0"/>
        <v>2029</v>
      </c>
      <c r="Q24" s="6">
        <f t="shared" si="0"/>
        <v>2030</v>
      </c>
    </row>
    <row r="25" spans="1:21" x14ac:dyDescent="0.35">
      <c r="B25" s="1" t="s">
        <v>46</v>
      </c>
      <c r="C25" s="1"/>
      <c r="D25" s="38">
        <f>'Income Statement'!E6</f>
        <v>10815.1</v>
      </c>
      <c r="E25" s="38">
        <f>'Income Statement'!F6</f>
        <v>13665.2</v>
      </c>
      <c r="F25" s="38">
        <f>'Income Statement'!G6</f>
        <v>15883.5</v>
      </c>
      <c r="G25" s="38">
        <f>'Income Statement'!H6</f>
        <v>13100.2</v>
      </c>
      <c r="H25" s="38">
        <f>'Income Statement'!I6</f>
        <v>17645</v>
      </c>
      <c r="I25" s="38">
        <f>'Income Statement'!J6</f>
        <v>20351</v>
      </c>
      <c r="J25" s="38">
        <f ca="1">I25*(1+J26)</f>
        <v>20180.5</v>
      </c>
      <c r="K25" s="38">
        <f t="shared" ref="K25:Q25" ca="1" si="1">J25*(1+K26)</f>
        <v>22884.404095238096</v>
      </c>
      <c r="L25" s="38">
        <f ca="1">K25*(1+L26)</f>
        <v>25590.796684701283</v>
      </c>
      <c r="M25" s="38">
        <f ca="1">L25*(1+M26)</f>
        <v>28179.663875769205</v>
      </c>
      <c r="N25" s="38">
        <f ca="1">M25*(1+N26)</f>
        <v>30510.23456884038</v>
      </c>
      <c r="O25" s="38">
        <f t="shared" ca="1" si="1"/>
        <v>32433.623440694169</v>
      </c>
      <c r="P25" s="38">
        <f t="shared" ca="1" si="1"/>
        <v>33811.195343398322</v>
      </c>
      <c r="Q25" s="38">
        <f t="shared" ca="1" si="1"/>
        <v>34535.641840066455</v>
      </c>
    </row>
    <row r="26" spans="1:21" x14ac:dyDescent="0.35">
      <c r="B26" t="s">
        <v>57</v>
      </c>
      <c r="E26" s="44">
        <f>E25/D25-1</f>
        <v>0.26352969459367004</v>
      </c>
      <c r="F26" s="44">
        <f t="shared" ref="F26:I26" si="2">F25/E25-1</f>
        <v>0.16233205514738169</v>
      </c>
      <c r="G26" s="44">
        <f t="shared" si="2"/>
        <v>-0.17523215915887547</v>
      </c>
      <c r="H26" s="44">
        <f t="shared" si="2"/>
        <v>0.34692600112975369</v>
      </c>
      <c r="I26" s="44">
        <f t="shared" si="2"/>
        <v>0.15335789175403791</v>
      </c>
      <c r="J26" s="26">
        <f ca="1">OFFSET(J26,$D$12,0)</f>
        <v>-8.3779666846838241E-3</v>
      </c>
      <c r="K26" s="26">
        <f t="shared" ref="K26:Q26" ca="1" si="3">OFFSET(K26,$D$12,0)</f>
        <v>0.13398598128084527</v>
      </c>
      <c r="L26" s="26">
        <f ca="1">OFFSET(L26,$D$12,0)</f>
        <v>0.11826362522703171</v>
      </c>
      <c r="M26" s="26">
        <f t="shared" ca="1" si="3"/>
        <v>0.10116399356240446</v>
      </c>
      <c r="N26" s="26">
        <f t="shared" ca="1" si="3"/>
        <v>8.2703991905139773E-2</v>
      </c>
      <c r="O26" s="26">
        <f t="shared" ca="1" si="3"/>
        <v>6.3040776284890132E-2</v>
      </c>
      <c r="P26" s="26">
        <f ca="1">OFFSET(P26,$D$12,0)</f>
        <v>4.2473573920073449E-2</v>
      </c>
      <c r="Q26" s="26">
        <f t="shared" ca="1" si="3"/>
        <v>2.1426231439332533E-2</v>
      </c>
    </row>
    <row r="27" spans="1:21" x14ac:dyDescent="0.35">
      <c r="B27" s="2" t="s">
        <v>62</v>
      </c>
      <c r="C27" s="2"/>
      <c r="J27" s="45">
        <f>J28-1.5%</f>
        <v>-2.3377966684683824E-2</v>
      </c>
      <c r="K27" s="45">
        <f t="shared" ref="K27:Q27" si="4">K28-1.5%</f>
        <v>0.11898598128084527</v>
      </c>
      <c r="L27" s="45">
        <f t="shared" si="4"/>
        <v>0.10326362522703171</v>
      </c>
      <c r="M27" s="45">
        <f t="shared" si="4"/>
        <v>8.6163993562404464E-2</v>
      </c>
      <c r="N27" s="45">
        <f t="shared" si="4"/>
        <v>6.7703991905139774E-2</v>
      </c>
      <c r="O27" s="45">
        <f t="shared" si="4"/>
        <v>4.8040776284890133E-2</v>
      </c>
      <c r="P27" s="45">
        <f t="shared" si="4"/>
        <v>2.7473573920073449E-2</v>
      </c>
      <c r="Q27" s="45">
        <f t="shared" si="4"/>
        <v>6.4262314393325332E-3</v>
      </c>
    </row>
    <row r="28" spans="1:21" x14ac:dyDescent="0.35">
      <c r="B28" s="2" t="s">
        <v>56</v>
      </c>
      <c r="C28" s="2"/>
      <c r="J28" s="45">
        <f>'Income Statement'!K7</f>
        <v>-8.3779666846838241E-3</v>
      </c>
      <c r="K28" s="45">
        <f>'Income Statement'!L7</f>
        <v>0.13398598128084527</v>
      </c>
      <c r="L28" s="45">
        <f>'Income Statement'!M7</f>
        <v>0.11826362522703171</v>
      </c>
      <c r="M28" s="45">
        <f>'Income Statement'!N7</f>
        <v>0.10116399356240446</v>
      </c>
      <c r="N28" s="45">
        <f>'Income Statement'!O7</f>
        <v>8.2703991905139773E-2</v>
      </c>
      <c r="O28" s="45">
        <f>'Income Statement'!P7</f>
        <v>6.3040776284890132E-2</v>
      </c>
      <c r="P28" s="45">
        <f>'Income Statement'!Q7</f>
        <v>4.2473573920073449E-2</v>
      </c>
      <c r="Q28" s="45">
        <f>'Income Statement'!R7</f>
        <v>2.1426231439332533E-2</v>
      </c>
    </row>
    <row r="29" spans="1:21" x14ac:dyDescent="0.35">
      <c r="B29" s="2" t="s">
        <v>55</v>
      </c>
      <c r="C29" s="2"/>
      <c r="J29" s="45">
        <f>J28+1.5%</f>
        <v>6.6220333153161753E-3</v>
      </c>
      <c r="K29" s="45">
        <f t="shared" ref="K29:Q29" si="5">K28+1.5%</f>
        <v>0.14898598128084528</v>
      </c>
      <c r="L29" s="45">
        <f t="shared" si="5"/>
        <v>0.13326362522703172</v>
      </c>
      <c r="M29" s="45">
        <f t="shared" si="5"/>
        <v>0.11616399356240446</v>
      </c>
      <c r="N29" s="45">
        <f t="shared" si="5"/>
        <v>9.7703991905139773E-2</v>
      </c>
      <c r="O29" s="45">
        <f t="shared" si="5"/>
        <v>7.8040776284890132E-2</v>
      </c>
      <c r="P29" s="45">
        <f t="shared" si="5"/>
        <v>5.7473573920073448E-2</v>
      </c>
      <c r="Q29" s="45">
        <f t="shared" si="5"/>
        <v>3.6426231439332532E-2</v>
      </c>
    </row>
    <row r="31" spans="1:21" x14ac:dyDescent="0.35">
      <c r="A31" s="3" t="s">
        <v>4</v>
      </c>
      <c r="B31" s="1" t="s">
        <v>45</v>
      </c>
      <c r="C31" s="1"/>
      <c r="D31" s="38">
        <f>'Income Statement'!E32</f>
        <v>2690.7</v>
      </c>
      <c r="E31" s="38">
        <f>'Income Statement'!F32</f>
        <v>3943.8</v>
      </c>
      <c r="F31" s="38">
        <f>'Income Statement'!G32</f>
        <v>4778.3</v>
      </c>
      <c r="G31" s="38">
        <f>'Income Statement'!H32</f>
        <v>3135.2</v>
      </c>
      <c r="H31" s="38">
        <f>'Income Statement'!I32</f>
        <v>5017</v>
      </c>
      <c r="I31" s="38">
        <f>'Income Statement'!J32</f>
        <v>5589</v>
      </c>
      <c r="J31" s="38">
        <f ca="1">J25*J32</f>
        <v>5360.5510441993019</v>
      </c>
      <c r="K31" s="38">
        <f t="shared" ref="K31:Q31" ca="1" si="6">K25*K32</f>
        <v>5872.8300992052618</v>
      </c>
      <c r="L31" s="38">
        <f t="shared" ca="1" si="6"/>
        <v>6337.0551069173925</v>
      </c>
      <c r="M31" s="38">
        <f t="shared" ca="1" si="6"/>
        <v>6724.5199340762629</v>
      </c>
      <c r="N31" s="38">
        <f t="shared" ca="1" si="6"/>
        <v>7006.0724651504925</v>
      </c>
      <c r="O31" s="38">
        <f t="shared" ca="1" si="6"/>
        <v>7155.8381010955263</v>
      </c>
      <c r="P31" s="38">
        <f t="shared" ca="1" si="6"/>
        <v>7155.4713615519004</v>
      </c>
      <c r="Q31" s="38">
        <f t="shared" ca="1" si="6"/>
        <v>6997.9653704414286</v>
      </c>
    </row>
    <row r="32" spans="1:21" x14ac:dyDescent="0.35">
      <c r="B32" t="s">
        <v>58</v>
      </c>
      <c r="D32" s="44">
        <f>D31/D25</f>
        <v>0.24879104215402537</v>
      </c>
      <c r="E32" s="44">
        <f t="shared" ref="E32:I32" si="7">E31/E25</f>
        <v>0.28860170359745924</v>
      </c>
      <c r="F32" s="44">
        <f t="shared" si="7"/>
        <v>0.30083419901155289</v>
      </c>
      <c r="G32" s="44">
        <f t="shared" si="7"/>
        <v>0.23932459046426768</v>
      </c>
      <c r="H32" s="44">
        <f t="shared" si="7"/>
        <v>0.28432983848115612</v>
      </c>
      <c r="I32" s="44">
        <f t="shared" si="7"/>
        <v>0.27463023930028008</v>
      </c>
      <c r="J32" s="44">
        <f ca="1">OFFSET(J32,$D$13,0)</f>
        <v>0.26563023930028007</v>
      </c>
      <c r="K32" s="44">
        <f t="shared" ref="K32:Q32" ca="1" si="8">OFFSET(K32,$D$13,0)</f>
        <v>0.25663023930028006</v>
      </c>
      <c r="L32" s="44">
        <f t="shared" ca="1" si="8"/>
        <v>0.24763023930028005</v>
      </c>
      <c r="M32" s="44">
        <f t="shared" ca="1" si="8"/>
        <v>0.23863023930028004</v>
      </c>
      <c r="N32" s="44">
        <f t="shared" ca="1" si="8"/>
        <v>0.22963023930028004</v>
      </c>
      <c r="O32" s="44">
        <f t="shared" ca="1" si="8"/>
        <v>0.22063023930028003</v>
      </c>
      <c r="P32" s="44">
        <f t="shared" ca="1" si="8"/>
        <v>0.21163023930028002</v>
      </c>
      <c r="Q32" s="44">
        <f t="shared" ca="1" si="8"/>
        <v>0.20263023930028001</v>
      </c>
    </row>
    <row r="33" spans="1:18" x14ac:dyDescent="0.35">
      <c r="B33" s="2" t="s">
        <v>62</v>
      </c>
      <c r="C33" s="2"/>
      <c r="J33" s="51">
        <f>J34-2%</f>
        <v>0.24563023930028008</v>
      </c>
      <c r="K33" s="51">
        <f t="shared" ref="K33:Q33" si="9">K34-2%</f>
        <v>0.23663023930028007</v>
      </c>
      <c r="L33" s="51">
        <f t="shared" si="9"/>
        <v>0.22763023930028006</v>
      </c>
      <c r="M33" s="51">
        <f t="shared" si="9"/>
        <v>0.21863023930028005</v>
      </c>
      <c r="N33" s="51">
        <f t="shared" si="9"/>
        <v>0.20963023930028005</v>
      </c>
      <c r="O33" s="51">
        <f t="shared" si="9"/>
        <v>0.20063023930028004</v>
      </c>
      <c r="P33" s="51">
        <f t="shared" si="9"/>
        <v>0.19163023930028003</v>
      </c>
      <c r="Q33" s="51">
        <f t="shared" si="9"/>
        <v>0.18263023930028002</v>
      </c>
    </row>
    <row r="34" spans="1:18" x14ac:dyDescent="0.35">
      <c r="B34" s="2" t="s">
        <v>56</v>
      </c>
      <c r="C34" s="2"/>
      <c r="J34" s="50">
        <f>'Income Statement'!K33</f>
        <v>0.26563023930028007</v>
      </c>
      <c r="K34" s="50">
        <f>'Income Statement'!L33</f>
        <v>0.25663023930028006</v>
      </c>
      <c r="L34" s="50">
        <f>'Income Statement'!M33</f>
        <v>0.24763023930028005</v>
      </c>
      <c r="M34" s="50">
        <f>'Income Statement'!N33</f>
        <v>0.23863023930028004</v>
      </c>
      <c r="N34" s="50">
        <f>'Income Statement'!O33</f>
        <v>0.22963023930028004</v>
      </c>
      <c r="O34" s="50">
        <f>'Income Statement'!P33</f>
        <v>0.22063023930028003</v>
      </c>
      <c r="P34" s="50">
        <f>'Income Statement'!Q33</f>
        <v>0.21163023930028002</v>
      </c>
      <c r="Q34" s="50">
        <f>'Income Statement'!R33</f>
        <v>0.20263023930028001</v>
      </c>
    </row>
    <row r="35" spans="1:18" x14ac:dyDescent="0.35">
      <c r="B35" s="2" t="s">
        <v>55</v>
      </c>
      <c r="C35" s="2"/>
      <c r="J35" s="51">
        <f>J34+2%</f>
        <v>0.28563023930028009</v>
      </c>
      <c r="K35" s="51">
        <f t="shared" ref="K35:Q35" si="10">K34+2%</f>
        <v>0.27663023930028008</v>
      </c>
      <c r="L35" s="51">
        <f t="shared" si="10"/>
        <v>0.26763023930028007</v>
      </c>
      <c r="M35" s="51">
        <f t="shared" si="10"/>
        <v>0.25863023930028006</v>
      </c>
      <c r="N35" s="51">
        <f t="shared" si="10"/>
        <v>0.24963023930028003</v>
      </c>
      <c r="O35" s="51">
        <f t="shared" si="10"/>
        <v>0.24063023930028002</v>
      </c>
      <c r="P35" s="51">
        <f t="shared" si="10"/>
        <v>0.23163023930028001</v>
      </c>
      <c r="Q35" s="51">
        <f t="shared" si="10"/>
        <v>0.22263023930028</v>
      </c>
    </row>
    <row r="37" spans="1:18" x14ac:dyDescent="0.35">
      <c r="A37" s="3" t="s">
        <v>4</v>
      </c>
      <c r="B37" s="1" t="s">
        <v>13</v>
      </c>
      <c r="C37" s="1"/>
      <c r="D37" s="38">
        <f>'Income Statement'!E56</f>
        <v>550.79999999999995</v>
      </c>
      <c r="E37" s="38">
        <f>'Income Statement'!F56</f>
        <v>867.7</v>
      </c>
      <c r="F37" s="38">
        <f>'Income Statement'!G56</f>
        <v>2133.6999999999998</v>
      </c>
      <c r="G37" s="38">
        <f>'Income Statement'!H56</f>
        <v>759.2</v>
      </c>
      <c r="H37" s="38">
        <f>'Income Statement'!I56</f>
        <v>1280</v>
      </c>
      <c r="I37" s="38">
        <f>'Income Statement'!J56</f>
        <v>1420</v>
      </c>
      <c r="J37" s="38">
        <f ca="1">J38*'Income Statement'!K55</f>
        <v>1407.9662923758046</v>
      </c>
      <c r="K37" s="38">
        <f ca="1">K38*'Income Statement'!L55</f>
        <v>1547.2044277774737</v>
      </c>
      <c r="L37" s="38">
        <f ca="1">L38*'Income Statement'!M55</f>
        <v>1672.9874299368705</v>
      </c>
      <c r="M37" s="38">
        <f ca="1">M38*'Income Statement'!N55</f>
        <v>1777.2775815413543</v>
      </c>
      <c r="N37" s="38">
        <f ca="1">N38*'Income Statement'!O55</f>
        <v>1851.9122902421386</v>
      </c>
      <c r="O37" s="38">
        <f ca="1">O38*'Income Statement'!P55</f>
        <v>1889.6466683067483</v>
      </c>
      <c r="P37" s="38">
        <f ca="1">P38*'Income Statement'!Q55</f>
        <v>1885.3439812345327</v>
      </c>
      <c r="Q37" s="38">
        <f ca="1">Q38*'Income Statement'!R55</f>
        <v>1837.0423037236005</v>
      </c>
    </row>
    <row r="38" spans="1:18" x14ac:dyDescent="0.35">
      <c r="B38" t="s">
        <v>120</v>
      </c>
      <c r="D38" s="25">
        <v>0.22</v>
      </c>
      <c r="E38" s="25">
        <f>'Income Statement'!F54</f>
        <v>0.23094325561588416</v>
      </c>
      <c r="F38" s="25">
        <f>'Income Statement'!G54</f>
        <v>0.47402914778281346</v>
      </c>
      <c r="G38" s="25">
        <f>'Income Statement'!H54</f>
        <v>0.26565889845335577</v>
      </c>
      <c r="H38" s="25">
        <f>'Income Statement'!I54</f>
        <v>0.26655560183256977</v>
      </c>
      <c r="I38" s="25">
        <f>'Income Statement'!J54</f>
        <v>0.26782346284420971</v>
      </c>
      <c r="J38" s="44">
        <f ca="1">OFFSET(J38,$D$14,0)</f>
        <v>0.28000000000000003</v>
      </c>
      <c r="K38" s="44">
        <f ca="1">OFFSET(K38,$D$14,0)</f>
        <v>0.28000000000000003</v>
      </c>
      <c r="L38" s="44">
        <f t="shared" ref="L38:Q38" ca="1" si="11">OFFSET(L38,$D$14,0)</f>
        <v>0.28000000000000003</v>
      </c>
      <c r="M38" s="44">
        <f t="shared" ca="1" si="11"/>
        <v>0.28000000000000003</v>
      </c>
      <c r="N38" s="44">
        <f t="shared" ca="1" si="11"/>
        <v>0.28000000000000003</v>
      </c>
      <c r="O38" s="44">
        <f t="shared" ca="1" si="11"/>
        <v>0.28000000000000003</v>
      </c>
      <c r="P38" s="44">
        <f t="shared" ca="1" si="11"/>
        <v>0.28000000000000003</v>
      </c>
      <c r="Q38" s="44">
        <f t="shared" ca="1" si="11"/>
        <v>0.28000000000000003</v>
      </c>
    </row>
    <row r="39" spans="1:18" x14ac:dyDescent="0.35">
      <c r="B39" s="2" t="s">
        <v>61</v>
      </c>
      <c r="C39" s="2"/>
      <c r="J39" s="51">
        <v>0.30000000000000004</v>
      </c>
      <c r="K39" s="51">
        <v>0.30000000000000004</v>
      </c>
      <c r="L39" s="51">
        <v>0.30000000000000004</v>
      </c>
      <c r="M39" s="51">
        <v>0.30000000000000004</v>
      </c>
      <c r="N39" s="51">
        <v>0.30000000000000004</v>
      </c>
      <c r="O39" s="51">
        <v>0.30000000000000004</v>
      </c>
      <c r="P39" s="51">
        <v>0.30000000000000004</v>
      </c>
      <c r="Q39" s="51">
        <v>0.30000000000000004</v>
      </c>
    </row>
    <row r="40" spans="1:18" x14ac:dyDescent="0.35">
      <c r="B40" s="2" t="s">
        <v>56</v>
      </c>
      <c r="C40" s="2"/>
      <c r="J40" s="51">
        <f>'Income Statement'!K54</f>
        <v>0.28000000000000003</v>
      </c>
      <c r="K40" s="51">
        <f>'Income Statement'!L54</f>
        <v>0.28000000000000003</v>
      </c>
      <c r="L40" s="51">
        <f>'Income Statement'!M54</f>
        <v>0.28000000000000003</v>
      </c>
      <c r="M40" s="51">
        <f>'Income Statement'!N54</f>
        <v>0.28000000000000003</v>
      </c>
      <c r="N40" s="51">
        <f>'Income Statement'!O54</f>
        <v>0.28000000000000003</v>
      </c>
      <c r="O40" s="51">
        <f>'Income Statement'!P54</f>
        <v>0.28000000000000003</v>
      </c>
      <c r="P40" s="51">
        <f>'Income Statement'!Q54</f>
        <v>0.28000000000000003</v>
      </c>
      <c r="Q40" s="51">
        <f>'Income Statement'!R54</f>
        <v>0.28000000000000003</v>
      </c>
    </row>
    <row r="41" spans="1:18" x14ac:dyDescent="0.35">
      <c r="B41" s="2" t="s">
        <v>55</v>
      </c>
      <c r="C41" s="2"/>
      <c r="J41" s="51">
        <v>0.26</v>
      </c>
      <c r="K41" s="51">
        <v>0.26</v>
      </c>
      <c r="L41" s="51">
        <v>0.26</v>
      </c>
      <c r="M41" s="51">
        <v>0.26</v>
      </c>
      <c r="N41" s="51">
        <v>0.26</v>
      </c>
      <c r="O41" s="51">
        <v>0.26</v>
      </c>
      <c r="P41" s="51">
        <v>0.26</v>
      </c>
      <c r="Q41" s="51">
        <v>0.26</v>
      </c>
    </row>
    <row r="42" spans="1:18" x14ac:dyDescent="0.35">
      <c r="B42" s="13"/>
      <c r="C42" s="13"/>
      <c r="D42" s="13"/>
      <c r="E42" s="13"/>
      <c r="F42" s="13"/>
      <c r="G42" s="13"/>
      <c r="H42" s="13"/>
      <c r="I42" s="13"/>
      <c r="J42" s="13"/>
      <c r="K42" s="13"/>
      <c r="L42" s="13"/>
      <c r="M42" s="13"/>
      <c r="N42" s="13"/>
      <c r="O42" s="13"/>
      <c r="P42" s="13"/>
      <c r="Q42" s="13"/>
    </row>
    <row r="43" spans="1:18" x14ac:dyDescent="0.35">
      <c r="A43" s="3" t="s">
        <v>4</v>
      </c>
      <c r="B43" s="96" t="s">
        <v>59</v>
      </c>
      <c r="C43" s="94"/>
      <c r="D43" s="95">
        <f t="shared" ref="D43:Q43" si="12">D31-D37</f>
        <v>2139.8999999999996</v>
      </c>
      <c r="E43" s="95">
        <f t="shared" si="12"/>
        <v>3076.1000000000004</v>
      </c>
      <c r="F43" s="95">
        <f t="shared" si="12"/>
        <v>2644.6000000000004</v>
      </c>
      <c r="G43" s="95">
        <f t="shared" si="12"/>
        <v>2376</v>
      </c>
      <c r="H43" s="95">
        <f t="shared" si="12"/>
        <v>3737</v>
      </c>
      <c r="I43" s="95">
        <f t="shared" si="12"/>
        <v>4169</v>
      </c>
      <c r="J43" s="95">
        <f t="shared" ca="1" si="12"/>
        <v>3952.5847518234973</v>
      </c>
      <c r="K43" s="95">
        <f t="shared" ca="1" si="12"/>
        <v>4325.6256714277879</v>
      </c>
      <c r="L43" s="95">
        <f t="shared" ca="1" si="12"/>
        <v>4664.0676769805223</v>
      </c>
      <c r="M43" s="95">
        <f t="shared" ca="1" si="12"/>
        <v>4947.2423525349086</v>
      </c>
      <c r="N43" s="95">
        <f t="shared" ca="1" si="12"/>
        <v>5154.1601749083538</v>
      </c>
      <c r="O43" s="95">
        <f t="shared" ca="1" si="12"/>
        <v>5266.191432788778</v>
      </c>
      <c r="P43" s="95">
        <f t="shared" ca="1" si="12"/>
        <v>5270.1273803173681</v>
      </c>
      <c r="Q43" s="95">
        <f t="shared" ca="1" si="12"/>
        <v>5160.9230667178281</v>
      </c>
      <c r="R43" s="97"/>
    </row>
    <row r="45" spans="1:18" x14ac:dyDescent="0.35">
      <c r="A45" s="3" t="s">
        <v>4</v>
      </c>
      <c r="B45" s="1" t="s">
        <v>48</v>
      </c>
      <c r="C45" s="1"/>
      <c r="D45" s="38">
        <f>'Income Statement'!E28</f>
        <v>432.1</v>
      </c>
      <c r="E45" s="38">
        <f>'Income Statement'!F28</f>
        <v>491.9</v>
      </c>
      <c r="F45" s="38">
        <f>'Income Statement'!G28</f>
        <v>1245.3</v>
      </c>
      <c r="G45" s="38">
        <f>'Income Statement'!H28</f>
        <v>1439</v>
      </c>
      <c r="H45" s="38">
        <f>'Income Statement'!I28</f>
        <v>1453</v>
      </c>
      <c r="I45" s="38">
        <f>'Income Statement'!J28</f>
        <v>1666</v>
      </c>
      <c r="J45" s="38">
        <f ca="1">I45*(1+J46)</f>
        <v>1793.8334615384615</v>
      </c>
      <c r="K45" s="38">
        <f t="shared" ref="K45" ca="1" si="13">J45*(1+K46)</f>
        <v>1931.4756829142011</v>
      </c>
      <c r="L45" s="38">
        <f ca="1">K45*(1+L46)</f>
        <v>2079.6792978147332</v>
      </c>
      <c r="M45" s="38">
        <f ca="1">L45*(1+M46)</f>
        <v>2239.254690089364</v>
      </c>
      <c r="N45" s="38">
        <f ca="1">M45*(1+N46)</f>
        <v>2411.0744249635286</v>
      </c>
      <c r="O45" s="38">
        <f t="shared" ref="O45" ca="1" si="14">N45*(1+O46)</f>
        <v>2596.0780202636147</v>
      </c>
      <c r="P45" s="38">
        <f t="shared" ref="P45" ca="1" si="15">O45*(1+P46)</f>
        <v>2795.2770837415346</v>
      </c>
      <c r="Q45" s="38">
        <f t="shared" ref="Q45" ca="1" si="16">P45*(1+Q46)</f>
        <v>3009.7608445901642</v>
      </c>
    </row>
    <row r="46" spans="1:18" x14ac:dyDescent="0.35">
      <c r="B46" t="s">
        <v>58</v>
      </c>
      <c r="D46" s="44">
        <f>D45/D25</f>
        <v>3.995339848914943E-2</v>
      </c>
      <c r="E46" s="44">
        <f t="shared" ref="E46:I46" si="17">E45/E25</f>
        <v>3.5996545970787108E-2</v>
      </c>
      <c r="F46" s="44">
        <f t="shared" si="17"/>
        <v>7.8402115402776459E-2</v>
      </c>
      <c r="G46" s="44">
        <f t="shared" si="17"/>
        <v>0.10984565121143187</v>
      </c>
      <c r="H46" s="44">
        <f t="shared" si="17"/>
        <v>8.2346273731935399E-2</v>
      </c>
      <c r="I46" s="44">
        <f t="shared" si="17"/>
        <v>8.1863299100781287E-2</v>
      </c>
      <c r="J46" s="44">
        <f ca="1">OFFSET(J46,$D$15,0)</f>
        <v>7.6730769230769241E-2</v>
      </c>
      <c r="K46" s="44">
        <f t="shared" ref="K46:Q46" ca="1" si="18">OFFSET(K46,$D$15,0)</f>
        <v>7.6730769230769241E-2</v>
      </c>
      <c r="L46" s="44">
        <f t="shared" ca="1" si="18"/>
        <v>7.6730769230769227E-2</v>
      </c>
      <c r="M46" s="44">
        <f t="shared" ca="1" si="18"/>
        <v>7.6730769230769227E-2</v>
      </c>
      <c r="N46" s="44">
        <f t="shared" ca="1" si="18"/>
        <v>7.6730769230769227E-2</v>
      </c>
      <c r="O46" s="44">
        <f t="shared" ca="1" si="18"/>
        <v>7.6730769230769241E-2</v>
      </c>
      <c r="P46" s="44">
        <f t="shared" ca="1" si="18"/>
        <v>7.6730769230769241E-2</v>
      </c>
      <c r="Q46" s="44">
        <f t="shared" ca="1" si="18"/>
        <v>7.6730769230769227E-2</v>
      </c>
    </row>
    <row r="47" spans="1:18" x14ac:dyDescent="0.35">
      <c r="B47" s="2" t="s">
        <v>62</v>
      </c>
      <c r="C47" s="2"/>
      <c r="J47" s="51">
        <f>J48-2%</f>
        <v>5.6730769230769237E-2</v>
      </c>
      <c r="K47" s="51">
        <f t="shared" ref="K47:Q47" si="19">K48-2%</f>
        <v>5.6730769230769237E-2</v>
      </c>
      <c r="L47" s="51">
        <f t="shared" si="19"/>
        <v>5.6730769230769224E-2</v>
      </c>
      <c r="M47" s="51">
        <f t="shared" si="19"/>
        <v>5.6730769230769224E-2</v>
      </c>
      <c r="N47" s="51">
        <f t="shared" si="19"/>
        <v>5.6730769230769224E-2</v>
      </c>
      <c r="O47" s="51">
        <f t="shared" si="19"/>
        <v>5.6730769230769237E-2</v>
      </c>
      <c r="P47" s="51">
        <f t="shared" si="19"/>
        <v>5.6730769230769237E-2</v>
      </c>
      <c r="Q47" s="51">
        <f t="shared" si="19"/>
        <v>5.6730769230769224E-2</v>
      </c>
    </row>
    <row r="48" spans="1:18" x14ac:dyDescent="0.35">
      <c r="B48" s="2" t="s">
        <v>56</v>
      </c>
      <c r="C48" s="2"/>
      <c r="J48" s="50">
        <f>'Income Statement'!T28</f>
        <v>7.6730769230769241E-2</v>
      </c>
      <c r="K48" s="50">
        <f>'Income Statement'!U28</f>
        <v>7.6730769230769241E-2</v>
      </c>
      <c r="L48" s="50">
        <f>'Income Statement'!V28</f>
        <v>7.6730769230769227E-2</v>
      </c>
      <c r="M48" s="50">
        <f>'Income Statement'!W28</f>
        <v>7.6730769230769227E-2</v>
      </c>
      <c r="N48" s="50">
        <f>'Income Statement'!X28</f>
        <v>7.6730769230769227E-2</v>
      </c>
      <c r="O48" s="50">
        <f>'Income Statement'!Y28</f>
        <v>7.6730769230769241E-2</v>
      </c>
      <c r="P48" s="50">
        <f>'Income Statement'!Z28</f>
        <v>7.6730769230769241E-2</v>
      </c>
      <c r="Q48" s="50">
        <f>'Income Statement'!AA28</f>
        <v>7.6730769230769227E-2</v>
      </c>
    </row>
    <row r="49" spans="1:17" x14ac:dyDescent="0.35">
      <c r="B49" s="2" t="s">
        <v>55</v>
      </c>
      <c r="C49" s="2"/>
      <c r="J49" s="51">
        <f>J48+2%</f>
        <v>9.6730769230769245E-2</v>
      </c>
      <c r="K49" s="51">
        <f t="shared" ref="K49:Q49" si="20">K48+2%</f>
        <v>9.6730769230769245E-2</v>
      </c>
      <c r="L49" s="51">
        <f t="shared" si="20"/>
        <v>9.6730769230769231E-2</v>
      </c>
      <c r="M49" s="51">
        <f t="shared" si="20"/>
        <v>9.6730769230769231E-2</v>
      </c>
      <c r="N49" s="51">
        <f t="shared" si="20"/>
        <v>9.6730769230769231E-2</v>
      </c>
      <c r="O49" s="51">
        <f t="shared" si="20"/>
        <v>9.6730769230769245E-2</v>
      </c>
      <c r="P49" s="51">
        <f t="shared" si="20"/>
        <v>9.6730769230769245E-2</v>
      </c>
      <c r="Q49" s="51">
        <f t="shared" si="20"/>
        <v>9.6730769230769231E-2</v>
      </c>
    </row>
    <row r="51" spans="1:17" x14ac:dyDescent="0.35">
      <c r="A51" s="3" t="s">
        <v>4</v>
      </c>
      <c r="B51" s="1" t="s">
        <v>49</v>
      </c>
      <c r="C51" s="1"/>
      <c r="D51" s="38">
        <f>'Working Capital Schedule'!E21</f>
        <v>0</v>
      </c>
      <c r="E51" s="38">
        <f>'Working Capital Schedule'!F21</f>
        <v>1924.8000000000002</v>
      </c>
      <c r="F51" s="38">
        <f>'Working Capital Schedule'!G21</f>
        <v>-986.59999999999945</v>
      </c>
      <c r="G51" s="38">
        <f>'Working Capital Schedule'!H21</f>
        <v>-610.89999999999964</v>
      </c>
      <c r="H51" s="38">
        <f>'Working Capital Schedule'!I21</f>
        <v>-745.30000000000109</v>
      </c>
      <c r="I51" s="38">
        <f>'Working Capital Schedule'!J21</f>
        <v>339.30592193500161</v>
      </c>
      <c r="J51" s="38">
        <f ca="1">J52*J25</f>
        <v>336.46322822511422</v>
      </c>
      <c r="K51" s="38">
        <f t="shared" ref="K51:Q51" ca="1" si="21">K52*K25</f>
        <v>-241.20467188461802</v>
      </c>
      <c r="L51" s="38">
        <f t="shared" ca="1" si="21"/>
        <v>-231.82417361056579</v>
      </c>
      <c r="M51" s="38">
        <f t="shared" ca="1" si="21"/>
        <v>-211.36891452027376</v>
      </c>
      <c r="N51" s="38">
        <f t="shared" ca="1" si="21"/>
        <v>-179.11476325676313</v>
      </c>
      <c r="O51" s="38">
        <f t="shared" ca="1" si="21"/>
        <v>-135.73137905639496</v>
      </c>
      <c r="P51" s="38">
        <f t="shared" ca="1" si="21"/>
        <v>-309.89381756795495</v>
      </c>
      <c r="Q51" s="38">
        <f t="shared" ca="1" si="21"/>
        <v>-31.136525361372122</v>
      </c>
    </row>
    <row r="52" spans="1:17" x14ac:dyDescent="0.35">
      <c r="B52" t="s">
        <v>58</v>
      </c>
      <c r="D52" s="44">
        <f>D51/D25</f>
        <v>0</v>
      </c>
      <c r="E52" s="44">
        <f t="shared" ref="E52:I52" si="22">E51/E25</f>
        <v>0.14085414044434039</v>
      </c>
      <c r="F52" s="44">
        <f t="shared" si="22"/>
        <v>-6.2114773192306447E-2</v>
      </c>
      <c r="G52" s="44">
        <f t="shared" si="22"/>
        <v>-4.6632875833956706E-2</v>
      </c>
      <c r="H52" s="44">
        <f t="shared" si="22"/>
        <v>-4.2238594502692045E-2</v>
      </c>
      <c r="I52" s="44">
        <f t="shared" si="22"/>
        <v>1.6672690380571058E-2</v>
      </c>
      <c r="J52" s="44">
        <f ca="1">OFFSET(J52,$D$16,0)</f>
        <v>1.6672690380571058E-2</v>
      </c>
      <c r="K52" s="44">
        <f t="shared" ref="K52:Q52" ca="1" si="23">OFFSET(K52,$D$16,0)</f>
        <v>-1.0540133397435029E-2</v>
      </c>
      <c r="L52" s="44">
        <f t="shared" ca="1" si="23"/>
        <v>-9.0588884928758454E-3</v>
      </c>
      <c r="M52" s="44">
        <f t="shared" ca="1" si="23"/>
        <v>-7.5007606709611308E-3</v>
      </c>
      <c r="N52" s="44">
        <f t="shared" ca="1" si="23"/>
        <v>-5.8706452371785501E-3</v>
      </c>
      <c r="O52" s="44">
        <f t="shared" ca="1" si="23"/>
        <v>-4.1848971732863505E-3</v>
      </c>
      <c r="P52" s="44">
        <f t="shared" ca="1" si="23"/>
        <v>-9.1654203414154693E-3</v>
      </c>
      <c r="Q52" s="44">
        <f t="shared" ca="1" si="23"/>
        <v>-9.0157656561196857E-4</v>
      </c>
    </row>
    <row r="53" spans="1:17" x14ac:dyDescent="0.35">
      <c r="B53" s="2" t="s">
        <v>62</v>
      </c>
      <c r="C53" s="2"/>
      <c r="J53" s="51">
        <f>J54-1%</f>
        <v>6.6726903805710575E-3</v>
      </c>
      <c r="K53" s="51">
        <f t="shared" ref="K53:Q53" si="24">K54-1%</f>
        <v>-2.0540133397435031E-2</v>
      </c>
      <c r="L53" s="51">
        <f t="shared" si="24"/>
        <v>-1.9058888492875847E-2</v>
      </c>
      <c r="M53" s="51">
        <f t="shared" si="24"/>
        <v>-1.7500760670961131E-2</v>
      </c>
      <c r="N53" s="51">
        <f t="shared" si="24"/>
        <v>-1.587064523717855E-2</v>
      </c>
      <c r="O53" s="51">
        <f t="shared" si="24"/>
        <v>-1.4184897173286351E-2</v>
      </c>
      <c r="P53" s="51">
        <f t="shared" si="24"/>
        <v>-1.9165420341415468E-2</v>
      </c>
      <c r="Q53" s="51">
        <f t="shared" si="24"/>
        <v>-1.0901576565611968E-2</v>
      </c>
    </row>
    <row r="54" spans="1:17" x14ac:dyDescent="0.35">
      <c r="B54" s="2" t="s">
        <v>55</v>
      </c>
      <c r="C54" s="2"/>
      <c r="J54" s="51">
        <f>'Working Capital Schedule'!J31</f>
        <v>1.6672690380571058E-2</v>
      </c>
      <c r="K54" s="51">
        <f>'Working Capital Schedule'!K31</f>
        <v>-1.0540133397435029E-2</v>
      </c>
      <c r="L54" s="51">
        <f>'Working Capital Schedule'!L31</f>
        <v>-9.0588884928758454E-3</v>
      </c>
      <c r="M54" s="51">
        <f>'Working Capital Schedule'!M31</f>
        <v>-7.5007606709611308E-3</v>
      </c>
      <c r="N54" s="51">
        <f>'Working Capital Schedule'!N31</f>
        <v>-5.8706452371785501E-3</v>
      </c>
      <c r="O54" s="51">
        <f>'Working Capital Schedule'!O31</f>
        <v>-4.1848971732863505E-3</v>
      </c>
      <c r="P54" s="51">
        <f>'Working Capital Schedule'!P31</f>
        <v>-9.1654203414154693E-3</v>
      </c>
      <c r="Q54" s="51">
        <f>'Working Capital Schedule'!Q31</f>
        <v>-9.0157656561196857E-4</v>
      </c>
    </row>
    <row r="55" spans="1:17" x14ac:dyDescent="0.35">
      <c r="B55" s="2" t="s">
        <v>55</v>
      </c>
      <c r="C55" s="2"/>
      <c r="J55" s="51">
        <f>J54+1%</f>
        <v>2.667269038057106E-2</v>
      </c>
      <c r="K55" s="51">
        <f t="shared" ref="K55:Q55" si="25">K54+1%</f>
        <v>-5.4013339743502926E-4</v>
      </c>
      <c r="L55" s="51">
        <f t="shared" si="25"/>
        <v>9.4111150712415485E-4</v>
      </c>
      <c r="M55" s="51">
        <f t="shared" si="25"/>
        <v>2.4992393290388694E-3</v>
      </c>
      <c r="N55" s="51">
        <f t="shared" si="25"/>
        <v>4.1293547628214501E-3</v>
      </c>
      <c r="O55" s="51">
        <f t="shared" si="25"/>
        <v>5.8151028267136497E-3</v>
      </c>
      <c r="P55" s="51">
        <f t="shared" si="25"/>
        <v>8.3457965858453088E-4</v>
      </c>
      <c r="Q55" s="51">
        <f t="shared" si="25"/>
        <v>9.0984234343880321E-3</v>
      </c>
    </row>
    <row r="57" spans="1:17" x14ac:dyDescent="0.35">
      <c r="A57" s="3" t="s">
        <v>4</v>
      </c>
      <c r="B57" s="1" t="s">
        <v>60</v>
      </c>
      <c r="C57" s="1"/>
      <c r="D57" s="38">
        <f>'Fixed Asset Schedule'!F32</f>
        <v>-3319.7759999999998</v>
      </c>
      <c r="E57" s="38">
        <f>'Fixed Asset Schedule'!G32</f>
        <v>1440.5280000000002</v>
      </c>
      <c r="F57" s="38">
        <f>'Fixed Asset Schedule'!H32</f>
        <v>1176.6999999999998</v>
      </c>
      <c r="G57" s="38">
        <f>'Fixed Asset Schedule'!I32</f>
        <v>1791</v>
      </c>
      <c r="H57" s="38">
        <f>'Fixed Asset Schedule'!J32</f>
        <v>2894</v>
      </c>
      <c r="I57" s="38">
        <f>'Fixed Asset Schedule'!K32</f>
        <v>4027.7371794871797</v>
      </c>
      <c r="J57" s="38">
        <f ca="1">J58*J25</f>
        <v>3993.992931582774</v>
      </c>
      <c r="K57" s="38">
        <f t="shared" ref="K57:Q57" ca="1" si="26">K58*K25</f>
        <v>4075.2349935249304</v>
      </c>
      <c r="L57" s="38">
        <f t="shared" ca="1" si="26"/>
        <v>4252.8471932358625</v>
      </c>
      <c r="M57" s="38">
        <f t="shared" ca="1" si="26"/>
        <v>4318.5969366243835</v>
      </c>
      <c r="N57" s="38">
        <f t="shared" ca="1" si="26"/>
        <v>4249.7375291028438</v>
      </c>
      <c r="O57" s="38">
        <f t="shared" ca="1" si="26"/>
        <v>4035.2441469116898</v>
      </c>
      <c r="P57" s="38">
        <f t="shared" ca="1" si="26"/>
        <v>3680.6264116682974</v>
      </c>
      <c r="Q57" s="38">
        <f t="shared" ca="1" si="26"/>
        <v>3209.6662443089226</v>
      </c>
    </row>
    <row r="58" spans="1:17" x14ac:dyDescent="0.35">
      <c r="B58" t="s">
        <v>58</v>
      </c>
      <c r="D58" s="44">
        <f>D57/D25</f>
        <v>-0.30695749461401184</v>
      </c>
      <c r="E58" s="44">
        <f t="shared" ref="E58:I58" si="27">E57/E25</f>
        <v>0.10541580072007729</v>
      </c>
      <c r="F58" s="44">
        <f t="shared" si="27"/>
        <v>7.4083168067491406E-2</v>
      </c>
      <c r="G58" s="44">
        <f t="shared" si="27"/>
        <v>0.13671546999282452</v>
      </c>
      <c r="H58" s="44">
        <f t="shared" si="27"/>
        <v>0.16401246812128081</v>
      </c>
      <c r="I58" s="44">
        <f t="shared" si="27"/>
        <v>0.1979134774451958</v>
      </c>
      <c r="J58" s="44">
        <f ca="1">OFFSET(J58,$D$17,0)</f>
        <v>0.1979134774451958</v>
      </c>
      <c r="K58" s="44">
        <f t="shared" ref="K58:Q58" ca="1" si="28">OFFSET(K58,$D$17,0)</f>
        <v>0.17807913968679334</v>
      </c>
      <c r="L58" s="44">
        <f t="shared" ca="1" si="28"/>
        <v>0.16618658831275479</v>
      </c>
      <c r="M58" s="44">
        <f t="shared" ca="1" si="28"/>
        <v>0.15325225154079311</v>
      </c>
      <c r="N58" s="44">
        <f t="shared" ca="1" si="28"/>
        <v>0.13928891695388779</v>
      </c>
      <c r="O58" s="44">
        <f t="shared" ca="1" si="28"/>
        <v>0.12441545898472466</v>
      </c>
      <c r="P58" s="44">
        <f t="shared" ca="1" si="28"/>
        <v>0.1088582161703119</v>
      </c>
      <c r="Q58" s="44">
        <f t="shared" ca="1" si="28"/>
        <v>9.2937790447700175E-2</v>
      </c>
    </row>
    <row r="59" spans="1:17" x14ac:dyDescent="0.35">
      <c r="B59" s="2" t="s">
        <v>62</v>
      </c>
      <c r="C59" s="2"/>
      <c r="J59" s="51">
        <f>J60+3%</f>
        <v>0.2279134774451958</v>
      </c>
      <c r="K59" s="51">
        <f t="shared" ref="K59:Q59" si="29">K60+3%</f>
        <v>0.20807913968679334</v>
      </c>
      <c r="L59" s="51">
        <f t="shared" si="29"/>
        <v>0.19618658831275479</v>
      </c>
      <c r="M59" s="51">
        <f t="shared" si="29"/>
        <v>0.18325225154079311</v>
      </c>
      <c r="N59" s="51">
        <f t="shared" si="29"/>
        <v>0.16928891695388779</v>
      </c>
      <c r="O59" s="51">
        <f t="shared" si="29"/>
        <v>0.15441545898472464</v>
      </c>
      <c r="P59" s="51">
        <f t="shared" si="29"/>
        <v>0.13885821617031191</v>
      </c>
      <c r="Q59" s="51">
        <f t="shared" si="29"/>
        <v>0.12293779044770017</v>
      </c>
    </row>
    <row r="60" spans="1:17" x14ac:dyDescent="0.35">
      <c r="B60" s="2" t="s">
        <v>56</v>
      </c>
      <c r="C60" s="2"/>
      <c r="J60" s="51">
        <f>'Fixed Asset Schedule'!K33</f>
        <v>0.1979134774451958</v>
      </c>
      <c r="K60" s="51">
        <f>'Fixed Asset Schedule'!L33</f>
        <v>0.17807913968679334</v>
      </c>
      <c r="L60" s="51">
        <f>'Fixed Asset Schedule'!M33</f>
        <v>0.16618658831275479</v>
      </c>
      <c r="M60" s="51">
        <f>'Fixed Asset Schedule'!N33</f>
        <v>0.15325225154079311</v>
      </c>
      <c r="N60" s="51">
        <f>'Fixed Asset Schedule'!O33</f>
        <v>0.13928891695388779</v>
      </c>
      <c r="O60" s="51">
        <f>'Fixed Asset Schedule'!P33</f>
        <v>0.12441545898472466</v>
      </c>
      <c r="P60" s="51">
        <f>'Fixed Asset Schedule'!Q33</f>
        <v>0.1088582161703119</v>
      </c>
      <c r="Q60" s="51">
        <f>'Fixed Asset Schedule'!R33</f>
        <v>9.2937790447700175E-2</v>
      </c>
    </row>
    <row r="61" spans="1:17" x14ac:dyDescent="0.35">
      <c r="B61" s="2" t="s">
        <v>55</v>
      </c>
      <c r="C61" s="2"/>
      <c r="J61" s="51">
        <f>J60-3%</f>
        <v>0.1679134774451958</v>
      </c>
      <c r="K61" s="51">
        <f t="shared" ref="K61:Q61" si="30">K60-3%</f>
        <v>0.14807913968679334</v>
      </c>
      <c r="L61" s="51">
        <f t="shared" si="30"/>
        <v>0.13618658831275479</v>
      </c>
      <c r="M61" s="51">
        <f t="shared" si="30"/>
        <v>0.12325225154079311</v>
      </c>
      <c r="N61" s="51">
        <f t="shared" si="30"/>
        <v>0.10928891695388779</v>
      </c>
      <c r="O61" s="51">
        <f t="shared" si="30"/>
        <v>9.4415458984724657E-2</v>
      </c>
      <c r="P61" s="51">
        <f t="shared" si="30"/>
        <v>7.8858216170311898E-2</v>
      </c>
      <c r="Q61" s="51">
        <f t="shared" si="30"/>
        <v>6.2937790447700176E-2</v>
      </c>
    </row>
    <row r="62" spans="1:17" x14ac:dyDescent="0.35">
      <c r="B62" s="13"/>
      <c r="C62" s="13"/>
      <c r="D62" s="13"/>
      <c r="E62" s="13"/>
      <c r="F62" s="13"/>
      <c r="G62" s="13"/>
      <c r="H62" s="13"/>
      <c r="I62" s="13"/>
      <c r="J62" s="13"/>
      <c r="K62" s="13"/>
      <c r="L62" s="13"/>
      <c r="M62" s="13"/>
      <c r="N62" s="13"/>
      <c r="O62" s="13"/>
      <c r="P62" s="13"/>
      <c r="Q62" s="13"/>
    </row>
    <row r="63" spans="1:17" x14ac:dyDescent="0.35">
      <c r="B63" s="18" t="s">
        <v>142</v>
      </c>
      <c r="C63" s="18"/>
      <c r="D63" s="18"/>
      <c r="E63" s="18"/>
      <c r="F63" s="18"/>
      <c r="G63" s="18"/>
      <c r="H63" s="18"/>
      <c r="I63" s="18"/>
      <c r="J63" s="18">
        <f>J23</f>
        <v>1</v>
      </c>
      <c r="K63" s="18">
        <f t="shared" ref="K63:Q63" si="31">K23</f>
        <v>2</v>
      </c>
      <c r="L63" s="18">
        <f t="shared" si="31"/>
        <v>3</v>
      </c>
      <c r="M63" s="18">
        <f t="shared" si="31"/>
        <v>4</v>
      </c>
      <c r="N63" s="18">
        <f t="shared" si="31"/>
        <v>5</v>
      </c>
      <c r="O63" s="18">
        <f t="shared" si="31"/>
        <v>6</v>
      </c>
      <c r="P63" s="18">
        <f t="shared" si="31"/>
        <v>7</v>
      </c>
      <c r="Q63" s="18">
        <f t="shared" si="31"/>
        <v>8</v>
      </c>
    </row>
    <row r="64" spans="1:17" x14ac:dyDescent="0.35">
      <c r="B64" s="13" t="s">
        <v>143</v>
      </c>
      <c r="C64" s="13"/>
      <c r="D64" s="13"/>
      <c r="E64" s="13"/>
      <c r="F64" s="13"/>
      <c r="G64" s="13"/>
      <c r="H64" s="13"/>
      <c r="I64" s="13"/>
      <c r="J64" s="86">
        <f>YEARFRAC(B6,B8,)</f>
        <v>6.9444444444444448E-2</v>
      </c>
      <c r="K64" s="86">
        <f>J64+1</f>
        <v>1.0694444444444444</v>
      </c>
      <c r="L64" s="86">
        <f t="shared" ref="L64:Q64" si="32">K64+1</f>
        <v>2.0694444444444446</v>
      </c>
      <c r="M64" s="86">
        <f t="shared" si="32"/>
        <v>3.0694444444444446</v>
      </c>
      <c r="N64" s="86">
        <f t="shared" si="32"/>
        <v>4.0694444444444446</v>
      </c>
      <c r="O64" s="86">
        <f t="shared" si="32"/>
        <v>5.0694444444444446</v>
      </c>
      <c r="P64" s="86">
        <f t="shared" si="32"/>
        <v>6.0694444444444446</v>
      </c>
      <c r="Q64" s="86">
        <f t="shared" si="32"/>
        <v>7.0694444444444446</v>
      </c>
    </row>
    <row r="66" spans="1:18" x14ac:dyDescent="0.35">
      <c r="A66" s="3" t="s">
        <v>4</v>
      </c>
      <c r="B66" s="18" t="s">
        <v>63</v>
      </c>
      <c r="C66" s="18"/>
      <c r="D66" s="52">
        <f t="shared" ref="D66:Q66" si="33">D43+D45+D51-D57</f>
        <v>5891.7759999999998</v>
      </c>
      <c r="E66" s="52">
        <f t="shared" si="33"/>
        <v>4052.2720000000008</v>
      </c>
      <c r="F66" s="52">
        <f t="shared" si="33"/>
        <v>1726.6000000000013</v>
      </c>
      <c r="G66" s="52">
        <f t="shared" si="33"/>
        <v>1413.1000000000004</v>
      </c>
      <c r="H66" s="52">
        <f t="shared" si="33"/>
        <v>1550.6999999999989</v>
      </c>
      <c r="I66" s="52">
        <f t="shared" si="33"/>
        <v>2146.5687424478219</v>
      </c>
      <c r="J66" s="52">
        <f t="shared" ca="1" si="33"/>
        <v>2088.888510004299</v>
      </c>
      <c r="K66" s="52">
        <f t="shared" ca="1" si="33"/>
        <v>1940.6616889324405</v>
      </c>
      <c r="L66" s="52">
        <f t="shared" ca="1" si="33"/>
        <v>2259.0756079488274</v>
      </c>
      <c r="M66" s="52">
        <f t="shared" ca="1" si="33"/>
        <v>2656.5311914796157</v>
      </c>
      <c r="N66" s="52">
        <f t="shared" ca="1" si="33"/>
        <v>3136.3823075122764</v>
      </c>
      <c r="O66" s="52">
        <f t="shared" ca="1" si="33"/>
        <v>3691.2939270843085</v>
      </c>
      <c r="P66" s="52">
        <f t="shared" ca="1" si="33"/>
        <v>4074.8842348226503</v>
      </c>
      <c r="Q66" s="52">
        <f t="shared" ca="1" si="33"/>
        <v>4929.8811416376975</v>
      </c>
    </row>
    <row r="67" spans="1:18" x14ac:dyDescent="0.35">
      <c r="B67" s="96" t="s">
        <v>64</v>
      </c>
      <c r="C67" s="94"/>
      <c r="D67" s="94"/>
      <c r="E67" s="94"/>
      <c r="F67" s="94"/>
      <c r="G67" s="94"/>
      <c r="H67" s="94"/>
      <c r="I67" s="95"/>
      <c r="J67" s="95">
        <f ca="1">J66*(1-$L$13)^J64</f>
        <v>2079.7890078557516</v>
      </c>
      <c r="K67" s="95">
        <f t="shared" ref="K67:Q67" ca="1" si="34">K66*(1-$L$13)^K64</f>
        <v>1814.4779782053631</v>
      </c>
      <c r="L67" s="95">
        <f t="shared" ca="1" si="34"/>
        <v>1983.4921560162325</v>
      </c>
      <c r="M67" s="95">
        <f t="shared" ca="1" si="34"/>
        <v>2190.3448311967995</v>
      </c>
      <c r="N67" s="95">
        <f t="shared" ca="1" si="34"/>
        <v>2428.4234601148323</v>
      </c>
      <c r="O67" s="95">
        <f t="shared" ca="1" si="34"/>
        <v>2683.93444749121</v>
      </c>
      <c r="P67" s="95">
        <f t="shared" ca="1" si="34"/>
        <v>2782.3156792633399</v>
      </c>
      <c r="Q67" s="95">
        <f t="shared" ca="1" si="34"/>
        <v>3161.0067873626517</v>
      </c>
      <c r="R67" s="97"/>
    </row>
    <row r="68" spans="1:18" x14ac:dyDescent="0.35">
      <c r="B68" s="18" t="s">
        <v>121</v>
      </c>
      <c r="C68" s="18"/>
      <c r="D68" s="18"/>
      <c r="E68" s="18"/>
      <c r="F68" s="18"/>
      <c r="G68" s="18"/>
      <c r="H68" s="18"/>
      <c r="I68" s="18"/>
      <c r="J68" s="18"/>
      <c r="K68" s="18"/>
      <c r="L68" s="18"/>
      <c r="M68" s="18"/>
      <c r="N68" s="18"/>
      <c r="O68" s="18"/>
      <c r="P68" s="18"/>
      <c r="Q68" s="52">
        <f ca="1">SUM(J67:Q67)</f>
        <v>19123.784347506182</v>
      </c>
    </row>
    <row r="69" spans="1:18" x14ac:dyDescent="0.35">
      <c r="A69" s="3" t="s">
        <v>4</v>
      </c>
      <c r="B69" s="1" t="s">
        <v>65</v>
      </c>
      <c r="C69" s="1"/>
      <c r="Q69" s="55">
        <f ca="1">(Q66*(1+L14))/(L13-L14)</f>
        <v>108944.09552751234</v>
      </c>
    </row>
    <row r="70" spans="1:18" x14ac:dyDescent="0.35">
      <c r="B70" s="17" t="s">
        <v>66</v>
      </c>
      <c r="C70" s="17"/>
      <c r="D70" s="13"/>
      <c r="E70" s="13"/>
      <c r="F70" s="13"/>
      <c r="G70" s="13"/>
      <c r="H70" s="13"/>
      <c r="I70" s="13"/>
      <c r="J70" s="13"/>
      <c r="K70" s="13"/>
      <c r="L70" s="13"/>
      <c r="M70" s="13"/>
      <c r="N70" s="13"/>
      <c r="O70" s="13"/>
      <c r="P70" s="13"/>
      <c r="Q70" s="76">
        <f ca="1">Q69*(1-L13)^Q23</f>
        <v>65884.994135393121</v>
      </c>
    </row>
    <row r="71" spans="1:18" x14ac:dyDescent="0.35">
      <c r="A71" s="3" t="s">
        <v>4</v>
      </c>
      <c r="B71" s="1" t="s">
        <v>67</v>
      </c>
      <c r="C71" s="1"/>
      <c r="Q71" s="55">
        <f ca="1">Q68+Q70</f>
        <v>85008.778482899303</v>
      </c>
    </row>
    <row r="72" spans="1:18" x14ac:dyDescent="0.35">
      <c r="B72" t="s">
        <v>68</v>
      </c>
      <c r="Q72" s="71">
        <f>3328</f>
        <v>3328</v>
      </c>
    </row>
    <row r="73" spans="1:18" x14ac:dyDescent="0.35">
      <c r="B73" s="13" t="s">
        <v>69</v>
      </c>
      <c r="C73" s="13"/>
      <c r="D73" s="13"/>
      <c r="E73" s="13"/>
      <c r="F73" s="13"/>
      <c r="G73" s="13"/>
      <c r="H73" s="13"/>
      <c r="I73" s="13"/>
      <c r="J73" s="13"/>
      <c r="K73" s="13"/>
      <c r="L73" s="13"/>
      <c r="M73" s="13"/>
      <c r="N73" s="13"/>
      <c r="O73" s="13"/>
      <c r="P73" s="13"/>
      <c r="Q73" s="75">
        <f>5441+1741</f>
        <v>7182</v>
      </c>
    </row>
    <row r="74" spans="1:18" x14ac:dyDescent="0.35">
      <c r="B74" s="1" t="s">
        <v>70</v>
      </c>
      <c r="C74" s="1"/>
      <c r="Q74" s="55">
        <f ca="1">Q71-Q72+Q73</f>
        <v>88862.778482899303</v>
      </c>
    </row>
    <row r="75" spans="1:18" x14ac:dyDescent="0.35">
      <c r="B75" s="13" t="s">
        <v>71</v>
      </c>
      <c r="C75" s="13"/>
      <c r="D75" s="13"/>
      <c r="E75" s="13"/>
      <c r="F75" s="13"/>
      <c r="G75" s="13"/>
      <c r="H75" s="13"/>
      <c r="I75" s="13"/>
      <c r="J75" s="13"/>
      <c r="K75" s="13"/>
      <c r="L75" s="13"/>
      <c r="M75" s="13"/>
      <c r="N75" s="13"/>
      <c r="O75" s="13"/>
      <c r="P75" s="13"/>
      <c r="Q75" s="75">
        <v>123.159116</v>
      </c>
    </row>
    <row r="76" spans="1:18" x14ac:dyDescent="0.35">
      <c r="B76" t="s">
        <v>43</v>
      </c>
      <c r="Q76" s="83">
        <f ca="1">Q74/Q75</f>
        <v>721.52822599749175</v>
      </c>
    </row>
    <row r="77" spans="1:18" x14ac:dyDescent="0.35">
      <c r="Q77" s="53"/>
    </row>
    <row r="78" spans="1:18" x14ac:dyDescent="0.35">
      <c r="Q78" s="53"/>
    </row>
    <row r="79" spans="1:18" x14ac:dyDescent="0.35">
      <c r="Q79" s="53"/>
    </row>
    <row r="80" spans="1:18" x14ac:dyDescent="0.35">
      <c r="Q80" s="53"/>
    </row>
    <row r="81" spans="1:17" x14ac:dyDescent="0.35">
      <c r="A81" s="3" t="s">
        <v>4</v>
      </c>
      <c r="B81" s="6" t="s">
        <v>138</v>
      </c>
      <c r="C81" s="6"/>
      <c r="D81" s="6"/>
      <c r="E81" s="6"/>
      <c r="F81" s="6"/>
      <c r="G81" s="6"/>
      <c r="H81" s="6"/>
      <c r="I81" s="6"/>
      <c r="J81" s="6"/>
      <c r="K81" s="6"/>
      <c r="L81" s="6"/>
      <c r="M81" s="6"/>
      <c r="N81" s="6"/>
      <c r="O81" s="6"/>
      <c r="P81" s="6"/>
      <c r="Q81" s="6"/>
    </row>
    <row r="82" spans="1:17" x14ac:dyDescent="0.35">
      <c r="B82" s="31"/>
      <c r="C82" s="31"/>
      <c r="D82" s="31"/>
      <c r="E82" s="31"/>
      <c r="F82" s="31"/>
      <c r="G82" s="31"/>
      <c r="H82" s="31"/>
      <c r="I82" s="31"/>
      <c r="J82" s="31"/>
      <c r="K82" s="31"/>
      <c r="L82" s="31"/>
      <c r="M82" s="31"/>
      <c r="N82" s="31"/>
      <c r="O82" s="31"/>
      <c r="P82" s="31"/>
      <c r="Q82" s="31"/>
    </row>
    <row r="83" spans="1:17" x14ac:dyDescent="0.35">
      <c r="B83" s="1" t="s">
        <v>141</v>
      </c>
    </row>
    <row r="84" spans="1:17" x14ac:dyDescent="0.35">
      <c r="B84" s="93">
        <f ca="1">Q76</f>
        <v>721.52822599749175</v>
      </c>
      <c r="C84" s="91">
        <v>1.4999999999999999E-2</v>
      </c>
      <c r="D84" s="91">
        <f>C84+0.25%</f>
        <v>1.7499999999999998E-2</v>
      </c>
      <c r="E84" s="91">
        <f t="shared" ref="E84:I84" si="35">D84+0.25%</f>
        <v>1.9999999999999997E-2</v>
      </c>
      <c r="F84" s="91">
        <f t="shared" si="35"/>
        <v>2.2499999999999996E-2</v>
      </c>
      <c r="G84" s="91">
        <f t="shared" si="35"/>
        <v>2.4999999999999994E-2</v>
      </c>
      <c r="H84" s="91">
        <f t="shared" si="35"/>
        <v>2.7499999999999993E-2</v>
      </c>
      <c r="I84" s="92">
        <f t="shared" si="35"/>
        <v>2.9999999999999992E-2</v>
      </c>
      <c r="J84" s="43"/>
    </row>
    <row r="85" spans="1:17" x14ac:dyDescent="0.35">
      <c r="B85" s="89">
        <v>5.0930248303347601E-2</v>
      </c>
      <c r="C85" s="38">
        <f t="dataTable" ref="C85:I91" dt2D="1" dtr="1" r1="P8" r2="L8" ca="1"/>
        <v>843.43894839397626</v>
      </c>
      <c r="D85" s="38">
        <v>887.44893867757116</v>
      </c>
      <c r="E85" s="82">
        <v>937.58329385728837</v>
      </c>
      <c r="F85" s="38">
        <v>995.21600123660596</v>
      </c>
      <c r="G85" s="38">
        <v>1062.1652693518872</v>
      </c>
      <c r="H85" s="38">
        <v>1140.8888398582244</v>
      </c>
      <c r="I85" s="38">
        <v>1234.7922824555224</v>
      </c>
      <c r="J85" s="53"/>
    </row>
    <row r="86" spans="1:17" x14ac:dyDescent="0.35">
      <c r="B86" s="89">
        <v>6.0930248303347603E-2</v>
      </c>
      <c r="C86" s="82">
        <v>666.63295302709048</v>
      </c>
      <c r="D86" s="82">
        <v>692.66372518437765</v>
      </c>
      <c r="E86" s="81">
        <v>721.52822599749175</v>
      </c>
      <c r="F86" s="82">
        <v>753.71581405287793</v>
      </c>
      <c r="G86" s="82">
        <v>789.83540709108661</v>
      </c>
      <c r="H86" s="82">
        <v>830.65437036925607</v>
      </c>
      <c r="I86" s="82">
        <v>877.15363996392352</v>
      </c>
      <c r="J86" s="53"/>
    </row>
    <row r="87" spans="1:17" x14ac:dyDescent="0.35">
      <c r="B87" s="89">
        <v>7.0930248303347598E-2</v>
      </c>
      <c r="C87" s="38">
        <v>548.51446353582094</v>
      </c>
      <c r="D87" s="55">
        <v>565.22486814129888</v>
      </c>
      <c r="E87" s="82">
        <v>583.42913386060957</v>
      </c>
      <c r="F87" s="38">
        <v>603.33695386774207</v>
      </c>
      <c r="G87" s="38">
        <v>625.19919395629245</v>
      </c>
      <c r="H87" s="38">
        <v>649.31851932258235</v>
      </c>
      <c r="I87" s="38">
        <v>676.06349186663101</v>
      </c>
    </row>
    <row r="88" spans="1:17" x14ac:dyDescent="0.35">
      <c r="B88" s="89">
        <v>8.0930248303347593E-2</v>
      </c>
      <c r="C88" s="38">
        <v>464.23965001759007</v>
      </c>
      <c r="D88" s="55">
        <v>475.58494393885326</v>
      </c>
      <c r="E88" s="82">
        <v>487.79063913367645</v>
      </c>
      <c r="F88" s="38">
        <v>500.95846954957352</v>
      </c>
      <c r="G88" s="38">
        <v>515.20686592265633</v>
      </c>
      <c r="H88" s="38">
        <v>530.67452772647232</v>
      </c>
      <c r="I88" s="38">
        <v>547.52495308605899</v>
      </c>
    </row>
    <row r="89" spans="1:17" x14ac:dyDescent="0.35">
      <c r="B89" s="89">
        <v>9.0930248303347588E-2</v>
      </c>
      <c r="C89" s="38">
        <v>401.24439088783669</v>
      </c>
      <c r="D89" s="38">
        <v>409.2665278752159</v>
      </c>
      <c r="E89" s="82">
        <v>417.81692185942023</v>
      </c>
      <c r="F89" s="38">
        <v>426.94952781905454</v>
      </c>
      <c r="G89" s="38">
        <v>436.72590749851128</v>
      </c>
      <c r="H89" s="38">
        <v>447.21661891881746</v>
      </c>
      <c r="I89" s="38">
        <v>458.50292202050457</v>
      </c>
    </row>
    <row r="90" spans="1:17" x14ac:dyDescent="0.35">
      <c r="B90" s="89">
        <v>0.10093024830334758</v>
      </c>
      <c r="C90" s="38">
        <v>352.49199624009981</v>
      </c>
      <c r="D90" s="38">
        <v>358.34134571024248</v>
      </c>
      <c r="E90" s="82">
        <v>364.53104968800238</v>
      </c>
      <c r="F90" s="38">
        <v>371.09170449616465</v>
      </c>
      <c r="G90" s="38">
        <v>378.05768703689301</v>
      </c>
      <c r="H90" s="38">
        <v>385.46775733020553</v>
      </c>
      <c r="I90" s="38">
        <v>393.36578008376205</v>
      </c>
    </row>
    <row r="91" spans="1:17" x14ac:dyDescent="0.35">
      <c r="B91" s="90">
        <v>0.11093024830334758</v>
      </c>
      <c r="C91" s="38">
        <v>313.73495665912452</v>
      </c>
      <c r="D91" s="38">
        <v>318.10346774164015</v>
      </c>
      <c r="E91" s="82">
        <v>322.69967087956996</v>
      </c>
      <c r="F91" s="38">
        <v>327.54184377683333</v>
      </c>
      <c r="G91" s="38">
        <v>332.65027421697221</v>
      </c>
      <c r="H91" s="38">
        <v>338.04754419664386</v>
      </c>
      <c r="I91" s="38">
        <v>343.75886365750728</v>
      </c>
    </row>
    <row r="93" spans="1:17" x14ac:dyDescent="0.35">
      <c r="B93" s="1" t="s">
        <v>144</v>
      </c>
      <c r="H93" s="53"/>
    </row>
    <row r="94" spans="1:17" x14ac:dyDescent="0.35">
      <c r="B94" s="93">
        <f ca="1">H8</f>
        <v>0.87897975520180149</v>
      </c>
      <c r="C94" s="91">
        <v>1.4999999999999999E-2</v>
      </c>
      <c r="D94" s="91">
        <f>C94+0.25%</f>
        <v>1.7499999999999998E-2</v>
      </c>
      <c r="E94" s="91">
        <f t="shared" ref="E94" si="36">D94+0.25%</f>
        <v>1.9999999999999997E-2</v>
      </c>
      <c r="F94" s="91">
        <f t="shared" ref="F94" si="37">E94+0.25%</f>
        <v>2.2499999999999996E-2</v>
      </c>
      <c r="G94" s="91">
        <f t="shared" ref="G94" si="38">F94+0.25%</f>
        <v>2.4999999999999994E-2</v>
      </c>
      <c r="H94" s="91">
        <f t="shared" ref="H94" si="39">G94+0.25%</f>
        <v>2.7499999999999993E-2</v>
      </c>
      <c r="I94" s="92">
        <f t="shared" ref="I94" si="40">H94+0.25%</f>
        <v>2.9999999999999992E-2</v>
      </c>
    </row>
    <row r="95" spans="1:17" x14ac:dyDescent="0.35">
      <c r="B95" s="89">
        <v>5.0930248303347601E-2</v>
      </c>
      <c r="C95" s="44">
        <f t="dataTable" ref="C95:I101" dt2D="1" dtr="1" r1="P8" r2="L8" ca="1"/>
        <v>1.1964555947759798</v>
      </c>
      <c r="D95" s="44">
        <v>1.3110649444728417</v>
      </c>
      <c r="E95" s="87">
        <v>1.4416231610866883</v>
      </c>
      <c r="F95" s="44">
        <v>1.5917083365536615</v>
      </c>
      <c r="G95" s="44">
        <v>1.7660553889372061</v>
      </c>
      <c r="H95" s="44">
        <v>1.9710646871307929</v>
      </c>
      <c r="I95" s="44">
        <v>2.2156049022279229</v>
      </c>
    </row>
    <row r="96" spans="1:17" x14ac:dyDescent="0.35">
      <c r="B96" s="89">
        <v>6.0930248303347603E-2</v>
      </c>
      <c r="C96" s="87">
        <v>0.73602331517471486</v>
      </c>
      <c r="D96" s="87">
        <v>0.80381178433431688</v>
      </c>
      <c r="E96" s="88">
        <v>0.87897975520180149</v>
      </c>
      <c r="F96" s="87">
        <v>0.96280159909603635</v>
      </c>
      <c r="G96" s="87">
        <v>1.0568630392997047</v>
      </c>
      <c r="H96" s="87">
        <v>1.1631624228366042</v>
      </c>
      <c r="I96" s="87">
        <v>1.284254270739384</v>
      </c>
    </row>
    <row r="97" spans="2:9" x14ac:dyDescent="0.35">
      <c r="B97" s="89">
        <v>7.0930248303347598E-2</v>
      </c>
      <c r="C97" s="44">
        <v>0.42842308212453362</v>
      </c>
      <c r="D97" s="44">
        <v>0.47193976078463251</v>
      </c>
      <c r="E97" s="87">
        <v>0.51934670276200401</v>
      </c>
      <c r="F97" s="44">
        <v>0.5711899840305783</v>
      </c>
      <c r="G97" s="44">
        <v>0.62812290092784484</v>
      </c>
      <c r="H97" s="44">
        <v>0.69093364406922486</v>
      </c>
      <c r="I97" s="44">
        <v>0.76058201006935167</v>
      </c>
    </row>
    <row r="98" spans="2:9" x14ac:dyDescent="0.35">
      <c r="B98" s="89">
        <v>8.0930248303347593E-2</v>
      </c>
      <c r="C98" s="44">
        <v>0.20895742192080746</v>
      </c>
      <c r="D98" s="44">
        <v>0.2385024581740971</v>
      </c>
      <c r="E98" s="87">
        <v>0.27028812274394909</v>
      </c>
      <c r="F98" s="44">
        <v>0.30457934778534779</v>
      </c>
      <c r="G98" s="44">
        <v>0.34168454667358428</v>
      </c>
      <c r="H98" s="44">
        <v>0.381964915954355</v>
      </c>
      <c r="I98" s="44">
        <v>0.4258462319949452</v>
      </c>
    </row>
    <row r="99" spans="2:9" x14ac:dyDescent="0.35">
      <c r="B99" s="89">
        <v>9.0930248303347588E-2</v>
      </c>
      <c r="C99" s="44">
        <v>4.490726793707478E-2</v>
      </c>
      <c r="D99" s="44">
        <v>6.5798249675041331E-2</v>
      </c>
      <c r="E99" s="87">
        <v>8.8064900675573599E-2</v>
      </c>
      <c r="F99" s="44">
        <v>0.11184772869545445</v>
      </c>
      <c r="G99" s="44">
        <v>0.13730705077737304</v>
      </c>
      <c r="H99" s="44">
        <v>0.16462661176775373</v>
      </c>
      <c r="I99" s="44">
        <v>0.19401802609506391</v>
      </c>
    </row>
    <row r="100" spans="2:9" x14ac:dyDescent="0.35">
      <c r="B100" s="89">
        <v>0.10093024830334758</v>
      </c>
      <c r="C100" s="44">
        <v>-8.2052093124740044E-2</v>
      </c>
      <c r="D100" s="44">
        <v>-6.6819412212910212E-2</v>
      </c>
      <c r="E100" s="87">
        <v>-5.070039143749383E-2</v>
      </c>
      <c r="F100" s="44">
        <v>-3.361535287457118E-2</v>
      </c>
      <c r="G100" s="44">
        <v>-1.5474773341424441E-2</v>
      </c>
      <c r="H100" s="44">
        <v>3.8222847140769733E-3</v>
      </c>
      <c r="I100" s="44">
        <v>2.4390052301463738E-2</v>
      </c>
    </row>
    <row r="101" spans="2:9" x14ac:dyDescent="0.35">
      <c r="B101" s="90">
        <v>0.11093024830334758</v>
      </c>
      <c r="C101" s="44">
        <v>-0.18298188370019652</v>
      </c>
      <c r="D101" s="44">
        <v>-0.17160555275614542</v>
      </c>
      <c r="E101" s="87">
        <v>-0.15963627375111988</v>
      </c>
      <c r="F101" s="44">
        <v>-0.14702644849782986</v>
      </c>
      <c r="G101" s="44">
        <v>-0.13372324422663484</v>
      </c>
      <c r="H101" s="44">
        <v>-0.11966785365457333</v>
      </c>
      <c r="I101" s="44">
        <v>-0.10479462589190813</v>
      </c>
    </row>
  </sheetData>
  <dataValidations count="1">
    <dataValidation type="list" allowBlank="1" showInputMessage="1" showErrorMessage="1" sqref="D12:D17 H12:H13" xr:uid="{807E7D49-B766-2A42-BD91-6800DBC67CEB}">
      <formula1>"1,2,3"</formula1>
    </dataValidation>
  </dataValidations>
  <pageMargins left="0.25" right="0.25" top="0.75" bottom="0.75" header="0.3" footer="0.3"/>
  <pageSetup paperSize="9" scale="46" fitToWidth="0" orientation="portrait" r:id="rId1"/>
  <ignoredErrors>
    <ignoredError sqref="J40:Q40"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8CF6-10B9-3347-BBC4-7C007F35C196}">
  <sheetPr>
    <pageSetUpPr fitToPage="1"/>
  </sheetPr>
  <dimension ref="A1:AB70"/>
  <sheetViews>
    <sheetView showGridLines="0" zoomScale="70" zoomScaleNormal="70" workbookViewId="0">
      <pane xSplit="4" topLeftCell="E1" activePane="topRight" state="frozen"/>
      <selection activeCell="E9" sqref="E9"/>
      <selection pane="topRight" activeCell="A6" sqref="A6"/>
    </sheetView>
  </sheetViews>
  <sheetFormatPr baseColWidth="10" defaultRowHeight="15.5" x14ac:dyDescent="0.35"/>
  <cols>
    <col min="1" max="1" width="5.83203125" style="4" customWidth="1"/>
    <col min="11" max="11" width="14.75" bestFit="1" customWidth="1"/>
  </cols>
  <sheetData>
    <row r="1" spans="1:25" x14ac:dyDescent="0.35">
      <c r="A1" s="1" t="s">
        <v>0</v>
      </c>
    </row>
    <row r="2" spans="1:25" x14ac:dyDescent="0.35">
      <c r="A2" s="1" t="s">
        <v>1</v>
      </c>
    </row>
    <row r="3" spans="1:25" x14ac:dyDescent="0.35">
      <c r="A3" s="98">
        <f>DCF!B6</f>
        <v>45266</v>
      </c>
      <c r="B3" s="98"/>
    </row>
    <row r="4" spans="1:25" x14ac:dyDescent="0.35">
      <c r="A4"/>
      <c r="E4" s="7" t="s">
        <v>16</v>
      </c>
      <c r="F4" s="7" t="s">
        <v>16</v>
      </c>
      <c r="G4" s="7" t="s">
        <v>16</v>
      </c>
      <c r="H4" s="7" t="s">
        <v>16</v>
      </c>
      <c r="I4" s="7" t="s">
        <v>16</v>
      </c>
      <c r="J4" s="7" t="s">
        <v>16</v>
      </c>
      <c r="K4" s="7" t="s">
        <v>17</v>
      </c>
      <c r="L4" s="7" t="s">
        <v>17</v>
      </c>
      <c r="M4" s="7" t="s">
        <v>17</v>
      </c>
      <c r="N4" s="7" t="s">
        <v>17</v>
      </c>
      <c r="O4" s="7" t="s">
        <v>17</v>
      </c>
      <c r="P4" s="7" t="s">
        <v>17</v>
      </c>
      <c r="Q4" s="7" t="s">
        <v>17</v>
      </c>
      <c r="R4" s="7" t="s">
        <v>17</v>
      </c>
      <c r="U4" t="s">
        <v>146</v>
      </c>
      <c r="V4" t="s">
        <v>147</v>
      </c>
    </row>
    <row r="5" spans="1:25" x14ac:dyDescent="0.35">
      <c r="A5" s="5"/>
      <c r="B5" s="6"/>
      <c r="C5" s="6"/>
      <c r="D5" s="6"/>
      <c r="E5" s="6">
        <f>F5-1</f>
        <v>2017</v>
      </c>
      <c r="F5" s="6">
        <v>2018</v>
      </c>
      <c r="G5" s="6">
        <v>2019</v>
      </c>
      <c r="H5" s="6">
        <v>2020</v>
      </c>
      <c r="I5" s="6">
        <v>2021</v>
      </c>
      <c r="J5" s="6">
        <v>2022</v>
      </c>
      <c r="K5" s="6">
        <f>J5+1</f>
        <v>2023</v>
      </c>
      <c r="L5" s="6">
        <f t="shared" ref="L5:R5" si="0">K5+1</f>
        <v>2024</v>
      </c>
      <c r="M5" s="6">
        <f t="shared" si="0"/>
        <v>2025</v>
      </c>
      <c r="N5" s="6">
        <f t="shared" si="0"/>
        <v>2026</v>
      </c>
      <c r="O5" s="6">
        <f t="shared" si="0"/>
        <v>2027</v>
      </c>
      <c r="P5" s="6">
        <f t="shared" si="0"/>
        <v>2028</v>
      </c>
      <c r="Q5" s="6">
        <f t="shared" si="0"/>
        <v>2029</v>
      </c>
      <c r="R5" s="6">
        <f t="shared" si="0"/>
        <v>2030</v>
      </c>
    </row>
    <row r="6" spans="1:25" x14ac:dyDescent="0.35">
      <c r="A6" s="3" t="s">
        <v>4</v>
      </c>
      <c r="B6" s="1" t="s">
        <v>2</v>
      </c>
      <c r="E6" s="38">
        <f t="shared" ref="E6:I6" si="1">SUM(E9,E11,E13,E17,E15,E19)</f>
        <v>10815.1</v>
      </c>
      <c r="F6" s="38">
        <f t="shared" si="1"/>
        <v>13665.2</v>
      </c>
      <c r="G6" s="38">
        <f t="shared" si="1"/>
        <v>15883.5</v>
      </c>
      <c r="H6" s="38">
        <f t="shared" si="1"/>
        <v>13100.2</v>
      </c>
      <c r="I6" s="38">
        <f t="shared" si="1"/>
        <v>17645</v>
      </c>
      <c r="J6" s="38">
        <f>SUM(J9,J11,J13,J17,J15,J19)</f>
        <v>20351</v>
      </c>
      <c r="K6" s="39">
        <f>SUM(K9,K11,K13,K17,K15,K19)</f>
        <v>20180.5</v>
      </c>
      <c r="L6" s="39">
        <f t="shared" ref="L6:R6" si="2">SUM(L9,L11,L13,L17,L15,L19)</f>
        <v>22884.4040952381</v>
      </c>
      <c r="M6" s="39">
        <f t="shared" si="2"/>
        <v>25590.79668470129</v>
      </c>
      <c r="N6" s="39">
        <f t="shared" si="2"/>
        <v>28179.663875769213</v>
      </c>
      <c r="O6" s="39">
        <f t="shared" si="2"/>
        <v>30510.234568840391</v>
      </c>
      <c r="P6" s="39">
        <f t="shared" si="2"/>
        <v>32433.62344069418</v>
      </c>
      <c r="Q6" s="39">
        <f t="shared" si="2"/>
        <v>33811.195343398329</v>
      </c>
      <c r="R6" s="39">
        <f t="shared" si="2"/>
        <v>34535.641840066462</v>
      </c>
      <c r="U6" s="38">
        <f t="shared" ref="U6:Y6" si="3">SUM(U9,U11,U13,U17,U15,U19)</f>
        <v>9930</v>
      </c>
      <c r="V6" s="38">
        <f t="shared" si="3"/>
        <v>10135</v>
      </c>
      <c r="X6" s="38">
        <f t="shared" si="3"/>
        <v>5137</v>
      </c>
      <c r="Y6" s="38">
        <f t="shared" si="3"/>
        <v>4464</v>
      </c>
    </row>
    <row r="7" spans="1:25" x14ac:dyDescent="0.35">
      <c r="B7" s="2" t="s">
        <v>3</v>
      </c>
      <c r="F7" s="26">
        <f>F6/E6-1</f>
        <v>0.26352969459367004</v>
      </c>
      <c r="G7" s="26">
        <f>G6/F6-1</f>
        <v>0.16233205514738169</v>
      </c>
      <c r="H7" s="26">
        <f t="shared" ref="H7:I7" si="4">H6/G6-1</f>
        <v>-0.17523215915887547</v>
      </c>
      <c r="I7" s="26">
        <f t="shared" si="4"/>
        <v>0.34692600112975369</v>
      </c>
      <c r="J7" s="26">
        <f>J6/I6-1</f>
        <v>0.15335789175403791</v>
      </c>
      <c r="K7" s="27">
        <f t="shared" ref="K7:R7" si="5">K6/J6-1</f>
        <v>-8.3779666846838241E-3</v>
      </c>
      <c r="L7" s="27">
        <f t="shared" si="5"/>
        <v>0.13398598128084527</v>
      </c>
      <c r="M7" s="27">
        <f t="shared" si="5"/>
        <v>0.11826362522703171</v>
      </c>
      <c r="N7" s="27">
        <f t="shared" si="5"/>
        <v>0.10116399356240446</v>
      </c>
      <c r="O7" s="27">
        <f t="shared" si="5"/>
        <v>8.2703991905139773E-2</v>
      </c>
      <c r="P7" s="27">
        <f t="shared" si="5"/>
        <v>6.3040776284890132E-2</v>
      </c>
      <c r="Q7" s="27">
        <f t="shared" si="5"/>
        <v>4.2473573920073449E-2</v>
      </c>
      <c r="R7" s="27">
        <f t="shared" si="5"/>
        <v>2.1426231439332533E-2</v>
      </c>
      <c r="U7" s="47"/>
      <c r="V7" s="35">
        <f>V6/U6-1</f>
        <v>2.0644511581067393E-2</v>
      </c>
      <c r="X7" s="13"/>
      <c r="Y7" s="35">
        <f>Y6/X6-1</f>
        <v>-0.13101031730582047</v>
      </c>
    </row>
    <row r="8" spans="1:25" x14ac:dyDescent="0.35">
      <c r="B8" s="2"/>
      <c r="F8" s="26"/>
      <c r="G8" s="26"/>
      <c r="H8" s="26"/>
      <c r="I8" s="26"/>
      <c r="J8" s="26"/>
      <c r="K8" s="27"/>
      <c r="L8" s="27"/>
      <c r="M8" s="27"/>
      <c r="N8" s="27"/>
      <c r="O8" s="27"/>
      <c r="P8" s="27"/>
      <c r="Q8" s="27"/>
      <c r="R8" s="27"/>
    </row>
    <row r="9" spans="1:25" x14ac:dyDescent="0.35">
      <c r="B9" s="33" t="s">
        <v>114</v>
      </c>
      <c r="E9" s="38">
        <v>6211</v>
      </c>
      <c r="F9" s="38">
        <v>8285</v>
      </c>
      <c r="G9" s="38">
        <v>9628.4</v>
      </c>
      <c r="H9" s="38">
        <v>7440.6</v>
      </c>
      <c r="I9" s="38">
        <v>9731</v>
      </c>
      <c r="J9" s="38">
        <v>10487</v>
      </c>
      <c r="K9" s="39">
        <f>V9+Y9+Y9*1.2</f>
        <v>10005.4</v>
      </c>
      <c r="L9" s="39">
        <f t="shared" ref="L9:R9" si="6">K9*(1+L10)</f>
        <v>11005.94</v>
      </c>
      <c r="M9" s="39">
        <f t="shared" si="6"/>
        <v>11959.054404</v>
      </c>
      <c r="N9" s="39">
        <f t="shared" si="6"/>
        <v>12834.4571863728</v>
      </c>
      <c r="O9" s="39">
        <f t="shared" si="6"/>
        <v>13601.957726117895</v>
      </c>
      <c r="P9" s="39">
        <f t="shared" si="6"/>
        <v>14233.088564609765</v>
      </c>
      <c r="Q9" s="39">
        <f t="shared" si="6"/>
        <v>14702.780487241886</v>
      </c>
      <c r="R9" s="39">
        <f t="shared" si="6"/>
        <v>14990.954984791828</v>
      </c>
      <c r="U9" s="38">
        <v>5173</v>
      </c>
      <c r="V9" s="38">
        <v>5128</v>
      </c>
      <c r="X9" s="38">
        <v>2581</v>
      </c>
      <c r="Y9" s="38">
        <v>2217</v>
      </c>
    </row>
    <row r="10" spans="1:25" x14ac:dyDescent="0.35">
      <c r="B10" s="34" t="s">
        <v>3</v>
      </c>
      <c r="C10" s="13"/>
      <c r="D10" s="13"/>
      <c r="E10" s="13"/>
      <c r="F10" s="35">
        <f>F9/E9-1</f>
        <v>0.33392368378682979</v>
      </c>
      <c r="G10" s="35">
        <f t="shared" ref="G10:K10" si="7">G9/F9-1</f>
        <v>0.16214846107423053</v>
      </c>
      <c r="H10" s="35">
        <f t="shared" si="7"/>
        <v>-0.22722363009430424</v>
      </c>
      <c r="I10" s="35">
        <f t="shared" si="7"/>
        <v>0.30782463779802693</v>
      </c>
      <c r="J10" s="35">
        <f t="shared" si="7"/>
        <v>7.7689857157537734E-2</v>
      </c>
      <c r="K10" s="36">
        <f t="shared" si="7"/>
        <v>-4.592352436349767E-2</v>
      </c>
      <c r="L10" s="36">
        <v>0.1</v>
      </c>
      <c r="M10" s="36">
        <f>L10-1.34%</f>
        <v>8.660000000000001E-2</v>
      </c>
      <c r="N10" s="36">
        <f t="shared" ref="N10:R10" si="8">M10-1.34%</f>
        <v>7.3200000000000015E-2</v>
      </c>
      <c r="O10" s="36">
        <f t="shared" si="8"/>
        <v>5.9800000000000013E-2</v>
      </c>
      <c r="P10" s="36">
        <f t="shared" si="8"/>
        <v>4.6400000000000011E-2</v>
      </c>
      <c r="Q10" s="36">
        <f t="shared" si="8"/>
        <v>3.3000000000000008E-2</v>
      </c>
      <c r="R10" s="36">
        <f t="shared" si="8"/>
        <v>1.9600000000000006E-2</v>
      </c>
      <c r="U10" s="13"/>
      <c r="V10" s="35">
        <f>V9/U9-1</f>
        <v>-8.6990141117340158E-3</v>
      </c>
      <c r="X10" s="13"/>
      <c r="Y10" s="35">
        <f>Y9/X9-1</f>
        <v>-0.14103060829135994</v>
      </c>
    </row>
    <row r="11" spans="1:25" x14ac:dyDescent="0.35">
      <c r="B11" s="33" t="s">
        <v>115</v>
      </c>
      <c r="E11" s="38">
        <v>1502</v>
      </c>
      <c r="F11" s="38">
        <v>1744</v>
      </c>
      <c r="G11" s="38">
        <v>2049.1</v>
      </c>
      <c r="H11" s="38">
        <v>1744.4</v>
      </c>
      <c r="I11" s="38">
        <v>2521</v>
      </c>
      <c r="J11" s="38">
        <v>3300</v>
      </c>
      <c r="K11" s="39">
        <f>V11+Y11+Y11*1.3</f>
        <v>3342.4</v>
      </c>
      <c r="L11" s="39">
        <f t="shared" ref="L11:R11" si="9">K11*(1+L12)</f>
        <v>3843.7599999999998</v>
      </c>
      <c r="M11" s="39">
        <f t="shared" si="9"/>
        <v>4343.4487999999992</v>
      </c>
      <c r="N11" s="39">
        <f t="shared" si="9"/>
        <v>4821.2281679999996</v>
      </c>
      <c r="O11" s="39">
        <f t="shared" si="9"/>
        <v>5255.1387031200002</v>
      </c>
      <c r="P11" s="39">
        <f t="shared" si="9"/>
        <v>5622.9984123384002</v>
      </c>
      <c r="Q11" s="39">
        <f t="shared" si="9"/>
        <v>5904.1483329553203</v>
      </c>
      <c r="R11" s="39">
        <f t="shared" si="9"/>
        <v>6081.27278294398</v>
      </c>
      <c r="U11" s="38">
        <v>1481</v>
      </c>
      <c r="V11" s="38">
        <v>1576</v>
      </c>
      <c r="X11" s="38">
        <v>916</v>
      </c>
      <c r="Y11" s="38">
        <v>768</v>
      </c>
    </row>
    <row r="12" spans="1:25" x14ac:dyDescent="0.35">
      <c r="B12" s="34" t="s">
        <v>3</v>
      </c>
      <c r="C12" s="13"/>
      <c r="D12" s="13"/>
      <c r="E12" s="13"/>
      <c r="F12" s="35">
        <f>F11/E11-1</f>
        <v>0.16111850865512656</v>
      </c>
      <c r="G12" s="35">
        <f t="shared" ref="G12" si="10">G11/F11-1</f>
        <v>0.17494266055045871</v>
      </c>
      <c r="H12" s="35">
        <f t="shared" ref="H12" si="11">H11/G11-1</f>
        <v>-0.14869942901761746</v>
      </c>
      <c r="I12" s="35">
        <f t="shared" ref="I12" si="12">I11/H11-1</f>
        <v>0.44519605595046996</v>
      </c>
      <c r="J12" s="35">
        <f t="shared" ref="J12:K18" si="13">J11/I11-1</f>
        <v>0.30900436334787784</v>
      </c>
      <c r="K12" s="36">
        <f t="shared" si="13"/>
        <v>1.2848484848484887E-2</v>
      </c>
      <c r="L12" s="36">
        <v>0.15</v>
      </c>
      <c r="M12" s="36">
        <f t="shared" ref="M12:R12" si="14">L12-2%</f>
        <v>0.13</v>
      </c>
      <c r="N12" s="36">
        <f t="shared" si="14"/>
        <v>0.11</v>
      </c>
      <c r="O12" s="36">
        <f t="shared" si="14"/>
        <v>0.09</v>
      </c>
      <c r="P12" s="36">
        <f t="shared" si="14"/>
        <v>6.9999999999999993E-2</v>
      </c>
      <c r="Q12" s="36">
        <f t="shared" si="14"/>
        <v>4.9999999999999989E-2</v>
      </c>
      <c r="R12" s="36">
        <f t="shared" si="14"/>
        <v>2.9999999999999988E-2</v>
      </c>
      <c r="U12" s="13"/>
      <c r="V12" s="35">
        <f>V11/U11-1</f>
        <v>6.4145847400405076E-2</v>
      </c>
      <c r="X12" s="13"/>
      <c r="Y12" s="35">
        <f>Y11/X11-1</f>
        <v>-0.16157205240174677</v>
      </c>
    </row>
    <row r="13" spans="1:25" x14ac:dyDescent="0.35">
      <c r="B13" s="33" t="s">
        <v>116</v>
      </c>
      <c r="E13" s="38">
        <v>1176</v>
      </c>
      <c r="F13" s="38">
        <v>1109</v>
      </c>
      <c r="G13" s="38">
        <v>1167.5999999999999</v>
      </c>
      <c r="H13" s="38">
        <v>1210.3</v>
      </c>
      <c r="I13" s="38">
        <v>1503</v>
      </c>
      <c r="J13" s="38">
        <v>1740</v>
      </c>
      <c r="K13" s="39">
        <f>V13+Y13+Y13*1.3</f>
        <v>1709.3</v>
      </c>
      <c r="L13" s="39">
        <f t="shared" ref="L13:R13" si="15">K13*(1+L14)</f>
        <v>1846.0440000000001</v>
      </c>
      <c r="M13" s="39">
        <f t="shared" si="15"/>
        <v>1975.2670800000003</v>
      </c>
      <c r="N13" s="39">
        <f t="shared" si="15"/>
        <v>2093.7831048000003</v>
      </c>
      <c r="O13" s="39">
        <f t="shared" si="15"/>
        <v>2198.4722600400005</v>
      </c>
      <c r="P13" s="39">
        <f t="shared" si="15"/>
        <v>2286.4111504416005</v>
      </c>
      <c r="Q13" s="39">
        <f t="shared" si="15"/>
        <v>2355.0034849548488</v>
      </c>
      <c r="R13" s="39">
        <f t="shared" si="15"/>
        <v>2402.1035546539456</v>
      </c>
      <c r="U13" s="38">
        <v>834</v>
      </c>
      <c r="V13" s="38">
        <v>833</v>
      </c>
      <c r="X13" s="38">
        <v>437</v>
      </c>
      <c r="Y13" s="38">
        <v>381</v>
      </c>
    </row>
    <row r="14" spans="1:25" x14ac:dyDescent="0.35">
      <c r="B14" s="34" t="s">
        <v>3</v>
      </c>
      <c r="C14" s="13"/>
      <c r="D14" s="13"/>
      <c r="E14" s="13"/>
      <c r="F14" s="35">
        <f>F13/E13-1</f>
        <v>-5.6972789115646294E-2</v>
      </c>
      <c r="G14" s="35">
        <f t="shared" ref="G14" si="16">G13/F13-1</f>
        <v>5.2840396753832231E-2</v>
      </c>
      <c r="H14" s="35">
        <f t="shared" ref="H14" si="17">H13/G13-1</f>
        <v>3.6570743405275774E-2</v>
      </c>
      <c r="I14" s="35">
        <f t="shared" ref="I14" si="18">I13/H13-1</f>
        <v>0.24184086590101628</v>
      </c>
      <c r="J14" s="35">
        <f t="shared" ref="J14" si="19">J13/I13-1</f>
        <v>0.1576846307385229</v>
      </c>
      <c r="K14" s="36">
        <f t="shared" si="13"/>
        <v>-1.7643678160919607E-2</v>
      </c>
      <c r="L14" s="36">
        <v>0.08</v>
      </c>
      <c r="M14" s="36">
        <f t="shared" ref="M14:R14" si="20">L14-1%</f>
        <v>7.0000000000000007E-2</v>
      </c>
      <c r="N14" s="36">
        <f t="shared" si="20"/>
        <v>6.0000000000000005E-2</v>
      </c>
      <c r="O14" s="36">
        <f t="shared" si="20"/>
        <v>0.05</v>
      </c>
      <c r="P14" s="36">
        <f t="shared" si="20"/>
        <v>0.04</v>
      </c>
      <c r="Q14" s="36">
        <f t="shared" si="20"/>
        <v>0.03</v>
      </c>
      <c r="R14" s="36">
        <f t="shared" si="20"/>
        <v>1.9999999999999997E-2</v>
      </c>
      <c r="U14" s="13"/>
      <c r="V14" s="35">
        <f>V13/U13-1</f>
        <v>-1.1990407673860837E-3</v>
      </c>
      <c r="X14" s="13"/>
      <c r="Y14" s="35">
        <f>Y13/X13-1</f>
        <v>-0.12814645308924488</v>
      </c>
    </row>
    <row r="15" spans="1:25" x14ac:dyDescent="0.35">
      <c r="B15" s="37" t="s">
        <v>117</v>
      </c>
      <c r="C15" s="10"/>
      <c r="D15" s="10"/>
      <c r="E15" s="38">
        <v>1624</v>
      </c>
      <c r="F15" s="38">
        <v>2109</v>
      </c>
      <c r="G15" s="38">
        <v>2537.5</v>
      </c>
      <c r="H15" s="38">
        <v>2281.3000000000002</v>
      </c>
      <c r="I15" s="38">
        <v>3285</v>
      </c>
      <c r="J15" s="38">
        <v>3874</v>
      </c>
      <c r="K15" s="39">
        <f>V15+Y15+Y15*1.3</f>
        <v>3707.5</v>
      </c>
      <c r="L15" s="39">
        <f t="shared" ref="L15:R15" si="21">K15*(1+L16)</f>
        <v>4263.625</v>
      </c>
      <c r="M15" s="39">
        <f t="shared" si="21"/>
        <v>4817.8962499999998</v>
      </c>
      <c r="N15" s="39">
        <f t="shared" si="21"/>
        <v>5347.8648375000002</v>
      </c>
      <c r="O15" s="39">
        <f t="shared" si="21"/>
        <v>5829.1726728750009</v>
      </c>
      <c r="P15" s="39">
        <f t="shared" si="21"/>
        <v>6237.2147599762511</v>
      </c>
      <c r="Q15" s="39">
        <f t="shared" si="21"/>
        <v>6549.0754979750636</v>
      </c>
      <c r="R15" s="39">
        <f t="shared" si="21"/>
        <v>6745.5477629143161</v>
      </c>
      <c r="U15" s="38">
        <v>1955</v>
      </c>
      <c r="V15" s="38">
        <v>1856</v>
      </c>
      <c r="X15" s="38">
        <v>995</v>
      </c>
      <c r="Y15" s="38">
        <v>805</v>
      </c>
    </row>
    <row r="16" spans="1:25" x14ac:dyDescent="0.35">
      <c r="B16" s="34" t="s">
        <v>3</v>
      </c>
      <c r="C16" s="13"/>
      <c r="D16" s="13"/>
      <c r="E16" s="13"/>
      <c r="F16" s="35">
        <f>F15/E15-1</f>
        <v>0.29864532019704426</v>
      </c>
      <c r="G16" s="35">
        <f t="shared" ref="G16" si="22">G15/F15-1</f>
        <v>0.20317686107159783</v>
      </c>
      <c r="H16" s="35">
        <f t="shared" ref="H16" si="23">H15/G15-1</f>
        <v>-0.10096551724137925</v>
      </c>
      <c r="I16" s="35">
        <f t="shared" ref="I16" si="24">I15/H15-1</f>
        <v>0.43996843904791105</v>
      </c>
      <c r="J16" s="35">
        <f t="shared" ref="J16" si="25">J15/I15-1</f>
        <v>0.17929984779299857</v>
      </c>
      <c r="K16" s="36">
        <f t="shared" si="13"/>
        <v>-4.2978833247289572E-2</v>
      </c>
      <c r="L16" s="36">
        <v>0.15</v>
      </c>
      <c r="M16" s="36">
        <f t="shared" ref="M16:R16" si="26">L16-2%</f>
        <v>0.13</v>
      </c>
      <c r="N16" s="36">
        <f t="shared" si="26"/>
        <v>0.11</v>
      </c>
      <c r="O16" s="36">
        <f t="shared" si="26"/>
        <v>0.09</v>
      </c>
      <c r="P16" s="36">
        <f t="shared" si="26"/>
        <v>6.9999999999999993E-2</v>
      </c>
      <c r="Q16" s="36">
        <f t="shared" si="26"/>
        <v>4.9999999999999989E-2</v>
      </c>
      <c r="R16" s="36">
        <f t="shared" si="26"/>
        <v>2.9999999999999988E-2</v>
      </c>
      <c r="S16" s="43"/>
      <c r="U16" s="13"/>
      <c r="V16" s="35">
        <f>V15/U15-1</f>
        <v>-5.063938618925834E-2</v>
      </c>
      <c r="X16" s="13"/>
      <c r="Y16" s="35">
        <f>Y15/X15-1</f>
        <v>-0.19095477386934678</v>
      </c>
    </row>
    <row r="17" spans="1:28" x14ac:dyDescent="0.35">
      <c r="B17" s="33" t="s">
        <v>118</v>
      </c>
      <c r="E17" s="38">
        <v>302.10000000000002</v>
      </c>
      <c r="F17" s="38">
        <v>418.2</v>
      </c>
      <c r="G17" s="38">
        <v>500.9</v>
      </c>
      <c r="H17" s="38">
        <v>423.6</v>
      </c>
      <c r="I17" s="38">
        <v>733</v>
      </c>
      <c r="J17" s="38">
        <v>1139</v>
      </c>
      <c r="K17" s="39">
        <f>V17+Y17+Y17*1.3</f>
        <v>1634.9</v>
      </c>
      <c r="L17" s="39">
        <f t="shared" ref="L17:R17" si="27">K17*(1+L18)</f>
        <v>2174.4170000000004</v>
      </c>
      <c r="M17" s="39">
        <f t="shared" si="27"/>
        <v>2774.1212086000005</v>
      </c>
      <c r="N17" s="39">
        <f t="shared" si="27"/>
        <v>3388.8664684257606</v>
      </c>
      <c r="O17" s="39">
        <f t="shared" si="27"/>
        <v>3956.162715240233</v>
      </c>
      <c r="P17" s="39">
        <f t="shared" si="27"/>
        <v>4404.0003346054273</v>
      </c>
      <c r="Q17" s="39">
        <f t="shared" si="27"/>
        <v>4663.8363543471478</v>
      </c>
      <c r="R17" s="39">
        <f t="shared" si="27"/>
        <v>4686.2227688480143</v>
      </c>
      <c r="U17" s="38">
        <v>591</v>
      </c>
      <c r="V17" s="38">
        <v>869</v>
      </c>
      <c r="X17" s="38">
        <v>253</v>
      </c>
      <c r="Y17" s="38">
        <v>333</v>
      </c>
    </row>
    <row r="18" spans="1:28" x14ac:dyDescent="0.35">
      <c r="B18" s="34" t="s">
        <v>3</v>
      </c>
      <c r="C18" s="13"/>
      <c r="D18" s="13"/>
      <c r="E18" s="13"/>
      <c r="F18" s="35">
        <f>F17/E17-1</f>
        <v>0.38430983118172768</v>
      </c>
      <c r="G18" s="35">
        <f t="shared" ref="G18:J18" si="28">G17/F17-1</f>
        <v>0.19775227164036346</v>
      </c>
      <c r="H18" s="35">
        <f t="shared" si="28"/>
        <v>-0.15432222000399276</v>
      </c>
      <c r="I18" s="35">
        <f t="shared" si="28"/>
        <v>0.73040604343720483</v>
      </c>
      <c r="J18" s="35">
        <f t="shared" si="28"/>
        <v>0.55388813096862211</v>
      </c>
      <c r="K18" s="36">
        <f t="shared" si="13"/>
        <v>0.43538191395961379</v>
      </c>
      <c r="L18" s="36">
        <v>0.33</v>
      </c>
      <c r="M18" s="36">
        <f t="shared" ref="M18:R18" si="29">L18-5.42%</f>
        <v>0.27580000000000005</v>
      </c>
      <c r="N18" s="36">
        <f t="shared" si="29"/>
        <v>0.22160000000000005</v>
      </c>
      <c r="O18" s="36">
        <f t="shared" si="29"/>
        <v>0.16740000000000005</v>
      </c>
      <c r="P18" s="36">
        <f t="shared" si="29"/>
        <v>0.11320000000000005</v>
      </c>
      <c r="Q18" s="36">
        <f t="shared" si="29"/>
        <v>5.9000000000000052E-2</v>
      </c>
      <c r="R18" s="36">
        <f t="shared" si="29"/>
        <v>4.8000000000000542E-3</v>
      </c>
      <c r="T18" s="43"/>
      <c r="U18" s="13"/>
      <c r="V18" s="35">
        <f>V17/U17-1</f>
        <v>0.47038917089678511</v>
      </c>
      <c r="X18" s="13"/>
      <c r="Y18" s="35">
        <f>Y17/X17-1</f>
        <v>0.3162055335968379</v>
      </c>
    </row>
    <row r="19" spans="1:28" x14ac:dyDescent="0.35">
      <c r="B19" s="33" t="s">
        <v>119</v>
      </c>
      <c r="E19" s="38">
        <v>0</v>
      </c>
      <c r="F19" s="38">
        <v>0</v>
      </c>
      <c r="G19" s="38">
        <v>0</v>
      </c>
      <c r="H19" s="38">
        <v>0</v>
      </c>
      <c r="I19" s="38">
        <v>-128</v>
      </c>
      <c r="J19" s="38">
        <v>-189</v>
      </c>
      <c r="K19" s="38">
        <f>V19+Y19+Y19*1.3</f>
        <v>-219</v>
      </c>
      <c r="L19" s="39">
        <f>K19*(1+L20)</f>
        <v>-249.38190476190479</v>
      </c>
      <c r="M19" s="39">
        <f t="shared" ref="M19:R19" si="30">L19*(1+M20)</f>
        <v>-278.9910578987151</v>
      </c>
      <c r="N19" s="39">
        <f t="shared" si="30"/>
        <v>-306.53588932935014</v>
      </c>
      <c r="O19" s="39">
        <f t="shared" si="30"/>
        <v>-330.66950855274024</v>
      </c>
      <c r="P19" s="39">
        <f t="shared" si="30"/>
        <v>-350.08978127726624</v>
      </c>
      <c r="Q19" s="39">
        <f t="shared" si="30"/>
        <v>-363.64881407594129</v>
      </c>
      <c r="R19" s="39">
        <f t="shared" si="30"/>
        <v>-370.46001408561773</v>
      </c>
      <c r="U19" s="38">
        <v>-104</v>
      </c>
      <c r="V19" s="38">
        <v>-127</v>
      </c>
      <c r="X19" s="38">
        <v>-45</v>
      </c>
      <c r="Y19" s="38">
        <v>-40</v>
      </c>
    </row>
    <row r="20" spans="1:28" x14ac:dyDescent="0.35">
      <c r="B20" s="2" t="s">
        <v>3</v>
      </c>
      <c r="F20" s="41"/>
      <c r="G20" s="41"/>
      <c r="H20" s="41"/>
      <c r="I20" s="41"/>
      <c r="J20" s="41">
        <f t="shared" ref="J20:K20" si="31">J19/I19-1</f>
        <v>0.4765625</v>
      </c>
      <c r="K20" s="42">
        <f t="shared" si="31"/>
        <v>0.15873015873015883</v>
      </c>
      <c r="L20" s="42">
        <f>K20-2%</f>
        <v>0.13873015873015884</v>
      </c>
      <c r="M20" s="42">
        <f t="shared" ref="M20:R20" si="32">L20-2%</f>
        <v>0.11873015873015884</v>
      </c>
      <c r="N20" s="42">
        <f t="shared" si="32"/>
        <v>9.8730158730158835E-2</v>
      </c>
      <c r="O20" s="42">
        <f t="shared" si="32"/>
        <v>7.8730158730158831E-2</v>
      </c>
      <c r="P20" s="42">
        <f t="shared" si="32"/>
        <v>5.8730158730158827E-2</v>
      </c>
      <c r="Q20" s="42">
        <f t="shared" si="32"/>
        <v>3.8730158730158823E-2</v>
      </c>
      <c r="R20" s="42">
        <f t="shared" si="32"/>
        <v>1.8730158730158823E-2</v>
      </c>
      <c r="U20" s="13"/>
      <c r="V20" s="35">
        <f>V19/U19-1</f>
        <v>0.22115384615384626</v>
      </c>
      <c r="X20" s="13"/>
      <c r="Y20" s="35">
        <f>Y19/X19-1</f>
        <v>-0.11111111111111116</v>
      </c>
    </row>
    <row r="21" spans="1:28" x14ac:dyDescent="0.35">
      <c r="K21" s="20"/>
      <c r="L21" s="20"/>
      <c r="M21" s="20"/>
      <c r="N21" s="20"/>
      <c r="O21" s="20"/>
      <c r="P21" s="20"/>
      <c r="Q21" s="20"/>
      <c r="R21" s="20"/>
    </row>
    <row r="22" spans="1:28" x14ac:dyDescent="0.35">
      <c r="A22" s="3" t="s">
        <v>4</v>
      </c>
      <c r="B22" s="1" t="s">
        <v>5</v>
      </c>
      <c r="E22" s="38">
        <v>2899.8</v>
      </c>
      <c r="F22" s="38">
        <v>3467</v>
      </c>
      <c r="G22" s="38">
        <v>4108.5</v>
      </c>
      <c r="H22" s="38">
        <v>3590.6</v>
      </c>
      <c r="I22" s="38">
        <v>4577</v>
      </c>
      <c r="J22" s="38">
        <v>5153</v>
      </c>
      <c r="K22" s="39">
        <f>K6-K23</f>
        <v>5271.1034564460278</v>
      </c>
      <c r="L22" s="39">
        <f t="shared" ref="L22:R22" si="33">L6-L23</f>
        <v>5977.3574254908053</v>
      </c>
      <c r="M22" s="39">
        <f t="shared" si="33"/>
        <v>6684.2613839070655</v>
      </c>
      <c r="N22" s="39">
        <f t="shared" si="33"/>
        <v>7360.4679595180678</v>
      </c>
      <c r="O22" s="39">
        <f t="shared" si="33"/>
        <v>7969.2080420600905</v>
      </c>
      <c r="P22" s="39">
        <f t="shared" si="33"/>
        <v>8471.5931034073474</v>
      </c>
      <c r="Q22" s="39">
        <f t="shared" si="33"/>
        <v>8831.4119393057044</v>
      </c>
      <c r="R22" s="39">
        <f t="shared" si="33"/>
        <v>9020.6358154533518</v>
      </c>
    </row>
    <row r="23" spans="1:28" x14ac:dyDescent="0.35">
      <c r="B23" s="1" t="s">
        <v>6</v>
      </c>
      <c r="E23" s="38">
        <f>E6-E22</f>
        <v>7915.3</v>
      </c>
      <c r="F23" s="38">
        <f t="shared" ref="F23:J23" si="34">F6-F22</f>
        <v>10198.200000000001</v>
      </c>
      <c r="G23" s="38">
        <f t="shared" si="34"/>
        <v>11775</v>
      </c>
      <c r="H23" s="38">
        <f t="shared" si="34"/>
        <v>9509.6</v>
      </c>
      <c r="I23" s="38">
        <f t="shared" si="34"/>
        <v>13068</v>
      </c>
      <c r="J23" s="38">
        <f t="shared" si="34"/>
        <v>15198</v>
      </c>
      <c r="K23" s="39">
        <f>K24*K6</f>
        <v>14909.396543553972</v>
      </c>
      <c r="L23" s="39">
        <f t="shared" ref="L23:R23" si="35">L24*L6</f>
        <v>16907.046669747295</v>
      </c>
      <c r="M23" s="39">
        <f t="shared" si="35"/>
        <v>18906.535300794225</v>
      </c>
      <c r="N23" s="39">
        <f t="shared" si="35"/>
        <v>20819.195916251145</v>
      </c>
      <c r="O23" s="39">
        <f t="shared" si="35"/>
        <v>22541.026526780301</v>
      </c>
      <c r="P23" s="39">
        <f t="shared" si="35"/>
        <v>23962.030337286833</v>
      </c>
      <c r="Q23" s="39">
        <f t="shared" si="35"/>
        <v>24979.783404092625</v>
      </c>
      <c r="R23" s="39">
        <f t="shared" si="35"/>
        <v>25515.006024613111</v>
      </c>
    </row>
    <row r="24" spans="1:28" x14ac:dyDescent="0.35">
      <c r="B24" s="2" t="s">
        <v>7</v>
      </c>
      <c r="E24" s="44">
        <f t="shared" ref="E24" si="36">E23/E6</f>
        <v>0.73187487864189882</v>
      </c>
      <c r="F24" s="44">
        <f>F23/F6</f>
        <v>0.74628984573954282</v>
      </c>
      <c r="G24" s="44">
        <f>G23/G6</f>
        <v>0.74133534800264422</v>
      </c>
      <c r="H24" s="44">
        <f>H23/H6</f>
        <v>0.72591258148730553</v>
      </c>
      <c r="I24" s="44">
        <f>I23/I6</f>
        <v>0.74060640408047607</v>
      </c>
      <c r="J24" s="44">
        <f>J23/J6</f>
        <v>0.74679376934794361</v>
      </c>
      <c r="K24" s="46">
        <f>AVERAGE($E$24:$J$24)</f>
        <v>0.73880213788330185</v>
      </c>
      <c r="L24" s="46">
        <f t="shared" ref="L24:R24" si="37">AVERAGE($E$24:$J$24)</f>
        <v>0.73880213788330185</v>
      </c>
      <c r="M24" s="46">
        <f t="shared" si="37"/>
        <v>0.73880213788330185</v>
      </c>
      <c r="N24" s="46">
        <f t="shared" si="37"/>
        <v>0.73880213788330185</v>
      </c>
      <c r="O24" s="46">
        <f t="shared" si="37"/>
        <v>0.73880213788330185</v>
      </c>
      <c r="P24" s="46">
        <f t="shared" si="37"/>
        <v>0.73880213788330185</v>
      </c>
      <c r="Q24" s="46">
        <f t="shared" si="37"/>
        <v>0.73880213788330185</v>
      </c>
      <c r="R24" s="46">
        <f t="shared" si="37"/>
        <v>0.73880213788330185</v>
      </c>
    </row>
    <row r="25" spans="1:28" x14ac:dyDescent="0.35">
      <c r="B25" s="2"/>
      <c r="K25" s="20"/>
      <c r="L25" s="20"/>
      <c r="M25" s="20"/>
      <c r="N25" s="20"/>
      <c r="O25" s="20"/>
      <c r="P25" s="20"/>
      <c r="Q25" s="20"/>
      <c r="R25" s="20"/>
    </row>
    <row r="26" spans="1:28" x14ac:dyDescent="0.35">
      <c r="A26" s="3" t="s">
        <v>4</v>
      </c>
      <c r="B26" s="21" t="s">
        <v>78</v>
      </c>
      <c r="C26" s="1"/>
      <c r="D26" s="1"/>
      <c r="E26" s="38">
        <f t="shared" ref="E26:I26" si="38">E23-E32-E28</f>
        <v>4792.5</v>
      </c>
      <c r="F26" s="38">
        <f t="shared" si="38"/>
        <v>5762.5000000000009</v>
      </c>
      <c r="G26" s="38">
        <f t="shared" si="38"/>
        <v>5751.4</v>
      </c>
      <c r="H26" s="38">
        <f t="shared" si="38"/>
        <v>4935.4000000000005</v>
      </c>
      <c r="I26" s="38">
        <f t="shared" si="38"/>
        <v>6598</v>
      </c>
      <c r="J26" s="38">
        <f>J23-J32-J28</f>
        <v>7943</v>
      </c>
      <c r="K26" s="39">
        <f>K23-K32-K28</f>
        <v>8000.3802108931304</v>
      </c>
      <c r="L26" s="39">
        <f t="shared" ref="L26:R26" si="39">L23-L32-L28</f>
        <v>9278.2786409266464</v>
      </c>
      <c r="M26" s="39">
        <f t="shared" si="39"/>
        <v>10605.878679031481</v>
      </c>
      <c r="N26" s="39">
        <f t="shared" si="39"/>
        <v>11932.42869632259</v>
      </c>
      <c r="O26" s="39">
        <f t="shared" si="39"/>
        <v>13193.880293751476</v>
      </c>
      <c r="P26" s="39">
        <f t="shared" si="39"/>
        <v>14317.535360645728</v>
      </c>
      <c r="Q26" s="39">
        <f t="shared" si="39"/>
        <v>15229.953015229965</v>
      </c>
      <c r="R26" s="39">
        <f t="shared" si="39"/>
        <v>15867.094289905042</v>
      </c>
    </row>
    <row r="27" spans="1:28" x14ac:dyDescent="0.35">
      <c r="K27" s="20"/>
      <c r="L27" s="20"/>
      <c r="M27" s="20"/>
      <c r="N27" s="20"/>
      <c r="O27" s="20"/>
      <c r="P27" s="20"/>
      <c r="Q27" s="20"/>
      <c r="R27" s="20"/>
    </row>
    <row r="28" spans="1:28" x14ac:dyDescent="0.35">
      <c r="A28" s="3" t="s">
        <v>4</v>
      </c>
      <c r="B28" s="1" t="s">
        <v>8</v>
      </c>
      <c r="E28">
        <v>432.1</v>
      </c>
      <c r="F28" s="38">
        <v>491.9</v>
      </c>
      <c r="G28" s="38">
        <v>1245.3</v>
      </c>
      <c r="H28" s="38">
        <v>1439</v>
      </c>
      <c r="I28" s="38">
        <v>1453</v>
      </c>
      <c r="J28" s="38">
        <v>1666</v>
      </c>
      <c r="K28" s="39">
        <f>K29+K30</f>
        <v>1548.4652884615386</v>
      </c>
      <c r="L28" s="39">
        <f t="shared" ref="L28:R28" si="40">L29+L30</f>
        <v>1755.9379296153852</v>
      </c>
      <c r="M28" s="39">
        <f t="shared" si="40"/>
        <v>1963.6015148453489</v>
      </c>
      <c r="N28" s="39">
        <f t="shared" si="40"/>
        <v>2162.2472858522915</v>
      </c>
      <c r="O28" s="39">
        <f t="shared" si="40"/>
        <v>2341.0737678783298</v>
      </c>
      <c r="P28" s="39">
        <f t="shared" si="40"/>
        <v>2488.6568755455728</v>
      </c>
      <c r="Q28" s="39">
        <f t="shared" si="40"/>
        <v>2594.3590273107566</v>
      </c>
      <c r="R28" s="39">
        <f t="shared" si="40"/>
        <v>2649.9463642666383</v>
      </c>
      <c r="S28" s="25"/>
      <c r="T28" s="39">
        <f>K28/K6</f>
        <v>7.6730769230769241E-2</v>
      </c>
      <c r="U28" s="39">
        <f t="shared" ref="U28:AA28" si="41">L28/L6</f>
        <v>7.6730769230769241E-2</v>
      </c>
      <c r="V28" s="39">
        <f t="shared" si="41"/>
        <v>7.6730769230769227E-2</v>
      </c>
      <c r="W28" s="39">
        <f t="shared" si="41"/>
        <v>7.6730769230769227E-2</v>
      </c>
      <c r="X28" s="39">
        <f t="shared" si="41"/>
        <v>7.6730769230769227E-2</v>
      </c>
      <c r="Y28" s="39">
        <f t="shared" si="41"/>
        <v>7.6730769230769241E-2</v>
      </c>
      <c r="Z28" s="39">
        <f t="shared" si="41"/>
        <v>7.6730769230769241E-2</v>
      </c>
      <c r="AA28" s="39">
        <f t="shared" si="41"/>
        <v>7.6730769230769227E-2</v>
      </c>
      <c r="AB28" s="39"/>
    </row>
    <row r="29" spans="1:28" x14ac:dyDescent="0.35">
      <c r="B29" s="2" t="s">
        <v>9</v>
      </c>
      <c r="E29" s="38">
        <f>E28*0.88</f>
        <v>380.24800000000005</v>
      </c>
      <c r="F29" s="38">
        <f>F28*0.88</f>
        <v>432.87199999999996</v>
      </c>
      <c r="G29" s="38">
        <f>736.7+387.1</f>
        <v>1123.8000000000002</v>
      </c>
      <c r="H29" s="38">
        <f>838.4+440.6</f>
        <v>1279</v>
      </c>
      <c r="I29" s="38">
        <f>827+461</f>
        <v>1288</v>
      </c>
      <c r="J29" s="38">
        <v>1491</v>
      </c>
      <c r="K29" s="39">
        <f>'Fixed Asset Schedule'!K11</f>
        <v>1397.1115384615387</v>
      </c>
      <c r="L29" s="39">
        <f>'Fixed Asset Schedule'!L11</f>
        <v>1584.3048989010995</v>
      </c>
      <c r="M29" s="39">
        <f>'Fixed Asset Schedule'!M11</f>
        <v>1771.6705397100893</v>
      </c>
      <c r="N29" s="39">
        <f>'Fixed Asset Schedule'!N11</f>
        <v>1950.8998067840225</v>
      </c>
      <c r="O29" s="39">
        <f>'Fixed Asset Schedule'!O11</f>
        <v>2112.247008612027</v>
      </c>
      <c r="P29" s="39">
        <f>'Fixed Asset Schedule'!P11</f>
        <v>2245.4046997403666</v>
      </c>
      <c r="Q29" s="39">
        <f>'Fixed Asset Schedule'!Q11</f>
        <v>2340.7750622352692</v>
      </c>
      <c r="R29" s="39">
        <f>'Fixed Asset Schedule'!R11</f>
        <v>2390.9290504661399</v>
      </c>
    </row>
    <row r="30" spans="1:28" x14ac:dyDescent="0.35">
      <c r="B30" s="2" t="s">
        <v>10</v>
      </c>
      <c r="E30" s="38">
        <f>E28-E29</f>
        <v>51.851999999999975</v>
      </c>
      <c r="F30" s="38">
        <f>F28-F29</f>
        <v>59.02800000000002</v>
      </c>
      <c r="G30" s="38">
        <f t="shared" ref="G30:J30" si="42">G28-G29</f>
        <v>121.49999999999977</v>
      </c>
      <c r="H30" s="38">
        <f t="shared" si="42"/>
        <v>160</v>
      </c>
      <c r="I30" s="38">
        <f t="shared" si="42"/>
        <v>165</v>
      </c>
      <c r="J30" s="38">
        <f t="shared" si="42"/>
        <v>175</v>
      </c>
      <c r="K30" s="39">
        <f>'Fixed Asset Schedule'!K22</f>
        <v>151.35374999999999</v>
      </c>
      <c r="L30" s="39">
        <f>'Fixed Asset Schedule'!L22</f>
        <v>171.63303071428575</v>
      </c>
      <c r="M30" s="39">
        <f>'Fixed Asset Schedule'!M22</f>
        <v>191.93097513525967</v>
      </c>
      <c r="N30" s="39">
        <f>'Fixed Asset Schedule'!N22</f>
        <v>211.34747906826908</v>
      </c>
      <c r="O30" s="39">
        <f>'Fixed Asset Schedule'!O22</f>
        <v>228.82675926630293</v>
      </c>
      <c r="P30" s="39">
        <f>'Fixed Asset Schedule'!P22</f>
        <v>243.25217580520635</v>
      </c>
      <c r="Q30" s="39">
        <f>'Fixed Asset Schedule'!Q22</f>
        <v>253.58396507548747</v>
      </c>
      <c r="R30" s="39">
        <f>'Fixed Asset Schedule'!R22</f>
        <v>259.01731380049847</v>
      </c>
    </row>
    <row r="31" spans="1:28" x14ac:dyDescent="0.35">
      <c r="K31" s="20"/>
      <c r="L31" s="20"/>
      <c r="M31" s="20"/>
      <c r="N31" s="20"/>
      <c r="O31" s="20"/>
      <c r="P31" s="20"/>
      <c r="Q31" s="20"/>
      <c r="R31" s="20"/>
    </row>
    <row r="32" spans="1:28" x14ac:dyDescent="0.35">
      <c r="A32" s="3" t="s">
        <v>4</v>
      </c>
      <c r="B32" s="1" t="s">
        <v>11</v>
      </c>
      <c r="E32" s="38">
        <f>SUM(E35,E37,E39,E41,E43,E45,)</f>
        <v>2690.7</v>
      </c>
      <c r="F32" s="38">
        <f>SUM(F35,F37,F39,F41,F43,F45,)</f>
        <v>3943.8</v>
      </c>
      <c r="G32" s="38">
        <f t="shared" ref="G32:J32" si="43">SUM(G35,G37,G39,G41,G43,G45,)</f>
        <v>4778.3</v>
      </c>
      <c r="H32" s="38">
        <f t="shared" si="43"/>
        <v>3135.2</v>
      </c>
      <c r="I32" s="38">
        <f t="shared" si="43"/>
        <v>5017</v>
      </c>
      <c r="J32" s="38">
        <f t="shared" si="43"/>
        <v>5589</v>
      </c>
      <c r="K32" s="39">
        <f t="shared" ref="K32:Q32" si="44">K33*K6</f>
        <v>5360.5510441993019</v>
      </c>
      <c r="L32" s="39">
        <f t="shared" si="44"/>
        <v>5872.8300992052627</v>
      </c>
      <c r="M32" s="39">
        <f t="shared" si="44"/>
        <v>6337.0551069173944</v>
      </c>
      <c r="N32" s="39">
        <f t="shared" si="44"/>
        <v>6724.5199340762647</v>
      </c>
      <c r="O32" s="39">
        <f t="shared" si="44"/>
        <v>7006.0724651504952</v>
      </c>
      <c r="P32" s="39">
        <f t="shared" si="44"/>
        <v>7155.8381010955291</v>
      </c>
      <c r="Q32" s="39">
        <f t="shared" si="44"/>
        <v>7155.4713615519022</v>
      </c>
      <c r="R32" s="39">
        <f>R33*R6</f>
        <v>6997.9653704414304</v>
      </c>
    </row>
    <row r="33" spans="2:26" x14ac:dyDescent="0.35">
      <c r="B33" s="2" t="s">
        <v>12</v>
      </c>
      <c r="E33" s="44">
        <f t="shared" ref="E33:J33" si="45">E32/E6</f>
        <v>0.24879104215402537</v>
      </c>
      <c r="F33" s="38">
        <f t="shared" si="45"/>
        <v>0.28860170359745924</v>
      </c>
      <c r="G33" s="44">
        <f t="shared" si="45"/>
        <v>0.30083419901155289</v>
      </c>
      <c r="H33" s="44">
        <f t="shared" si="45"/>
        <v>0.23932459046426768</v>
      </c>
      <c r="I33" s="44">
        <f t="shared" si="45"/>
        <v>0.28432983848115612</v>
      </c>
      <c r="J33" s="44">
        <f t="shared" si="45"/>
        <v>0.27463023930028008</v>
      </c>
      <c r="K33" s="46">
        <f>J33-0.9%</f>
        <v>0.26563023930028007</v>
      </c>
      <c r="L33" s="46">
        <f t="shared" ref="L33:R33" si="46">K33-0.9%</f>
        <v>0.25663023930028006</v>
      </c>
      <c r="M33" s="46">
        <f t="shared" si="46"/>
        <v>0.24763023930028005</v>
      </c>
      <c r="N33" s="46">
        <f t="shared" si="46"/>
        <v>0.23863023930028004</v>
      </c>
      <c r="O33" s="46">
        <f t="shared" si="46"/>
        <v>0.22963023930028004</v>
      </c>
      <c r="P33" s="46">
        <f t="shared" si="46"/>
        <v>0.22063023930028003</v>
      </c>
      <c r="Q33" s="46">
        <f t="shared" si="46"/>
        <v>0.21163023930028002</v>
      </c>
      <c r="R33" s="46">
        <f t="shared" si="46"/>
        <v>0.20263023930028001</v>
      </c>
      <c r="Z33" t="s">
        <v>75</v>
      </c>
    </row>
    <row r="34" spans="2:26" x14ac:dyDescent="0.35">
      <c r="B34" s="2"/>
      <c r="K34" s="20"/>
      <c r="L34" s="20"/>
      <c r="M34" s="20"/>
      <c r="N34" s="20"/>
      <c r="O34" s="20"/>
      <c r="P34" s="20"/>
      <c r="Q34" s="20"/>
      <c r="R34" s="20"/>
    </row>
    <row r="35" spans="2:26" x14ac:dyDescent="0.35">
      <c r="B35" s="33" t="s">
        <v>114</v>
      </c>
      <c r="E35" s="38">
        <v>2124</v>
      </c>
      <c r="F35" s="38">
        <v>3275</v>
      </c>
      <c r="G35" s="38">
        <v>3946.9</v>
      </c>
      <c r="H35" s="38">
        <v>2614.5</v>
      </c>
      <c r="I35" s="38">
        <v>3715</v>
      </c>
      <c r="J35" s="38">
        <v>3732</v>
      </c>
      <c r="K35" s="39">
        <f>K36*K9</f>
        <v>3701.998</v>
      </c>
      <c r="L35" s="39">
        <f t="shared" ref="L35:R37" si="47">L36*L9</f>
        <v>4072.1977999999999</v>
      </c>
      <c r="M35" s="39">
        <f t="shared" si="47"/>
        <v>4424.8501294799999</v>
      </c>
      <c r="N35" s="39">
        <f t="shared" si="47"/>
        <v>4748.7491589579358</v>
      </c>
      <c r="O35" s="39">
        <f t="shared" si="47"/>
        <v>5032.7243586636214</v>
      </c>
      <c r="P35" s="39">
        <f t="shared" si="47"/>
        <v>5266.242768905613</v>
      </c>
      <c r="Q35" s="39">
        <f t="shared" si="47"/>
        <v>5440.0287802794974</v>
      </c>
      <c r="R35" s="39">
        <f t="shared" si="47"/>
        <v>5546.6533443729759</v>
      </c>
    </row>
    <row r="36" spans="2:26" x14ac:dyDescent="0.35">
      <c r="B36" s="34" t="s">
        <v>12</v>
      </c>
      <c r="C36" s="13"/>
      <c r="D36" s="13"/>
      <c r="E36" s="48">
        <f>E35/E9</f>
        <v>0.34197391724360005</v>
      </c>
      <c r="F36" s="48">
        <f t="shared" ref="F36:J36" si="48">F35/F9</f>
        <v>0.39529269764634883</v>
      </c>
      <c r="G36" s="48">
        <f t="shared" si="48"/>
        <v>0.4099227285945744</v>
      </c>
      <c r="H36" s="48">
        <f t="shared" si="48"/>
        <v>0.35138295298766226</v>
      </c>
      <c r="I36" s="48">
        <f t="shared" si="48"/>
        <v>0.3817696023019217</v>
      </c>
      <c r="J36" s="48">
        <f t="shared" si="48"/>
        <v>0.35586917135501095</v>
      </c>
      <c r="K36" s="49">
        <v>0.37</v>
      </c>
      <c r="L36" s="49">
        <v>0.37</v>
      </c>
      <c r="M36" s="49">
        <v>0.37</v>
      </c>
      <c r="N36" s="49">
        <v>0.37</v>
      </c>
      <c r="O36" s="49">
        <v>0.37</v>
      </c>
      <c r="P36" s="49">
        <v>0.37</v>
      </c>
      <c r="Q36" s="49">
        <v>0.37</v>
      </c>
      <c r="R36" s="49">
        <v>0.37</v>
      </c>
    </row>
    <row r="37" spans="2:26" x14ac:dyDescent="0.35">
      <c r="B37" s="33" t="s">
        <v>115</v>
      </c>
      <c r="E37" s="38">
        <v>377</v>
      </c>
      <c r="F37" s="38">
        <v>459</v>
      </c>
      <c r="G37" s="38">
        <v>562.20000000000005</v>
      </c>
      <c r="H37" s="38">
        <v>400</v>
      </c>
      <c r="I37" s="38">
        <v>715</v>
      </c>
      <c r="J37" s="38">
        <v>1019</v>
      </c>
      <c r="K37" s="39">
        <f>K38*K11</f>
        <v>1002.72</v>
      </c>
      <c r="L37" s="39">
        <f t="shared" si="47"/>
        <v>1153.1279999999999</v>
      </c>
      <c r="M37" s="39">
        <f t="shared" si="47"/>
        <v>1303.0346399999996</v>
      </c>
      <c r="N37" s="39">
        <f t="shared" si="47"/>
        <v>1446.3684503999998</v>
      </c>
      <c r="O37" s="39">
        <f t="shared" si="47"/>
        <v>1576.5416109360001</v>
      </c>
      <c r="P37" s="39">
        <f t="shared" si="47"/>
        <v>1686.8995237015199</v>
      </c>
      <c r="Q37" s="39">
        <f t="shared" si="47"/>
        <v>1771.244499886596</v>
      </c>
      <c r="R37" s="39">
        <f t="shared" si="47"/>
        <v>1824.381834883194</v>
      </c>
    </row>
    <row r="38" spans="2:26" x14ac:dyDescent="0.35">
      <c r="B38" s="34" t="s">
        <v>12</v>
      </c>
      <c r="C38" s="13"/>
      <c r="D38" s="13"/>
      <c r="E38" s="48">
        <f>E37/E11</f>
        <v>0.25099866844207724</v>
      </c>
      <c r="F38" s="48">
        <f t="shared" ref="F38" si="49">F37/F11</f>
        <v>0.2631880733944954</v>
      </c>
      <c r="G38" s="48">
        <f t="shared" ref="G38" si="50">G37/G11</f>
        <v>0.27436435508271928</v>
      </c>
      <c r="H38" s="48">
        <f t="shared" ref="H38" si="51">H37/H11</f>
        <v>0.22930520522815867</v>
      </c>
      <c r="I38" s="48">
        <f t="shared" ref="I38" si="52">I37/I11</f>
        <v>0.28361761205870684</v>
      </c>
      <c r="J38" s="48">
        <f t="shared" ref="J38" si="53">J37/J11</f>
        <v>0.30878787878787878</v>
      </c>
      <c r="K38" s="36">
        <v>0.3</v>
      </c>
      <c r="L38" s="36">
        <v>0.3</v>
      </c>
      <c r="M38" s="36">
        <v>0.3</v>
      </c>
      <c r="N38" s="36">
        <v>0.3</v>
      </c>
      <c r="O38" s="36">
        <v>0.3</v>
      </c>
      <c r="P38" s="36">
        <v>0.3</v>
      </c>
      <c r="Q38" s="36">
        <v>0.3</v>
      </c>
      <c r="R38" s="36">
        <v>0.3</v>
      </c>
    </row>
    <row r="39" spans="2:26" x14ac:dyDescent="0.35">
      <c r="B39" s="33" t="s">
        <v>116</v>
      </c>
      <c r="E39" s="38">
        <v>294</v>
      </c>
      <c r="F39" s="38">
        <v>242</v>
      </c>
      <c r="G39" s="38">
        <v>215.2</v>
      </c>
      <c r="H39" s="38">
        <v>172</v>
      </c>
      <c r="I39" s="38">
        <v>286</v>
      </c>
      <c r="J39" s="38">
        <v>366</v>
      </c>
      <c r="K39" s="39">
        <f t="shared" ref="K39:R39" si="54">K40*K13</f>
        <v>341.86</v>
      </c>
      <c r="L39" s="39">
        <f t="shared" si="54"/>
        <v>369.20880000000005</v>
      </c>
      <c r="M39" s="39">
        <f t="shared" si="54"/>
        <v>395.05341600000008</v>
      </c>
      <c r="N39" s="39">
        <f t="shared" si="54"/>
        <v>418.75662096000008</v>
      </c>
      <c r="O39" s="39">
        <f t="shared" si="54"/>
        <v>439.6944520080001</v>
      </c>
      <c r="P39" s="39">
        <f t="shared" si="54"/>
        <v>457.28223008832015</v>
      </c>
      <c r="Q39" s="39">
        <f t="shared" si="54"/>
        <v>471.0006969909698</v>
      </c>
      <c r="R39" s="39">
        <f t="shared" si="54"/>
        <v>480.42071093078914</v>
      </c>
    </row>
    <row r="40" spans="2:26" x14ac:dyDescent="0.35">
      <c r="B40" s="34" t="s">
        <v>12</v>
      </c>
      <c r="C40" s="13"/>
      <c r="D40" s="13"/>
      <c r="E40" s="48">
        <f>E39/E13</f>
        <v>0.25</v>
      </c>
      <c r="F40" s="48">
        <f t="shared" ref="F40" si="55">F39/F13</f>
        <v>0.218214607754734</v>
      </c>
      <c r="G40" s="48">
        <f t="shared" ref="G40" si="56">G39/G13</f>
        <v>0.18430969510106202</v>
      </c>
      <c r="H40" s="48">
        <f t="shared" ref="H40" si="57">H39/H13</f>
        <v>0.14211352557217219</v>
      </c>
      <c r="I40" s="48">
        <f t="shared" ref="I40" si="58">I39/I13</f>
        <v>0.19028609447771125</v>
      </c>
      <c r="J40" s="48">
        <f t="shared" ref="J40" si="59">J39/J13</f>
        <v>0.2103448275862069</v>
      </c>
      <c r="K40" s="36">
        <v>0.2</v>
      </c>
      <c r="L40" s="36">
        <v>0.2</v>
      </c>
      <c r="M40" s="36">
        <v>0.2</v>
      </c>
      <c r="N40" s="36">
        <v>0.2</v>
      </c>
      <c r="O40" s="36">
        <v>0.2</v>
      </c>
      <c r="P40" s="36">
        <v>0.2</v>
      </c>
      <c r="Q40" s="36">
        <v>0.2</v>
      </c>
      <c r="R40" s="36">
        <v>0.2</v>
      </c>
    </row>
    <row r="41" spans="2:26" x14ac:dyDescent="0.35">
      <c r="B41" s="37" t="s">
        <v>117</v>
      </c>
      <c r="C41" s="10"/>
      <c r="D41" s="10"/>
      <c r="E41" s="38">
        <v>100</v>
      </c>
      <c r="F41" s="38">
        <v>215</v>
      </c>
      <c r="G41" s="38">
        <v>317.7</v>
      </c>
      <c r="H41" s="38">
        <v>180.6</v>
      </c>
      <c r="I41" s="38">
        <v>459</v>
      </c>
      <c r="J41" s="38">
        <v>558</v>
      </c>
      <c r="K41" s="39">
        <f t="shared" ref="K41" si="60">K42*K15</f>
        <v>444.9</v>
      </c>
      <c r="L41" s="39">
        <f t="shared" ref="L41" si="61">L42*L15</f>
        <v>511.63499999999999</v>
      </c>
      <c r="M41" s="39">
        <f t="shared" ref="M41" si="62">M42*M15</f>
        <v>578.14754999999991</v>
      </c>
      <c r="N41" s="39">
        <f t="shared" ref="N41" si="63">N42*N15</f>
        <v>641.74378049999996</v>
      </c>
      <c r="O41" s="39">
        <f t="shared" ref="O41" si="64">O42*O15</f>
        <v>699.50072074500008</v>
      </c>
      <c r="P41" s="39">
        <f t="shared" ref="P41" si="65">P42*P15</f>
        <v>748.46577119715016</v>
      </c>
      <c r="Q41" s="39">
        <f t="shared" ref="Q41" si="66">Q42*Q15</f>
        <v>785.88905975700766</v>
      </c>
      <c r="R41" s="39">
        <f t="shared" ref="R41" si="67">R42*R15</f>
        <v>809.46573154971793</v>
      </c>
    </row>
    <row r="42" spans="2:26" x14ac:dyDescent="0.35">
      <c r="B42" s="34" t="s">
        <v>12</v>
      </c>
      <c r="C42" s="13"/>
      <c r="D42" s="13"/>
      <c r="E42" s="48">
        <f t="shared" ref="E42:J42" si="68">E41/E15</f>
        <v>6.1576354679802957E-2</v>
      </c>
      <c r="F42" s="48">
        <f t="shared" si="68"/>
        <v>0.10194404931247036</v>
      </c>
      <c r="G42" s="48">
        <f t="shared" si="68"/>
        <v>0.12520197044334974</v>
      </c>
      <c r="H42" s="48">
        <f t="shared" si="68"/>
        <v>7.9165388155876024E-2</v>
      </c>
      <c r="I42" s="48">
        <f t="shared" si="68"/>
        <v>0.13972602739726028</v>
      </c>
      <c r="J42" s="48">
        <f t="shared" si="68"/>
        <v>0.14403717088280846</v>
      </c>
      <c r="K42" s="36">
        <v>0.12</v>
      </c>
      <c r="L42" s="36">
        <v>0.12</v>
      </c>
      <c r="M42" s="36">
        <v>0.12</v>
      </c>
      <c r="N42" s="36">
        <v>0.12</v>
      </c>
      <c r="O42" s="36">
        <v>0.12</v>
      </c>
      <c r="P42" s="36">
        <v>0.12</v>
      </c>
      <c r="Q42" s="36">
        <v>0.12</v>
      </c>
      <c r="R42" s="36">
        <v>0.12</v>
      </c>
    </row>
    <row r="43" spans="2:26" x14ac:dyDescent="0.35">
      <c r="B43" s="33" t="s">
        <v>118</v>
      </c>
      <c r="E43" s="38">
        <v>-204.3</v>
      </c>
      <c r="F43" s="38">
        <v>-247.2</v>
      </c>
      <c r="G43" s="38">
        <v>-263.7</v>
      </c>
      <c r="H43" s="38">
        <v>-231.9</v>
      </c>
      <c r="I43" s="38">
        <v>-164</v>
      </c>
      <c r="J43" s="38">
        <v>-88</v>
      </c>
      <c r="K43" s="39">
        <f t="shared" ref="K43" si="69">K44*K17</f>
        <v>-60.917608428446009</v>
      </c>
      <c r="L43" s="39">
        <f t="shared" ref="L43" si="70">L44*L17</f>
        <v>5.9562607901668194</v>
      </c>
      <c r="M43" s="39">
        <f t="shared" ref="M43" si="71">M44*M17</f>
        <v>118.56384586009484</v>
      </c>
      <c r="N43" s="39">
        <f t="shared" ref="N43" si="72">N44*N17</f>
        <v>280.39225283972229</v>
      </c>
      <c r="O43" s="39">
        <f t="shared" ref="O43" si="73">O44*O17</f>
        <v>485.57642457470115</v>
      </c>
      <c r="P43" s="39">
        <f t="shared" ref="P43" si="74">P44*P17</f>
        <v>716.70368922077444</v>
      </c>
      <c r="Q43" s="39">
        <f t="shared" ref="Q43" si="75">Q44*Q17</f>
        <v>945.54266105868612</v>
      </c>
      <c r="R43" s="39">
        <f t="shared" ref="R43" si="76">R44*R17</f>
        <v>1030.9690091465632</v>
      </c>
    </row>
    <row r="44" spans="2:26" x14ac:dyDescent="0.35">
      <c r="B44" s="34" t="s">
        <v>12</v>
      </c>
      <c r="C44" s="13"/>
      <c r="D44" s="13"/>
      <c r="E44" s="48">
        <f t="shared" ref="E44" si="77">E43/E17</f>
        <v>-0.67626613704071503</v>
      </c>
      <c r="F44" s="48">
        <f t="shared" ref="F44" si="78">F43/F17</f>
        <v>-0.5911047345767575</v>
      </c>
      <c r="G44" s="48">
        <f t="shared" ref="G44" si="79">G43/G17</f>
        <v>-0.52645238570572972</v>
      </c>
      <c r="H44" s="48">
        <f t="shared" ref="H44" si="80">H43/H17</f>
        <v>-0.5474504249291785</v>
      </c>
      <c r="I44" s="48">
        <f t="shared" ref="I44" si="81">I43/I17</f>
        <v>-0.22373806275579808</v>
      </c>
      <c r="J44" s="48">
        <f t="shared" ref="J44" si="82">J43/J17</f>
        <v>-7.7260755048287971E-2</v>
      </c>
      <c r="K44" s="36">
        <f>J44+4%</f>
        <v>-3.726075504828797E-2</v>
      </c>
      <c r="L44" s="36">
        <f t="shared" ref="L44:Q44" si="83">K44+4%</f>
        <v>2.7392449517120304E-3</v>
      </c>
      <c r="M44" s="36">
        <f t="shared" si="83"/>
        <v>4.2739244951712031E-2</v>
      </c>
      <c r="N44" s="36">
        <f t="shared" si="83"/>
        <v>8.2739244951712032E-2</v>
      </c>
      <c r="O44" s="36">
        <f t="shared" si="83"/>
        <v>0.12273924495171204</v>
      </c>
      <c r="P44" s="36">
        <f t="shared" si="83"/>
        <v>0.16273924495171205</v>
      </c>
      <c r="Q44" s="36">
        <f t="shared" si="83"/>
        <v>0.20273924495171206</v>
      </c>
      <c r="R44" s="36">
        <v>0.22</v>
      </c>
    </row>
    <row r="45" spans="2:26" x14ac:dyDescent="0.35">
      <c r="B45" s="33" t="s">
        <v>119</v>
      </c>
      <c r="E45" s="38">
        <v>0</v>
      </c>
      <c r="F45" s="38">
        <v>0</v>
      </c>
      <c r="G45" s="38">
        <v>0</v>
      </c>
      <c r="H45" s="38">
        <v>0</v>
      </c>
      <c r="I45" s="38">
        <v>6</v>
      </c>
      <c r="J45" s="38">
        <v>2</v>
      </c>
      <c r="K45" s="39">
        <f t="shared" ref="K45" si="84">K46*K19</f>
        <v>4.38</v>
      </c>
      <c r="L45" s="39">
        <f t="shared" ref="L45" si="85">L46*L19</f>
        <v>4.9876380952380961</v>
      </c>
      <c r="M45" s="39">
        <f t="shared" ref="M45" si="86">M46*M19</f>
        <v>5.579821157974302</v>
      </c>
      <c r="N45" s="39">
        <f t="shared" ref="N45" si="87">N46*N19</f>
        <v>6.1307177865870033</v>
      </c>
      <c r="O45" s="39">
        <f t="shared" ref="O45" si="88">O46*O19</f>
        <v>6.6133901710548049</v>
      </c>
      <c r="P45" s="39">
        <f t="shared" ref="P45" si="89">P46*P19</f>
        <v>7.0017956255453253</v>
      </c>
      <c r="Q45" s="39">
        <f t="shared" ref="Q45" si="90">Q46*Q19</f>
        <v>7.2729762815188259</v>
      </c>
      <c r="R45" s="39">
        <f t="shared" ref="R45" si="91">R46*R19</f>
        <v>7.409200281712355</v>
      </c>
    </row>
    <row r="46" spans="2:26" x14ac:dyDescent="0.35">
      <c r="B46" s="34" t="s">
        <v>12</v>
      </c>
      <c r="C46" s="13"/>
      <c r="D46" s="13"/>
      <c r="E46" s="48"/>
      <c r="F46" s="48"/>
      <c r="G46" s="48"/>
      <c r="H46" s="48"/>
      <c r="I46" s="48">
        <f t="shared" ref="I46" si="92">I45/I19</f>
        <v>-4.6875E-2</v>
      </c>
      <c r="J46" s="48">
        <f t="shared" ref="J46" si="93">J45/J19</f>
        <v>-1.0582010582010581E-2</v>
      </c>
      <c r="K46" s="36">
        <v>-0.02</v>
      </c>
      <c r="L46" s="36">
        <v>-0.02</v>
      </c>
      <c r="M46" s="36">
        <v>-0.02</v>
      </c>
      <c r="N46" s="36">
        <v>-0.02</v>
      </c>
      <c r="O46" s="36">
        <v>-0.02</v>
      </c>
      <c r="P46" s="36">
        <v>-0.02</v>
      </c>
      <c r="Q46" s="36">
        <v>-0.02</v>
      </c>
      <c r="R46" s="36">
        <v>-0.02</v>
      </c>
    </row>
    <row r="47" spans="2:26" x14ac:dyDescent="0.35">
      <c r="B47" s="2"/>
      <c r="K47" s="20"/>
      <c r="L47" s="20"/>
      <c r="M47" s="20"/>
      <c r="N47" s="20"/>
      <c r="O47" s="20"/>
      <c r="P47" s="20"/>
      <c r="Q47" s="20"/>
      <c r="R47" s="20"/>
    </row>
    <row r="48" spans="2:26" x14ac:dyDescent="0.35">
      <c r="B48" s="2"/>
      <c r="K48" s="20"/>
      <c r="L48" s="20"/>
      <c r="M48" s="20"/>
      <c r="N48" s="20"/>
      <c r="O48" s="20"/>
      <c r="P48" s="20"/>
      <c r="Q48" s="20"/>
      <c r="R48" s="20"/>
    </row>
    <row r="49" spans="1:26" x14ac:dyDescent="0.35">
      <c r="B49" s="2"/>
      <c r="K49" s="20"/>
      <c r="L49" s="20"/>
      <c r="M49" s="20"/>
      <c r="N49" s="20"/>
      <c r="O49" s="20"/>
      <c r="P49" s="20"/>
      <c r="Q49" s="20"/>
      <c r="R49" s="20"/>
    </row>
    <row r="50" spans="1:26" x14ac:dyDescent="0.35">
      <c r="B50" s="2"/>
      <c r="K50" s="20"/>
      <c r="L50" s="20"/>
      <c r="M50" s="20"/>
      <c r="N50" s="20"/>
      <c r="O50" s="20"/>
      <c r="P50" s="20"/>
      <c r="Q50" s="20"/>
      <c r="R50" s="20"/>
    </row>
    <row r="51" spans="1:26" x14ac:dyDescent="0.35">
      <c r="K51" s="20"/>
      <c r="L51" s="20"/>
      <c r="M51" s="20"/>
      <c r="N51" s="20"/>
      <c r="O51" s="20"/>
      <c r="P51" s="20"/>
      <c r="Q51" s="20"/>
      <c r="R51" s="20"/>
    </row>
    <row r="52" spans="1:26" x14ac:dyDescent="0.35">
      <c r="A52" s="3" t="s">
        <v>4</v>
      </c>
      <c r="B52" s="1" t="s">
        <v>73</v>
      </c>
      <c r="E52">
        <v>181.4</v>
      </c>
      <c r="F52" s="38">
        <v>186.6</v>
      </c>
      <c r="G52" s="38">
        <v>277.10000000000002</v>
      </c>
      <c r="H52" s="38">
        <v>277.39999999999998</v>
      </c>
      <c r="I52" s="38">
        <v>215</v>
      </c>
      <c r="J52" s="38">
        <v>287</v>
      </c>
      <c r="K52" s="20">
        <f>'Debt Schedule'!J12</f>
        <v>332.1</v>
      </c>
      <c r="L52" s="20">
        <f>'Debt Schedule'!K12</f>
        <v>347.1</v>
      </c>
      <c r="M52" s="20">
        <f>'Debt Schedule'!L12</f>
        <v>362.1</v>
      </c>
      <c r="N52" s="20">
        <f>'Debt Schedule'!M12</f>
        <v>377.1</v>
      </c>
      <c r="O52" s="20">
        <f>'Debt Schedule'!N12</f>
        <v>392.1</v>
      </c>
      <c r="P52" s="20">
        <f>'Debt Schedule'!O12</f>
        <v>407.1</v>
      </c>
      <c r="Q52" s="20">
        <f>'Debt Schedule'!P12</f>
        <v>422.1</v>
      </c>
      <c r="R52" s="20">
        <f>'Debt Schedule'!Q12</f>
        <v>437.1</v>
      </c>
    </row>
    <row r="53" spans="1:26" x14ac:dyDescent="0.35">
      <c r="K53" s="20"/>
      <c r="L53" s="20"/>
      <c r="M53" s="20"/>
      <c r="N53" s="20"/>
      <c r="O53" s="20"/>
      <c r="P53" s="20"/>
      <c r="Q53" s="20"/>
      <c r="R53" s="20"/>
    </row>
    <row r="54" spans="1:26" x14ac:dyDescent="0.35">
      <c r="A54" s="3" t="s">
        <v>4</v>
      </c>
      <c r="B54" s="1" t="s">
        <v>74</v>
      </c>
      <c r="E54" s="44">
        <f>E56/E55</f>
        <v>0.21950344717650341</v>
      </c>
      <c r="F54" s="44">
        <f>F56/F55</f>
        <v>0.23094325561588416</v>
      </c>
      <c r="G54" s="44">
        <f t="shared" ref="G54:J54" si="94">G56/G55</f>
        <v>0.47402914778281346</v>
      </c>
      <c r="H54" s="44">
        <f t="shared" si="94"/>
        <v>0.26565889845335577</v>
      </c>
      <c r="I54" s="44">
        <f t="shared" si="94"/>
        <v>0.26655560183256977</v>
      </c>
      <c r="J54" s="44">
        <f t="shared" si="94"/>
        <v>0.26782346284420971</v>
      </c>
      <c r="K54" s="40">
        <v>0.28000000000000003</v>
      </c>
      <c r="L54" s="40">
        <v>0.28000000000000003</v>
      </c>
      <c r="M54" s="40">
        <v>0.28000000000000003</v>
      </c>
      <c r="N54" s="40">
        <v>0.28000000000000003</v>
      </c>
      <c r="O54" s="40">
        <v>0.28000000000000003</v>
      </c>
      <c r="P54" s="40">
        <v>0.28000000000000003</v>
      </c>
      <c r="Q54" s="40">
        <v>0.28000000000000003</v>
      </c>
      <c r="R54" s="40">
        <v>0.28000000000000003</v>
      </c>
      <c r="Z54" t="s">
        <v>75</v>
      </c>
    </row>
    <row r="55" spans="1:26" x14ac:dyDescent="0.35">
      <c r="B55" t="s">
        <v>14</v>
      </c>
      <c r="E55" s="38">
        <f>E32-E52</f>
        <v>2509.2999999999997</v>
      </c>
      <c r="F55" s="38">
        <f>F32-F52</f>
        <v>3757.2000000000003</v>
      </c>
      <c r="G55" s="38">
        <f t="shared" ref="G55:R55" si="95">G32-G52</f>
        <v>4501.2</v>
      </c>
      <c r="H55" s="38">
        <f t="shared" si="95"/>
        <v>2857.7999999999997</v>
      </c>
      <c r="I55" s="38">
        <f t="shared" si="95"/>
        <v>4802</v>
      </c>
      <c r="J55" s="38">
        <f t="shared" si="95"/>
        <v>5302</v>
      </c>
      <c r="K55" s="39">
        <f>K32-K52</f>
        <v>5028.4510441993016</v>
      </c>
      <c r="L55" s="39">
        <f t="shared" si="95"/>
        <v>5525.7300992052624</v>
      </c>
      <c r="M55" s="39">
        <f t="shared" si="95"/>
        <v>5974.955106917394</v>
      </c>
      <c r="N55" s="39">
        <f t="shared" si="95"/>
        <v>6347.4199340762643</v>
      </c>
      <c r="O55" s="39">
        <f t="shared" si="95"/>
        <v>6613.9724651504948</v>
      </c>
      <c r="P55" s="39">
        <f t="shared" si="95"/>
        <v>6748.7381010955287</v>
      </c>
      <c r="Q55" s="39">
        <f t="shared" si="95"/>
        <v>6733.3713615519018</v>
      </c>
      <c r="R55" s="39">
        <f t="shared" si="95"/>
        <v>6560.8653704414301</v>
      </c>
    </row>
    <row r="56" spans="1:26" x14ac:dyDescent="0.35">
      <c r="B56" t="s">
        <v>15</v>
      </c>
      <c r="E56" s="38">
        <v>550.79999999999995</v>
      </c>
      <c r="F56" s="38">
        <v>867.7</v>
      </c>
      <c r="G56" s="38">
        <v>2133.6999999999998</v>
      </c>
      <c r="H56" s="38">
        <v>759.2</v>
      </c>
      <c r="I56" s="38">
        <v>1280</v>
      </c>
      <c r="J56" s="38">
        <v>1420</v>
      </c>
      <c r="K56" s="39">
        <f>K55*K54</f>
        <v>1407.9662923758046</v>
      </c>
      <c r="L56" s="39">
        <f t="shared" ref="L56:R56" si="96">L55*L54</f>
        <v>1547.2044277774737</v>
      </c>
      <c r="M56" s="39">
        <f t="shared" si="96"/>
        <v>1672.9874299368705</v>
      </c>
      <c r="N56" s="39">
        <f t="shared" si="96"/>
        <v>1777.2775815413543</v>
      </c>
      <c r="O56" s="39">
        <f t="shared" si="96"/>
        <v>1851.9122902421386</v>
      </c>
      <c r="P56" s="39">
        <f t="shared" si="96"/>
        <v>1889.6466683067483</v>
      </c>
      <c r="Q56" s="39">
        <f t="shared" si="96"/>
        <v>1885.3439812345327</v>
      </c>
      <c r="R56" s="39">
        <f t="shared" si="96"/>
        <v>1837.0423037236005</v>
      </c>
    </row>
    <row r="57" spans="1:26" x14ac:dyDescent="0.35">
      <c r="B57" s="2"/>
      <c r="K57" s="20"/>
      <c r="L57" s="20"/>
      <c r="M57" s="20"/>
      <c r="N57" s="20"/>
      <c r="O57" s="20"/>
      <c r="P57" s="20"/>
      <c r="Q57" s="20"/>
      <c r="R57" s="20"/>
    </row>
    <row r="70" spans="7:11" x14ac:dyDescent="0.35">
      <c r="G70" s="38"/>
      <c r="H70" s="38"/>
      <c r="I70" s="38"/>
      <c r="J70" s="38"/>
      <c r="K70" s="38"/>
    </row>
  </sheetData>
  <mergeCells count="1">
    <mergeCell ref="A3:B3"/>
  </mergeCells>
  <pageMargins left="0.7" right="0.7" top="0.78740157499999996" bottom="0.78740157499999996" header="0.3" footer="0.3"/>
  <pageSetup scale="57"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9694-9D72-4CE0-B9AA-9EB770F253BC}">
  <sheetPr>
    <pageSetUpPr fitToPage="1"/>
  </sheetPr>
  <dimension ref="A1:Q31"/>
  <sheetViews>
    <sheetView showGridLines="0" topLeftCell="A17" zoomScale="70" zoomScaleNormal="70" workbookViewId="0">
      <selection activeCell="G37" sqref="G37"/>
    </sheetView>
  </sheetViews>
  <sheetFormatPr baseColWidth="10" defaultRowHeight="15.5" x14ac:dyDescent="0.35"/>
  <cols>
    <col min="1" max="1" width="6" style="4" customWidth="1"/>
  </cols>
  <sheetData>
    <row r="1" spans="1:17" x14ac:dyDescent="0.35">
      <c r="A1" s="1" t="s">
        <v>109</v>
      </c>
    </row>
    <row r="2" spans="1:17" x14ac:dyDescent="0.35">
      <c r="A2" t="str">
        <f>'[1]Income Statement'!A2</f>
        <v>Figures in mm EUR</v>
      </c>
    </row>
    <row r="3" spans="1:17" x14ac:dyDescent="0.35">
      <c r="A3" t="str">
        <f>'[1]Income Statement'!A3</f>
        <v>Date: 14/10/2023</v>
      </c>
    </row>
    <row r="4" spans="1:17" x14ac:dyDescent="0.35">
      <c r="A4"/>
    </row>
    <row r="5" spans="1:17" x14ac:dyDescent="0.35">
      <c r="A5"/>
      <c r="E5" s="7" t="s">
        <v>16</v>
      </c>
      <c r="F5" s="7" t="s">
        <v>16</v>
      </c>
      <c r="G5" s="7" t="s">
        <v>16</v>
      </c>
      <c r="H5" s="7" t="s">
        <v>16</v>
      </c>
      <c r="I5" s="7" t="s">
        <v>16</v>
      </c>
      <c r="J5" s="7" t="s">
        <v>17</v>
      </c>
      <c r="K5" s="7" t="s">
        <v>17</v>
      </c>
      <c r="L5" s="7" t="s">
        <v>17</v>
      </c>
      <c r="M5" s="7" t="s">
        <v>17</v>
      </c>
      <c r="N5" s="7" t="s">
        <v>17</v>
      </c>
      <c r="O5" s="7" t="s">
        <v>17</v>
      </c>
      <c r="P5" s="7" t="s">
        <v>17</v>
      </c>
      <c r="Q5" s="7" t="s">
        <v>17</v>
      </c>
    </row>
    <row r="6" spans="1:17"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7" spans="1:17" x14ac:dyDescent="0.35">
      <c r="A7"/>
    </row>
    <row r="8" spans="1:17" x14ac:dyDescent="0.35">
      <c r="A8" s="3" t="s">
        <v>4</v>
      </c>
      <c r="B8" s="8" t="s">
        <v>18</v>
      </c>
      <c r="J8" s="20"/>
      <c r="K8" s="20"/>
      <c r="L8" s="20"/>
      <c r="M8" s="20"/>
      <c r="N8" s="20"/>
      <c r="O8" s="20"/>
      <c r="P8" s="20"/>
      <c r="Q8" s="20"/>
    </row>
    <row r="9" spans="1:17" x14ac:dyDescent="0.35">
      <c r="B9" t="s">
        <v>19</v>
      </c>
      <c r="E9" s="38">
        <f>'[2]Balance Sheet'!G20</f>
        <v>1366.5</v>
      </c>
      <c r="F9" s="38">
        <f>'[2]Balance Sheet'!H20</f>
        <v>849.5</v>
      </c>
      <c r="G9" s="38">
        <f>'[2]Balance Sheet'!I20</f>
        <v>996</v>
      </c>
      <c r="H9" s="38">
        <f>'[2]Balance Sheet'!J20</f>
        <v>824.2</v>
      </c>
      <c r="I9" s="38">
        <f>'[2]Balance Sheet'!K20</f>
        <v>977</v>
      </c>
      <c r="J9" s="39">
        <f>'Income Statement'!K6/(365/'Working Capital Schedule'!J23)</f>
        <v>1216.358904109589</v>
      </c>
      <c r="K9" s="39">
        <f>'Income Statement'!L6/(365/'Working Capital Schedule'!K23)</f>
        <v>1379.333945466406</v>
      </c>
      <c r="L9" s="39">
        <f>'Income Statement'!M6/(365/'Working Capital Schedule'!L23)</f>
        <v>1542.4589782559683</v>
      </c>
      <c r="M9" s="39">
        <f>'Income Statement'!N6/(365/'Working Capital Schedule'!M23)</f>
        <v>1698.500288402528</v>
      </c>
      <c r="N9" s="39">
        <f>'Income Statement'!O6/(365/'Working Capital Schedule'!N23)</f>
        <v>1838.9730425054483</v>
      </c>
      <c r="O9" s="39">
        <f>'Income Statement'!P6/(365/'Working Capital Schedule'!O23)</f>
        <v>1954.9033306719782</v>
      </c>
      <c r="P9" s="39">
        <f>'Income Statement'!Q6/(365/'Working Capital Schedule'!P23)</f>
        <v>2037.9350617938719</v>
      </c>
      <c r="Q9" s="39">
        <f>'Income Statement'!R6/(365/'Working Capital Schedule'!Q23)</f>
        <v>2081.600330086198</v>
      </c>
    </row>
    <row r="10" spans="1:17" x14ac:dyDescent="0.35">
      <c r="B10" t="s">
        <v>20</v>
      </c>
      <c r="E10" s="38">
        <f>'[2]Balance Sheet'!G19</f>
        <v>2699.1</v>
      </c>
      <c r="F10" s="38">
        <f>'[2]Balance Sheet'!H19</f>
        <v>2414.6999999999998</v>
      </c>
      <c r="G10" s="38">
        <f>'[2]Balance Sheet'!I19</f>
        <v>2959.2</v>
      </c>
      <c r="H10" s="38">
        <f>'[2]Balance Sheet'!J19</f>
        <v>2845.5</v>
      </c>
      <c r="I10" s="38">
        <f>'[2]Balance Sheet'!K19</f>
        <v>3369</v>
      </c>
      <c r="J10" s="39">
        <f>'Income Statement'!K22/(365/'Working Capital Schedule'!J24)</f>
        <v>3880.3986267042401</v>
      </c>
      <c r="K10" s="39">
        <f>'Income Statement'!L22/(365/'Working Capital Schedule'!K24)</f>
        <v>4400.317644464053</v>
      </c>
      <c r="L10" s="39">
        <f>'Income Statement'!M22/(365/'Working Capital Schedule'!L24)</f>
        <v>4920.7151612488451</v>
      </c>
      <c r="M10" s="39">
        <f>'Income Statement'!N22/(365/'Working Capital Schedule'!M24)</f>
        <v>5418.5143581438488</v>
      </c>
      <c r="N10" s="39">
        <f>'Income Statement'!O22/(365/'Working Capital Schedule'!N24)</f>
        <v>5866.6471257576613</v>
      </c>
      <c r="O10" s="39">
        <f>'Income Statement'!P22/(365/'Working Capital Schedule'!O24)</f>
        <v>6236.4851147549434</v>
      </c>
      <c r="P10" s="39">
        <f>'Income Statement'!Q22/(365/'Working Capital Schedule'!P24)</f>
        <v>6501.3709262779257</v>
      </c>
      <c r="Q10" s="39">
        <f>'Income Statement'!R22/(365/'Working Capital Schedule'!Q24)</f>
        <v>6640.6708044173029</v>
      </c>
    </row>
    <row r="11" spans="1:17" x14ac:dyDescent="0.35">
      <c r="B11" t="s">
        <v>21</v>
      </c>
      <c r="E11" s="38">
        <f>'[2]Balance Sheet'!G23</f>
        <v>880.3</v>
      </c>
      <c r="F11" s="38">
        <f>'[2]Balance Sheet'!H23</f>
        <v>899.5</v>
      </c>
      <c r="G11" s="38">
        <f>'[2]Balance Sheet'!I23</f>
        <v>979.4</v>
      </c>
      <c r="H11" s="38">
        <f>'[2]Balance Sheet'!J23</f>
        <v>1149.0999999999999</v>
      </c>
      <c r="I11" s="38">
        <f>'[2]Balance Sheet'!K23</f>
        <v>975</v>
      </c>
      <c r="J11" s="39">
        <f>'Income Statement'!K6*'Working Capital Schedule'!J25</f>
        <v>1210.83</v>
      </c>
      <c r="K11" s="39">
        <f>'Income Statement'!L6*'Working Capital Schedule'!K25</f>
        <v>1373.064245714286</v>
      </c>
      <c r="L11" s="39">
        <f>'Income Statement'!M6*'Working Capital Schedule'!L25</f>
        <v>1535.4478010820774</v>
      </c>
      <c r="M11" s="39">
        <f>'Income Statement'!N6*'Working Capital Schedule'!M25</f>
        <v>1690.7798325461526</v>
      </c>
      <c r="N11" s="39">
        <f>'Income Statement'!O6*'Working Capital Schedule'!N25</f>
        <v>1830.6140741304234</v>
      </c>
      <c r="O11" s="39">
        <f>'Income Statement'!P6*'Working Capital Schedule'!O25</f>
        <v>1946.0174064416508</v>
      </c>
      <c r="P11" s="39">
        <f>'Income Statement'!Q6*'Working Capital Schedule'!P25</f>
        <v>2366.7836740378834</v>
      </c>
      <c r="Q11" s="39">
        <f>'Income Statement'!R6*'Working Capital Schedule'!Q25</f>
        <v>2417.4949288046528</v>
      </c>
    </row>
    <row r="12" spans="1:17" x14ac:dyDescent="0.35">
      <c r="B12" s="9" t="s">
        <v>129</v>
      </c>
      <c r="C12" s="10"/>
      <c r="D12" s="10"/>
      <c r="E12" s="61">
        <f t="shared" ref="E12:Q12" si="1">SUM(E9:E11)</f>
        <v>4945.8999999999996</v>
      </c>
      <c r="F12" s="61">
        <f t="shared" si="1"/>
        <v>4163.7</v>
      </c>
      <c r="G12" s="61">
        <f t="shared" si="1"/>
        <v>4934.5999999999995</v>
      </c>
      <c r="H12" s="61">
        <f t="shared" si="1"/>
        <v>4818.7999999999993</v>
      </c>
      <c r="I12" s="61">
        <f t="shared" si="1"/>
        <v>5321</v>
      </c>
      <c r="J12" s="56">
        <f t="shared" si="1"/>
        <v>6307.5875308138293</v>
      </c>
      <c r="K12" s="56">
        <f t="shared" si="1"/>
        <v>7152.7158356447453</v>
      </c>
      <c r="L12" s="56">
        <f t="shared" si="1"/>
        <v>7998.6219405868915</v>
      </c>
      <c r="M12" s="56">
        <f t="shared" si="1"/>
        <v>8807.7944790925285</v>
      </c>
      <c r="N12" s="56">
        <f t="shared" si="1"/>
        <v>9536.2342423935333</v>
      </c>
      <c r="O12" s="56">
        <f t="shared" si="1"/>
        <v>10137.405851868572</v>
      </c>
      <c r="P12" s="56">
        <f t="shared" si="1"/>
        <v>10906.08966210968</v>
      </c>
      <c r="Q12" s="56">
        <f t="shared" si="1"/>
        <v>11139.766063308154</v>
      </c>
    </row>
    <row r="14" spans="1:17" x14ac:dyDescent="0.35">
      <c r="A14" s="3" t="s">
        <v>4</v>
      </c>
      <c r="B14" s="8" t="s">
        <v>22</v>
      </c>
    </row>
    <row r="15" spans="1:17" x14ac:dyDescent="0.35">
      <c r="B15" t="s">
        <v>23</v>
      </c>
      <c r="E15" s="38">
        <f>'[2]Balance Sheet'!G44</f>
        <v>182.4</v>
      </c>
      <c r="F15" s="38">
        <f>'[2]Balance Sheet'!H44</f>
        <v>255.7</v>
      </c>
      <c r="G15" s="38">
        <f>'[2]Balance Sheet'!I44</f>
        <v>216</v>
      </c>
      <c r="H15" s="38">
        <f>'[2]Balance Sheet'!J44</f>
        <v>212.4</v>
      </c>
      <c r="I15" s="38">
        <f>'[2]Balance Sheet'!K44</f>
        <v>138</v>
      </c>
      <c r="J15" s="39">
        <f>'Income Statement'!K22/(365/'Working Capital Schedule'!J26)</f>
        <v>245.50344865639036</v>
      </c>
      <c r="K15" s="39">
        <f>'Income Statement'!L22/(365/'Working Capital Schedule'!K26)</f>
        <v>278.39746913244846</v>
      </c>
      <c r="L15" s="39">
        <f>'Income Statement'!M22/(365/'Working Capital Schedule'!L26)</f>
        <v>311.32176308608251</v>
      </c>
      <c r="M15" s="39">
        <f>'Income Statement'!N22/(365/'Working Capital Schedule'!M26)</f>
        <v>342.81631592275937</v>
      </c>
      <c r="N15" s="39">
        <f>'Income Statement'!O22/(365/'Working Capital Schedule'!N26)</f>
        <v>371.16859373978508</v>
      </c>
      <c r="O15" s="39">
        <f>'Income Statement'!P22/(365/'Working Capital Schedule'!O26)</f>
        <v>394.56735002171212</v>
      </c>
      <c r="P15" s="39">
        <f>'Income Statement'!Q22/(365/'Working Capital Schedule'!P26)</f>
        <v>532.30428127322057</v>
      </c>
      <c r="Q15" s="39">
        <f>'Income Statement'!R22/(365/'Working Capital Schedule'!Q26)</f>
        <v>543.70955599992806</v>
      </c>
    </row>
    <row r="16" spans="1:17" x14ac:dyDescent="0.35">
      <c r="B16" t="s">
        <v>130</v>
      </c>
      <c r="E16" s="38">
        <f>'[2]Balance Sheet'!G45</f>
        <v>815.4</v>
      </c>
      <c r="F16" s="38">
        <f>'[2]Balance Sheet'!H45</f>
        <v>1303.3</v>
      </c>
      <c r="G16" s="38">
        <f>'[2]Balance Sheet'!I45</f>
        <v>1361.5</v>
      </c>
      <c r="H16" s="38">
        <f>'[2]Balance Sheet'!J45</f>
        <v>901.3</v>
      </c>
      <c r="I16" s="38">
        <f>'[2]Balance Sheet'!K45</f>
        <v>1148</v>
      </c>
      <c r="J16" s="39">
        <f>'Income Statement'!K56*'Working Capital Schedule'!J27</f>
        <v>1281.2493260619822</v>
      </c>
      <c r="K16" s="39">
        <f>'Income Statement'!L56*'Working Capital Schedule'!K27</f>
        <v>1407.9560292775011</v>
      </c>
      <c r="L16" s="39">
        <f>'Income Statement'!M56*'Working Capital Schedule'!L27</f>
        <v>1522.4185612425522</v>
      </c>
      <c r="M16" s="39">
        <f>'Income Statement'!N56*'Working Capital Schedule'!M27</f>
        <v>1617.3225992026325</v>
      </c>
      <c r="N16" s="39">
        <f>'Income Statement'!O56*'Working Capital Schedule'!N27</f>
        <v>1685.2401841203462</v>
      </c>
      <c r="O16" s="39">
        <f>'Income Statement'!P56*'Working Capital Schedule'!O27</f>
        <v>1719.578468159141</v>
      </c>
      <c r="P16" s="39">
        <f>'Income Statement'!Q56*'Working Capital Schedule'!P27</f>
        <v>1715.6630229234249</v>
      </c>
      <c r="Q16" s="39">
        <f>'Income Statement'!R56*'Working Capital Schedule'!Q27</f>
        <v>1671.7084963884765</v>
      </c>
    </row>
    <row r="17" spans="1:17" x14ac:dyDescent="0.35">
      <c r="B17" t="s">
        <v>24</v>
      </c>
      <c r="E17" s="38">
        <f>'[2]Balance Sheet'!G46</f>
        <v>2206.1</v>
      </c>
      <c r="F17" s="38">
        <f>'[2]Balance Sheet'!H46</f>
        <v>2787.5</v>
      </c>
      <c r="G17" s="38">
        <f>'[2]Balance Sheet'!I46</f>
        <v>2553.3000000000002</v>
      </c>
      <c r="H17" s="38">
        <f>'[2]Balance Sheet'!J46</f>
        <v>2290.4</v>
      </c>
      <c r="I17" s="38">
        <f>'[2]Balance Sheet'!K46</f>
        <v>1875</v>
      </c>
      <c r="J17" s="39">
        <f>'Income Statement'!K26*'Working Capital Schedule'!J28</f>
        <v>2960.1406780304583</v>
      </c>
      <c r="K17" s="39">
        <f>'Income Statement'!L26*'Working Capital Schedule'!K28</f>
        <v>3432.9630971428592</v>
      </c>
      <c r="L17" s="39">
        <f>'Income Statement'!M26*'Working Capital Schedule'!L28</f>
        <v>3924.1751112416478</v>
      </c>
      <c r="M17" s="39">
        <f>'Income Statement'!N26*'Working Capital Schedule'!M28</f>
        <v>4414.9986176393577</v>
      </c>
      <c r="N17" s="39">
        <f>'Income Statement'!O26*'Working Capital Schedule'!N28</f>
        <v>4881.7357086880456</v>
      </c>
      <c r="O17" s="39">
        <f>'Income Statement'!P26*'Working Capital Schedule'!O28</f>
        <v>5297.4880834389196</v>
      </c>
      <c r="P17" s="39">
        <f>'Income Statement'!Q26*'Working Capital Schedule'!P28</f>
        <v>5635.0826156350868</v>
      </c>
      <c r="Q17" s="39">
        <f>'Income Statement'!R26*'Working Capital Schedule'!Q28</f>
        <v>5870.8248872648655</v>
      </c>
    </row>
    <row r="18" spans="1:17" x14ac:dyDescent="0.35">
      <c r="A18" s="3" t="s">
        <v>4</v>
      </c>
      <c r="B18" s="9" t="s">
        <v>25</v>
      </c>
      <c r="C18" s="11"/>
      <c r="D18" s="10"/>
      <c r="E18" s="61">
        <f t="shared" ref="E18:Q18" si="2">SUM(E15:E17)</f>
        <v>3203.8999999999996</v>
      </c>
      <c r="F18" s="61">
        <f t="shared" si="2"/>
        <v>4346.5</v>
      </c>
      <c r="G18" s="61">
        <f t="shared" si="2"/>
        <v>4130.8</v>
      </c>
      <c r="H18" s="61">
        <f t="shared" si="2"/>
        <v>3404.1000000000004</v>
      </c>
      <c r="I18" s="61">
        <f t="shared" si="2"/>
        <v>3161</v>
      </c>
      <c r="J18" s="56">
        <f t="shared" si="2"/>
        <v>4486.8934527488309</v>
      </c>
      <c r="K18" s="56">
        <f t="shared" si="2"/>
        <v>5119.3165955528093</v>
      </c>
      <c r="L18" s="56">
        <f t="shared" si="2"/>
        <v>5757.9154355702822</v>
      </c>
      <c r="M18" s="56">
        <f t="shared" si="2"/>
        <v>6375.1375327647493</v>
      </c>
      <c r="N18" s="56">
        <f t="shared" si="2"/>
        <v>6938.1444865481772</v>
      </c>
      <c r="O18" s="56">
        <f t="shared" si="2"/>
        <v>7411.6339016197726</v>
      </c>
      <c r="P18" s="56">
        <f t="shared" si="2"/>
        <v>7883.049919831732</v>
      </c>
      <c r="Q18" s="56">
        <f t="shared" si="2"/>
        <v>8086.2429396532698</v>
      </c>
    </row>
    <row r="19" spans="1:17" x14ac:dyDescent="0.35">
      <c r="J19" s="20"/>
      <c r="K19" s="20"/>
      <c r="L19" s="20"/>
      <c r="M19" s="20"/>
      <c r="N19" s="20"/>
      <c r="O19" s="20"/>
      <c r="P19" s="20"/>
      <c r="Q19" s="20"/>
    </row>
    <row r="20" spans="1:17" x14ac:dyDescent="0.35">
      <c r="A20" s="3" t="s">
        <v>4</v>
      </c>
      <c r="B20" s="9" t="s">
        <v>26</v>
      </c>
      <c r="C20" s="10"/>
      <c r="D20" s="10"/>
      <c r="E20" s="61">
        <f t="shared" ref="E20:Q20" si="3">E12-E18</f>
        <v>1742</v>
      </c>
      <c r="F20" s="61">
        <f t="shared" si="3"/>
        <v>-182.80000000000018</v>
      </c>
      <c r="G20" s="61">
        <f t="shared" si="3"/>
        <v>803.79999999999927</v>
      </c>
      <c r="H20" s="61">
        <f t="shared" si="3"/>
        <v>1414.6999999999989</v>
      </c>
      <c r="I20" s="61">
        <f t="shared" si="3"/>
        <v>2160</v>
      </c>
      <c r="J20" s="56">
        <f t="shared" si="3"/>
        <v>1820.6940780649984</v>
      </c>
      <c r="K20" s="56">
        <f t="shared" si="3"/>
        <v>2033.399240091936</v>
      </c>
      <c r="L20" s="56">
        <f t="shared" si="3"/>
        <v>2240.7065050166093</v>
      </c>
      <c r="M20" s="56">
        <f t="shared" si="3"/>
        <v>2432.6569463277792</v>
      </c>
      <c r="N20" s="56">
        <f t="shared" si="3"/>
        <v>2598.0897558453562</v>
      </c>
      <c r="O20" s="56">
        <f t="shared" si="3"/>
        <v>2725.7719502487998</v>
      </c>
      <c r="P20" s="56">
        <f t="shared" si="3"/>
        <v>3023.0397422779479</v>
      </c>
      <c r="Q20" s="56">
        <f t="shared" si="3"/>
        <v>3053.5231236548843</v>
      </c>
    </row>
    <row r="21" spans="1:17" x14ac:dyDescent="0.35">
      <c r="A21" s="3" t="s">
        <v>4</v>
      </c>
      <c r="B21" s="1" t="s">
        <v>27</v>
      </c>
      <c r="F21" s="38">
        <f t="shared" ref="F21:Q21" si="4">-(F20-E20)</f>
        <v>1924.8000000000002</v>
      </c>
      <c r="G21" s="38">
        <f t="shared" si="4"/>
        <v>-986.59999999999945</v>
      </c>
      <c r="H21" s="38">
        <f t="shared" si="4"/>
        <v>-610.89999999999964</v>
      </c>
      <c r="I21" s="38">
        <f t="shared" si="4"/>
        <v>-745.30000000000109</v>
      </c>
      <c r="J21" s="39">
        <f t="shared" si="4"/>
        <v>339.30592193500161</v>
      </c>
      <c r="K21" s="39">
        <f t="shared" si="4"/>
        <v>-212.70516202693761</v>
      </c>
      <c r="L21" s="39">
        <f t="shared" si="4"/>
        <v>-207.30726492467329</v>
      </c>
      <c r="M21" s="39">
        <f t="shared" si="4"/>
        <v>-191.95044131116993</v>
      </c>
      <c r="N21" s="39">
        <f t="shared" si="4"/>
        <v>-165.43280951757697</v>
      </c>
      <c r="O21" s="39">
        <f t="shared" si="4"/>
        <v>-127.68219440344365</v>
      </c>
      <c r="P21" s="39">
        <f t="shared" si="4"/>
        <v>-297.26779202914804</v>
      </c>
      <c r="Q21" s="39">
        <f t="shared" si="4"/>
        <v>-30.48338137693645</v>
      </c>
    </row>
    <row r="23" spans="1:17" x14ac:dyDescent="0.35">
      <c r="B23" t="s">
        <v>82</v>
      </c>
      <c r="E23" s="60">
        <f>365/('Income Statement'!E6/'Working Capital Schedule'!E9)</f>
        <v>46.118158870468143</v>
      </c>
      <c r="F23" s="60">
        <f>365/('Income Statement'!F6/'Working Capital Schedule'!F9)</f>
        <v>22.690300910341595</v>
      </c>
      <c r="G23" s="60">
        <f>365/('Income Statement'!G6/'Working Capital Schedule'!G9)</f>
        <v>22.887902540372085</v>
      </c>
      <c r="H23" s="60">
        <f>365/('Income Statement'!H6/'Working Capital Schedule'!H9)</f>
        <v>22.964000549609928</v>
      </c>
      <c r="I23" s="60">
        <f>365/('Income Statement'!I6/'Working Capital Schedule'!I9)</f>
        <v>20.20997449702465</v>
      </c>
      <c r="J23" s="20">
        <v>22</v>
      </c>
      <c r="K23" s="20">
        <v>22</v>
      </c>
      <c r="L23" s="20">
        <v>22</v>
      </c>
      <c r="M23" s="20">
        <v>22</v>
      </c>
      <c r="N23" s="20">
        <v>22</v>
      </c>
      <c r="O23" s="20">
        <v>22</v>
      </c>
      <c r="P23" s="20">
        <v>22</v>
      </c>
      <c r="Q23" s="20">
        <v>22</v>
      </c>
    </row>
    <row r="24" spans="1:17" x14ac:dyDescent="0.35">
      <c r="B24" t="s">
        <v>28</v>
      </c>
      <c r="E24" s="60">
        <f>365/('Income Statement'!E22/'Working Capital Schedule'!E10)</f>
        <v>339.73774053382988</v>
      </c>
      <c r="F24" s="60">
        <f>365/('Income Statement'!F22/'Working Capital Schedule'!F10)</f>
        <v>254.2156042688203</v>
      </c>
      <c r="G24" s="60">
        <f>365/('Income Statement'!G22/'Working Capital Schedule'!G10)</f>
        <v>262.89594742606789</v>
      </c>
      <c r="H24" s="60">
        <f>365/('Income Statement'!H22/'Working Capital Schedule'!H10)</f>
        <v>289.25736645685959</v>
      </c>
      <c r="I24" s="60">
        <f>365/('Income Statement'!I22/'Working Capital Schedule'!I10)</f>
        <v>268.66615687131309</v>
      </c>
      <c r="J24" s="62">
        <v>268.7</v>
      </c>
      <c r="K24" s="62">
        <v>268.7</v>
      </c>
      <c r="L24" s="62">
        <v>268.7</v>
      </c>
      <c r="M24" s="62">
        <v>268.7</v>
      </c>
      <c r="N24" s="62">
        <v>268.7</v>
      </c>
      <c r="O24" s="62">
        <v>268.7</v>
      </c>
      <c r="P24" s="62">
        <v>268.7</v>
      </c>
      <c r="Q24" s="62">
        <v>268.7</v>
      </c>
    </row>
    <row r="25" spans="1:17" x14ac:dyDescent="0.35">
      <c r="B25" t="s">
        <v>29</v>
      </c>
      <c r="E25" s="44">
        <f>E11/'Income Statement'!E6</f>
        <v>8.1395456352692061E-2</v>
      </c>
      <c r="F25" s="44">
        <f>F11/'Income Statement'!F6</f>
        <v>6.5824137224482618E-2</v>
      </c>
      <c r="G25" s="44">
        <f>G11/'Income Statement'!G6</f>
        <v>6.166147259734945E-2</v>
      </c>
      <c r="H25" s="44">
        <f>H11/'Income Statement'!H6</f>
        <v>8.7716218073006502E-2</v>
      </c>
      <c r="I25" s="44">
        <f>I11/'Income Statement'!I6</f>
        <v>5.5256446585434965E-2</v>
      </c>
      <c r="J25" s="40">
        <v>0.06</v>
      </c>
      <c r="K25" s="40">
        <v>0.06</v>
      </c>
      <c r="L25" s="40">
        <v>0.06</v>
      </c>
      <c r="M25" s="40">
        <v>0.06</v>
      </c>
      <c r="N25" s="40">
        <v>0.06</v>
      </c>
      <c r="O25" s="40">
        <v>0.06</v>
      </c>
      <c r="P25" s="40">
        <v>7.0000000000000007E-2</v>
      </c>
      <c r="Q25" s="40">
        <v>7.0000000000000007E-2</v>
      </c>
    </row>
    <row r="26" spans="1:17" x14ac:dyDescent="0.35">
      <c r="B26" t="s">
        <v>30</v>
      </c>
      <c r="E26" s="60">
        <f>365/('Income Statement'!E22/'Working Capital Schedule'!E15)</f>
        <v>22.958824746534244</v>
      </c>
      <c r="F26" s="60">
        <f>365/('Income Statement'!F22/'Working Capital Schedule'!F15)</f>
        <v>26.919671185462935</v>
      </c>
      <c r="G26" s="60">
        <f>365/('Income Statement'!G22/'Working Capital Schedule'!G15)</f>
        <v>19.189485213581602</v>
      </c>
      <c r="H26" s="60">
        <f>365/('Income Statement'!H22/'Working Capital Schedule'!H15)</f>
        <v>21.591377485656992</v>
      </c>
      <c r="I26" s="60">
        <f>365/('Income Statement'!I22/'Working Capital Schedule'!I15)</f>
        <v>11.005025125628141</v>
      </c>
      <c r="J26" s="20">
        <v>17</v>
      </c>
      <c r="K26" s="20">
        <v>17</v>
      </c>
      <c r="L26" s="20">
        <v>17</v>
      </c>
      <c r="M26" s="20">
        <v>17</v>
      </c>
      <c r="N26" s="20">
        <v>17</v>
      </c>
      <c r="O26" s="20">
        <v>17</v>
      </c>
      <c r="P26" s="20">
        <v>22</v>
      </c>
      <c r="Q26" s="20">
        <v>22</v>
      </c>
    </row>
    <row r="27" spans="1:17" x14ac:dyDescent="0.35">
      <c r="B27" t="s">
        <v>80</v>
      </c>
      <c r="E27" s="44">
        <f>E16/'Income Statement'!E56</f>
        <v>1.4803921568627452</v>
      </c>
      <c r="F27" s="44">
        <f>F16/'Income Statement'!F56</f>
        <v>1.5020168260919671</v>
      </c>
      <c r="G27" s="44">
        <f>G16/'Income Statement'!G56</f>
        <v>0.63809345268781936</v>
      </c>
      <c r="H27" s="44">
        <f>H16/'Income Statement'!H56</f>
        <v>1.1871707060063224</v>
      </c>
      <c r="I27" s="44">
        <f>I16/'Income Statement'!I56</f>
        <v>0.89687499999999998</v>
      </c>
      <c r="J27" s="40">
        <v>0.91</v>
      </c>
      <c r="K27" s="40">
        <v>0.91</v>
      </c>
      <c r="L27" s="40">
        <v>0.91</v>
      </c>
      <c r="M27" s="40">
        <v>0.91</v>
      </c>
      <c r="N27" s="40">
        <v>0.91</v>
      </c>
      <c r="O27" s="40">
        <v>0.91</v>
      </c>
      <c r="P27" s="40">
        <v>0.91</v>
      </c>
      <c r="Q27" s="40">
        <v>0.91</v>
      </c>
    </row>
    <row r="28" spans="1:17" x14ac:dyDescent="0.35">
      <c r="B28" t="s">
        <v>81</v>
      </c>
      <c r="E28" s="44">
        <f>E17/'Income Statement'!E26</f>
        <v>0.46032342201356286</v>
      </c>
      <c r="F28" s="44">
        <f>F17/'Income Statement'!F26</f>
        <v>0.48373101952277647</v>
      </c>
      <c r="G28" s="44">
        <f>G17/'Income Statement'!G26</f>
        <v>0.4439440831797476</v>
      </c>
      <c r="H28" s="44">
        <f>H17/'Income Statement'!H26</f>
        <v>0.4640758601126555</v>
      </c>
      <c r="I28" s="44">
        <f>I17/'Income Statement'!I26</f>
        <v>0.28417702334040618</v>
      </c>
      <c r="J28" s="40">
        <v>0.37</v>
      </c>
      <c r="K28" s="40">
        <v>0.37</v>
      </c>
      <c r="L28" s="40">
        <v>0.37</v>
      </c>
      <c r="M28" s="40">
        <v>0.37</v>
      </c>
      <c r="N28" s="40">
        <v>0.37</v>
      </c>
      <c r="O28" s="40">
        <v>0.37</v>
      </c>
      <c r="P28" s="40">
        <v>0.37</v>
      </c>
      <c r="Q28" s="40">
        <v>0.37</v>
      </c>
    </row>
    <row r="31" spans="1:17" x14ac:dyDescent="0.35">
      <c r="B31" s="1" t="s">
        <v>131</v>
      </c>
      <c r="E31" s="63">
        <f>E21/'Income Statement'!E6</f>
        <v>0</v>
      </c>
      <c r="F31" s="63">
        <f>F21/'Income Statement'!F6</f>
        <v>0.14085414044434039</v>
      </c>
      <c r="G31" s="63">
        <f>G21/'Income Statement'!G6</f>
        <v>-6.2114773192306447E-2</v>
      </c>
      <c r="H31" s="63">
        <f>H21/'Income Statement'!H6</f>
        <v>-4.6632875833956706E-2</v>
      </c>
      <c r="I31" s="63">
        <f>I21/'Income Statement'!I6</f>
        <v>-4.2238594502692045E-2</v>
      </c>
      <c r="J31" s="63">
        <f>J21/'Income Statement'!J6</f>
        <v>1.6672690380571058E-2</v>
      </c>
      <c r="K31" s="63">
        <f>K21/'Income Statement'!K6</f>
        <v>-1.0540133397435029E-2</v>
      </c>
      <c r="L31" s="63">
        <f>L21/'Income Statement'!L6</f>
        <v>-9.0588884928758454E-3</v>
      </c>
      <c r="M31" s="63">
        <f>M21/'Income Statement'!M6</f>
        <v>-7.5007606709611308E-3</v>
      </c>
      <c r="N31" s="63">
        <f>N21/'Income Statement'!N6</f>
        <v>-5.8706452371785501E-3</v>
      </c>
      <c r="O31" s="63">
        <f>O21/'Income Statement'!O6</f>
        <v>-4.1848971732863505E-3</v>
      </c>
      <c r="P31" s="63">
        <f>P21/'Income Statement'!P6</f>
        <v>-9.1654203414154693E-3</v>
      </c>
      <c r="Q31" s="63">
        <f>Q21/'Income Statement'!Q6</f>
        <v>-9.0157656561196857E-4</v>
      </c>
    </row>
  </sheetData>
  <pageMargins left="0.7" right="0.7" top="0.78740157499999996" bottom="0.78740157499999996" header="0.3" footer="0.3"/>
  <pageSetup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8274-FCD1-4835-822B-55AB3453218F}">
  <sheetPr>
    <pageSetUpPr fitToPage="1"/>
  </sheetPr>
  <dimension ref="A1:AD33"/>
  <sheetViews>
    <sheetView showGridLines="0" tabSelected="1" topLeftCell="A9" zoomScale="80" zoomScaleNormal="80" workbookViewId="0">
      <selection activeCell="E25" sqref="E25"/>
    </sheetView>
  </sheetViews>
  <sheetFormatPr baseColWidth="10" defaultRowHeight="15.5" x14ac:dyDescent="0.35"/>
  <cols>
    <col min="1" max="1" width="6.33203125" customWidth="1"/>
  </cols>
  <sheetData>
    <row r="1" spans="1:30" x14ac:dyDescent="0.35">
      <c r="A1" s="1" t="str">
        <f>'Working Capital Schedule'!A1</f>
        <v>Kering SA</v>
      </c>
    </row>
    <row r="2" spans="1:30" x14ac:dyDescent="0.35">
      <c r="A2" t="str">
        <f>'Working Capital Schedule'!A2</f>
        <v>Figures in mm EUR</v>
      </c>
    </row>
    <row r="3" spans="1:30" x14ac:dyDescent="0.35">
      <c r="A3" t="str">
        <f>'Working Capital Schedule'!A3</f>
        <v>Date: 14/10/2023</v>
      </c>
    </row>
    <row r="5" spans="1:30" x14ac:dyDescent="0.35">
      <c r="F5" s="7" t="s">
        <v>16</v>
      </c>
      <c r="G5" s="7" t="s">
        <v>16</v>
      </c>
      <c r="H5" s="7" t="s">
        <v>16</v>
      </c>
      <c r="I5" s="7" t="s">
        <v>16</v>
      </c>
      <c r="J5" s="7" t="s">
        <v>16</v>
      </c>
      <c r="K5" s="7" t="s">
        <v>17</v>
      </c>
      <c r="L5" s="7" t="s">
        <v>17</v>
      </c>
      <c r="M5" s="7" t="s">
        <v>17</v>
      </c>
      <c r="N5" s="7" t="s">
        <v>17</v>
      </c>
      <c r="O5" s="7" t="s">
        <v>17</v>
      </c>
      <c r="P5" s="7" t="s">
        <v>17</v>
      </c>
      <c r="Q5" s="7" t="s">
        <v>17</v>
      </c>
      <c r="R5" s="7" t="s">
        <v>17</v>
      </c>
    </row>
    <row r="6" spans="1:30" x14ac:dyDescent="0.35">
      <c r="B6" s="12"/>
      <c r="C6" s="12"/>
      <c r="D6" s="6"/>
      <c r="E6" s="6">
        <v>2017</v>
      </c>
      <c r="F6" s="6">
        <v>2018</v>
      </c>
      <c r="G6" s="6">
        <v>2019</v>
      </c>
      <c r="H6" s="6">
        <v>2020</v>
      </c>
      <c r="I6" s="6">
        <v>2021</v>
      </c>
      <c r="J6" s="6">
        <v>2022</v>
      </c>
      <c r="K6" s="6">
        <f t="shared" ref="K6:R6" si="0">J6+1</f>
        <v>2023</v>
      </c>
      <c r="L6" s="6">
        <f t="shared" si="0"/>
        <v>2024</v>
      </c>
      <c r="M6" s="6">
        <f t="shared" si="0"/>
        <v>2025</v>
      </c>
      <c r="N6" s="6">
        <f t="shared" si="0"/>
        <v>2026</v>
      </c>
      <c r="O6" s="6">
        <f t="shared" si="0"/>
        <v>2027</v>
      </c>
      <c r="P6" s="6">
        <f t="shared" si="0"/>
        <v>2028</v>
      </c>
      <c r="Q6" s="6">
        <f t="shared" si="0"/>
        <v>2029</v>
      </c>
      <c r="R6" s="6">
        <f t="shared" si="0"/>
        <v>2030</v>
      </c>
    </row>
    <row r="7" spans="1:30" x14ac:dyDescent="0.35">
      <c r="A7" s="3"/>
      <c r="B7" s="1" t="s">
        <v>33</v>
      </c>
      <c r="K7" s="20"/>
      <c r="L7" s="20"/>
      <c r="M7" s="20"/>
      <c r="N7" s="20"/>
      <c r="O7" s="20"/>
      <c r="P7" s="20"/>
      <c r="Q7" s="20"/>
      <c r="R7" s="20"/>
      <c r="S7" s="20"/>
      <c r="T7" s="20"/>
    </row>
    <row r="8" spans="1:30" x14ac:dyDescent="0.35">
      <c r="A8" s="3"/>
      <c r="B8" t="s">
        <v>123</v>
      </c>
      <c r="F8" s="38">
        <f>E12</f>
        <v>2267.6</v>
      </c>
      <c r="G8" s="38">
        <f t="shared" ref="G8:R8" si="1">F12</f>
        <v>2228.5</v>
      </c>
      <c r="H8" s="38">
        <f t="shared" si="1"/>
        <v>2619.3000000000002</v>
      </c>
      <c r="I8" s="38">
        <f t="shared" si="1"/>
        <v>2670.2</v>
      </c>
      <c r="J8" s="38">
        <f t="shared" si="1"/>
        <v>2967</v>
      </c>
      <c r="K8" s="39">
        <f>J12</f>
        <v>3880</v>
      </c>
      <c r="L8" s="39">
        <f t="shared" si="1"/>
        <v>3777.375641025641</v>
      </c>
      <c r="M8" s="39">
        <f t="shared" si="1"/>
        <v>4283.4910229548241</v>
      </c>
      <c r="N8" s="39">
        <f t="shared" si="1"/>
        <v>4790.0721999569078</v>
      </c>
      <c r="O8" s="39">
        <f t="shared" si="1"/>
        <v>5274.6550331568014</v>
      </c>
      <c r="P8" s="39">
        <f t="shared" si="1"/>
        <v>5710.8900603214061</v>
      </c>
      <c r="Q8" s="39">
        <f t="shared" si="1"/>
        <v>6070.9090030017314</v>
      </c>
      <c r="R8" s="39">
        <f t="shared" si="1"/>
        <v>6328.7622053027644</v>
      </c>
      <c r="S8" s="20"/>
      <c r="T8" s="20"/>
    </row>
    <row r="9" spans="1:30" x14ac:dyDescent="0.35">
      <c r="B9" t="s">
        <v>34</v>
      </c>
      <c r="F9" s="47">
        <f>F10-F8</f>
        <v>393.77199999999993</v>
      </c>
      <c r="G9" s="13">
        <f t="shared" ref="G9:R9" si="2">G10-G8</f>
        <v>1514.6000000000004</v>
      </c>
      <c r="H9" s="13">
        <f t="shared" si="2"/>
        <v>1329.8999999999996</v>
      </c>
      <c r="I9" s="13">
        <f t="shared" si="2"/>
        <v>1584.8000000000002</v>
      </c>
      <c r="J9" s="47">
        <f t="shared" si="2"/>
        <v>2404</v>
      </c>
      <c r="K9" s="58">
        <f>K10-K8</f>
        <v>1294.4871794871797</v>
      </c>
      <c r="L9" s="58">
        <f t="shared" si="2"/>
        <v>2090.4202808302825</v>
      </c>
      <c r="M9" s="58">
        <f t="shared" si="2"/>
        <v>2278.2517167121732</v>
      </c>
      <c r="N9" s="58">
        <f t="shared" si="2"/>
        <v>2435.4826399839158</v>
      </c>
      <c r="O9" s="58">
        <f t="shared" si="2"/>
        <v>2548.4820357766321</v>
      </c>
      <c r="P9" s="58">
        <f t="shared" si="2"/>
        <v>2605.423642420692</v>
      </c>
      <c r="Q9" s="58">
        <f t="shared" si="2"/>
        <v>2598.6282645363017</v>
      </c>
      <c r="R9" s="58">
        <f t="shared" si="2"/>
        <v>2526.5305742014571</v>
      </c>
      <c r="S9" s="20"/>
      <c r="T9" s="20"/>
    </row>
    <row r="10" spans="1:30" x14ac:dyDescent="0.35">
      <c r="A10" s="3" t="s">
        <v>4</v>
      </c>
      <c r="B10" s="9" t="s">
        <v>35</v>
      </c>
      <c r="C10" s="10"/>
      <c r="D10" s="10"/>
      <c r="E10" s="10"/>
      <c r="F10" s="38">
        <f>F11+F12</f>
        <v>2661.3719999999998</v>
      </c>
      <c r="G10" s="38">
        <f>G11+G12</f>
        <v>3743.1000000000004</v>
      </c>
      <c r="H10" s="38">
        <f>H11+H12</f>
        <v>3949.2</v>
      </c>
      <c r="I10" s="38">
        <f>I11+I12</f>
        <v>4255</v>
      </c>
      <c r="J10" s="38">
        <f>J11+J12</f>
        <v>5371</v>
      </c>
      <c r="K10" s="39">
        <f>'Income Statement'!K6/'Fixed Asset Schedule'!K16</f>
        <v>5174.4871794871797</v>
      </c>
      <c r="L10" s="39">
        <f>'Income Statement'!L6/'Fixed Asset Schedule'!L16</f>
        <v>5867.7959218559236</v>
      </c>
      <c r="M10" s="39">
        <f>'Income Statement'!M6/'Fixed Asset Schedule'!M16</f>
        <v>6561.7427396669973</v>
      </c>
      <c r="N10" s="39">
        <f>'Income Statement'!N6/'Fixed Asset Schedule'!N16</f>
        <v>7225.5548399408235</v>
      </c>
      <c r="O10" s="39">
        <f>'Income Statement'!O6/'Fixed Asset Schedule'!O16</f>
        <v>7823.1370689334335</v>
      </c>
      <c r="P10" s="39">
        <f>'Income Statement'!P6/'Fixed Asset Schedule'!P16</f>
        <v>8316.313702742098</v>
      </c>
      <c r="Q10" s="39">
        <f>'Income Statement'!Q6/'Fixed Asset Schedule'!Q16</f>
        <v>8669.5372675380331</v>
      </c>
      <c r="R10" s="39">
        <f>'Income Statement'!R6/'Fixed Asset Schedule'!R16</f>
        <v>8855.2927795042215</v>
      </c>
      <c r="S10" s="20"/>
      <c r="T10" s="20"/>
    </row>
    <row r="11" spans="1:30" x14ac:dyDescent="0.35">
      <c r="B11" t="s">
        <v>36</v>
      </c>
      <c r="D11" s="13"/>
      <c r="E11" s="47">
        <f>'Income Statement'!E29</f>
        <v>380.24800000000005</v>
      </c>
      <c r="F11" s="47">
        <f>'Income Statement'!F29</f>
        <v>432.87199999999996</v>
      </c>
      <c r="G11" s="47">
        <f>'Income Statement'!G29</f>
        <v>1123.8000000000002</v>
      </c>
      <c r="H11" s="47">
        <f>'Income Statement'!H29</f>
        <v>1279</v>
      </c>
      <c r="I11" s="47">
        <f>'Income Statement'!I29</f>
        <v>1288</v>
      </c>
      <c r="J11" s="47">
        <f>'Income Statement'!J29</f>
        <v>1491</v>
      </c>
      <c r="K11" s="58">
        <f>K10*K14</f>
        <v>1397.1115384615387</v>
      </c>
      <c r="L11" s="58">
        <f t="shared" ref="L11:R11" si="3">L10*L14</f>
        <v>1584.3048989010995</v>
      </c>
      <c r="M11" s="58">
        <f t="shared" si="3"/>
        <v>1771.6705397100893</v>
      </c>
      <c r="N11" s="58">
        <f t="shared" si="3"/>
        <v>1950.8998067840225</v>
      </c>
      <c r="O11" s="58">
        <f t="shared" si="3"/>
        <v>2112.247008612027</v>
      </c>
      <c r="P11" s="58">
        <f t="shared" si="3"/>
        <v>2245.4046997403666</v>
      </c>
      <c r="Q11" s="58">
        <f t="shared" si="3"/>
        <v>2340.7750622352692</v>
      </c>
      <c r="R11" s="58">
        <f t="shared" si="3"/>
        <v>2390.9290504661399</v>
      </c>
      <c r="S11" s="20"/>
      <c r="T11" s="20"/>
    </row>
    <row r="12" spans="1:30" x14ac:dyDescent="0.35">
      <c r="A12" s="3" t="s">
        <v>4</v>
      </c>
      <c r="B12" s="9" t="s">
        <v>122</v>
      </c>
      <c r="C12" s="10"/>
      <c r="E12">
        <f>'[2]Balance Sheet'!$G$13</f>
        <v>2267.6</v>
      </c>
      <c r="F12" s="38">
        <f>'[2]Balance Sheet'!$H$13</f>
        <v>2228.5</v>
      </c>
      <c r="G12" s="38">
        <f>'[2]Balance Sheet'!$I$13</f>
        <v>2619.3000000000002</v>
      </c>
      <c r="H12" s="38">
        <f>'[2]Balance Sheet'!$J$13</f>
        <v>2670.2</v>
      </c>
      <c r="I12" s="38">
        <v>2967</v>
      </c>
      <c r="J12" s="38">
        <v>3880</v>
      </c>
      <c r="K12" s="39">
        <f t="shared" ref="K12:R12" si="4">K10-K11</f>
        <v>3777.375641025641</v>
      </c>
      <c r="L12" s="39">
        <f t="shared" si="4"/>
        <v>4283.4910229548241</v>
      </c>
      <c r="M12" s="39">
        <f t="shared" si="4"/>
        <v>4790.0721999569078</v>
      </c>
      <c r="N12" s="39">
        <f t="shared" si="4"/>
        <v>5274.6550331568014</v>
      </c>
      <c r="O12" s="39">
        <f t="shared" si="4"/>
        <v>5710.8900603214061</v>
      </c>
      <c r="P12" s="39">
        <f t="shared" si="4"/>
        <v>6070.9090030017314</v>
      </c>
      <c r="Q12" s="39">
        <f t="shared" si="4"/>
        <v>6328.7622053027644</v>
      </c>
      <c r="R12" s="39">
        <f t="shared" si="4"/>
        <v>6464.3637290380811</v>
      </c>
      <c r="S12" s="24"/>
      <c r="T12" s="23"/>
      <c r="U12" s="23"/>
      <c r="V12" s="23"/>
      <c r="W12" s="23"/>
      <c r="X12" s="23"/>
      <c r="Y12" s="23"/>
      <c r="Z12" s="23"/>
      <c r="AA12" s="23"/>
      <c r="AB12" s="23"/>
      <c r="AC12" s="23"/>
      <c r="AD12" s="23"/>
    </row>
    <row r="13" spans="1:30" x14ac:dyDescent="0.35">
      <c r="K13" s="39"/>
      <c r="L13" s="20"/>
      <c r="M13" s="20"/>
      <c r="N13" s="20"/>
      <c r="O13" s="20"/>
      <c r="P13" s="20"/>
      <c r="Q13" s="20"/>
      <c r="R13" s="20"/>
      <c r="S13" s="20"/>
      <c r="T13" s="20"/>
    </row>
    <row r="14" spans="1:30" x14ac:dyDescent="0.35">
      <c r="A14" s="3"/>
      <c r="B14" s="1" t="s">
        <v>37</v>
      </c>
      <c r="F14" s="44">
        <f>F11/F10</f>
        <v>0.16264994145876638</v>
      </c>
      <c r="G14" s="44">
        <f>G11/G10</f>
        <v>0.30023242766690711</v>
      </c>
      <c r="H14" s="44">
        <f>H11/H10</f>
        <v>0.32386306087308825</v>
      </c>
      <c r="I14" s="44">
        <f>I11/I10</f>
        <v>0.30270270270270272</v>
      </c>
      <c r="J14" s="44">
        <f>J11/J10</f>
        <v>0.27760193632470676</v>
      </c>
      <c r="K14" s="57">
        <v>0.27</v>
      </c>
      <c r="L14" s="57">
        <v>0.27</v>
      </c>
      <c r="M14" s="57">
        <v>0.27</v>
      </c>
      <c r="N14" s="57">
        <v>0.27</v>
      </c>
      <c r="O14" s="57">
        <v>0.27</v>
      </c>
      <c r="P14" s="57">
        <v>0.27</v>
      </c>
      <c r="Q14" s="57">
        <v>0.27</v>
      </c>
      <c r="R14" s="57">
        <v>0.27</v>
      </c>
      <c r="S14" s="20"/>
      <c r="T14" s="20"/>
    </row>
    <row r="15" spans="1:30" x14ac:dyDescent="0.35">
      <c r="K15" s="20"/>
      <c r="L15" s="20"/>
      <c r="M15" s="20"/>
      <c r="N15" s="20"/>
      <c r="O15" s="20"/>
      <c r="P15" s="20"/>
      <c r="Q15" s="20"/>
      <c r="R15" s="20"/>
      <c r="S15" s="20"/>
      <c r="T15" s="20"/>
    </row>
    <row r="16" spans="1:30" x14ac:dyDescent="0.35">
      <c r="A16" s="3" t="s">
        <v>4</v>
      </c>
      <c r="B16" s="1" t="s">
        <v>38</v>
      </c>
      <c r="F16" s="59">
        <f>'Income Statement'!E6/'Fixed Asset Schedule'!F10</f>
        <v>4.0637310379759013</v>
      </c>
      <c r="G16" s="59">
        <f>'Income Statement'!F6/'Fixed Asset Schedule'!G10</f>
        <v>3.6507707515161227</v>
      </c>
      <c r="H16" s="59">
        <f>'Income Statement'!G6/'Fixed Asset Schedule'!H10</f>
        <v>4.0219538134305681</v>
      </c>
      <c r="I16" s="59">
        <f>'Income Statement'!H6/'Fixed Asset Schedule'!I10</f>
        <v>3.0787779083431257</v>
      </c>
      <c r="J16" s="59">
        <f>'Income Statement'!I6/'Fixed Asset Schedule'!J10</f>
        <v>3.2852355241109663</v>
      </c>
      <c r="K16" s="20">
        <v>3.9</v>
      </c>
      <c r="L16" s="20">
        <v>3.9</v>
      </c>
      <c r="M16" s="20">
        <v>3.9</v>
      </c>
      <c r="N16" s="20">
        <v>3.9</v>
      </c>
      <c r="O16" s="20">
        <v>3.9</v>
      </c>
      <c r="P16" s="20">
        <v>3.9</v>
      </c>
      <c r="Q16" s="20">
        <v>3.9</v>
      </c>
      <c r="R16" s="20">
        <v>3.9</v>
      </c>
      <c r="S16" s="20"/>
      <c r="T16" s="20"/>
    </row>
    <row r="17" spans="1:20" x14ac:dyDescent="0.35">
      <c r="K17" s="20"/>
      <c r="L17" s="20"/>
      <c r="M17" s="20"/>
      <c r="N17" s="20"/>
      <c r="O17" s="20"/>
      <c r="P17" s="20"/>
      <c r="Q17" s="20"/>
      <c r="R17" s="20"/>
      <c r="S17" s="20"/>
      <c r="T17" s="20"/>
    </row>
    <row r="18" spans="1:20" x14ac:dyDescent="0.35">
      <c r="A18" s="3"/>
      <c r="B18" s="1" t="s">
        <v>39</v>
      </c>
      <c r="K18" s="20"/>
      <c r="L18" s="20"/>
      <c r="M18" s="20"/>
      <c r="N18" s="20"/>
      <c r="O18" s="20"/>
      <c r="P18" s="20"/>
      <c r="Q18" s="20"/>
      <c r="R18" s="20"/>
      <c r="S18" s="20"/>
      <c r="T18" s="20"/>
    </row>
    <row r="19" spans="1:20" x14ac:dyDescent="0.35">
      <c r="A19" s="3"/>
      <c r="B19" t="s">
        <v>124</v>
      </c>
      <c r="F19" s="38">
        <f t="shared" ref="F19:R19" si="5">E23</f>
        <v>11159</v>
      </c>
      <c r="G19" s="38">
        <f t="shared" si="5"/>
        <v>7393.6</v>
      </c>
      <c r="H19" s="38">
        <f t="shared" si="5"/>
        <v>7260.5</v>
      </c>
      <c r="I19" s="38">
        <f t="shared" si="5"/>
        <v>6985.8</v>
      </c>
      <c r="J19" s="38">
        <f t="shared" si="5"/>
        <v>7032</v>
      </c>
      <c r="K19" s="39">
        <f t="shared" si="5"/>
        <v>7357</v>
      </c>
      <c r="L19" s="39">
        <f t="shared" si="5"/>
        <v>9938.8962499999998</v>
      </c>
      <c r="M19" s="39">
        <f t="shared" si="5"/>
        <v>11270.569016904765</v>
      </c>
      <c r="N19" s="39">
        <f t="shared" si="5"/>
        <v>12603.467367215386</v>
      </c>
      <c r="O19" s="39">
        <f t="shared" si="5"/>
        <v>13878.484458816338</v>
      </c>
      <c r="P19" s="39">
        <f t="shared" si="5"/>
        <v>15026.290525153892</v>
      </c>
      <c r="Q19" s="39">
        <f t="shared" si="5"/>
        <v>15973.559544541884</v>
      </c>
      <c r="R19" s="39">
        <f t="shared" si="5"/>
        <v>16652.013706623678</v>
      </c>
      <c r="S19" s="20"/>
      <c r="T19" s="20"/>
    </row>
    <row r="20" spans="1:20" x14ac:dyDescent="0.35">
      <c r="B20" t="s">
        <v>34</v>
      </c>
      <c r="F20" s="47">
        <f t="shared" ref="F20:K20" si="6">F21-F19</f>
        <v>-3713.5479999999998</v>
      </c>
      <c r="G20" s="47">
        <f t="shared" si="6"/>
        <v>-74.072000000000116</v>
      </c>
      <c r="H20" s="47">
        <f t="shared" si="6"/>
        <v>-153.19999999999982</v>
      </c>
      <c r="I20" s="47">
        <f t="shared" si="6"/>
        <v>206.19999999999982</v>
      </c>
      <c r="J20" s="47">
        <f t="shared" si="6"/>
        <v>490</v>
      </c>
      <c r="K20" s="58">
        <f t="shared" si="6"/>
        <v>2733.25</v>
      </c>
      <c r="L20" s="58">
        <f t="shared" ref="L20:R20" si="7">L21-L19</f>
        <v>1503.3057976190503</v>
      </c>
      <c r="M20" s="58">
        <f t="shared" si="7"/>
        <v>1524.8293254458804</v>
      </c>
      <c r="N20" s="58">
        <f t="shared" si="7"/>
        <v>1486.3645706692205</v>
      </c>
      <c r="O20" s="58">
        <f t="shared" si="7"/>
        <v>1376.6328256038578</v>
      </c>
      <c r="P20" s="58">
        <f t="shared" si="7"/>
        <v>1190.5211951931979</v>
      </c>
      <c r="Q20" s="58">
        <f t="shared" si="7"/>
        <v>932.03812715728054</v>
      </c>
      <c r="R20" s="58">
        <f t="shared" si="7"/>
        <v>615.80721340955279</v>
      </c>
      <c r="S20" s="20"/>
      <c r="T20" s="20"/>
    </row>
    <row r="21" spans="1:20" x14ac:dyDescent="0.35">
      <c r="A21" s="3" t="s">
        <v>4</v>
      </c>
      <c r="B21" s="9" t="s">
        <v>77</v>
      </c>
      <c r="C21" s="10"/>
      <c r="D21" s="10"/>
      <c r="E21" s="10"/>
      <c r="F21" s="38">
        <f>F22+F23</f>
        <v>7445.4520000000002</v>
      </c>
      <c r="G21" s="38">
        <f>G22+G23</f>
        <v>7319.5280000000002</v>
      </c>
      <c r="H21" s="38">
        <f>H22+H23</f>
        <v>7107.3</v>
      </c>
      <c r="I21" s="38">
        <f>I22+I23</f>
        <v>7192</v>
      </c>
      <c r="J21" s="38">
        <f>J22+J23</f>
        <v>7522</v>
      </c>
      <c r="K21" s="39">
        <f>'Income Statement'!K6/'Fixed Asset Schedule'!K27</f>
        <v>10090.25</v>
      </c>
      <c r="L21" s="39">
        <f>'Income Statement'!L6/'Fixed Asset Schedule'!L27</f>
        <v>11442.20204761905</v>
      </c>
      <c r="M21" s="39">
        <f>'Income Statement'!M6/'Fixed Asset Schedule'!M27</f>
        <v>12795.398342350645</v>
      </c>
      <c r="N21" s="39">
        <f>'Income Statement'!N6/'Fixed Asset Schedule'!N27</f>
        <v>14089.831937884606</v>
      </c>
      <c r="O21" s="39">
        <f>'Income Statement'!O6/'Fixed Asset Schedule'!O27</f>
        <v>15255.117284420196</v>
      </c>
      <c r="P21" s="39">
        <f>'Income Statement'!P6/'Fixed Asset Schedule'!P27</f>
        <v>16216.81172034709</v>
      </c>
      <c r="Q21" s="39">
        <f>'Income Statement'!Q6/'Fixed Asset Schedule'!Q27</f>
        <v>16905.597671699164</v>
      </c>
      <c r="R21" s="39">
        <f>'Income Statement'!R6/'Fixed Asset Schedule'!R27</f>
        <v>17267.820920033231</v>
      </c>
      <c r="S21" s="20"/>
      <c r="T21" s="20"/>
    </row>
    <row r="22" spans="1:20" x14ac:dyDescent="0.35">
      <c r="B22" t="s">
        <v>76</v>
      </c>
      <c r="E22" s="13"/>
      <c r="F22" s="13">
        <f>'Income Statement'!E30</f>
        <v>51.851999999999975</v>
      </c>
      <c r="G22" s="13">
        <f>'Income Statement'!F30</f>
        <v>59.02800000000002</v>
      </c>
      <c r="H22" s="13">
        <f>'Income Statement'!G30</f>
        <v>121.49999999999977</v>
      </c>
      <c r="I22" s="13">
        <f>'Income Statement'!H30</f>
        <v>160</v>
      </c>
      <c r="J22" s="13">
        <f>'Income Statement'!I30</f>
        <v>165</v>
      </c>
      <c r="K22" s="58">
        <f>K21*K25</f>
        <v>151.35374999999999</v>
      </c>
      <c r="L22" s="58">
        <f t="shared" ref="L22:R22" si="8">L21*L25</f>
        <v>171.63303071428575</v>
      </c>
      <c r="M22" s="58">
        <f t="shared" si="8"/>
        <v>191.93097513525967</v>
      </c>
      <c r="N22" s="58">
        <f t="shared" si="8"/>
        <v>211.34747906826908</v>
      </c>
      <c r="O22" s="58">
        <f t="shared" si="8"/>
        <v>228.82675926630293</v>
      </c>
      <c r="P22" s="58">
        <f t="shared" si="8"/>
        <v>243.25217580520635</v>
      </c>
      <c r="Q22" s="58">
        <f t="shared" si="8"/>
        <v>253.58396507548747</v>
      </c>
      <c r="R22" s="58">
        <f t="shared" si="8"/>
        <v>259.01731380049847</v>
      </c>
      <c r="S22" s="20"/>
      <c r="T22" s="20"/>
    </row>
    <row r="23" spans="1:20" x14ac:dyDescent="0.35">
      <c r="A23" s="3"/>
      <c r="B23" s="9" t="s">
        <v>125</v>
      </c>
      <c r="C23" s="10"/>
      <c r="D23" s="10"/>
      <c r="E23" s="38">
        <v>11159</v>
      </c>
      <c r="F23" s="38">
        <v>7393.6</v>
      </c>
      <c r="G23" s="38">
        <v>7260.5</v>
      </c>
      <c r="H23" s="38">
        <v>6985.8</v>
      </c>
      <c r="I23" s="38">
        <v>7032</v>
      </c>
      <c r="J23" s="38">
        <v>7357</v>
      </c>
      <c r="K23" s="39">
        <f t="shared" ref="K23:R23" si="9">K21-K22</f>
        <v>9938.8962499999998</v>
      </c>
      <c r="L23" s="39">
        <f t="shared" si="9"/>
        <v>11270.569016904765</v>
      </c>
      <c r="M23" s="39">
        <f t="shared" si="9"/>
        <v>12603.467367215386</v>
      </c>
      <c r="N23" s="39">
        <f t="shared" si="9"/>
        <v>13878.484458816338</v>
      </c>
      <c r="O23" s="39">
        <f t="shared" si="9"/>
        <v>15026.290525153892</v>
      </c>
      <c r="P23" s="39">
        <f t="shared" si="9"/>
        <v>15973.559544541884</v>
      </c>
      <c r="Q23" s="39">
        <f t="shared" si="9"/>
        <v>16652.013706623678</v>
      </c>
      <c r="R23" s="39">
        <f t="shared" si="9"/>
        <v>17008.803606232734</v>
      </c>
      <c r="S23" s="24"/>
      <c r="T23" s="20"/>
    </row>
    <row r="24" spans="1:20" x14ac:dyDescent="0.35">
      <c r="K24" s="20"/>
      <c r="L24" s="20"/>
      <c r="M24" s="20"/>
      <c r="N24" s="20"/>
      <c r="O24" s="20"/>
      <c r="P24" s="20"/>
      <c r="Q24" s="20"/>
      <c r="R24" s="20"/>
    </row>
    <row r="25" spans="1:20" x14ac:dyDescent="0.35">
      <c r="A25" s="3" t="s">
        <v>4</v>
      </c>
      <c r="B25" s="1" t="s">
        <v>40</v>
      </c>
      <c r="F25" s="44">
        <f>F22/F21</f>
        <v>6.9642514651897525E-3</v>
      </c>
      <c r="G25" s="44">
        <f>G22/G21</f>
        <v>8.0644544293020006E-3</v>
      </c>
      <c r="H25" s="44">
        <f>H22/H21</f>
        <v>1.7095099404837246E-2</v>
      </c>
      <c r="I25" s="44">
        <f>I22/I21</f>
        <v>2.224694104560623E-2</v>
      </c>
      <c r="J25" s="44">
        <f>J22/J21</f>
        <v>2.1935655410795001E-2</v>
      </c>
      <c r="K25" s="46">
        <v>1.4999999999999999E-2</v>
      </c>
      <c r="L25" s="46">
        <v>1.4999999999999999E-2</v>
      </c>
      <c r="M25" s="46">
        <v>1.4999999999999999E-2</v>
      </c>
      <c r="N25" s="46">
        <v>1.4999999999999999E-2</v>
      </c>
      <c r="O25" s="46">
        <v>1.4999999999999999E-2</v>
      </c>
      <c r="P25" s="46">
        <v>1.4999999999999999E-2</v>
      </c>
      <c r="Q25" s="46">
        <v>1.4999999999999999E-2</v>
      </c>
      <c r="R25" s="46">
        <v>1.4999999999999999E-2</v>
      </c>
      <c r="S25" s="20"/>
    </row>
    <row r="26" spans="1:20" x14ac:dyDescent="0.35">
      <c r="F26" s="43"/>
      <c r="K26" s="20"/>
      <c r="L26" s="20"/>
      <c r="M26" s="20"/>
      <c r="N26" s="20"/>
      <c r="O26" s="20"/>
      <c r="P26" s="20"/>
      <c r="Q26" s="20"/>
      <c r="R26" s="20"/>
    </row>
    <row r="27" spans="1:20" x14ac:dyDescent="0.35">
      <c r="A27" s="3" t="s">
        <v>4</v>
      </c>
      <c r="B27" s="1" t="s">
        <v>126</v>
      </c>
      <c r="F27" s="60">
        <f>'Income Statement'!E6/'Fixed Asset Schedule'!F21</f>
        <v>1.4525780301854072</v>
      </c>
      <c r="G27" s="60">
        <f>'Income Statement'!F6/'Fixed Asset Schedule'!G21</f>
        <v>1.8669509837246336</v>
      </c>
      <c r="H27" s="60">
        <f>'Income Statement'!G6/'Fixed Asset Schedule'!H21</f>
        <v>2.2348149086150859</v>
      </c>
      <c r="I27" s="60">
        <f>'Income Statement'!H6/'Fixed Asset Schedule'!I21</f>
        <v>1.821496106785317</v>
      </c>
      <c r="J27" s="60">
        <f>'Income Statement'!I6/'Fixed Asset Schedule'!J21</f>
        <v>2.345785695293805</v>
      </c>
      <c r="K27">
        <v>2</v>
      </c>
      <c r="L27">
        <v>2</v>
      </c>
      <c r="M27">
        <v>2</v>
      </c>
      <c r="N27">
        <v>2</v>
      </c>
      <c r="O27">
        <v>2</v>
      </c>
      <c r="P27">
        <v>2</v>
      </c>
      <c r="Q27">
        <v>2</v>
      </c>
      <c r="R27">
        <v>2</v>
      </c>
    </row>
    <row r="32" spans="1:20" x14ac:dyDescent="0.35">
      <c r="B32" t="s">
        <v>50</v>
      </c>
      <c r="F32" s="38">
        <f>F9+F20</f>
        <v>-3319.7759999999998</v>
      </c>
      <c r="G32" s="38">
        <f t="shared" ref="G32:R32" si="10">G9+G20</f>
        <v>1440.5280000000002</v>
      </c>
      <c r="H32" s="38">
        <f t="shared" si="10"/>
        <v>1176.6999999999998</v>
      </c>
      <c r="I32" s="38">
        <f t="shared" si="10"/>
        <v>1791</v>
      </c>
      <c r="J32" s="38">
        <f t="shared" si="10"/>
        <v>2894</v>
      </c>
      <c r="K32" s="38">
        <f t="shared" si="10"/>
        <v>4027.7371794871797</v>
      </c>
      <c r="L32" s="38">
        <f t="shared" si="10"/>
        <v>3593.7260784493328</v>
      </c>
      <c r="M32" s="38">
        <f t="shared" si="10"/>
        <v>3803.0810421580536</v>
      </c>
      <c r="N32" s="38">
        <f t="shared" si="10"/>
        <v>3921.8472106531362</v>
      </c>
      <c r="O32" s="38">
        <f t="shared" si="10"/>
        <v>3925.1148613804899</v>
      </c>
      <c r="P32" s="38">
        <f t="shared" si="10"/>
        <v>3795.9448376138898</v>
      </c>
      <c r="Q32" s="38">
        <f t="shared" si="10"/>
        <v>3530.6663916935822</v>
      </c>
      <c r="R32" s="38">
        <f t="shared" si="10"/>
        <v>3142.3377876110098</v>
      </c>
    </row>
    <row r="33" spans="2:18" x14ac:dyDescent="0.35">
      <c r="B33" t="s">
        <v>132</v>
      </c>
      <c r="F33" s="44">
        <f>F32/'Income Statement'!E6</f>
        <v>-0.30695749461401184</v>
      </c>
      <c r="G33" s="44">
        <f>G32/'Income Statement'!F6</f>
        <v>0.10541580072007729</v>
      </c>
      <c r="H33" s="44">
        <f>H32/'Income Statement'!G6</f>
        <v>7.4083168067491406E-2</v>
      </c>
      <c r="I33" s="44">
        <f>I32/'Income Statement'!H6</f>
        <v>0.13671546999282452</v>
      </c>
      <c r="J33" s="44">
        <f>J32/'Income Statement'!I6</f>
        <v>0.16401246812128081</v>
      </c>
      <c r="K33" s="44">
        <f>K32/'Income Statement'!J6</f>
        <v>0.1979134774451958</v>
      </c>
      <c r="L33" s="44">
        <f>L32/'Income Statement'!K6</f>
        <v>0.17807913968679334</v>
      </c>
      <c r="M33" s="44">
        <f>M32/'Income Statement'!L6</f>
        <v>0.16618658831275479</v>
      </c>
      <c r="N33" s="44">
        <f>N32/'Income Statement'!M6</f>
        <v>0.15325225154079311</v>
      </c>
      <c r="O33" s="44">
        <f>O32/'Income Statement'!N6</f>
        <v>0.13928891695388779</v>
      </c>
      <c r="P33" s="44">
        <f>P32/'Income Statement'!O6</f>
        <v>0.12441545898472466</v>
      </c>
      <c r="Q33" s="44">
        <f>Q32/'Income Statement'!P6</f>
        <v>0.1088582161703119</v>
      </c>
      <c r="R33" s="44">
        <f>R32/'Income Statement'!Q6</f>
        <v>9.2937790447700175E-2</v>
      </c>
    </row>
  </sheetData>
  <pageMargins left="0.7" right="0.7" top="0.78740157499999996" bottom="0.78740157499999996"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329B-2294-4DDB-9EC5-476677752C0B}">
  <sheetPr>
    <pageSetUpPr fitToPage="1"/>
  </sheetPr>
  <dimension ref="A1:S13"/>
  <sheetViews>
    <sheetView showGridLines="0" workbookViewId="0"/>
  </sheetViews>
  <sheetFormatPr baseColWidth="10" defaultRowHeight="15.5" x14ac:dyDescent="0.35"/>
  <cols>
    <col min="1" max="1" width="7.08203125" customWidth="1"/>
  </cols>
  <sheetData>
    <row r="1" spans="1:19" x14ac:dyDescent="0.35">
      <c r="A1" s="1" t="str">
        <f>'Working Capital Schedule'!A1</f>
        <v>Kering SA</v>
      </c>
    </row>
    <row r="2" spans="1:19" x14ac:dyDescent="0.35">
      <c r="A2" t="str">
        <f>'Working Capital Schedule'!A2</f>
        <v>Figures in mm EUR</v>
      </c>
    </row>
    <row r="3" spans="1:19" x14ac:dyDescent="0.35">
      <c r="A3" t="str">
        <f>'Working Capital Schedule'!A3</f>
        <v>Date: 14/10/2023</v>
      </c>
    </row>
    <row r="5" spans="1:19" x14ac:dyDescent="0.35">
      <c r="E5" s="7" t="s">
        <v>16</v>
      </c>
      <c r="F5" s="7" t="s">
        <v>16</v>
      </c>
      <c r="G5" s="7" t="s">
        <v>16</v>
      </c>
      <c r="H5" s="7" t="s">
        <v>16</v>
      </c>
      <c r="I5" s="7" t="s">
        <v>16</v>
      </c>
      <c r="J5" s="7" t="s">
        <v>17</v>
      </c>
      <c r="K5" s="7" t="s">
        <v>17</v>
      </c>
      <c r="L5" s="7" t="s">
        <v>17</v>
      </c>
      <c r="M5" s="7" t="s">
        <v>17</v>
      </c>
      <c r="N5" s="7" t="s">
        <v>17</v>
      </c>
      <c r="O5" s="7" t="s">
        <v>17</v>
      </c>
      <c r="P5" s="7" t="s">
        <v>17</v>
      </c>
      <c r="Q5" s="7" t="s">
        <v>17</v>
      </c>
    </row>
    <row r="6" spans="1:19"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8" spans="1:19" x14ac:dyDescent="0.35">
      <c r="A8" s="3" t="s">
        <v>4</v>
      </c>
      <c r="B8" s="1" t="s">
        <v>127</v>
      </c>
      <c r="E8" s="38">
        <f>'[2]Balance Sheet'!$G$39+'[2]Balance Sheet'!$G$31</f>
        <v>5185.2</v>
      </c>
      <c r="F8" s="38">
        <f>E10</f>
        <v>3928</v>
      </c>
      <c r="G8" s="38">
        <f t="shared" ref="G8:Q8" si="1">F10</f>
        <v>5098.1000000000004</v>
      </c>
      <c r="H8" s="38">
        <f t="shared" si="1"/>
        <v>3928</v>
      </c>
      <c r="I8" s="38">
        <f t="shared" si="1"/>
        <v>5418</v>
      </c>
      <c r="J8" s="39">
        <f>I10</f>
        <v>6642</v>
      </c>
      <c r="K8" s="39">
        <f t="shared" si="1"/>
        <v>6942</v>
      </c>
      <c r="L8" s="39">
        <f t="shared" si="1"/>
        <v>7242</v>
      </c>
      <c r="M8" s="39">
        <f t="shared" si="1"/>
        <v>7542</v>
      </c>
      <c r="N8" s="39">
        <f t="shared" si="1"/>
        <v>7842</v>
      </c>
      <c r="O8" s="39">
        <f t="shared" si="1"/>
        <v>8142</v>
      </c>
      <c r="P8" s="39">
        <f t="shared" si="1"/>
        <v>8442</v>
      </c>
      <c r="Q8" s="39">
        <f t="shared" si="1"/>
        <v>8742</v>
      </c>
    </row>
    <row r="9" spans="1:19" x14ac:dyDescent="0.35">
      <c r="B9" t="s">
        <v>79</v>
      </c>
      <c r="E9" s="47">
        <f>E10-E8</f>
        <v>-1257.1999999999998</v>
      </c>
      <c r="F9" s="47">
        <f t="shared" ref="F9:H9" si="2">F10-F8</f>
        <v>1170.1000000000004</v>
      </c>
      <c r="G9" s="47">
        <f t="shared" si="2"/>
        <v>-1170.1000000000004</v>
      </c>
      <c r="H9" s="47">
        <f t="shared" si="2"/>
        <v>1490</v>
      </c>
      <c r="I9" s="47">
        <f>I10-I8</f>
        <v>1224</v>
      </c>
      <c r="J9" s="20">
        <v>300</v>
      </c>
      <c r="K9" s="20">
        <v>300</v>
      </c>
      <c r="L9" s="20">
        <v>300</v>
      </c>
      <c r="M9" s="20">
        <v>300</v>
      </c>
      <c r="N9" s="20">
        <v>300</v>
      </c>
      <c r="O9" s="20">
        <v>300</v>
      </c>
      <c r="P9" s="20">
        <v>300</v>
      </c>
      <c r="Q9" s="20">
        <v>300</v>
      </c>
    </row>
    <row r="10" spans="1:19" x14ac:dyDescent="0.35">
      <c r="A10" s="3" t="s">
        <v>4</v>
      </c>
      <c r="B10" s="9" t="s">
        <v>128</v>
      </c>
      <c r="C10" s="10"/>
      <c r="D10" s="10"/>
      <c r="E10" s="38">
        <f>'[2]Balance Sheet'!$H$39+'[2]Balance Sheet'!$H$31</f>
        <v>3928</v>
      </c>
      <c r="F10" s="38">
        <f>'[2]Balance Sheet'!$I$39+'[2]Balance Sheet'!$I$31</f>
        <v>5098.1000000000004</v>
      </c>
      <c r="G10" s="38">
        <f>'[2]Balance Sheet'!$H$39+'[2]Balance Sheet'!$H$31</f>
        <v>3928</v>
      </c>
      <c r="H10" s="38">
        <f>'[2]Balance Sheet'!$K$39+'[2]Balance Sheet'!$K$31</f>
        <v>5418</v>
      </c>
      <c r="I10" s="38">
        <f>'[2]Balance Sheet'!$L$31+'[2]Balance Sheet'!$L$39</f>
        <v>6642</v>
      </c>
      <c r="J10" s="56">
        <f>J8+J9</f>
        <v>6942</v>
      </c>
      <c r="K10" s="56">
        <f t="shared" ref="K10:Q10" si="3">K8+K9</f>
        <v>7242</v>
      </c>
      <c r="L10" s="56">
        <f t="shared" si="3"/>
        <v>7542</v>
      </c>
      <c r="M10" s="56">
        <f t="shared" si="3"/>
        <v>7842</v>
      </c>
      <c r="N10" s="56">
        <f t="shared" si="3"/>
        <v>8142</v>
      </c>
      <c r="O10" s="56">
        <f t="shared" si="3"/>
        <v>8442</v>
      </c>
      <c r="P10" s="56">
        <f t="shared" si="3"/>
        <v>8742</v>
      </c>
      <c r="Q10" s="56">
        <f t="shared" si="3"/>
        <v>9042</v>
      </c>
      <c r="S10" s="22"/>
    </row>
    <row r="12" spans="1:19" x14ac:dyDescent="0.35">
      <c r="A12" s="3" t="s">
        <v>4</v>
      </c>
      <c r="B12" s="1" t="s">
        <v>31</v>
      </c>
      <c r="E12" s="38">
        <v>186.6</v>
      </c>
      <c r="F12" s="38">
        <v>277.10000000000002</v>
      </c>
      <c r="G12" s="38">
        <v>277.39999999999998</v>
      </c>
      <c r="H12" s="38">
        <v>215</v>
      </c>
      <c r="I12" s="38">
        <v>287</v>
      </c>
      <c r="J12" s="20">
        <f>J13*J8</f>
        <v>332.1</v>
      </c>
      <c r="K12" s="20">
        <f>K13*K8</f>
        <v>347.1</v>
      </c>
      <c r="L12" s="20">
        <f t="shared" ref="L12:Q12" si="4">L13*L8</f>
        <v>362.1</v>
      </c>
      <c r="M12" s="20">
        <f t="shared" si="4"/>
        <v>377.1</v>
      </c>
      <c r="N12" s="20">
        <f t="shared" si="4"/>
        <v>392.1</v>
      </c>
      <c r="O12" s="20">
        <f t="shared" si="4"/>
        <v>407.1</v>
      </c>
      <c r="P12" s="20">
        <f t="shared" si="4"/>
        <v>422.1</v>
      </c>
      <c r="Q12" s="20">
        <f t="shared" si="4"/>
        <v>437.1</v>
      </c>
    </row>
    <row r="13" spans="1:19" x14ac:dyDescent="0.35">
      <c r="B13" t="s">
        <v>32</v>
      </c>
      <c r="E13" s="44">
        <f>E12/E8</f>
        <v>3.5987040037028468E-2</v>
      </c>
      <c r="F13" s="44">
        <f>F12/F8</f>
        <v>7.0544806517311612E-2</v>
      </c>
      <c r="G13" s="44">
        <f>G12/G8</f>
        <v>5.4412428159510397E-2</v>
      </c>
      <c r="H13" s="44">
        <f>H12/H8</f>
        <v>5.4735234215885949E-2</v>
      </c>
      <c r="I13" s="44">
        <f>I12/I8</f>
        <v>5.2971576227390182E-2</v>
      </c>
      <c r="J13" s="40">
        <v>0.05</v>
      </c>
      <c r="K13" s="40">
        <v>0.05</v>
      </c>
      <c r="L13" s="40">
        <v>0.05</v>
      </c>
      <c r="M13" s="40">
        <v>0.05</v>
      </c>
      <c r="N13" s="40">
        <v>0.05</v>
      </c>
      <c r="O13" s="40">
        <v>0.05</v>
      </c>
      <c r="P13" s="40">
        <v>0.05</v>
      </c>
      <c r="Q13" s="40">
        <v>0.05</v>
      </c>
    </row>
  </sheetData>
  <pageMargins left="0.7" right="0.7" top="0.78740157499999996" bottom="0.78740157499999996" header="0.3" footer="0.3"/>
  <pageSetup scale="6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AC57-4036-4042-B001-4A3705A0B78F}">
  <sheetPr>
    <pageSetUpPr fitToPage="1"/>
  </sheetPr>
  <dimension ref="A1:P250"/>
  <sheetViews>
    <sheetView showGridLines="0" workbookViewId="0">
      <selection activeCell="B4" sqref="B4:H4"/>
    </sheetView>
  </sheetViews>
  <sheetFormatPr baseColWidth="10" defaultRowHeight="15.5" x14ac:dyDescent="0.35"/>
  <cols>
    <col min="1" max="1" width="5.58203125" style="3" customWidth="1"/>
  </cols>
  <sheetData>
    <row r="1" spans="1:16" x14ac:dyDescent="0.35">
      <c r="B1" t="str">
        <f>'Fixed Asset Schedule'!A3</f>
        <v>Date: 14/10/2023</v>
      </c>
    </row>
    <row r="4" spans="1:16" x14ac:dyDescent="0.35">
      <c r="A4" s="3" t="s">
        <v>4</v>
      </c>
      <c r="B4" s="100" t="s">
        <v>41</v>
      </c>
      <c r="C4" s="100"/>
      <c r="D4" s="100"/>
      <c r="E4" s="100"/>
      <c r="F4" s="100"/>
      <c r="G4" s="100"/>
      <c r="H4" s="100"/>
      <c r="L4" s="100" t="s">
        <v>99</v>
      </c>
      <c r="M4" s="100"/>
      <c r="N4" s="100"/>
      <c r="O4" s="100"/>
      <c r="P4" s="100"/>
    </row>
    <row r="5" spans="1:16" x14ac:dyDescent="0.35">
      <c r="B5" t="s">
        <v>42</v>
      </c>
      <c r="H5" s="65">
        <v>2.1999999999999999E-2</v>
      </c>
    </row>
    <row r="6" spans="1:16" x14ac:dyDescent="0.35">
      <c r="B6" t="s">
        <v>83</v>
      </c>
      <c r="E6" s="65"/>
      <c r="H6" s="65">
        <v>1.23E-2</v>
      </c>
    </row>
    <row r="7" spans="1:16" x14ac:dyDescent="0.35">
      <c r="B7" t="s">
        <v>84</v>
      </c>
      <c r="E7" t="s">
        <v>104</v>
      </c>
      <c r="H7" s="65">
        <v>7.4999999999999997E-3</v>
      </c>
      <c r="L7" t="s">
        <v>100</v>
      </c>
      <c r="M7" s="67">
        <f>H10</f>
        <v>3.0604979253112029E-2</v>
      </c>
      <c r="O7" t="s">
        <v>102</v>
      </c>
      <c r="P7" s="44">
        <f>H33/SUM($H$31,$H$33)</f>
        <v>0.12272205528591201</v>
      </c>
    </row>
    <row r="8" spans="1:16" x14ac:dyDescent="0.35">
      <c r="B8" s="1" t="s">
        <v>41</v>
      </c>
      <c r="H8" s="63">
        <f>H5+H6+H7</f>
        <v>4.1799999999999997E-2</v>
      </c>
      <c r="L8" t="s">
        <v>101</v>
      </c>
      <c r="M8" s="67">
        <f>H19</f>
        <v>6.5172437870937905E-2</v>
      </c>
      <c r="O8" t="s">
        <v>103</v>
      </c>
      <c r="P8" s="44">
        <f>H31/SUM($H$31,$H$33)</f>
        <v>0.87727794471408793</v>
      </c>
    </row>
    <row r="9" spans="1:16" x14ac:dyDescent="0.35">
      <c r="B9" s="13" t="s">
        <v>85</v>
      </c>
      <c r="C9" s="13"/>
      <c r="D9" s="13"/>
      <c r="E9" s="13" t="s">
        <v>105</v>
      </c>
      <c r="F9" s="13"/>
      <c r="G9" s="13"/>
      <c r="H9" s="64">
        <f>'Income Statement'!J54</f>
        <v>0.26782346284420971</v>
      </c>
      <c r="L9" s="13"/>
      <c r="M9" s="13"/>
      <c r="N9" s="13"/>
      <c r="O9" s="13"/>
      <c r="P9" s="13"/>
    </row>
    <row r="10" spans="1:16" x14ac:dyDescent="0.35">
      <c r="B10" t="s">
        <v>86</v>
      </c>
      <c r="H10" s="44">
        <f>H8*(1-H9)</f>
        <v>3.0604979253112029E-2</v>
      </c>
      <c r="L10" s="1" t="s">
        <v>51</v>
      </c>
      <c r="P10" s="67">
        <f>(M7*P7)+(P8*M8)</f>
        <v>6.0930248303347603E-2</v>
      </c>
    </row>
    <row r="13" spans="1:16" x14ac:dyDescent="0.35">
      <c r="A13" s="3" t="s">
        <v>4</v>
      </c>
      <c r="B13" s="100" t="s">
        <v>87</v>
      </c>
      <c r="C13" s="100"/>
      <c r="D13" s="100"/>
      <c r="E13" s="100"/>
      <c r="F13" s="100"/>
      <c r="G13" s="100"/>
      <c r="H13" s="100"/>
    </row>
    <row r="14" spans="1:16" x14ac:dyDescent="0.35">
      <c r="B14" t="s">
        <v>42</v>
      </c>
      <c r="H14" s="67">
        <f>H5</f>
        <v>2.1999999999999999E-2</v>
      </c>
    </row>
    <row r="15" spans="1:16" x14ac:dyDescent="0.35">
      <c r="B15" t="s">
        <v>88</v>
      </c>
      <c r="H15" s="70">
        <f>SLOPE(D42:D250,J42:J250)</f>
        <v>0.86938756429938813</v>
      </c>
    </row>
    <row r="16" spans="1:16" x14ac:dyDescent="0.35">
      <c r="B16" t="s">
        <v>89</v>
      </c>
      <c r="H16" s="73">
        <f>H25</f>
        <v>7.1658448825098156E-2</v>
      </c>
    </row>
    <row r="17" spans="1:8" x14ac:dyDescent="0.35">
      <c r="B17" t="s">
        <v>42</v>
      </c>
      <c r="H17" s="66">
        <f>H5</f>
        <v>2.1999999999999999E-2</v>
      </c>
    </row>
    <row r="18" spans="1:8" x14ac:dyDescent="0.35">
      <c r="B18" s="13"/>
      <c r="C18" s="13"/>
      <c r="D18" s="13"/>
      <c r="E18" s="13"/>
      <c r="F18" s="13"/>
      <c r="G18" s="13"/>
      <c r="H18" s="54"/>
    </row>
    <row r="19" spans="1:8" x14ac:dyDescent="0.35">
      <c r="B19" s="1" t="s">
        <v>87</v>
      </c>
      <c r="H19" s="74">
        <f>H14+(H15*(H16-H17))</f>
        <v>6.5172437870937905E-2</v>
      </c>
    </row>
    <row r="21" spans="1:8" x14ac:dyDescent="0.35">
      <c r="A21" s="3" t="s">
        <v>4</v>
      </c>
      <c r="B21" s="1" t="s">
        <v>94</v>
      </c>
    </row>
    <row r="22" spans="1:8" x14ac:dyDescent="0.35">
      <c r="B22" t="s">
        <v>90</v>
      </c>
      <c r="F22" s="69">
        <v>31048</v>
      </c>
      <c r="H22" s="78">
        <v>1097.02</v>
      </c>
    </row>
    <row r="23" spans="1:8" x14ac:dyDescent="0.35">
      <c r="B23" t="s">
        <v>91</v>
      </c>
      <c r="F23" s="69">
        <v>45271</v>
      </c>
      <c r="H23" s="78">
        <v>16245.91</v>
      </c>
    </row>
    <row r="24" spans="1:8" x14ac:dyDescent="0.35">
      <c r="B24" t="s">
        <v>92</v>
      </c>
      <c r="F24">
        <f>YEARFRAC(F22,F23)</f>
        <v>38.944444444444443</v>
      </c>
    </row>
    <row r="25" spans="1:8" x14ac:dyDescent="0.35">
      <c r="B25" t="s">
        <v>93</v>
      </c>
      <c r="H25" s="43">
        <f>RATE(F24,,-H22,H23)</f>
        <v>7.1658448825098156E-2</v>
      </c>
    </row>
    <row r="27" spans="1:8" x14ac:dyDescent="0.35">
      <c r="A27" s="3" t="s">
        <v>4</v>
      </c>
      <c r="B27" s="1" t="s">
        <v>95</v>
      </c>
    </row>
    <row r="28" spans="1:8" x14ac:dyDescent="0.35">
      <c r="B28" t="s">
        <v>96</v>
      </c>
      <c r="H28" s="71">
        <v>124.070778</v>
      </c>
    </row>
    <row r="29" spans="1:8" x14ac:dyDescent="0.35">
      <c r="B29" t="s">
        <v>97</v>
      </c>
      <c r="H29" s="71">
        <v>413.8</v>
      </c>
    </row>
    <row r="31" spans="1:8" x14ac:dyDescent="0.35">
      <c r="B31" t="s">
        <v>98</v>
      </c>
      <c r="H31" s="72">
        <f>H28*H29</f>
        <v>51340.487936400001</v>
      </c>
    </row>
    <row r="33" spans="1:10" x14ac:dyDescent="0.35">
      <c r="B33" t="s">
        <v>108</v>
      </c>
      <c r="H33" s="71">
        <f>5441+1741</f>
        <v>7182</v>
      </c>
    </row>
    <row r="36" spans="1:10" x14ac:dyDescent="0.35">
      <c r="A36" s="3" t="s">
        <v>4</v>
      </c>
      <c r="B36" s="1" t="s">
        <v>107</v>
      </c>
    </row>
    <row r="37" spans="1:10" x14ac:dyDescent="0.35">
      <c r="B37" t="s">
        <v>134</v>
      </c>
    </row>
    <row r="39" spans="1:10" x14ac:dyDescent="0.35">
      <c r="B39" s="99" t="s">
        <v>133</v>
      </c>
      <c r="C39" s="99"/>
      <c r="D39" s="99"/>
      <c r="H39" s="99" t="s">
        <v>137</v>
      </c>
      <c r="I39" s="99"/>
      <c r="J39" s="99"/>
    </row>
    <row r="40" spans="1:10" x14ac:dyDescent="0.35">
      <c r="B40" t="s">
        <v>106</v>
      </c>
      <c r="C40" t="s">
        <v>135</v>
      </c>
      <c r="H40" t="s">
        <v>106</v>
      </c>
      <c r="I40" s="80" t="s">
        <v>136</v>
      </c>
    </row>
    <row r="41" spans="1:10" x14ac:dyDescent="0.35">
      <c r="B41" s="69">
        <v>43808</v>
      </c>
      <c r="C41" s="79">
        <v>521946106</v>
      </c>
      <c r="H41" s="69">
        <v>43808</v>
      </c>
      <c r="I41" s="79">
        <v>3168.8</v>
      </c>
    </row>
    <row r="42" spans="1:10" x14ac:dyDescent="0.35">
      <c r="B42" s="69">
        <v>43815</v>
      </c>
      <c r="C42" s="79">
        <v>538756104</v>
      </c>
      <c r="D42">
        <f>C42/C41-1</f>
        <v>3.2206386457838576E-2</v>
      </c>
      <c r="H42" s="69">
        <v>43815</v>
      </c>
      <c r="I42" s="79">
        <v>3221.22</v>
      </c>
      <c r="J42">
        <f>I42/I41-1</f>
        <v>1.6542539762686159E-2</v>
      </c>
    </row>
    <row r="43" spans="1:10" x14ac:dyDescent="0.35">
      <c r="B43" s="69">
        <v>43822</v>
      </c>
      <c r="C43" s="79">
        <v>548600708</v>
      </c>
      <c r="D43">
        <f t="shared" ref="D43:D106" si="0">C43/C42-1</f>
        <v>1.8272839837745858E-2</v>
      </c>
      <c r="H43" s="69">
        <v>43822</v>
      </c>
      <c r="I43" s="79">
        <v>3240.02</v>
      </c>
      <c r="J43">
        <f t="shared" ref="J43:J106" si="1">I43/I42-1</f>
        <v>5.836298048565558E-3</v>
      </c>
    </row>
    <row r="44" spans="1:10" x14ac:dyDescent="0.35">
      <c r="B44" s="69">
        <v>43829</v>
      </c>
      <c r="C44" s="79">
        <v>558073792</v>
      </c>
      <c r="D44">
        <f t="shared" si="0"/>
        <v>1.7267721061708929E-2</v>
      </c>
      <c r="H44" s="69">
        <v>43829</v>
      </c>
      <c r="I44" s="79">
        <v>3234.85</v>
      </c>
      <c r="J44">
        <f t="shared" si="1"/>
        <v>-1.5956691625360619E-3</v>
      </c>
    </row>
    <row r="45" spans="1:10" x14ac:dyDescent="0.35">
      <c r="B45" s="69">
        <v>43836</v>
      </c>
      <c r="C45" s="79">
        <v>549900818</v>
      </c>
      <c r="D45">
        <f t="shared" si="0"/>
        <v>-1.4644970104598642E-2</v>
      </c>
      <c r="H45" s="69">
        <v>43836</v>
      </c>
      <c r="I45" s="79">
        <v>3265.35</v>
      </c>
      <c r="J45">
        <f t="shared" si="1"/>
        <v>9.4285670123808174E-3</v>
      </c>
    </row>
    <row r="46" spans="1:10" x14ac:dyDescent="0.35">
      <c r="B46" s="69">
        <v>43843</v>
      </c>
      <c r="C46" s="79">
        <v>566710938</v>
      </c>
      <c r="D46">
        <f t="shared" si="0"/>
        <v>3.056936714722247E-2</v>
      </c>
      <c r="H46" s="69">
        <v>43843</v>
      </c>
      <c r="I46" s="79">
        <v>3329.62</v>
      </c>
      <c r="J46">
        <f t="shared" si="1"/>
        <v>1.9682423017440609E-2</v>
      </c>
    </row>
    <row r="47" spans="1:10" x14ac:dyDescent="0.35">
      <c r="B47" s="69">
        <v>43850</v>
      </c>
      <c r="C47" s="79">
        <v>535597656</v>
      </c>
      <c r="D47">
        <f t="shared" si="0"/>
        <v>-5.4901502536377711E-2</v>
      </c>
      <c r="H47" s="69">
        <v>43850</v>
      </c>
      <c r="I47" s="79">
        <v>3295.47</v>
      </c>
      <c r="J47">
        <f t="shared" si="1"/>
        <v>-1.0256425658183299E-2</v>
      </c>
    </row>
    <row r="48" spans="1:10" x14ac:dyDescent="0.35">
      <c r="B48" s="69">
        <v>43857</v>
      </c>
      <c r="C48" s="79">
        <v>518501099</v>
      </c>
      <c r="D48">
        <f t="shared" si="0"/>
        <v>-3.1920522445303634E-2</v>
      </c>
      <c r="H48" s="69">
        <v>43857</v>
      </c>
      <c r="I48" s="79">
        <v>3225.52</v>
      </c>
      <c r="J48">
        <f t="shared" si="1"/>
        <v>-2.1226107353427559E-2</v>
      </c>
    </row>
    <row r="49" spans="2:10" x14ac:dyDescent="0.35">
      <c r="B49" s="69">
        <v>43864</v>
      </c>
      <c r="C49" s="79">
        <v>528497559</v>
      </c>
      <c r="D49">
        <f t="shared" si="0"/>
        <v>1.9279534834698575E-2</v>
      </c>
      <c r="H49" s="69">
        <v>43864</v>
      </c>
      <c r="I49" s="79">
        <v>3327.71</v>
      </c>
      <c r="J49">
        <f t="shared" si="1"/>
        <v>3.1681713336144224E-2</v>
      </c>
    </row>
    <row r="50" spans="2:10" x14ac:dyDescent="0.35">
      <c r="B50" s="69">
        <v>43871</v>
      </c>
      <c r="C50" s="79">
        <v>541296570</v>
      </c>
      <c r="D50">
        <f t="shared" si="0"/>
        <v>2.4217729641396568E-2</v>
      </c>
      <c r="H50" s="69">
        <v>43871</v>
      </c>
      <c r="I50" s="79">
        <v>3380.16</v>
      </c>
      <c r="J50">
        <f t="shared" si="1"/>
        <v>1.5761589801995823E-2</v>
      </c>
    </row>
    <row r="51" spans="2:10" x14ac:dyDescent="0.35">
      <c r="B51" s="69">
        <v>43878</v>
      </c>
      <c r="C51" s="79">
        <v>524667114</v>
      </c>
      <c r="D51">
        <f t="shared" si="0"/>
        <v>-3.0721524801090139E-2</v>
      </c>
      <c r="H51" s="69">
        <v>43878</v>
      </c>
      <c r="I51" s="79">
        <v>3337.75</v>
      </c>
      <c r="J51">
        <f t="shared" si="1"/>
        <v>-1.2546743349427181E-2</v>
      </c>
    </row>
    <row r="52" spans="2:10" x14ac:dyDescent="0.35">
      <c r="B52" s="69">
        <v>43885</v>
      </c>
      <c r="C52" s="79">
        <v>472536713</v>
      </c>
      <c r="D52">
        <f t="shared" si="0"/>
        <v>-9.9359002325424939E-2</v>
      </c>
      <c r="H52" s="69">
        <v>43885</v>
      </c>
      <c r="I52" s="79">
        <v>2954.22</v>
      </c>
      <c r="J52">
        <f t="shared" si="1"/>
        <v>-0.11490674855816052</v>
      </c>
    </row>
    <row r="53" spans="2:10" x14ac:dyDescent="0.35">
      <c r="B53" s="69">
        <v>43892</v>
      </c>
      <c r="C53" s="79">
        <v>451703278</v>
      </c>
      <c r="D53">
        <f t="shared" si="0"/>
        <v>-4.4088500272781994E-2</v>
      </c>
      <c r="H53" s="69">
        <v>43892</v>
      </c>
      <c r="I53" s="79">
        <v>2972.37</v>
      </c>
      <c r="J53">
        <f t="shared" si="1"/>
        <v>6.1437536811748128E-3</v>
      </c>
    </row>
    <row r="54" spans="2:10" x14ac:dyDescent="0.35">
      <c r="B54" s="69">
        <v>43899</v>
      </c>
      <c r="C54" s="79">
        <v>378365692</v>
      </c>
      <c r="D54">
        <f t="shared" si="0"/>
        <v>-0.16235787866033591</v>
      </c>
      <c r="H54" s="69">
        <v>43899</v>
      </c>
      <c r="I54" s="79">
        <v>2711.02</v>
      </c>
      <c r="J54">
        <f t="shared" si="1"/>
        <v>-8.7926469450303912E-2</v>
      </c>
    </row>
    <row r="55" spans="2:10" x14ac:dyDescent="0.35">
      <c r="B55" s="69">
        <v>43906</v>
      </c>
      <c r="C55" s="79">
        <v>392098999</v>
      </c>
      <c r="D55">
        <f t="shared" si="0"/>
        <v>3.6296385455582003E-2</v>
      </c>
      <c r="H55" s="69">
        <v>43906</v>
      </c>
      <c r="I55" s="79">
        <v>2304.92</v>
      </c>
      <c r="J55">
        <f t="shared" si="1"/>
        <v>-0.14979601773502216</v>
      </c>
    </row>
    <row r="56" spans="2:10" x14ac:dyDescent="0.35">
      <c r="B56" s="69">
        <v>43913</v>
      </c>
      <c r="C56" s="79">
        <v>447966309</v>
      </c>
      <c r="D56">
        <f t="shared" si="0"/>
        <v>0.14248266418043065</v>
      </c>
      <c r="H56" s="69">
        <v>43913</v>
      </c>
      <c r="I56" s="79">
        <v>2541.4699999999998</v>
      </c>
      <c r="J56">
        <f t="shared" si="1"/>
        <v>0.10262829078666491</v>
      </c>
    </row>
    <row r="57" spans="2:10" x14ac:dyDescent="0.35">
      <c r="B57" s="69">
        <v>43920</v>
      </c>
      <c r="C57" s="79">
        <v>422928833</v>
      </c>
      <c r="D57">
        <f t="shared" si="0"/>
        <v>-5.5891426424213519E-2</v>
      </c>
      <c r="H57" s="69">
        <v>43920</v>
      </c>
      <c r="I57" s="79">
        <v>2488.65</v>
      </c>
      <c r="J57">
        <f t="shared" si="1"/>
        <v>-2.0783247490625434E-2</v>
      </c>
    </row>
    <row r="58" spans="2:10" x14ac:dyDescent="0.35">
      <c r="B58" s="69">
        <v>43927</v>
      </c>
      <c r="C58" s="79">
        <v>442547760</v>
      </c>
      <c r="D58">
        <f t="shared" si="0"/>
        <v>4.6388246601290373E-2</v>
      </c>
      <c r="H58" s="69">
        <v>43927</v>
      </c>
      <c r="I58" s="79">
        <v>2789.82</v>
      </c>
      <c r="J58">
        <f t="shared" si="1"/>
        <v>0.12101741908263519</v>
      </c>
    </row>
    <row r="59" spans="2:10" x14ac:dyDescent="0.35">
      <c r="B59" s="69">
        <v>43934</v>
      </c>
      <c r="C59" s="79">
        <v>470294556</v>
      </c>
      <c r="D59">
        <f t="shared" si="0"/>
        <v>6.269785661100169E-2</v>
      </c>
      <c r="H59" s="69">
        <v>43934</v>
      </c>
      <c r="I59" s="79">
        <v>2874.56</v>
      </c>
      <c r="J59">
        <f t="shared" si="1"/>
        <v>3.0374719515954274E-2</v>
      </c>
    </row>
    <row r="60" spans="2:10" x14ac:dyDescent="0.35">
      <c r="B60" s="69">
        <v>43941</v>
      </c>
      <c r="C60" s="79">
        <v>421667572</v>
      </c>
      <c r="D60">
        <f t="shared" si="0"/>
        <v>-0.10339686772814782</v>
      </c>
      <c r="H60" s="69">
        <v>43941</v>
      </c>
      <c r="I60" s="79">
        <v>2836.74</v>
      </c>
      <c r="J60">
        <f t="shared" si="1"/>
        <v>-1.3156796170544438E-2</v>
      </c>
    </row>
    <row r="61" spans="2:10" x14ac:dyDescent="0.35">
      <c r="B61" s="69">
        <v>43948</v>
      </c>
      <c r="C61" s="79">
        <v>429935608</v>
      </c>
      <c r="D61">
        <f t="shared" si="0"/>
        <v>1.9607948414871235E-2</v>
      </c>
      <c r="H61" s="69">
        <v>43948</v>
      </c>
      <c r="I61" s="79">
        <v>2830.71</v>
      </c>
      <c r="J61">
        <f t="shared" si="1"/>
        <v>-2.1256794771462584E-3</v>
      </c>
    </row>
    <row r="62" spans="2:10" x14ac:dyDescent="0.35">
      <c r="B62" s="69">
        <v>43955</v>
      </c>
      <c r="C62" s="79">
        <v>418070801</v>
      </c>
      <c r="D62">
        <f t="shared" si="0"/>
        <v>-2.7596706993387676E-2</v>
      </c>
      <c r="H62" s="69">
        <v>43955</v>
      </c>
      <c r="I62" s="79">
        <v>2929.8</v>
      </c>
      <c r="J62">
        <f t="shared" si="1"/>
        <v>3.5005352014159108E-2</v>
      </c>
    </row>
    <row r="63" spans="2:10" x14ac:dyDescent="0.35">
      <c r="B63" s="69">
        <v>43962</v>
      </c>
      <c r="C63" s="79">
        <v>384298126</v>
      </c>
      <c r="D63">
        <f t="shared" si="0"/>
        <v>-8.0782190287429279E-2</v>
      </c>
      <c r="H63" s="69">
        <v>43962</v>
      </c>
      <c r="I63" s="79">
        <v>2863.7</v>
      </c>
      <c r="J63">
        <f t="shared" si="1"/>
        <v>-2.2561266980681394E-2</v>
      </c>
    </row>
    <row r="64" spans="2:10" x14ac:dyDescent="0.35">
      <c r="B64" s="69">
        <v>43969</v>
      </c>
      <c r="C64" s="79">
        <v>395088531</v>
      </c>
      <c r="D64">
        <f t="shared" si="0"/>
        <v>2.8078213943723451E-2</v>
      </c>
      <c r="H64" s="69">
        <v>43969</v>
      </c>
      <c r="I64" s="79">
        <v>2955.45</v>
      </c>
      <c r="J64">
        <f t="shared" si="1"/>
        <v>3.2038970562558999E-2</v>
      </c>
    </row>
    <row r="65" spans="2:10" x14ac:dyDescent="0.35">
      <c r="B65" s="69">
        <v>43976</v>
      </c>
      <c r="C65" s="79">
        <v>438717377</v>
      </c>
      <c r="D65">
        <f t="shared" si="0"/>
        <v>0.11042802454824985</v>
      </c>
      <c r="H65" s="69">
        <v>43976</v>
      </c>
      <c r="I65" s="79">
        <v>3044.31</v>
      </c>
      <c r="J65">
        <f t="shared" si="1"/>
        <v>3.0066487336953829E-2</v>
      </c>
    </row>
    <row r="66" spans="2:10" x14ac:dyDescent="0.35">
      <c r="B66" s="69">
        <v>43983</v>
      </c>
      <c r="C66" s="79">
        <v>500844116</v>
      </c>
      <c r="D66">
        <f t="shared" si="0"/>
        <v>0.14160993445217462</v>
      </c>
      <c r="H66" s="69">
        <v>43983</v>
      </c>
      <c r="I66" s="79">
        <v>3193.93</v>
      </c>
      <c r="J66">
        <f t="shared" si="1"/>
        <v>4.9147425853477422E-2</v>
      </c>
    </row>
    <row r="67" spans="2:10" x14ac:dyDescent="0.35">
      <c r="B67" s="69">
        <v>43990</v>
      </c>
      <c r="C67" s="79">
        <v>455300079</v>
      </c>
      <c r="D67">
        <f t="shared" si="0"/>
        <v>-9.0934555373712311E-2</v>
      </c>
      <c r="H67" s="69">
        <v>43990</v>
      </c>
      <c r="I67" s="79">
        <v>3041.31</v>
      </c>
      <c r="J67">
        <f t="shared" si="1"/>
        <v>-4.7784391016709837E-2</v>
      </c>
    </row>
    <row r="68" spans="2:10" x14ac:dyDescent="0.35">
      <c r="B68" s="69">
        <v>43997</v>
      </c>
      <c r="C68" s="79">
        <v>476367126</v>
      </c>
      <c r="D68">
        <f t="shared" si="0"/>
        <v>4.6270686019362683E-2</v>
      </c>
      <c r="H68" s="69">
        <v>43997</v>
      </c>
      <c r="I68" s="79">
        <v>3097.74</v>
      </c>
      <c r="J68">
        <f t="shared" si="1"/>
        <v>1.8554504473401234E-2</v>
      </c>
    </row>
    <row r="69" spans="2:10" x14ac:dyDescent="0.35">
      <c r="B69" s="69">
        <v>44004</v>
      </c>
      <c r="C69" s="79">
        <v>445630737</v>
      </c>
      <c r="D69">
        <f t="shared" si="0"/>
        <v>-6.4522481343517346E-2</v>
      </c>
      <c r="H69" s="69">
        <v>44004</v>
      </c>
      <c r="I69" s="79">
        <v>3009.05</v>
      </c>
      <c r="J69">
        <f t="shared" si="1"/>
        <v>-2.8630550013880929E-2</v>
      </c>
    </row>
    <row r="70" spans="2:10" x14ac:dyDescent="0.35">
      <c r="B70" s="69">
        <v>44011</v>
      </c>
      <c r="C70" s="79">
        <v>466424652</v>
      </c>
      <c r="D70">
        <f t="shared" si="0"/>
        <v>4.6661761125332823E-2</v>
      </c>
      <c r="H70" s="69">
        <v>44011</v>
      </c>
      <c r="I70" s="79">
        <v>3130.01</v>
      </c>
      <c r="J70">
        <f t="shared" si="1"/>
        <v>4.0198733819644117E-2</v>
      </c>
    </row>
    <row r="71" spans="2:10" x14ac:dyDescent="0.35">
      <c r="B71" s="69">
        <v>44018</v>
      </c>
      <c r="C71" s="79">
        <v>471090790</v>
      </c>
      <c r="D71">
        <f t="shared" si="0"/>
        <v>1.0004055274505541E-2</v>
      </c>
      <c r="H71" s="69">
        <v>44018</v>
      </c>
      <c r="I71" s="79">
        <v>3185.04</v>
      </c>
      <c r="J71">
        <f t="shared" si="1"/>
        <v>1.75814134779122E-2</v>
      </c>
    </row>
    <row r="72" spans="2:10" x14ac:dyDescent="0.35">
      <c r="B72" s="69">
        <v>44025</v>
      </c>
      <c r="C72" s="79">
        <v>485843353</v>
      </c>
      <c r="D72">
        <f t="shared" si="0"/>
        <v>3.1315753381635947E-2</v>
      </c>
      <c r="H72" s="69">
        <v>44025</v>
      </c>
      <c r="I72" s="79">
        <v>3224.73</v>
      </c>
      <c r="J72">
        <f t="shared" si="1"/>
        <v>1.246138196066604E-2</v>
      </c>
    </row>
    <row r="73" spans="2:10" x14ac:dyDescent="0.35">
      <c r="B73" s="69">
        <v>44032</v>
      </c>
      <c r="C73" s="79">
        <v>466613190</v>
      </c>
      <c r="D73">
        <f t="shared" si="0"/>
        <v>-3.9580994329256547E-2</v>
      </c>
      <c r="H73" s="69">
        <v>44032</v>
      </c>
      <c r="I73" s="79">
        <v>3215.63</v>
      </c>
      <c r="J73">
        <f t="shared" si="1"/>
        <v>-2.8219416819392773E-3</v>
      </c>
    </row>
    <row r="74" spans="2:10" x14ac:dyDescent="0.35">
      <c r="B74" s="69">
        <v>44039</v>
      </c>
      <c r="C74" s="79">
        <v>454123047</v>
      </c>
      <c r="D74">
        <f t="shared" si="0"/>
        <v>-2.6767659525441245E-2</v>
      </c>
      <c r="H74" s="69">
        <v>44039</v>
      </c>
      <c r="I74" s="79">
        <v>3271.12</v>
      </c>
      <c r="J74">
        <f t="shared" si="1"/>
        <v>1.7256338571290719E-2</v>
      </c>
    </row>
    <row r="75" spans="2:10" x14ac:dyDescent="0.35">
      <c r="B75" s="69">
        <v>44046</v>
      </c>
      <c r="C75" s="79">
        <v>457516571</v>
      </c>
      <c r="D75">
        <f t="shared" si="0"/>
        <v>7.4726971520562291E-3</v>
      </c>
      <c r="H75" s="69">
        <v>44046</v>
      </c>
      <c r="I75" s="79">
        <v>3351.28</v>
      </c>
      <c r="J75">
        <f t="shared" si="1"/>
        <v>2.4505368191934274E-2</v>
      </c>
    </row>
    <row r="76" spans="2:10" x14ac:dyDescent="0.35">
      <c r="B76" s="69">
        <v>44053</v>
      </c>
      <c r="C76" s="79">
        <v>468121460</v>
      </c>
      <c r="D76">
        <f t="shared" si="0"/>
        <v>2.3179245675890581E-2</v>
      </c>
      <c r="H76" s="69">
        <v>44053</v>
      </c>
      <c r="I76" s="79">
        <v>3372.85</v>
      </c>
      <c r="J76">
        <f t="shared" si="1"/>
        <v>6.4363467093169202E-3</v>
      </c>
    </row>
    <row r="77" spans="2:10" x14ac:dyDescent="0.35">
      <c r="B77" s="69">
        <v>44060</v>
      </c>
      <c r="C77" s="79">
        <v>467084503</v>
      </c>
      <c r="D77">
        <f t="shared" si="0"/>
        <v>-2.2151451890285445E-3</v>
      </c>
      <c r="H77" s="69">
        <v>44060</v>
      </c>
      <c r="I77" s="79">
        <v>3397.16</v>
      </c>
      <c r="J77">
        <f t="shared" si="1"/>
        <v>7.2075544420890925E-3</v>
      </c>
    </row>
    <row r="78" spans="2:10" x14ac:dyDescent="0.35">
      <c r="B78" s="69">
        <v>44067</v>
      </c>
      <c r="C78" s="79">
        <v>486691742</v>
      </c>
      <c r="D78">
        <f t="shared" si="0"/>
        <v>4.1977926636542762E-2</v>
      </c>
      <c r="H78" s="69">
        <v>44067</v>
      </c>
      <c r="I78" s="79">
        <v>3508.01</v>
      </c>
      <c r="J78">
        <f t="shared" si="1"/>
        <v>3.2630196988072457E-2</v>
      </c>
    </row>
    <row r="79" spans="2:10" x14ac:dyDescent="0.35">
      <c r="B79" s="69">
        <v>44074</v>
      </c>
      <c r="C79" s="79">
        <v>523172302</v>
      </c>
      <c r="D79">
        <f t="shared" si="0"/>
        <v>7.4956192702361424E-2</v>
      </c>
      <c r="H79" s="69">
        <v>44074</v>
      </c>
      <c r="I79" s="79">
        <v>3426.96</v>
      </c>
      <c r="J79">
        <f t="shared" si="1"/>
        <v>-2.3104267091598962E-2</v>
      </c>
    </row>
    <row r="80" spans="2:10" x14ac:dyDescent="0.35">
      <c r="B80" s="69">
        <v>44081</v>
      </c>
      <c r="C80" s="79">
        <v>537877747</v>
      </c>
      <c r="D80">
        <f t="shared" si="0"/>
        <v>2.8108225423600475E-2</v>
      </c>
      <c r="H80" s="69">
        <v>44081</v>
      </c>
      <c r="I80" s="79">
        <v>3340.97</v>
      </c>
      <c r="J80">
        <f t="shared" si="1"/>
        <v>-2.5092210005369209E-2</v>
      </c>
    </row>
    <row r="81" spans="2:10" x14ac:dyDescent="0.35">
      <c r="B81" s="69">
        <v>44088</v>
      </c>
      <c r="C81" s="79">
        <v>553997131</v>
      </c>
      <c r="D81">
        <f t="shared" si="0"/>
        <v>2.9968490219023591E-2</v>
      </c>
      <c r="H81" s="69">
        <v>44088</v>
      </c>
      <c r="I81" s="79">
        <v>3319.47</v>
      </c>
      <c r="J81">
        <f t="shared" si="1"/>
        <v>-6.4352568266102805E-3</v>
      </c>
    </row>
    <row r="82" spans="2:10" x14ac:dyDescent="0.35">
      <c r="B82" s="69">
        <v>44095</v>
      </c>
      <c r="C82" s="79">
        <v>533541504</v>
      </c>
      <c r="D82">
        <f t="shared" si="0"/>
        <v>-3.6923705657241013E-2</v>
      </c>
      <c r="H82" s="69">
        <v>44095</v>
      </c>
      <c r="I82" s="79">
        <v>3298.46</v>
      </c>
      <c r="J82">
        <f t="shared" si="1"/>
        <v>-6.3293236570897138E-3</v>
      </c>
    </row>
    <row r="83" spans="2:10" x14ac:dyDescent="0.35">
      <c r="B83" s="69">
        <v>44102</v>
      </c>
      <c r="C83" s="79">
        <v>544664795</v>
      </c>
      <c r="D83">
        <f t="shared" si="0"/>
        <v>2.0848033220673301E-2</v>
      </c>
      <c r="H83" s="69">
        <v>44102</v>
      </c>
      <c r="I83" s="79">
        <v>3348.42</v>
      </c>
      <c r="J83">
        <f t="shared" si="1"/>
        <v>1.5146462288461837E-2</v>
      </c>
    </row>
    <row r="84" spans="2:10" x14ac:dyDescent="0.35">
      <c r="B84" s="69">
        <v>44109</v>
      </c>
      <c r="C84" s="79">
        <v>548435486</v>
      </c>
      <c r="D84">
        <f t="shared" si="0"/>
        <v>6.9229570822546549E-3</v>
      </c>
      <c r="H84" s="69">
        <v>44109</v>
      </c>
      <c r="I84" s="79">
        <v>3477.14</v>
      </c>
      <c r="J84">
        <f t="shared" si="1"/>
        <v>3.844201145614945E-2</v>
      </c>
    </row>
    <row r="85" spans="2:10" x14ac:dyDescent="0.35">
      <c r="B85" s="69">
        <v>44116</v>
      </c>
      <c r="C85" s="79">
        <v>555599670</v>
      </c>
      <c r="D85">
        <f t="shared" si="0"/>
        <v>1.3062947571558015E-2</v>
      </c>
      <c r="H85" s="69">
        <v>44116</v>
      </c>
      <c r="I85" s="79">
        <v>3483.81</v>
      </c>
      <c r="J85">
        <f t="shared" si="1"/>
        <v>1.9182431538562472E-3</v>
      </c>
    </row>
    <row r="86" spans="2:10" x14ac:dyDescent="0.35">
      <c r="B86" s="69">
        <v>44123</v>
      </c>
      <c r="C86" s="79">
        <v>524114990</v>
      </c>
      <c r="D86">
        <f t="shared" si="0"/>
        <v>-5.6667924226808886E-2</v>
      </c>
      <c r="H86" s="69">
        <v>44123</v>
      </c>
      <c r="I86" s="79">
        <v>3465.39</v>
      </c>
      <c r="J86">
        <f t="shared" si="1"/>
        <v>-5.2873147502303652E-3</v>
      </c>
    </row>
    <row r="87" spans="2:10" x14ac:dyDescent="0.35">
      <c r="B87" s="69">
        <v>44130</v>
      </c>
      <c r="C87" s="79">
        <v>488765503</v>
      </c>
      <c r="D87">
        <f t="shared" si="0"/>
        <v>-6.7446052248953947E-2</v>
      </c>
      <c r="H87" s="69">
        <v>44130</v>
      </c>
      <c r="I87" s="79">
        <v>3269.96</v>
      </c>
      <c r="J87">
        <f t="shared" si="1"/>
        <v>-5.6394806933707242E-2</v>
      </c>
    </row>
    <row r="88" spans="2:10" x14ac:dyDescent="0.35">
      <c r="B88" s="69">
        <v>44137</v>
      </c>
      <c r="C88" s="79">
        <v>534955566</v>
      </c>
      <c r="D88">
        <f t="shared" si="0"/>
        <v>9.4503525139334466E-2</v>
      </c>
      <c r="H88" s="69">
        <v>44137</v>
      </c>
      <c r="I88" s="79">
        <v>3509.44</v>
      </c>
      <c r="J88">
        <f t="shared" si="1"/>
        <v>7.3236369863851625E-2</v>
      </c>
    </row>
    <row r="89" spans="2:10" x14ac:dyDescent="0.35">
      <c r="B89" s="69">
        <v>44144</v>
      </c>
      <c r="C89" s="79">
        <v>574075684</v>
      </c>
      <c r="D89">
        <f t="shared" si="0"/>
        <v>7.3127789458311776E-2</v>
      </c>
      <c r="H89" s="69">
        <v>44144</v>
      </c>
      <c r="I89" s="79">
        <v>3585.15</v>
      </c>
      <c r="J89">
        <f t="shared" si="1"/>
        <v>2.1573242454636654E-2</v>
      </c>
    </row>
    <row r="90" spans="2:10" x14ac:dyDescent="0.35">
      <c r="B90" s="69">
        <v>44151</v>
      </c>
      <c r="C90" s="79">
        <v>578506104</v>
      </c>
      <c r="D90">
        <f t="shared" si="0"/>
        <v>7.7174841636387104E-3</v>
      </c>
      <c r="H90" s="69">
        <v>44151</v>
      </c>
      <c r="I90" s="79">
        <v>3557.54</v>
      </c>
      <c r="J90">
        <f t="shared" si="1"/>
        <v>-7.7012119437123161E-3</v>
      </c>
    </row>
    <row r="91" spans="2:10" x14ac:dyDescent="0.35">
      <c r="B91" s="69">
        <v>44158</v>
      </c>
      <c r="C91" s="79">
        <v>571436157</v>
      </c>
      <c r="D91">
        <f t="shared" si="0"/>
        <v>-1.2221041318519976E-2</v>
      </c>
      <c r="H91" s="69">
        <v>44158</v>
      </c>
      <c r="I91" s="79">
        <v>3638.35</v>
      </c>
      <c r="J91">
        <f t="shared" si="1"/>
        <v>2.2715134615492794E-2</v>
      </c>
    </row>
    <row r="92" spans="2:10" x14ac:dyDescent="0.35">
      <c r="B92" s="69">
        <v>44165</v>
      </c>
      <c r="C92" s="79">
        <v>567382751</v>
      </c>
      <c r="D92">
        <f t="shared" si="0"/>
        <v>-7.0933663373352607E-3</v>
      </c>
      <c r="H92" s="69">
        <v>44165</v>
      </c>
      <c r="I92" s="79">
        <v>3699.12</v>
      </c>
      <c r="J92">
        <f t="shared" si="1"/>
        <v>1.6702626190443493E-2</v>
      </c>
    </row>
    <row r="93" spans="2:10" x14ac:dyDescent="0.35">
      <c r="B93" s="69">
        <v>44172</v>
      </c>
      <c r="C93" s="79">
        <v>540611450</v>
      </c>
      <c r="D93">
        <f t="shared" si="0"/>
        <v>-4.7183847152237446E-2</v>
      </c>
      <c r="H93" s="69">
        <v>44172</v>
      </c>
      <c r="I93" s="79">
        <v>3663.46</v>
      </c>
      <c r="J93">
        <f t="shared" si="1"/>
        <v>-9.6401306256622687E-3</v>
      </c>
    </row>
    <row r="94" spans="2:10" x14ac:dyDescent="0.35">
      <c r="B94" s="69">
        <v>44179</v>
      </c>
      <c r="C94" s="79">
        <v>526000366</v>
      </c>
      <c r="D94">
        <f t="shared" si="0"/>
        <v>-2.7026959935828265E-2</v>
      </c>
      <c r="H94" s="69">
        <v>44179</v>
      </c>
      <c r="I94" s="79">
        <v>3709.41</v>
      </c>
      <c r="J94">
        <f t="shared" si="1"/>
        <v>1.2542787419543178E-2</v>
      </c>
    </row>
    <row r="95" spans="2:10" x14ac:dyDescent="0.35">
      <c r="B95" s="69">
        <v>44186</v>
      </c>
      <c r="C95" s="79">
        <v>521004272</v>
      </c>
      <c r="D95">
        <f t="shared" si="0"/>
        <v>-9.4982709574769064E-3</v>
      </c>
      <c r="H95" s="69">
        <v>44186</v>
      </c>
      <c r="I95" s="79">
        <v>3703.06</v>
      </c>
      <c r="J95">
        <f t="shared" si="1"/>
        <v>-1.7118625333947257E-3</v>
      </c>
    </row>
    <row r="96" spans="2:10" x14ac:dyDescent="0.35">
      <c r="B96" s="69">
        <v>44193</v>
      </c>
      <c r="C96" s="79">
        <v>560312927</v>
      </c>
      <c r="D96">
        <f t="shared" si="0"/>
        <v>7.5447855444839895E-2</v>
      </c>
      <c r="H96" s="69">
        <v>44193</v>
      </c>
      <c r="I96" s="79">
        <v>3756.07</v>
      </c>
      <c r="J96">
        <f t="shared" si="1"/>
        <v>1.4315187979671018E-2</v>
      </c>
    </row>
    <row r="97" spans="2:10" x14ac:dyDescent="0.35">
      <c r="B97" s="69">
        <v>44200</v>
      </c>
      <c r="C97" s="79">
        <v>552677429</v>
      </c>
      <c r="D97">
        <f t="shared" si="0"/>
        <v>-1.3627203000440513E-2</v>
      </c>
      <c r="H97" s="69">
        <v>44200</v>
      </c>
      <c r="I97" s="79">
        <v>3824.68</v>
      </c>
      <c r="J97">
        <f t="shared" si="1"/>
        <v>1.8266432734214133E-2</v>
      </c>
    </row>
    <row r="98" spans="2:10" x14ac:dyDescent="0.35">
      <c r="B98" s="69">
        <v>44207</v>
      </c>
      <c r="C98" s="79">
        <v>529582397</v>
      </c>
      <c r="D98">
        <f t="shared" si="0"/>
        <v>-4.1787543308558051E-2</v>
      </c>
      <c r="H98" s="69">
        <v>44207</v>
      </c>
      <c r="I98" s="79">
        <v>3768.25</v>
      </c>
      <c r="J98">
        <f t="shared" si="1"/>
        <v>-1.4754175512722623E-2</v>
      </c>
    </row>
    <row r="99" spans="2:10" x14ac:dyDescent="0.35">
      <c r="B99" s="69">
        <v>44214</v>
      </c>
      <c r="C99" s="79">
        <v>512803162</v>
      </c>
      <c r="D99">
        <f t="shared" si="0"/>
        <v>-3.168389866251542E-2</v>
      </c>
      <c r="H99" s="69">
        <v>44214</v>
      </c>
      <c r="I99" s="79">
        <v>3841.47</v>
      </c>
      <c r="J99">
        <f t="shared" si="1"/>
        <v>1.9430770251442908E-2</v>
      </c>
    </row>
    <row r="100" spans="2:10" x14ac:dyDescent="0.35">
      <c r="B100" s="69">
        <v>44221</v>
      </c>
      <c r="C100" s="79">
        <v>512807861</v>
      </c>
      <c r="D100">
        <f t="shared" si="0"/>
        <v>9.1633600340923493E-6</v>
      </c>
      <c r="H100" s="69">
        <v>44221</v>
      </c>
      <c r="I100" s="79">
        <v>3714.24</v>
      </c>
      <c r="J100">
        <f t="shared" si="1"/>
        <v>-3.3120133698818388E-2</v>
      </c>
    </row>
    <row r="101" spans="2:10" x14ac:dyDescent="0.35">
      <c r="B101" s="69">
        <v>44228</v>
      </c>
      <c r="C101" s="79">
        <v>519814392</v>
      </c>
      <c r="D101">
        <f t="shared" si="0"/>
        <v>1.3663072532345666E-2</v>
      </c>
      <c r="H101" s="69">
        <v>44228</v>
      </c>
      <c r="I101" s="79">
        <v>3886.83</v>
      </c>
      <c r="J101">
        <f t="shared" si="1"/>
        <v>4.6467110364435404E-2</v>
      </c>
    </row>
    <row r="102" spans="2:10" x14ac:dyDescent="0.35">
      <c r="B102" s="69">
        <v>44235</v>
      </c>
      <c r="C102" s="79">
        <v>518773010</v>
      </c>
      <c r="D102">
        <f t="shared" si="0"/>
        <v>-2.0033727731032513E-3</v>
      </c>
      <c r="H102" s="69">
        <v>44235</v>
      </c>
      <c r="I102" s="79">
        <v>3934.83</v>
      </c>
      <c r="J102">
        <f t="shared" si="1"/>
        <v>1.2349395265550678E-2</v>
      </c>
    </row>
    <row r="103" spans="2:10" x14ac:dyDescent="0.35">
      <c r="B103" s="69">
        <v>44242</v>
      </c>
      <c r="C103" s="79">
        <v>499930847</v>
      </c>
      <c r="D103">
        <f t="shared" si="0"/>
        <v>-3.6320630867053061E-2</v>
      </c>
      <c r="H103" s="69">
        <v>44242</v>
      </c>
      <c r="I103" s="79">
        <v>3906.71</v>
      </c>
      <c r="J103">
        <f t="shared" si="1"/>
        <v>-7.1464332639529227E-3</v>
      </c>
    </row>
    <row r="104" spans="2:10" x14ac:dyDescent="0.35">
      <c r="B104" s="69">
        <v>44249</v>
      </c>
      <c r="C104" s="79">
        <v>496995697</v>
      </c>
      <c r="D104">
        <f t="shared" si="0"/>
        <v>-5.871112010017665E-3</v>
      </c>
      <c r="H104" s="69">
        <v>44249</v>
      </c>
      <c r="I104" s="79">
        <v>3811.15</v>
      </c>
      <c r="J104">
        <f t="shared" si="1"/>
        <v>-2.4460479533930046E-2</v>
      </c>
    </row>
    <row r="105" spans="2:10" x14ac:dyDescent="0.35">
      <c r="B105" s="69">
        <v>44256</v>
      </c>
      <c r="C105" s="79">
        <v>510346069</v>
      </c>
      <c r="D105">
        <f t="shared" si="0"/>
        <v>2.6862148064030311E-2</v>
      </c>
      <c r="H105" s="69">
        <v>44256</v>
      </c>
      <c r="I105" s="79">
        <v>3841.94</v>
      </c>
      <c r="J105">
        <f t="shared" si="1"/>
        <v>8.0789263083320684E-3</v>
      </c>
    </row>
    <row r="106" spans="2:10" x14ac:dyDescent="0.35">
      <c r="B106" s="69">
        <v>44263</v>
      </c>
      <c r="C106" s="79">
        <v>564694641</v>
      </c>
      <c r="D106">
        <f t="shared" si="0"/>
        <v>0.10649356446791791</v>
      </c>
      <c r="H106" s="69">
        <v>44263</v>
      </c>
      <c r="I106" s="79">
        <v>3943.34</v>
      </c>
      <c r="J106">
        <f t="shared" si="1"/>
        <v>2.6392916078856077E-2</v>
      </c>
    </row>
    <row r="107" spans="2:10" x14ac:dyDescent="0.35">
      <c r="B107" s="69">
        <v>44270</v>
      </c>
      <c r="C107" s="79">
        <v>562043457</v>
      </c>
      <c r="D107">
        <f t="shared" ref="D107:D170" si="2">C107/C106-1</f>
        <v>-4.6948984592896092E-3</v>
      </c>
      <c r="H107" s="69">
        <v>44270</v>
      </c>
      <c r="I107" s="79">
        <v>3913.1</v>
      </c>
      <c r="J107">
        <f t="shared" ref="J107:J170" si="3">I107/I106-1</f>
        <v>-7.6686260885442392E-3</v>
      </c>
    </row>
    <row r="108" spans="2:10" x14ac:dyDescent="0.35">
      <c r="B108" s="69">
        <v>44277</v>
      </c>
      <c r="C108" s="79">
        <v>534869263</v>
      </c>
      <c r="D108">
        <f t="shared" si="2"/>
        <v>-4.834891975265887E-2</v>
      </c>
      <c r="H108" s="69">
        <v>44277</v>
      </c>
      <c r="I108" s="79">
        <v>3974.54</v>
      </c>
      <c r="J108">
        <f t="shared" si="3"/>
        <v>1.570110653957224E-2</v>
      </c>
    </row>
    <row r="109" spans="2:10" x14ac:dyDescent="0.35">
      <c r="B109" s="69">
        <v>44284</v>
      </c>
      <c r="C109" s="79">
        <v>567535156</v>
      </c>
      <c r="D109">
        <f t="shared" si="2"/>
        <v>6.1072668144701359E-2</v>
      </c>
      <c r="H109" s="69">
        <v>44284</v>
      </c>
      <c r="I109" s="79">
        <v>4019.87</v>
      </c>
      <c r="J109">
        <f t="shared" si="3"/>
        <v>1.140509341961593E-2</v>
      </c>
    </row>
    <row r="110" spans="2:10" x14ac:dyDescent="0.35">
      <c r="B110" s="69">
        <v>44291</v>
      </c>
      <c r="C110" s="79">
        <v>579370667</v>
      </c>
      <c r="D110">
        <f t="shared" si="2"/>
        <v>2.0854234094354496E-2</v>
      </c>
      <c r="H110" s="69">
        <v>44291</v>
      </c>
      <c r="I110" s="79">
        <v>4128.8</v>
      </c>
      <c r="J110">
        <f t="shared" si="3"/>
        <v>2.7097891225338122E-2</v>
      </c>
    </row>
    <row r="111" spans="2:10" x14ac:dyDescent="0.35">
      <c r="B111" s="69">
        <v>44298</v>
      </c>
      <c r="C111" s="79">
        <v>601242615</v>
      </c>
      <c r="D111">
        <f t="shared" si="2"/>
        <v>3.7751217391197356E-2</v>
      </c>
      <c r="H111" s="69">
        <v>44298</v>
      </c>
      <c r="I111" s="79">
        <v>4185.47</v>
      </c>
      <c r="J111">
        <f t="shared" si="3"/>
        <v>1.3725537686494871E-2</v>
      </c>
    </row>
    <row r="112" spans="2:10" x14ac:dyDescent="0.35">
      <c r="B112" s="69">
        <v>44305</v>
      </c>
      <c r="C112" s="79">
        <v>614308960</v>
      </c>
      <c r="D112">
        <f t="shared" si="2"/>
        <v>2.1732233667435485E-2</v>
      </c>
      <c r="H112" s="69">
        <v>44305</v>
      </c>
      <c r="I112" s="79">
        <v>4180.17</v>
      </c>
      <c r="J112">
        <f t="shared" si="3"/>
        <v>-1.266285506765108E-3</v>
      </c>
    </row>
    <row r="113" spans="2:10" x14ac:dyDescent="0.35">
      <c r="B113" s="69">
        <v>44312</v>
      </c>
      <c r="C113" s="79">
        <v>631067993</v>
      </c>
      <c r="D113">
        <f t="shared" si="2"/>
        <v>2.728111437606251E-2</v>
      </c>
      <c r="H113" s="69">
        <v>44312</v>
      </c>
      <c r="I113" s="79">
        <v>4181.17</v>
      </c>
      <c r="J113">
        <f t="shared" si="3"/>
        <v>2.3922472052562149E-4</v>
      </c>
    </row>
    <row r="114" spans="2:10" x14ac:dyDescent="0.35">
      <c r="B114" s="69">
        <v>44319</v>
      </c>
      <c r="C114" s="79">
        <v>658147705</v>
      </c>
      <c r="D114">
        <f t="shared" si="2"/>
        <v>4.291092608146263E-2</v>
      </c>
      <c r="H114" s="69">
        <v>44319</v>
      </c>
      <c r="I114" s="79">
        <v>4232.6000000000004</v>
      </c>
      <c r="J114">
        <f t="shared" si="3"/>
        <v>1.2300384820516763E-2</v>
      </c>
    </row>
    <row r="115" spans="2:10" x14ac:dyDescent="0.35">
      <c r="B115" s="69">
        <v>44326</v>
      </c>
      <c r="C115" s="79">
        <v>674816345</v>
      </c>
      <c r="D115">
        <f t="shared" si="2"/>
        <v>2.5326594430652882E-2</v>
      </c>
      <c r="H115" s="69">
        <v>44326</v>
      </c>
      <c r="I115" s="79">
        <v>4173.8500000000004</v>
      </c>
      <c r="J115">
        <f t="shared" si="3"/>
        <v>-1.388035722723624E-2</v>
      </c>
    </row>
    <row r="116" spans="2:10" x14ac:dyDescent="0.35">
      <c r="B116" s="69">
        <v>44333</v>
      </c>
      <c r="C116" s="79">
        <v>687130981</v>
      </c>
      <c r="D116">
        <f t="shared" si="2"/>
        <v>1.824887036486933E-2</v>
      </c>
      <c r="H116" s="69">
        <v>44333</v>
      </c>
      <c r="I116" s="79">
        <v>4155.8599999999997</v>
      </c>
      <c r="J116">
        <f t="shared" si="3"/>
        <v>-4.3101692681818404E-3</v>
      </c>
    </row>
    <row r="117" spans="2:10" x14ac:dyDescent="0.35">
      <c r="B117" s="69">
        <v>44340</v>
      </c>
      <c r="C117" s="79">
        <v>714814697</v>
      </c>
      <c r="D117">
        <f t="shared" si="2"/>
        <v>4.0288848509946629E-2</v>
      </c>
      <c r="H117" s="69">
        <v>44340</v>
      </c>
      <c r="I117" s="79">
        <v>4204.1099999999997</v>
      </c>
      <c r="J117">
        <f t="shared" si="3"/>
        <v>1.1610111986448013E-2</v>
      </c>
    </row>
    <row r="118" spans="2:10" x14ac:dyDescent="0.35">
      <c r="B118" s="69">
        <v>44347</v>
      </c>
      <c r="C118" s="79">
        <v>702309265</v>
      </c>
      <c r="D118">
        <f t="shared" si="2"/>
        <v>-1.749464868655326E-2</v>
      </c>
      <c r="H118" s="69">
        <v>44347</v>
      </c>
      <c r="I118" s="79">
        <v>4229.8900000000003</v>
      </c>
      <c r="J118">
        <f t="shared" si="3"/>
        <v>6.1320945455758391E-3</v>
      </c>
    </row>
    <row r="119" spans="2:10" x14ac:dyDescent="0.35">
      <c r="B119" s="69">
        <v>44354</v>
      </c>
      <c r="C119" s="79">
        <v>709182556</v>
      </c>
      <c r="D119">
        <f t="shared" si="2"/>
        <v>9.7867013045884743E-3</v>
      </c>
      <c r="H119" s="69">
        <v>44354</v>
      </c>
      <c r="I119" s="79">
        <v>4247.4399999999996</v>
      </c>
      <c r="J119">
        <f t="shared" si="3"/>
        <v>4.1490440649754046E-3</v>
      </c>
    </row>
    <row r="120" spans="2:10" x14ac:dyDescent="0.35">
      <c r="B120" s="69">
        <v>44361</v>
      </c>
      <c r="C120" s="79">
        <v>715960266</v>
      </c>
      <c r="D120">
        <f t="shared" si="2"/>
        <v>9.5570737642340919E-3</v>
      </c>
      <c r="H120" s="69">
        <v>44361</v>
      </c>
      <c r="I120" s="79">
        <v>4166.45</v>
      </c>
      <c r="J120">
        <f t="shared" si="3"/>
        <v>-1.9067956227751259E-2</v>
      </c>
    </row>
    <row r="121" spans="2:10" x14ac:dyDescent="0.35">
      <c r="B121" s="69">
        <v>44368</v>
      </c>
      <c r="C121" s="79">
        <v>724742676</v>
      </c>
      <c r="D121">
        <f t="shared" si="2"/>
        <v>1.2266616482876191E-2</v>
      </c>
      <c r="H121" s="69">
        <v>44368</v>
      </c>
      <c r="I121" s="79">
        <v>4280.7</v>
      </c>
      <c r="J121">
        <f t="shared" si="3"/>
        <v>2.7421425914147646E-2</v>
      </c>
    </row>
    <row r="122" spans="2:10" x14ac:dyDescent="0.35">
      <c r="B122" s="69">
        <v>44375</v>
      </c>
      <c r="C122" s="79">
        <v>701068359</v>
      </c>
      <c r="D122">
        <f t="shared" si="2"/>
        <v>-3.2665824414622957E-2</v>
      </c>
      <c r="H122" s="69">
        <v>44375</v>
      </c>
      <c r="I122" s="79">
        <v>4352.34</v>
      </c>
      <c r="J122">
        <f t="shared" si="3"/>
        <v>1.6735580629336333E-2</v>
      </c>
    </row>
    <row r="123" spans="2:10" x14ac:dyDescent="0.35">
      <c r="B123" s="69">
        <v>44382</v>
      </c>
      <c r="C123" s="79">
        <v>698013489</v>
      </c>
      <c r="D123">
        <f t="shared" si="2"/>
        <v>-4.3574495422350479E-3</v>
      </c>
      <c r="H123" s="69">
        <v>44382</v>
      </c>
      <c r="I123" s="79">
        <v>4369.55</v>
      </c>
      <c r="J123">
        <f t="shared" si="3"/>
        <v>3.954194755005469E-3</v>
      </c>
    </row>
    <row r="124" spans="2:10" x14ac:dyDescent="0.35">
      <c r="B124" s="69">
        <v>44389</v>
      </c>
      <c r="C124" s="79">
        <v>698586304</v>
      </c>
      <c r="D124">
        <f t="shared" si="2"/>
        <v>8.206360034970217E-4</v>
      </c>
      <c r="H124" s="69">
        <v>44389</v>
      </c>
      <c r="I124" s="79">
        <v>4327.16</v>
      </c>
      <c r="J124">
        <f t="shared" si="3"/>
        <v>-9.7012278152213138E-3</v>
      </c>
    </row>
    <row r="125" spans="2:10" x14ac:dyDescent="0.35">
      <c r="B125" s="69">
        <v>44396</v>
      </c>
      <c r="C125" s="79">
        <v>713669189</v>
      </c>
      <c r="D125">
        <f t="shared" si="2"/>
        <v>2.1590582170932349E-2</v>
      </c>
      <c r="H125" s="69">
        <v>44396</v>
      </c>
      <c r="I125" s="79">
        <v>4411.79</v>
      </c>
      <c r="J125">
        <f t="shared" si="3"/>
        <v>1.9557862431710538E-2</v>
      </c>
    </row>
    <row r="126" spans="2:10" x14ac:dyDescent="0.35">
      <c r="B126" s="69">
        <v>44403</v>
      </c>
      <c r="C126" s="79">
        <v>721878845</v>
      </c>
      <c r="D126">
        <f t="shared" si="2"/>
        <v>1.1503447432701153E-2</v>
      </c>
      <c r="H126" s="69">
        <v>44403</v>
      </c>
      <c r="I126" s="79">
        <v>4395.26</v>
      </c>
      <c r="J126">
        <f t="shared" si="3"/>
        <v>-3.7467785184697178E-3</v>
      </c>
    </row>
    <row r="127" spans="2:10" x14ac:dyDescent="0.35">
      <c r="B127" s="69">
        <v>44410</v>
      </c>
      <c r="C127" s="79">
        <v>746985229</v>
      </c>
      <c r="D127">
        <f t="shared" si="2"/>
        <v>3.477922115864196E-2</v>
      </c>
      <c r="H127" s="69">
        <v>44410</v>
      </c>
      <c r="I127" s="79">
        <v>4436.5200000000004</v>
      </c>
      <c r="J127">
        <f t="shared" si="3"/>
        <v>9.3873855016541885E-3</v>
      </c>
    </row>
    <row r="128" spans="2:10" x14ac:dyDescent="0.35">
      <c r="B128" s="69">
        <v>44417</v>
      </c>
      <c r="C128" s="79">
        <v>753094788</v>
      </c>
      <c r="D128">
        <f t="shared" si="2"/>
        <v>8.1789555707534323E-3</v>
      </c>
      <c r="H128" s="69">
        <v>44417</v>
      </c>
      <c r="I128" s="79">
        <v>4468</v>
      </c>
      <c r="J128">
        <f t="shared" si="3"/>
        <v>7.0956515467077708E-3</v>
      </c>
    </row>
    <row r="129" spans="2:10" x14ac:dyDescent="0.35">
      <c r="B129" s="69">
        <v>44424</v>
      </c>
      <c r="C129" s="79">
        <v>622885437</v>
      </c>
      <c r="D129">
        <f t="shared" si="2"/>
        <v>-0.17289902024922787</v>
      </c>
      <c r="H129" s="69">
        <v>44424</v>
      </c>
      <c r="I129" s="79">
        <v>4441.67</v>
      </c>
      <c r="J129">
        <f t="shared" si="3"/>
        <v>-5.8930170098477896E-3</v>
      </c>
    </row>
    <row r="130" spans="2:10" x14ac:dyDescent="0.35">
      <c r="B130" s="69">
        <v>44431</v>
      </c>
      <c r="C130" s="79">
        <v>638254700</v>
      </c>
      <c r="D130">
        <f t="shared" si="2"/>
        <v>2.4674301383610597E-2</v>
      </c>
      <c r="H130" s="69">
        <v>44431</v>
      </c>
      <c r="I130" s="79">
        <v>4509.37</v>
      </c>
      <c r="J130">
        <f t="shared" si="3"/>
        <v>1.5242014827756112E-2</v>
      </c>
    </row>
    <row r="131" spans="2:10" x14ac:dyDescent="0.35">
      <c r="B131" s="69">
        <v>44438</v>
      </c>
      <c r="C131" s="79">
        <v>652287537</v>
      </c>
      <c r="D131">
        <f t="shared" si="2"/>
        <v>2.1986265044346753E-2</v>
      </c>
      <c r="H131" s="69">
        <v>44438</v>
      </c>
      <c r="I131" s="79">
        <v>4535.43</v>
      </c>
      <c r="J131">
        <f t="shared" si="3"/>
        <v>5.7790777869193288E-3</v>
      </c>
    </row>
    <row r="132" spans="2:10" x14ac:dyDescent="0.35">
      <c r="B132" s="69">
        <v>44445</v>
      </c>
      <c r="C132" s="79">
        <v>664792969</v>
      </c>
      <c r="D132">
        <f t="shared" si="2"/>
        <v>1.9171655582314262E-2</v>
      </c>
      <c r="H132" s="69">
        <v>44445</v>
      </c>
      <c r="I132" s="79">
        <v>4458.58</v>
      </c>
      <c r="J132">
        <f t="shared" si="3"/>
        <v>-1.6944369111638879E-2</v>
      </c>
    </row>
    <row r="133" spans="2:10" x14ac:dyDescent="0.35">
      <c r="B133" s="69">
        <v>44452</v>
      </c>
      <c r="C133" s="79">
        <v>608279907</v>
      </c>
      <c r="D133">
        <f t="shared" si="2"/>
        <v>-8.5008513379749684E-2</v>
      </c>
      <c r="H133" s="69">
        <v>44452</v>
      </c>
      <c r="I133" s="79">
        <v>4432.99</v>
      </c>
      <c r="J133">
        <f t="shared" si="3"/>
        <v>-5.7394955344527432E-3</v>
      </c>
    </row>
    <row r="134" spans="2:10" x14ac:dyDescent="0.35">
      <c r="B134" s="69">
        <v>44459</v>
      </c>
      <c r="C134" s="79">
        <v>605034119</v>
      </c>
      <c r="D134">
        <f t="shared" si="2"/>
        <v>-5.3360105481833342E-3</v>
      </c>
      <c r="H134" s="69">
        <v>44459</v>
      </c>
      <c r="I134" s="79">
        <v>4455.4799999999996</v>
      </c>
      <c r="J134">
        <f t="shared" si="3"/>
        <v>5.0733252274424157E-3</v>
      </c>
    </row>
    <row r="135" spans="2:10" x14ac:dyDescent="0.35">
      <c r="B135" s="69">
        <v>44466</v>
      </c>
      <c r="C135" s="79">
        <v>598829224</v>
      </c>
      <c r="D135">
        <f t="shared" si="2"/>
        <v>-1.0255446437062887E-2</v>
      </c>
      <c r="H135" s="69">
        <v>44466</v>
      </c>
      <c r="I135" s="79">
        <v>4357.04</v>
      </c>
      <c r="J135">
        <f t="shared" si="3"/>
        <v>-2.2094140249759753E-2</v>
      </c>
    </row>
    <row r="136" spans="2:10" x14ac:dyDescent="0.35">
      <c r="B136" s="69">
        <v>44473</v>
      </c>
      <c r="C136" s="79">
        <v>598542786</v>
      </c>
      <c r="D136">
        <f t="shared" si="2"/>
        <v>-4.7833002886310538E-4</v>
      </c>
      <c r="H136" s="69">
        <v>44473</v>
      </c>
      <c r="I136" s="79">
        <v>4391.34</v>
      </c>
      <c r="J136">
        <f t="shared" si="3"/>
        <v>7.8723169858436748E-3</v>
      </c>
    </row>
    <row r="137" spans="2:10" x14ac:dyDescent="0.35">
      <c r="B137" s="69">
        <v>44480</v>
      </c>
      <c r="C137" s="79">
        <v>638445679</v>
      </c>
      <c r="D137">
        <f t="shared" si="2"/>
        <v>6.6666734498074698E-2</v>
      </c>
      <c r="H137" s="69">
        <v>44480</v>
      </c>
      <c r="I137" s="79">
        <v>4471.37</v>
      </c>
      <c r="J137">
        <f t="shared" si="3"/>
        <v>1.8224505504014665E-2</v>
      </c>
    </row>
    <row r="138" spans="2:10" x14ac:dyDescent="0.35">
      <c r="B138" s="69">
        <v>44487</v>
      </c>
      <c r="C138" s="79">
        <v>616775818</v>
      </c>
      <c r="D138">
        <f t="shared" si="2"/>
        <v>-3.394158925774482E-2</v>
      </c>
      <c r="H138" s="69">
        <v>44487</v>
      </c>
      <c r="I138" s="79">
        <v>4544.8999999999996</v>
      </c>
      <c r="J138">
        <f t="shared" si="3"/>
        <v>1.6444624354504223E-2</v>
      </c>
    </row>
    <row r="139" spans="2:10" x14ac:dyDescent="0.35">
      <c r="B139" s="69">
        <v>44494</v>
      </c>
      <c r="C139" s="79">
        <v>618780640</v>
      </c>
      <c r="D139">
        <f t="shared" si="2"/>
        <v>3.2504873594119132E-3</v>
      </c>
      <c r="H139" s="69">
        <v>44494</v>
      </c>
      <c r="I139" s="79">
        <v>4605.38</v>
      </c>
      <c r="J139">
        <f t="shared" si="3"/>
        <v>1.3307223481264785E-2</v>
      </c>
    </row>
    <row r="140" spans="2:10" x14ac:dyDescent="0.35">
      <c r="B140" s="69">
        <v>44501</v>
      </c>
      <c r="C140" s="79">
        <v>629949524</v>
      </c>
      <c r="D140">
        <f t="shared" si="2"/>
        <v>1.8049827803274576E-2</v>
      </c>
      <c r="H140" s="69">
        <v>44501</v>
      </c>
      <c r="I140" s="79">
        <v>4697.53</v>
      </c>
      <c r="J140">
        <f t="shared" si="3"/>
        <v>2.0009206623557541E-2</v>
      </c>
    </row>
    <row r="141" spans="2:10" x14ac:dyDescent="0.35">
      <c r="B141" s="69">
        <v>44508</v>
      </c>
      <c r="C141" s="79">
        <v>647037170</v>
      </c>
      <c r="D141">
        <f t="shared" si="2"/>
        <v>2.7125420924994703E-2</v>
      </c>
      <c r="H141" s="69">
        <v>44508</v>
      </c>
      <c r="I141" s="79">
        <v>4682.8500000000004</v>
      </c>
      <c r="J141">
        <f t="shared" si="3"/>
        <v>-3.1250465670255023E-3</v>
      </c>
    </row>
    <row r="142" spans="2:10" x14ac:dyDescent="0.35">
      <c r="B142" s="69">
        <v>44515</v>
      </c>
      <c r="C142" s="79">
        <v>684362610</v>
      </c>
      <c r="D142">
        <f t="shared" si="2"/>
        <v>5.7686701368330873E-2</v>
      </c>
      <c r="H142" s="69">
        <v>44515</v>
      </c>
      <c r="I142" s="79">
        <v>4697.96</v>
      </c>
      <c r="J142">
        <f t="shared" si="3"/>
        <v>3.2266675208472151E-3</v>
      </c>
    </row>
    <row r="143" spans="2:10" x14ac:dyDescent="0.35">
      <c r="B143" s="69">
        <v>44522</v>
      </c>
      <c r="C143" s="79">
        <v>635295349</v>
      </c>
      <c r="D143">
        <f t="shared" si="2"/>
        <v>-7.1697752453191432E-2</v>
      </c>
      <c r="H143" s="69">
        <v>44522</v>
      </c>
      <c r="I143" s="79">
        <v>4594.62</v>
      </c>
      <c r="J143">
        <f t="shared" si="3"/>
        <v>-2.1996781581792968E-2</v>
      </c>
    </row>
    <row r="144" spans="2:10" x14ac:dyDescent="0.35">
      <c r="B144" s="69">
        <v>44529</v>
      </c>
      <c r="C144" s="79">
        <v>652955750</v>
      </c>
      <c r="D144">
        <f t="shared" si="2"/>
        <v>2.7798725471229524E-2</v>
      </c>
      <c r="H144" s="69">
        <v>44529</v>
      </c>
      <c r="I144" s="79">
        <v>4538.43</v>
      </c>
      <c r="J144">
        <f t="shared" si="3"/>
        <v>-1.2229520613238898E-2</v>
      </c>
    </row>
    <row r="145" spans="2:10" x14ac:dyDescent="0.35">
      <c r="B145" s="69">
        <v>44536</v>
      </c>
      <c r="C145" s="79">
        <v>668706909</v>
      </c>
      <c r="D145">
        <f t="shared" si="2"/>
        <v>2.4122858248817103E-2</v>
      </c>
      <c r="H145" s="69">
        <v>44536</v>
      </c>
      <c r="I145" s="79">
        <v>4712.0200000000004</v>
      </c>
      <c r="J145">
        <f t="shared" si="3"/>
        <v>3.8248909865305825E-2</v>
      </c>
    </row>
    <row r="146" spans="2:10" x14ac:dyDescent="0.35">
      <c r="B146" s="69">
        <v>44543</v>
      </c>
      <c r="C146" s="79">
        <v>658492493</v>
      </c>
      <c r="D146">
        <f t="shared" si="2"/>
        <v>-1.5274877322973834E-2</v>
      </c>
      <c r="H146" s="69">
        <v>44543</v>
      </c>
      <c r="I146" s="79">
        <v>4620.6400000000003</v>
      </c>
      <c r="J146">
        <f t="shared" si="3"/>
        <v>-1.9392956736176914E-2</v>
      </c>
    </row>
    <row r="147" spans="2:10" x14ac:dyDescent="0.35">
      <c r="B147" s="69">
        <v>44550</v>
      </c>
      <c r="C147" s="79">
        <v>655819641</v>
      </c>
      <c r="D147">
        <f t="shared" si="2"/>
        <v>-4.0590470330540418E-3</v>
      </c>
      <c r="H147" s="69">
        <v>44550</v>
      </c>
      <c r="I147" s="79">
        <v>4725.79</v>
      </c>
      <c r="J147">
        <f t="shared" si="3"/>
        <v>2.2756587831988639E-2</v>
      </c>
    </row>
    <row r="148" spans="2:10" x14ac:dyDescent="0.35">
      <c r="B148" s="69">
        <v>44557</v>
      </c>
      <c r="C148" s="79">
        <v>674816345</v>
      </c>
      <c r="D148">
        <f t="shared" si="2"/>
        <v>2.8966354180905096E-2</v>
      </c>
      <c r="H148" s="69">
        <v>44557</v>
      </c>
      <c r="I148" s="79">
        <v>4766.18</v>
      </c>
      <c r="J148">
        <f t="shared" si="3"/>
        <v>8.5467191728791914E-3</v>
      </c>
    </row>
    <row r="149" spans="2:10" x14ac:dyDescent="0.35">
      <c r="B149" s="69">
        <v>44564</v>
      </c>
      <c r="C149" s="79">
        <v>684839844</v>
      </c>
      <c r="D149">
        <f t="shared" si="2"/>
        <v>1.485366955656664E-2</v>
      </c>
      <c r="H149" s="69">
        <v>44564</v>
      </c>
      <c r="I149" s="79">
        <v>4677.03</v>
      </c>
      <c r="J149">
        <f t="shared" si="3"/>
        <v>-1.8704706914132618E-2</v>
      </c>
    </row>
    <row r="150" spans="2:10" x14ac:dyDescent="0.35">
      <c r="B150" s="69">
        <v>44571</v>
      </c>
      <c r="C150" s="79">
        <v>635295349</v>
      </c>
      <c r="D150">
        <f t="shared" si="2"/>
        <v>-7.2344644421710957E-2</v>
      </c>
      <c r="H150" s="69">
        <v>44571</v>
      </c>
      <c r="I150" s="79">
        <v>4662.8500000000004</v>
      </c>
      <c r="J150">
        <f t="shared" si="3"/>
        <v>-3.0318385813217219E-3</v>
      </c>
    </row>
    <row r="151" spans="2:10" x14ac:dyDescent="0.35">
      <c r="B151" s="69">
        <v>44578</v>
      </c>
      <c r="C151" s="79">
        <v>641585815</v>
      </c>
      <c r="D151">
        <f t="shared" si="2"/>
        <v>9.9016402526819203E-3</v>
      </c>
      <c r="H151" s="69">
        <v>44578</v>
      </c>
      <c r="I151" s="79">
        <v>4397.9399999999996</v>
      </c>
      <c r="J151">
        <f t="shared" si="3"/>
        <v>-5.6812893402104048E-2</v>
      </c>
    </row>
    <row r="152" spans="2:10" x14ac:dyDescent="0.35">
      <c r="B152" s="69">
        <v>44585</v>
      </c>
      <c r="C152" s="79">
        <v>621440308</v>
      </c>
      <c r="D152">
        <f t="shared" si="2"/>
        <v>-3.1399551749753063E-2</v>
      </c>
      <c r="H152" s="69">
        <v>44585</v>
      </c>
      <c r="I152" s="79">
        <v>4431.8500000000004</v>
      </c>
      <c r="J152">
        <f t="shared" si="3"/>
        <v>7.7104280640483136E-3</v>
      </c>
    </row>
    <row r="153" spans="2:10" x14ac:dyDescent="0.35">
      <c r="B153" s="69">
        <v>44592</v>
      </c>
      <c r="C153" s="79">
        <v>625661255</v>
      </c>
      <c r="D153">
        <f t="shared" si="2"/>
        <v>6.7922002252869262E-3</v>
      </c>
      <c r="H153" s="69">
        <v>44592</v>
      </c>
      <c r="I153" s="79">
        <v>4500.53</v>
      </c>
      <c r="J153">
        <f t="shared" si="3"/>
        <v>1.5496914381127436E-2</v>
      </c>
    </row>
    <row r="154" spans="2:10" x14ac:dyDescent="0.35">
      <c r="B154" s="69">
        <v>44599</v>
      </c>
      <c r="C154" s="79">
        <v>594579651</v>
      </c>
      <c r="D154">
        <f t="shared" si="2"/>
        <v>-4.967800667151745E-2</v>
      </c>
      <c r="H154" s="69">
        <v>44599</v>
      </c>
      <c r="I154" s="79">
        <v>4418.6400000000003</v>
      </c>
      <c r="J154">
        <f t="shared" si="3"/>
        <v>-1.8195634736353106E-2</v>
      </c>
    </row>
    <row r="155" spans="2:10" x14ac:dyDescent="0.35">
      <c r="B155" s="69">
        <v>44606</v>
      </c>
      <c r="C155" s="79">
        <v>639475342</v>
      </c>
      <c r="D155">
        <f t="shared" si="2"/>
        <v>7.5508287114252504E-2</v>
      </c>
      <c r="H155" s="69">
        <v>44606</v>
      </c>
      <c r="I155" s="79">
        <v>4348.87</v>
      </c>
      <c r="J155">
        <f t="shared" si="3"/>
        <v>-1.5789926312168578E-2</v>
      </c>
    </row>
    <row r="156" spans="2:10" x14ac:dyDescent="0.35">
      <c r="B156" s="69">
        <v>44613</v>
      </c>
      <c r="C156" s="79">
        <v>612614685</v>
      </c>
      <c r="D156">
        <f t="shared" si="2"/>
        <v>-4.2004210695586131E-2</v>
      </c>
      <c r="H156" s="69">
        <v>44613</v>
      </c>
      <c r="I156" s="79">
        <v>4384.6499999999996</v>
      </c>
      <c r="J156">
        <f t="shared" si="3"/>
        <v>8.2274245953546377E-3</v>
      </c>
    </row>
    <row r="157" spans="2:10" x14ac:dyDescent="0.35">
      <c r="B157" s="69">
        <v>44620</v>
      </c>
      <c r="C157" s="79">
        <v>535869934</v>
      </c>
      <c r="D157">
        <f t="shared" si="2"/>
        <v>-0.12527409622901875</v>
      </c>
      <c r="H157" s="69">
        <v>44620</v>
      </c>
      <c r="I157" s="79">
        <v>4328.87</v>
      </c>
      <c r="J157">
        <f t="shared" si="3"/>
        <v>-1.2721653951854761E-2</v>
      </c>
    </row>
    <row r="158" spans="2:10" x14ac:dyDescent="0.35">
      <c r="B158" s="69">
        <v>44627</v>
      </c>
      <c r="C158" s="79">
        <v>534431030</v>
      </c>
      <c r="D158">
        <f t="shared" si="2"/>
        <v>-2.6851739735784808E-3</v>
      </c>
      <c r="H158" s="69">
        <v>44627</v>
      </c>
      <c r="I158" s="79">
        <v>4204.3100000000004</v>
      </c>
      <c r="J158">
        <f t="shared" si="3"/>
        <v>-2.8774252865066297E-2</v>
      </c>
    </row>
    <row r="159" spans="2:10" x14ac:dyDescent="0.35">
      <c r="B159" s="69">
        <v>44634</v>
      </c>
      <c r="C159" s="79">
        <v>579902283</v>
      </c>
      <c r="D159">
        <f t="shared" si="2"/>
        <v>8.5083482147359613E-2</v>
      </c>
      <c r="H159" s="69">
        <v>44634</v>
      </c>
      <c r="I159" s="79">
        <v>4463.12</v>
      </c>
      <c r="J159">
        <f t="shared" si="3"/>
        <v>6.1558258073262762E-2</v>
      </c>
    </row>
    <row r="160" spans="2:10" x14ac:dyDescent="0.35">
      <c r="B160" s="69">
        <v>44641</v>
      </c>
      <c r="C160" s="79">
        <v>558605591</v>
      </c>
      <c r="D160">
        <f t="shared" si="2"/>
        <v>-3.6724621758386866E-2</v>
      </c>
      <c r="H160" s="69">
        <v>44641</v>
      </c>
      <c r="I160" s="79">
        <v>4543.0600000000004</v>
      </c>
      <c r="J160">
        <f t="shared" si="3"/>
        <v>1.7911236982200984E-2</v>
      </c>
    </row>
    <row r="161" spans="2:10" x14ac:dyDescent="0.35">
      <c r="B161" s="69">
        <v>44648</v>
      </c>
      <c r="C161" s="79">
        <v>551890503</v>
      </c>
      <c r="D161">
        <f t="shared" si="2"/>
        <v>-1.2021161456652885E-2</v>
      </c>
      <c r="H161" s="69">
        <v>44648</v>
      </c>
      <c r="I161" s="79">
        <v>4545.8599999999997</v>
      </c>
      <c r="J161">
        <f t="shared" si="3"/>
        <v>6.1632467984118477E-4</v>
      </c>
    </row>
    <row r="162" spans="2:10" x14ac:dyDescent="0.35">
      <c r="B162" s="69">
        <v>44655</v>
      </c>
      <c r="C162" s="79">
        <v>528867065</v>
      </c>
      <c r="D162">
        <f t="shared" si="2"/>
        <v>-4.1717402047775409E-2</v>
      </c>
      <c r="H162" s="69">
        <v>44655</v>
      </c>
      <c r="I162" s="79">
        <v>4488.28</v>
      </c>
      <c r="J162">
        <f t="shared" si="3"/>
        <v>-1.266647015086253E-2</v>
      </c>
    </row>
    <row r="163" spans="2:10" x14ac:dyDescent="0.35">
      <c r="B163" s="69">
        <v>44662</v>
      </c>
      <c r="C163" s="79">
        <v>512079041</v>
      </c>
      <c r="D163">
        <f t="shared" si="2"/>
        <v>-3.1743372032440709E-2</v>
      </c>
      <c r="H163" s="69">
        <v>44662</v>
      </c>
      <c r="I163" s="79">
        <v>4392.59</v>
      </c>
      <c r="J163">
        <f t="shared" si="3"/>
        <v>-2.1319971124796E-2</v>
      </c>
    </row>
    <row r="164" spans="2:10" x14ac:dyDescent="0.35">
      <c r="B164" s="69">
        <v>44669</v>
      </c>
      <c r="C164" s="79">
        <v>507666321</v>
      </c>
      <c r="D164">
        <f t="shared" si="2"/>
        <v>-8.6172634431254114E-3</v>
      </c>
      <c r="H164" s="69">
        <v>44669</v>
      </c>
      <c r="I164" s="79">
        <v>4271.78</v>
      </c>
      <c r="J164">
        <f t="shared" si="3"/>
        <v>-2.7503135963065195E-2</v>
      </c>
    </row>
    <row r="165" spans="2:10" x14ac:dyDescent="0.35">
      <c r="B165" s="69">
        <v>44676</v>
      </c>
      <c r="C165" s="79">
        <v>492221375</v>
      </c>
      <c r="D165">
        <f t="shared" si="2"/>
        <v>-3.0423420583773564E-2</v>
      </c>
      <c r="H165" s="69">
        <v>44676</v>
      </c>
      <c r="I165" s="79">
        <v>4131.93</v>
      </c>
      <c r="J165">
        <f t="shared" si="3"/>
        <v>-3.2738109172288699E-2</v>
      </c>
    </row>
    <row r="166" spans="2:10" x14ac:dyDescent="0.35">
      <c r="B166" s="69">
        <v>44683</v>
      </c>
      <c r="C166" s="79">
        <v>439267578</v>
      </c>
      <c r="D166">
        <f t="shared" si="2"/>
        <v>-0.10758126259754563</v>
      </c>
      <c r="H166" s="69">
        <v>44683</v>
      </c>
      <c r="I166" s="79">
        <v>4123.34</v>
      </c>
      <c r="J166">
        <f t="shared" si="3"/>
        <v>-2.0789316372736844E-3</v>
      </c>
    </row>
    <row r="167" spans="2:10" x14ac:dyDescent="0.35">
      <c r="B167" s="69">
        <v>44690</v>
      </c>
      <c r="C167" s="79">
        <v>448946564</v>
      </c>
      <c r="D167">
        <f t="shared" si="2"/>
        <v>2.2034373772971794E-2</v>
      </c>
      <c r="H167" s="69">
        <v>44690</v>
      </c>
      <c r="I167" s="79">
        <v>4023.89</v>
      </c>
      <c r="J167">
        <f t="shared" si="3"/>
        <v>-2.4118796897660721E-2</v>
      </c>
    </row>
    <row r="168" spans="2:10" x14ac:dyDescent="0.35">
      <c r="B168" s="69">
        <v>44697</v>
      </c>
      <c r="C168" s="79">
        <v>439432953</v>
      </c>
      <c r="D168">
        <f t="shared" si="2"/>
        <v>-2.1190965167961484E-2</v>
      </c>
      <c r="H168" s="69">
        <v>44697</v>
      </c>
      <c r="I168" s="79">
        <v>3901.36</v>
      </c>
      <c r="J168">
        <f t="shared" si="3"/>
        <v>-3.0450633590878406E-2</v>
      </c>
    </row>
    <row r="169" spans="2:10" x14ac:dyDescent="0.35">
      <c r="B169" s="69">
        <v>44704</v>
      </c>
      <c r="C169" s="79">
        <v>477145996</v>
      </c>
      <c r="D169">
        <f t="shared" si="2"/>
        <v>8.5822063963418849E-2</v>
      </c>
      <c r="H169" s="69">
        <v>44704</v>
      </c>
      <c r="I169" s="79">
        <v>4158.24</v>
      </c>
      <c r="J169">
        <f t="shared" si="3"/>
        <v>6.5843705784649265E-2</v>
      </c>
    </row>
    <row r="170" spans="2:10" x14ac:dyDescent="0.35">
      <c r="B170" s="69">
        <v>44711</v>
      </c>
      <c r="C170" s="79">
        <v>508370270</v>
      </c>
      <c r="D170">
        <f t="shared" si="2"/>
        <v>6.5439664718469182E-2</v>
      </c>
      <c r="H170" s="69">
        <v>44711</v>
      </c>
      <c r="I170" s="79">
        <v>4108.54</v>
      </c>
      <c r="J170">
        <f t="shared" si="3"/>
        <v>-1.1952172072799971E-2</v>
      </c>
    </row>
    <row r="171" spans="2:10" x14ac:dyDescent="0.35">
      <c r="B171" s="69">
        <v>44718</v>
      </c>
      <c r="C171" s="79">
        <v>498027222</v>
      </c>
      <c r="D171">
        <f t="shared" ref="D171:D234" si="4">C171/C170-1</f>
        <v>-2.0345501321310522E-2</v>
      </c>
      <c r="H171" s="69">
        <v>44718</v>
      </c>
      <c r="I171" s="79">
        <v>3900.86</v>
      </c>
      <c r="J171">
        <f t="shared" ref="J171:J234" si="5">I171/I170-1</f>
        <v>-5.054836998057699E-2</v>
      </c>
    </row>
    <row r="172" spans="2:10" x14ac:dyDescent="0.35">
      <c r="B172" s="69">
        <v>44725</v>
      </c>
      <c r="C172" s="79">
        <v>470169312</v>
      </c>
      <c r="D172">
        <f t="shared" si="4"/>
        <v>-5.5936520674767398E-2</v>
      </c>
      <c r="H172" s="69">
        <v>44725</v>
      </c>
      <c r="I172" s="79">
        <v>3674.84</v>
      </c>
      <c r="J172">
        <f t="shared" si="5"/>
        <v>-5.7941069405208045E-2</v>
      </c>
    </row>
    <row r="173" spans="2:10" x14ac:dyDescent="0.35">
      <c r="B173" s="69">
        <v>44732</v>
      </c>
      <c r="C173" s="79">
        <v>490318726</v>
      </c>
      <c r="D173">
        <f t="shared" si="4"/>
        <v>4.285565536867697E-2</v>
      </c>
      <c r="H173" s="69">
        <v>44732</v>
      </c>
      <c r="I173" s="79">
        <v>3911.74</v>
      </c>
      <c r="J173">
        <f t="shared" si="5"/>
        <v>6.4465391690522456E-2</v>
      </c>
    </row>
    <row r="174" spans="2:10" x14ac:dyDescent="0.35">
      <c r="B174" s="69">
        <v>44739</v>
      </c>
      <c r="C174" s="79">
        <v>475438446</v>
      </c>
      <c r="D174">
        <f t="shared" si="4"/>
        <v>-3.0348178054288688E-2</v>
      </c>
      <c r="H174" s="69">
        <v>44739</v>
      </c>
      <c r="I174" s="79">
        <v>3825.33</v>
      </c>
      <c r="J174">
        <f t="shared" si="5"/>
        <v>-2.2089913951336193E-2</v>
      </c>
    </row>
    <row r="175" spans="2:10" x14ac:dyDescent="0.35">
      <c r="B175" s="69">
        <v>44746</v>
      </c>
      <c r="C175" s="79">
        <v>488855103</v>
      </c>
      <c r="D175">
        <f t="shared" si="4"/>
        <v>2.8219545795840073E-2</v>
      </c>
      <c r="H175" s="69">
        <v>44746</v>
      </c>
      <c r="I175" s="79">
        <v>3899.38</v>
      </c>
      <c r="J175">
        <f t="shared" si="5"/>
        <v>1.9357807038869801E-2</v>
      </c>
    </row>
    <row r="176" spans="2:10" x14ac:dyDescent="0.35">
      <c r="B176" s="69">
        <v>44753</v>
      </c>
      <c r="C176" s="79">
        <v>484854492</v>
      </c>
      <c r="D176">
        <f t="shared" si="4"/>
        <v>-8.1836335049979558E-3</v>
      </c>
      <c r="H176" s="69">
        <v>44753</v>
      </c>
      <c r="I176" s="79">
        <v>3863.16</v>
      </c>
      <c r="J176">
        <f t="shared" si="5"/>
        <v>-9.2886561453360272E-3</v>
      </c>
    </row>
    <row r="177" spans="2:10" x14ac:dyDescent="0.35">
      <c r="B177" s="69">
        <v>44760</v>
      </c>
      <c r="C177" s="79">
        <v>518420593</v>
      </c>
      <c r="D177">
        <f t="shared" si="4"/>
        <v>6.9229225579702458E-2</v>
      </c>
      <c r="H177" s="69">
        <v>44760</v>
      </c>
      <c r="I177" s="79">
        <v>3961.63</v>
      </c>
      <c r="J177">
        <f t="shared" si="5"/>
        <v>2.5489495646051408E-2</v>
      </c>
    </row>
    <row r="178" spans="2:10" x14ac:dyDescent="0.35">
      <c r="B178" s="69">
        <v>44767</v>
      </c>
      <c r="C178" s="79">
        <v>543400024</v>
      </c>
      <c r="D178">
        <f t="shared" si="4"/>
        <v>4.8183716729786719E-2</v>
      </c>
      <c r="H178" s="69">
        <v>44767</v>
      </c>
      <c r="I178" s="79">
        <v>4130.29</v>
      </c>
      <c r="J178">
        <f t="shared" si="5"/>
        <v>4.2573385197506974E-2</v>
      </c>
    </row>
    <row r="179" spans="2:10" x14ac:dyDescent="0.35">
      <c r="B179" s="69">
        <v>44774</v>
      </c>
      <c r="C179" s="79">
        <v>530422424</v>
      </c>
      <c r="D179">
        <f t="shared" si="4"/>
        <v>-2.3882221985326968E-2</v>
      </c>
      <c r="H179" s="69">
        <v>44774</v>
      </c>
      <c r="I179" s="79">
        <v>4145.1899999999996</v>
      </c>
      <c r="J179">
        <f t="shared" si="5"/>
        <v>3.6074948732411904E-3</v>
      </c>
    </row>
    <row r="180" spans="2:10" x14ac:dyDescent="0.35">
      <c r="B180" s="69">
        <v>44781</v>
      </c>
      <c r="C180" s="79">
        <v>547400635</v>
      </c>
      <c r="D180">
        <f t="shared" si="4"/>
        <v>3.2008848479603502E-2</v>
      </c>
      <c r="H180" s="69">
        <v>44781</v>
      </c>
      <c r="I180" s="79">
        <v>4280.1499999999996</v>
      </c>
      <c r="J180">
        <f t="shared" si="5"/>
        <v>3.2558218079267842E-2</v>
      </c>
    </row>
    <row r="181" spans="2:10" x14ac:dyDescent="0.35">
      <c r="B181" s="69">
        <v>44788</v>
      </c>
      <c r="C181" s="79">
        <v>544570923</v>
      </c>
      <c r="D181">
        <f t="shared" si="4"/>
        <v>-5.1693619244705946E-3</v>
      </c>
      <c r="H181" s="69">
        <v>44788</v>
      </c>
      <c r="I181" s="79">
        <v>4228.4799999999996</v>
      </c>
      <c r="J181">
        <f t="shared" si="5"/>
        <v>-1.2072006822190784E-2</v>
      </c>
    </row>
    <row r="182" spans="2:10" x14ac:dyDescent="0.35">
      <c r="B182" s="69">
        <v>44795</v>
      </c>
      <c r="C182" s="79">
        <v>516078796</v>
      </c>
      <c r="D182">
        <f t="shared" si="4"/>
        <v>-5.2320323756984699E-2</v>
      </c>
      <c r="H182" s="69">
        <v>44795</v>
      </c>
      <c r="I182" s="79">
        <v>4057.66</v>
      </c>
      <c r="J182">
        <f t="shared" si="5"/>
        <v>-4.0397495080974677E-2</v>
      </c>
    </row>
    <row r="183" spans="2:10" x14ac:dyDescent="0.35">
      <c r="B183" s="69">
        <v>44802</v>
      </c>
      <c r="C183" s="79">
        <v>484073883</v>
      </c>
      <c r="D183">
        <f t="shared" si="4"/>
        <v>-6.2015555082018947E-2</v>
      </c>
      <c r="H183" s="69">
        <v>44802</v>
      </c>
      <c r="I183" s="79">
        <v>3924.26</v>
      </c>
      <c r="J183">
        <f t="shared" si="5"/>
        <v>-3.2876091146128439E-2</v>
      </c>
    </row>
    <row r="184" spans="2:10" x14ac:dyDescent="0.35">
      <c r="B184" s="69">
        <v>44809</v>
      </c>
      <c r="C184" s="79">
        <v>509541199</v>
      </c>
      <c r="D184">
        <f t="shared" si="4"/>
        <v>5.2610390468018631E-2</v>
      </c>
      <c r="H184" s="69">
        <v>44809</v>
      </c>
      <c r="I184" s="79">
        <v>4067.36</v>
      </c>
      <c r="J184">
        <f t="shared" si="5"/>
        <v>3.646547374536846E-2</v>
      </c>
    </row>
    <row r="185" spans="2:10" x14ac:dyDescent="0.35">
      <c r="B185" s="69">
        <v>44816</v>
      </c>
      <c r="C185" s="79">
        <v>482171143</v>
      </c>
      <c r="D185">
        <f t="shared" si="4"/>
        <v>-5.3715099100357544E-2</v>
      </c>
      <c r="H185" s="69">
        <v>44816</v>
      </c>
      <c r="I185" s="79">
        <v>3873.33</v>
      </c>
      <c r="J185">
        <f t="shared" si="5"/>
        <v>-4.7704161913378784E-2</v>
      </c>
    </row>
    <row r="186" spans="2:10" x14ac:dyDescent="0.35">
      <c r="B186" s="69">
        <v>44823</v>
      </c>
      <c r="C186" s="79">
        <v>465632050</v>
      </c>
      <c r="D186">
        <f t="shared" si="4"/>
        <v>-3.4301291647393373E-2</v>
      </c>
      <c r="H186" s="69">
        <v>44823</v>
      </c>
      <c r="I186" s="79">
        <v>3693.23</v>
      </c>
      <c r="J186">
        <f t="shared" si="5"/>
        <v>-4.6497458259430524E-2</v>
      </c>
    </row>
    <row r="187" spans="2:10" x14ac:dyDescent="0.35">
      <c r="B187" s="69">
        <v>44830</v>
      </c>
      <c r="C187" s="79">
        <v>447434113</v>
      </c>
      <c r="D187">
        <f t="shared" si="4"/>
        <v>-3.908222597649802E-2</v>
      </c>
      <c r="H187" s="69">
        <v>44830</v>
      </c>
      <c r="I187" s="79">
        <v>3585.62</v>
      </c>
      <c r="J187">
        <f t="shared" si="5"/>
        <v>-2.9137096796029494E-2</v>
      </c>
    </row>
    <row r="188" spans="2:10" x14ac:dyDescent="0.35">
      <c r="B188" s="69">
        <v>44837</v>
      </c>
      <c r="C188" s="79">
        <v>438603516</v>
      </c>
      <c r="D188">
        <f t="shared" si="4"/>
        <v>-1.9736083466662224E-2</v>
      </c>
      <c r="H188" s="69">
        <v>44837</v>
      </c>
      <c r="I188" s="79">
        <v>3639.66</v>
      </c>
      <c r="J188">
        <f t="shared" si="5"/>
        <v>1.5071312632124911E-2</v>
      </c>
    </row>
    <row r="189" spans="2:10" x14ac:dyDescent="0.35">
      <c r="B189" s="69">
        <v>44844</v>
      </c>
      <c r="C189" s="79">
        <v>437139893</v>
      </c>
      <c r="D189">
        <f t="shared" si="4"/>
        <v>-3.337006992894187E-3</v>
      </c>
      <c r="H189" s="69">
        <v>44844</v>
      </c>
      <c r="I189" s="79">
        <v>3583.07</v>
      </c>
      <c r="J189">
        <f t="shared" si="5"/>
        <v>-1.554815559695133E-2</v>
      </c>
    </row>
    <row r="190" spans="2:10" x14ac:dyDescent="0.35">
      <c r="B190" s="69">
        <v>44851</v>
      </c>
      <c r="C190" s="79">
        <v>443092041</v>
      </c>
      <c r="D190">
        <f t="shared" si="4"/>
        <v>1.3616117163665065E-2</v>
      </c>
      <c r="H190" s="69">
        <v>44851</v>
      </c>
      <c r="I190" s="79">
        <v>3752.75</v>
      </c>
      <c r="J190">
        <f t="shared" si="5"/>
        <v>4.7356038257695188E-2</v>
      </c>
    </row>
    <row r="191" spans="2:10" x14ac:dyDescent="0.35">
      <c r="B191" s="69">
        <v>44858</v>
      </c>
      <c r="C191" s="79">
        <v>452508087</v>
      </c>
      <c r="D191">
        <f t="shared" si="4"/>
        <v>2.1250767625501155E-2</v>
      </c>
      <c r="H191" s="69">
        <v>44858</v>
      </c>
      <c r="I191" s="79">
        <v>3901.06</v>
      </c>
      <c r="J191">
        <f t="shared" si="5"/>
        <v>3.9520351742055704E-2</v>
      </c>
    </row>
    <row r="192" spans="2:10" x14ac:dyDescent="0.35">
      <c r="B192" s="69">
        <v>44865</v>
      </c>
      <c r="C192" s="79">
        <v>491196899</v>
      </c>
      <c r="D192">
        <f t="shared" si="4"/>
        <v>8.5498609000550285E-2</v>
      </c>
      <c r="H192" s="69">
        <v>44865</v>
      </c>
      <c r="I192" s="79">
        <v>3770.55</v>
      </c>
      <c r="J192">
        <f t="shared" si="5"/>
        <v>-3.3455009664040025E-2</v>
      </c>
    </row>
    <row r="193" spans="2:10" x14ac:dyDescent="0.35">
      <c r="B193" s="69">
        <v>44872</v>
      </c>
      <c r="C193" s="79">
        <v>530422424</v>
      </c>
      <c r="D193">
        <f t="shared" si="4"/>
        <v>7.9857028983401523E-2</v>
      </c>
      <c r="H193" s="69">
        <v>44872</v>
      </c>
      <c r="I193" s="79">
        <v>3992.93</v>
      </c>
      <c r="J193">
        <f t="shared" si="5"/>
        <v>5.8978133163596791E-2</v>
      </c>
    </row>
    <row r="194" spans="2:10" x14ac:dyDescent="0.35">
      <c r="B194" s="69">
        <v>44879</v>
      </c>
      <c r="C194" s="79">
        <v>537740601</v>
      </c>
      <c r="D194">
        <f t="shared" si="4"/>
        <v>1.3796884650562946E-2</v>
      </c>
      <c r="H194" s="69">
        <v>44879</v>
      </c>
      <c r="I194" s="79">
        <v>3965.34</v>
      </c>
      <c r="J194">
        <f t="shared" si="5"/>
        <v>-6.9097129175818006E-3</v>
      </c>
    </row>
    <row r="195" spans="2:10" x14ac:dyDescent="0.35">
      <c r="B195" s="69">
        <v>44886</v>
      </c>
      <c r="C195" s="79">
        <v>532081238</v>
      </c>
      <c r="D195">
        <f t="shared" si="4"/>
        <v>-1.0524336435589365E-2</v>
      </c>
      <c r="H195" s="69">
        <v>44886</v>
      </c>
      <c r="I195" s="79">
        <v>4026.12</v>
      </c>
      <c r="J195">
        <f t="shared" si="5"/>
        <v>1.5327815521493759E-2</v>
      </c>
    </row>
    <row r="196" spans="2:10" x14ac:dyDescent="0.35">
      <c r="B196" s="69">
        <v>44893</v>
      </c>
      <c r="C196" s="79">
        <v>546132141</v>
      </c>
      <c r="D196">
        <f t="shared" si="4"/>
        <v>2.6407439309107827E-2</v>
      </c>
      <c r="H196" s="69">
        <v>44893</v>
      </c>
      <c r="I196" s="79">
        <v>4071.7</v>
      </c>
      <c r="J196">
        <f t="shared" si="5"/>
        <v>1.1321073390758274E-2</v>
      </c>
    </row>
    <row r="197" spans="2:10" x14ac:dyDescent="0.35">
      <c r="B197" s="69">
        <v>44900</v>
      </c>
      <c r="C197" s="79">
        <v>510809692</v>
      </c>
      <c r="D197">
        <f t="shared" si="4"/>
        <v>-6.4677477021078622E-2</v>
      </c>
      <c r="H197" s="69">
        <v>44900</v>
      </c>
      <c r="I197" s="79">
        <v>3934.38</v>
      </c>
      <c r="J197">
        <f t="shared" si="5"/>
        <v>-3.3725470933516632E-2</v>
      </c>
    </row>
    <row r="198" spans="2:10" x14ac:dyDescent="0.35">
      <c r="B198" s="69">
        <v>44907</v>
      </c>
      <c r="C198" s="79">
        <v>479146301</v>
      </c>
      <c r="D198">
        <f t="shared" si="4"/>
        <v>-6.1986668412705059E-2</v>
      </c>
      <c r="H198" s="69">
        <v>44907</v>
      </c>
      <c r="I198" s="79">
        <v>3852.36</v>
      </c>
      <c r="J198">
        <f t="shared" si="5"/>
        <v>-2.0846994952190667E-2</v>
      </c>
    </row>
    <row r="199" spans="2:10" x14ac:dyDescent="0.35">
      <c r="B199" s="69">
        <v>44914</v>
      </c>
      <c r="C199" s="79">
        <v>460509338</v>
      </c>
      <c r="D199">
        <f t="shared" si="4"/>
        <v>-3.8896184654047872E-2</v>
      </c>
      <c r="H199" s="69">
        <v>44914</v>
      </c>
      <c r="I199" s="79">
        <v>3844.82</v>
      </c>
      <c r="J199">
        <f t="shared" si="5"/>
        <v>-1.9572417946401854E-3</v>
      </c>
    </row>
    <row r="200" spans="2:10" x14ac:dyDescent="0.35">
      <c r="B200" s="69">
        <v>44921</v>
      </c>
      <c r="C200" s="79">
        <v>463973236</v>
      </c>
      <c r="D200">
        <f t="shared" si="4"/>
        <v>7.5218843879338859E-3</v>
      </c>
      <c r="H200" s="69">
        <v>44921</v>
      </c>
      <c r="I200" s="79">
        <v>3839.5</v>
      </c>
      <c r="J200">
        <f t="shared" si="5"/>
        <v>-1.3836798601755129E-3</v>
      </c>
    </row>
    <row r="201" spans="2:10" x14ac:dyDescent="0.35">
      <c r="B201" s="69">
        <v>44928</v>
      </c>
      <c r="C201" s="79">
        <v>514810242</v>
      </c>
      <c r="D201">
        <f t="shared" si="4"/>
        <v>0.10956883297466757</v>
      </c>
      <c r="H201" s="69">
        <v>44928</v>
      </c>
      <c r="I201" s="79">
        <v>3895.08</v>
      </c>
      <c r="J201">
        <f t="shared" si="5"/>
        <v>1.447584320875106E-2</v>
      </c>
    </row>
    <row r="202" spans="2:10" x14ac:dyDescent="0.35">
      <c r="B202" s="69">
        <v>44935</v>
      </c>
      <c r="C202" s="79">
        <v>549937561</v>
      </c>
      <c r="D202">
        <f t="shared" si="4"/>
        <v>6.8233527879190792E-2</v>
      </c>
      <c r="H202" s="69">
        <v>44935</v>
      </c>
      <c r="I202" s="79">
        <v>3999.09</v>
      </c>
      <c r="J202">
        <f t="shared" si="5"/>
        <v>2.6702917526726155E-2</v>
      </c>
    </row>
    <row r="203" spans="2:10" x14ac:dyDescent="0.35">
      <c r="B203" s="69">
        <v>44942</v>
      </c>
      <c r="C203" s="79">
        <v>518713318</v>
      </c>
      <c r="D203">
        <f t="shared" si="4"/>
        <v>-5.6777796634261857E-2</v>
      </c>
      <c r="H203" s="69">
        <v>44942</v>
      </c>
      <c r="I203" s="79">
        <v>3972.61</v>
      </c>
      <c r="J203">
        <f t="shared" si="5"/>
        <v>-6.6215063927043127E-3</v>
      </c>
    </row>
    <row r="204" spans="2:10" x14ac:dyDescent="0.35">
      <c r="B204" s="69">
        <v>44949</v>
      </c>
      <c r="C204" s="79">
        <v>548560547</v>
      </c>
      <c r="D204">
        <f t="shared" si="4"/>
        <v>5.7540895836416528E-2</v>
      </c>
      <c r="H204" s="69">
        <v>44949</v>
      </c>
      <c r="I204" s="79">
        <v>4070.56</v>
      </c>
      <c r="J204">
        <f t="shared" si="5"/>
        <v>2.4656334248768452E-2</v>
      </c>
    </row>
    <row r="205" spans="2:10" x14ac:dyDescent="0.35">
      <c r="B205" s="69">
        <v>44956</v>
      </c>
      <c r="C205" s="79">
        <v>588790283</v>
      </c>
      <c r="D205">
        <f t="shared" si="4"/>
        <v>7.3336910975480674E-2</v>
      </c>
      <c r="H205" s="69">
        <v>44956</v>
      </c>
      <c r="I205" s="79">
        <v>4136.4799999999996</v>
      </c>
      <c r="J205">
        <f t="shared" si="5"/>
        <v>1.6194331983805599E-2</v>
      </c>
    </row>
    <row r="206" spans="2:10" x14ac:dyDescent="0.35">
      <c r="B206" s="69">
        <v>44963</v>
      </c>
      <c r="C206" s="79">
        <v>550331055</v>
      </c>
      <c r="D206">
        <f t="shared" si="4"/>
        <v>-6.53190603011361E-2</v>
      </c>
      <c r="H206" s="69">
        <v>44963</v>
      </c>
      <c r="I206" s="79">
        <v>4090.46</v>
      </c>
      <c r="J206">
        <f t="shared" si="5"/>
        <v>-1.1125401307391702E-2</v>
      </c>
    </row>
    <row r="207" spans="2:10" x14ac:dyDescent="0.35">
      <c r="B207" s="69">
        <v>44970</v>
      </c>
      <c r="C207" s="79">
        <v>580331238</v>
      </c>
      <c r="D207">
        <f t="shared" si="4"/>
        <v>5.451297492197682E-2</v>
      </c>
      <c r="H207" s="69">
        <v>44970</v>
      </c>
      <c r="I207" s="79">
        <v>4079.09</v>
      </c>
      <c r="J207">
        <f t="shared" si="5"/>
        <v>-2.7796384758682624E-3</v>
      </c>
    </row>
    <row r="208" spans="2:10" x14ac:dyDescent="0.35">
      <c r="B208" s="69">
        <v>44977</v>
      </c>
      <c r="C208" s="79">
        <v>544724426</v>
      </c>
      <c r="D208">
        <f t="shared" si="4"/>
        <v>-6.1356014752388721E-2</v>
      </c>
      <c r="H208" s="69">
        <v>44977</v>
      </c>
      <c r="I208" s="79">
        <v>3970.04</v>
      </c>
      <c r="J208">
        <f t="shared" si="5"/>
        <v>-2.6733903885425514E-2</v>
      </c>
    </row>
    <row r="209" spans="2:10" x14ac:dyDescent="0.35">
      <c r="B209" s="69">
        <v>44984</v>
      </c>
      <c r="C209" s="79">
        <v>567937744</v>
      </c>
      <c r="D209">
        <f t="shared" si="4"/>
        <v>4.261479179565919E-2</v>
      </c>
      <c r="H209" s="69">
        <v>44984</v>
      </c>
      <c r="I209" s="79">
        <v>4045.64</v>
      </c>
      <c r="J209">
        <f t="shared" si="5"/>
        <v>1.9042629293407609E-2</v>
      </c>
    </row>
    <row r="210" spans="2:10" x14ac:dyDescent="0.35">
      <c r="B210" s="69">
        <v>44991</v>
      </c>
      <c r="C210" s="79">
        <v>564199951</v>
      </c>
      <c r="D210">
        <f t="shared" si="4"/>
        <v>-6.5813428311255473E-3</v>
      </c>
      <c r="H210" s="69">
        <v>44991</v>
      </c>
      <c r="I210" s="79">
        <v>3861.59</v>
      </c>
      <c r="J210">
        <f t="shared" si="5"/>
        <v>-4.5493420076922253E-2</v>
      </c>
    </row>
    <row r="211" spans="2:10" x14ac:dyDescent="0.35">
      <c r="B211" s="69">
        <v>44998</v>
      </c>
      <c r="C211" s="79">
        <v>538134216</v>
      </c>
      <c r="D211">
        <f t="shared" si="4"/>
        <v>-4.6199463423916565E-2</v>
      </c>
      <c r="H211" s="69">
        <v>44998</v>
      </c>
      <c r="I211" s="79">
        <v>3916.64</v>
      </c>
      <c r="J211">
        <f t="shared" si="5"/>
        <v>1.4255785829153211E-2</v>
      </c>
    </row>
    <row r="212" spans="2:10" x14ac:dyDescent="0.35">
      <c r="B212" s="69">
        <v>45005</v>
      </c>
      <c r="C212" s="79">
        <v>570986877</v>
      </c>
      <c r="D212">
        <f t="shared" si="4"/>
        <v>6.1049195578375848E-2</v>
      </c>
      <c r="H212" s="69">
        <v>45005</v>
      </c>
      <c r="I212" s="79">
        <v>3970.99</v>
      </c>
      <c r="J212">
        <f t="shared" si="5"/>
        <v>1.3876690224273736E-2</v>
      </c>
    </row>
    <row r="213" spans="2:10" x14ac:dyDescent="0.35">
      <c r="B213" s="69">
        <v>45012</v>
      </c>
      <c r="C213" s="79">
        <v>590167358</v>
      </c>
      <c r="D213">
        <f t="shared" si="4"/>
        <v>3.3591807049534017E-2</v>
      </c>
      <c r="H213" s="69">
        <v>45012</v>
      </c>
      <c r="I213" s="79">
        <v>4109.3100000000004</v>
      </c>
      <c r="J213">
        <f t="shared" si="5"/>
        <v>3.4832623602678581E-2</v>
      </c>
    </row>
    <row r="214" spans="2:10" x14ac:dyDescent="0.35">
      <c r="B214" s="69">
        <v>45019</v>
      </c>
      <c r="C214" s="79">
        <v>546298279</v>
      </c>
      <c r="D214">
        <f t="shared" si="4"/>
        <v>-7.4333285982922881E-2</v>
      </c>
      <c r="H214" s="69">
        <v>45019</v>
      </c>
      <c r="I214" s="79">
        <v>4105.0200000000004</v>
      </c>
      <c r="J214">
        <f t="shared" si="5"/>
        <v>-1.0439708856231356E-3</v>
      </c>
    </row>
    <row r="215" spans="2:10" x14ac:dyDescent="0.35">
      <c r="B215" s="69">
        <v>45026</v>
      </c>
      <c r="C215" s="79">
        <v>566560669</v>
      </c>
      <c r="D215">
        <f t="shared" si="4"/>
        <v>3.7090341996116827E-2</v>
      </c>
      <c r="H215" s="69">
        <v>45026</v>
      </c>
      <c r="I215" s="79">
        <v>4137.6400000000003</v>
      </c>
      <c r="J215">
        <f t="shared" si="5"/>
        <v>7.9463681053928426E-3</v>
      </c>
    </row>
    <row r="216" spans="2:10" x14ac:dyDescent="0.35">
      <c r="B216" s="69">
        <v>45033</v>
      </c>
      <c r="C216" s="79">
        <v>568527893</v>
      </c>
      <c r="D216">
        <f t="shared" si="4"/>
        <v>3.4722212600324376E-3</v>
      </c>
      <c r="H216" s="69">
        <v>45033</v>
      </c>
      <c r="I216" s="79">
        <v>4133.5200000000004</v>
      </c>
      <c r="J216">
        <f t="shared" si="5"/>
        <v>-9.9573670014785343E-4</v>
      </c>
    </row>
    <row r="217" spans="2:10" x14ac:dyDescent="0.35">
      <c r="B217" s="69">
        <v>45040</v>
      </c>
      <c r="C217" s="79">
        <v>570200012</v>
      </c>
      <c r="D217">
        <f t="shared" si="4"/>
        <v>2.9411380173038904E-3</v>
      </c>
      <c r="H217" s="69">
        <v>45040</v>
      </c>
      <c r="I217" s="79">
        <v>4169.4799999999996</v>
      </c>
      <c r="J217">
        <f t="shared" si="5"/>
        <v>8.6996071145171161E-3</v>
      </c>
    </row>
    <row r="218" spans="2:10" x14ac:dyDescent="0.35">
      <c r="B218" s="69">
        <v>45047</v>
      </c>
      <c r="C218" s="79">
        <v>552199951</v>
      </c>
      <c r="D218">
        <f t="shared" si="4"/>
        <v>-3.1567977238134426E-2</v>
      </c>
      <c r="H218" s="69">
        <v>45047</v>
      </c>
      <c r="I218" s="79">
        <v>4136.25</v>
      </c>
      <c r="J218">
        <f t="shared" si="5"/>
        <v>-7.9698187783607821E-3</v>
      </c>
    </row>
    <row r="219" spans="2:10" x14ac:dyDescent="0.35">
      <c r="B219" s="69">
        <v>45054</v>
      </c>
      <c r="C219" s="79">
        <v>545400024</v>
      </c>
      <c r="D219">
        <f t="shared" si="4"/>
        <v>-1.2314247742481244E-2</v>
      </c>
      <c r="H219" s="69">
        <v>45054</v>
      </c>
      <c r="I219" s="79">
        <v>4124.08</v>
      </c>
      <c r="J219">
        <f t="shared" si="5"/>
        <v>-2.9422786340284057E-3</v>
      </c>
    </row>
    <row r="220" spans="2:10" x14ac:dyDescent="0.35">
      <c r="B220" s="69">
        <v>45061</v>
      </c>
      <c r="C220" s="79">
        <v>535099976</v>
      </c>
      <c r="D220">
        <f t="shared" si="4"/>
        <v>-1.8885309033283115E-2</v>
      </c>
      <c r="H220" s="69">
        <v>45061</v>
      </c>
      <c r="I220" s="79">
        <v>4191.9799999999996</v>
      </c>
      <c r="J220">
        <f t="shared" si="5"/>
        <v>1.6464278093538454E-2</v>
      </c>
    </row>
    <row r="221" spans="2:10" x14ac:dyDescent="0.35">
      <c r="B221" s="69">
        <v>45068</v>
      </c>
      <c r="C221" s="79">
        <v>517700012</v>
      </c>
      <c r="D221">
        <f t="shared" si="4"/>
        <v>-3.2517220669806224E-2</v>
      </c>
      <c r="H221" s="69">
        <v>45068</v>
      </c>
      <c r="I221" s="79">
        <v>4205.45</v>
      </c>
      <c r="J221">
        <f t="shared" si="5"/>
        <v>3.2132786893068754E-3</v>
      </c>
    </row>
    <row r="222" spans="2:10" x14ac:dyDescent="0.35">
      <c r="B222" s="69">
        <v>45075</v>
      </c>
      <c r="C222" s="79">
        <v>506700012</v>
      </c>
      <c r="D222">
        <f t="shared" si="4"/>
        <v>-2.1247826434278694E-2</v>
      </c>
      <c r="H222" s="69">
        <v>45075</v>
      </c>
      <c r="I222" s="79">
        <v>4282.37</v>
      </c>
      <c r="J222">
        <f t="shared" si="5"/>
        <v>1.8290551546207956E-2</v>
      </c>
    </row>
    <row r="223" spans="2:10" x14ac:dyDescent="0.35">
      <c r="B223" s="69">
        <v>45082</v>
      </c>
      <c r="C223" s="79">
        <v>504700012</v>
      </c>
      <c r="D223">
        <f t="shared" si="4"/>
        <v>-3.9471086493678698E-3</v>
      </c>
      <c r="H223" s="69">
        <v>45082</v>
      </c>
      <c r="I223" s="79">
        <v>4298.8599999999997</v>
      </c>
      <c r="J223">
        <f t="shared" si="5"/>
        <v>3.8506714739734438E-3</v>
      </c>
    </row>
    <row r="224" spans="2:10" x14ac:dyDescent="0.35">
      <c r="B224" s="69">
        <v>45089</v>
      </c>
      <c r="C224" s="79">
        <v>527700012</v>
      </c>
      <c r="D224">
        <f t="shared" si="4"/>
        <v>4.5571625625402179E-2</v>
      </c>
      <c r="H224" s="69">
        <v>45089</v>
      </c>
      <c r="I224" s="79">
        <v>4409.59</v>
      </c>
      <c r="J224">
        <f t="shared" si="5"/>
        <v>2.5757991653601264E-2</v>
      </c>
    </row>
    <row r="225" spans="2:10" x14ac:dyDescent="0.35">
      <c r="B225" s="69">
        <v>45096</v>
      </c>
      <c r="C225" s="79">
        <v>502200012</v>
      </c>
      <c r="D225">
        <f t="shared" si="4"/>
        <v>-4.832290964586905E-2</v>
      </c>
      <c r="H225" s="69">
        <v>45096</v>
      </c>
      <c r="I225" s="79">
        <v>4348.33</v>
      </c>
      <c r="J225">
        <f t="shared" si="5"/>
        <v>-1.389244805072587E-2</v>
      </c>
    </row>
    <row r="226" spans="2:10" x14ac:dyDescent="0.35">
      <c r="B226" s="69">
        <v>45103</v>
      </c>
      <c r="C226" s="79">
        <v>505600006</v>
      </c>
      <c r="D226">
        <f t="shared" si="4"/>
        <v>6.7701989620820857E-3</v>
      </c>
      <c r="H226" s="69">
        <v>45103</v>
      </c>
      <c r="I226" s="79">
        <v>4450.38</v>
      </c>
      <c r="J226">
        <f t="shared" si="5"/>
        <v>2.3468779968401687E-2</v>
      </c>
    </row>
    <row r="227" spans="2:10" x14ac:dyDescent="0.35">
      <c r="B227" s="69">
        <v>45110</v>
      </c>
      <c r="C227" s="79">
        <v>477600006</v>
      </c>
      <c r="D227">
        <f t="shared" si="4"/>
        <v>-5.5379746178246703E-2</v>
      </c>
      <c r="H227" s="69">
        <v>45110</v>
      </c>
      <c r="I227" s="79">
        <v>4398.95</v>
      </c>
      <c r="J227">
        <f t="shared" si="5"/>
        <v>-1.1556316539261924E-2</v>
      </c>
    </row>
    <row r="228" spans="2:10" x14ac:dyDescent="0.35">
      <c r="B228" s="69">
        <v>45117</v>
      </c>
      <c r="C228" s="79">
        <v>500000000</v>
      </c>
      <c r="D228">
        <f t="shared" si="4"/>
        <v>4.6901159377288559E-2</v>
      </c>
      <c r="H228" s="69">
        <v>45117</v>
      </c>
      <c r="I228" s="79">
        <v>4505.42</v>
      </c>
      <c r="J228">
        <f t="shared" si="5"/>
        <v>2.4203503108696456E-2</v>
      </c>
    </row>
    <row r="229" spans="2:10" x14ac:dyDescent="0.35">
      <c r="B229" s="69">
        <v>45124</v>
      </c>
      <c r="C229" s="79">
        <v>541299988</v>
      </c>
      <c r="D229">
        <f t="shared" si="4"/>
        <v>8.2599976000000019E-2</v>
      </c>
      <c r="H229" s="69">
        <v>45124</v>
      </c>
      <c r="I229" s="79">
        <v>4536.34</v>
      </c>
      <c r="J229">
        <f t="shared" si="5"/>
        <v>6.8628451953425262E-3</v>
      </c>
    </row>
    <row r="230" spans="2:10" x14ac:dyDescent="0.35">
      <c r="B230" s="69">
        <v>45131</v>
      </c>
      <c r="C230" s="79">
        <v>531200012</v>
      </c>
      <c r="D230">
        <f t="shared" si="4"/>
        <v>-1.8658740483844194E-2</v>
      </c>
      <c r="H230" s="69">
        <v>45131</v>
      </c>
      <c r="I230" s="79">
        <v>4582.2299999999996</v>
      </c>
      <c r="J230">
        <f t="shared" si="5"/>
        <v>1.0116084773187151E-2</v>
      </c>
    </row>
    <row r="231" spans="2:10" x14ac:dyDescent="0.35">
      <c r="B231" s="69">
        <v>45138</v>
      </c>
      <c r="C231" s="79">
        <v>514500000</v>
      </c>
      <c r="D231">
        <f t="shared" si="4"/>
        <v>-3.1438274892207629E-2</v>
      </c>
      <c r="H231" s="69">
        <v>45138</v>
      </c>
      <c r="I231" s="79">
        <v>4478.03</v>
      </c>
      <c r="J231">
        <f t="shared" si="5"/>
        <v>-2.2740019597444872E-2</v>
      </c>
    </row>
    <row r="232" spans="2:10" x14ac:dyDescent="0.35">
      <c r="B232" s="69">
        <v>45145</v>
      </c>
      <c r="C232" s="79">
        <v>517099976</v>
      </c>
      <c r="D232">
        <f t="shared" si="4"/>
        <v>5.0534033041789161E-3</v>
      </c>
      <c r="H232" s="69">
        <v>45145</v>
      </c>
      <c r="I232" s="79">
        <v>4464.05</v>
      </c>
      <c r="J232">
        <f t="shared" si="5"/>
        <v>-3.1219085178079142E-3</v>
      </c>
    </row>
    <row r="233" spans="2:10" x14ac:dyDescent="0.35">
      <c r="B233" s="69">
        <v>45152</v>
      </c>
      <c r="C233" s="79">
        <v>492600006</v>
      </c>
      <c r="D233">
        <f t="shared" si="4"/>
        <v>-4.7379561278494409E-2</v>
      </c>
      <c r="H233" s="69">
        <v>45152</v>
      </c>
      <c r="I233" s="79">
        <v>4369.71</v>
      </c>
      <c r="J233">
        <f t="shared" si="5"/>
        <v>-2.1133275836964227E-2</v>
      </c>
    </row>
    <row r="234" spans="2:10" x14ac:dyDescent="0.35">
      <c r="B234" s="69">
        <v>45159</v>
      </c>
      <c r="C234" s="79">
        <v>487600006</v>
      </c>
      <c r="D234">
        <f t="shared" si="4"/>
        <v>-1.0150223181280227E-2</v>
      </c>
      <c r="H234" s="69">
        <v>45159</v>
      </c>
      <c r="I234" s="79">
        <v>4405.71</v>
      </c>
      <c r="J234">
        <f t="shared" si="5"/>
        <v>8.2385329918919226E-3</v>
      </c>
    </row>
    <row r="235" spans="2:10" x14ac:dyDescent="0.35">
      <c r="B235" s="69">
        <v>45166</v>
      </c>
      <c r="C235" s="79">
        <v>488799988</v>
      </c>
      <c r="D235">
        <f t="shared" ref="D235:D250" si="6">C235/C234-1</f>
        <v>2.460996688338879E-3</v>
      </c>
      <c r="H235" s="69">
        <v>45166</v>
      </c>
      <c r="I235" s="79">
        <v>4515.7700000000004</v>
      </c>
      <c r="J235">
        <f t="shared" ref="J235:J250" si="7">I235/I234-1</f>
        <v>2.4981217556307778E-2</v>
      </c>
    </row>
    <row r="236" spans="2:10" x14ac:dyDescent="0.35">
      <c r="B236" s="69">
        <v>45173</v>
      </c>
      <c r="C236" s="79">
        <v>469700012</v>
      </c>
      <c r="D236">
        <f t="shared" si="6"/>
        <v>-3.9075238275169566E-2</v>
      </c>
      <c r="H236" s="69">
        <v>45173</v>
      </c>
      <c r="I236" s="79">
        <v>4457.49</v>
      </c>
      <c r="J236">
        <f t="shared" si="7"/>
        <v>-1.290588316056851E-2</v>
      </c>
    </row>
    <row r="237" spans="2:10" x14ac:dyDescent="0.35">
      <c r="B237" s="69">
        <v>45180</v>
      </c>
      <c r="C237" s="79">
        <v>469100006</v>
      </c>
      <c r="D237">
        <f t="shared" si="6"/>
        <v>-1.2774238549518868E-3</v>
      </c>
      <c r="H237" s="69">
        <v>45180</v>
      </c>
      <c r="I237" s="79">
        <v>4450.32</v>
      </c>
      <c r="J237">
        <f t="shared" si="7"/>
        <v>-1.6085285665251581E-3</v>
      </c>
    </row>
    <row r="238" spans="2:10" x14ac:dyDescent="0.35">
      <c r="B238" s="69">
        <v>45187</v>
      </c>
      <c r="C238" s="79">
        <v>460450012</v>
      </c>
      <c r="D238">
        <f t="shared" si="6"/>
        <v>-1.8439552098406975E-2</v>
      </c>
      <c r="H238" s="69">
        <v>45187</v>
      </c>
      <c r="I238" s="79">
        <v>4320.0600000000004</v>
      </c>
      <c r="J238">
        <f t="shared" si="7"/>
        <v>-2.9269805317370334E-2</v>
      </c>
    </row>
    <row r="239" spans="2:10" x14ac:dyDescent="0.35">
      <c r="B239" s="69">
        <v>45194</v>
      </c>
      <c r="C239" s="79">
        <v>431899994</v>
      </c>
      <c r="D239">
        <f t="shared" si="6"/>
        <v>-6.2004598232044406E-2</v>
      </c>
      <c r="H239" s="69">
        <v>45194</v>
      </c>
      <c r="I239" s="79">
        <v>4288.05</v>
      </c>
      <c r="J239">
        <f t="shared" si="7"/>
        <v>-7.4096193108429409E-3</v>
      </c>
    </row>
    <row r="240" spans="2:10" x14ac:dyDescent="0.35">
      <c r="B240" s="69">
        <v>45201</v>
      </c>
      <c r="C240" s="79">
        <v>425350006</v>
      </c>
      <c r="D240">
        <f t="shared" si="6"/>
        <v>-1.5165520006930167E-2</v>
      </c>
      <c r="H240" s="69">
        <v>45201</v>
      </c>
      <c r="I240" s="79">
        <v>4308.5</v>
      </c>
      <c r="J240">
        <f t="shared" si="7"/>
        <v>4.7690675248655001E-3</v>
      </c>
    </row>
    <row r="241" spans="2:10" x14ac:dyDescent="0.35">
      <c r="B241" s="69">
        <v>45208</v>
      </c>
      <c r="C241" s="79">
        <v>406799988</v>
      </c>
      <c r="D241">
        <f t="shared" si="6"/>
        <v>-4.3611185466869373E-2</v>
      </c>
      <c r="H241" s="69">
        <v>45208</v>
      </c>
      <c r="I241" s="79">
        <v>4327.78</v>
      </c>
      <c r="J241">
        <f t="shared" si="7"/>
        <v>4.4748752466055031E-3</v>
      </c>
    </row>
    <row r="242" spans="2:10" x14ac:dyDescent="0.35">
      <c r="B242" s="69">
        <v>45215</v>
      </c>
      <c r="C242" s="79">
        <v>402799988</v>
      </c>
      <c r="D242">
        <f t="shared" si="6"/>
        <v>-9.8328419813030754E-3</v>
      </c>
      <c r="H242" s="69">
        <v>45215</v>
      </c>
      <c r="I242" s="79">
        <v>4224.16</v>
      </c>
      <c r="J242">
        <f t="shared" si="7"/>
        <v>-2.3942991556872073E-2</v>
      </c>
    </row>
    <row r="243" spans="2:10" x14ac:dyDescent="0.35">
      <c r="B243" s="69">
        <v>45222</v>
      </c>
      <c r="C243" s="79">
        <v>383500000</v>
      </c>
      <c r="D243">
        <f t="shared" si="6"/>
        <v>-4.7914569451278144E-2</v>
      </c>
      <c r="H243" s="69">
        <v>45222</v>
      </c>
      <c r="I243" s="79">
        <v>4117.37</v>
      </c>
      <c r="J243">
        <f t="shared" si="7"/>
        <v>-2.5280765880080325E-2</v>
      </c>
    </row>
    <row r="244" spans="2:10" x14ac:dyDescent="0.35">
      <c r="B244" s="69">
        <v>45229</v>
      </c>
      <c r="C244" s="79">
        <v>407250000</v>
      </c>
      <c r="D244">
        <f t="shared" si="6"/>
        <v>6.1929595827900918E-2</v>
      </c>
      <c r="H244" s="69">
        <v>45229</v>
      </c>
      <c r="I244" s="79">
        <v>4358.34</v>
      </c>
      <c r="J244">
        <f t="shared" si="7"/>
        <v>5.852522362576118E-2</v>
      </c>
    </row>
    <row r="245" spans="2:10" x14ac:dyDescent="0.35">
      <c r="B245" s="69">
        <v>45236</v>
      </c>
      <c r="C245" s="79">
        <v>393100006</v>
      </c>
      <c r="D245">
        <f t="shared" si="6"/>
        <v>-3.4745227747084106E-2</v>
      </c>
      <c r="H245" s="69">
        <v>45236</v>
      </c>
      <c r="I245" s="79">
        <v>4415.24</v>
      </c>
      <c r="J245">
        <f t="shared" si="7"/>
        <v>1.3055429360719906E-2</v>
      </c>
    </row>
    <row r="246" spans="2:10" x14ac:dyDescent="0.35">
      <c r="B246" s="69">
        <v>45243</v>
      </c>
      <c r="C246" s="79">
        <v>404299988</v>
      </c>
      <c r="D246">
        <f t="shared" si="6"/>
        <v>2.8491431770672593E-2</v>
      </c>
      <c r="H246" s="69">
        <v>45243</v>
      </c>
      <c r="I246" s="79">
        <v>4514.0200000000004</v>
      </c>
      <c r="J246">
        <f t="shared" si="7"/>
        <v>2.2372509761643844E-2</v>
      </c>
    </row>
    <row r="247" spans="2:10" x14ac:dyDescent="0.35">
      <c r="B247" s="69">
        <v>45250</v>
      </c>
      <c r="C247" s="79">
        <v>406450012</v>
      </c>
      <c r="D247">
        <f t="shared" si="6"/>
        <v>5.3178928118098323E-3</v>
      </c>
      <c r="H247" s="69">
        <v>45250</v>
      </c>
      <c r="I247" s="79">
        <v>4559.34</v>
      </c>
      <c r="J247">
        <f t="shared" si="7"/>
        <v>1.003983145843379E-2</v>
      </c>
    </row>
    <row r="248" spans="2:10" x14ac:dyDescent="0.35">
      <c r="B248" s="69">
        <v>45257</v>
      </c>
      <c r="C248" s="79">
        <v>392899994</v>
      </c>
      <c r="D248">
        <f t="shared" si="6"/>
        <v>-3.3337477180342634E-2</v>
      </c>
      <c r="H248" s="69">
        <v>45257</v>
      </c>
      <c r="I248" s="79">
        <v>4594.63</v>
      </c>
      <c r="J248">
        <f t="shared" si="7"/>
        <v>7.740155373365365E-3</v>
      </c>
    </row>
    <row r="249" spans="2:10" x14ac:dyDescent="0.35">
      <c r="B249" s="69">
        <v>45264</v>
      </c>
      <c r="C249" s="79">
        <v>413799988</v>
      </c>
      <c r="D249">
        <f t="shared" si="6"/>
        <v>5.3194182537961598E-2</v>
      </c>
      <c r="H249" s="69">
        <v>45264</v>
      </c>
      <c r="I249" s="79">
        <v>4604.37</v>
      </c>
      <c r="J249">
        <f t="shared" si="7"/>
        <v>2.1198660175030248E-3</v>
      </c>
    </row>
    <row r="250" spans="2:10" x14ac:dyDescent="0.35">
      <c r="B250" s="69">
        <v>45271</v>
      </c>
      <c r="C250" s="79">
        <v>409500000</v>
      </c>
      <c r="D250">
        <f t="shared" si="6"/>
        <v>-1.039146477693953E-2</v>
      </c>
      <c r="H250" s="69">
        <v>45271</v>
      </c>
      <c r="I250" s="79">
        <v>4622.4399999999996</v>
      </c>
      <c r="J250">
        <f t="shared" si="7"/>
        <v>3.9245325636296791E-3</v>
      </c>
    </row>
  </sheetData>
  <mergeCells count="5">
    <mergeCell ref="B39:D39"/>
    <mergeCell ref="H39:J39"/>
    <mergeCell ref="B4:H4"/>
    <mergeCell ref="B13:H13"/>
    <mergeCell ref="L4:P4"/>
  </mergeCells>
  <pageMargins left="0.7" right="0.7" top="0.78740157499999996" bottom="0.78740157499999996"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DCF</vt:lpstr>
      <vt:lpstr>Income Statement</vt:lpstr>
      <vt:lpstr>Working Capital Schedule</vt:lpstr>
      <vt:lpstr>Fixed Asset Schedule</vt:lpstr>
      <vt:lpstr>Debt Schedule</vt:lpstr>
      <vt:lpstr>Discount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Settje</dc:creator>
  <cp:lastModifiedBy>Oscar Settje</cp:lastModifiedBy>
  <cp:lastPrinted>2024-01-09T11:09:45Z</cp:lastPrinted>
  <dcterms:created xsi:type="dcterms:W3CDTF">2023-10-14T11:04:09Z</dcterms:created>
  <dcterms:modified xsi:type="dcterms:W3CDTF">2024-01-10T18:27:47Z</dcterms:modified>
</cp:coreProperties>
</file>