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9EA178B9-7ED8-4FB2-8D7F-B86834DEADD4}" xr6:coauthVersionLast="47" xr6:coauthVersionMax="47" xr10:uidLastSave="{00000000-0000-0000-0000-000000000000}"/>
  <bookViews>
    <workbookView xWindow="225" yWindow="4680" windowWidth="38175" windowHeight="15240" xr2:uid="{2E7EBCAC-6036-43C0-BFEE-816C31250952}"/>
  </bookViews>
  <sheets>
    <sheet name="Main" sheetId="1" r:id="rId1"/>
    <sheet name="Model" sheetId="2" r:id="rId2"/>
    <sheet name="KPIs" sheetId="3" r:id="rId3"/>
    <sheet name="Coc" sheetId="5" r:id="rId4"/>
    <sheet name="DCF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61" i="4" l="1"/>
  <c r="V59" i="4"/>
  <c r="V58" i="4"/>
  <c r="V28" i="2"/>
  <c r="W28" i="2" s="1"/>
  <c r="X28" i="2" s="1"/>
  <c r="Y28" i="2" s="1"/>
  <c r="Z28" i="2" s="1"/>
  <c r="U28" i="2"/>
  <c r="O28" i="4"/>
  <c r="O26" i="4" s="1" a="1"/>
  <c r="O26" i="4" s="1"/>
  <c r="N28" i="4"/>
  <c r="N26" i="4" s="1" a="1"/>
  <c r="N26" i="4" s="1"/>
  <c r="M28" i="4"/>
  <c r="U12" i="2"/>
  <c r="V12" i="2" s="1"/>
  <c r="T28" i="2"/>
  <c r="H60" i="3"/>
  <c r="G60" i="3"/>
  <c r="F60" i="3"/>
  <c r="E60" i="3"/>
  <c r="D60" i="3"/>
  <c r="C60" i="3"/>
  <c r="I60" i="3"/>
  <c r="H59" i="3"/>
  <c r="G59" i="3"/>
  <c r="F59" i="3"/>
  <c r="E59" i="3"/>
  <c r="D59" i="3"/>
  <c r="I59" i="3"/>
  <c r="H58" i="3"/>
  <c r="G58" i="3"/>
  <c r="F58" i="3"/>
  <c r="E58" i="3"/>
  <c r="D58" i="3"/>
  <c r="C58" i="3"/>
  <c r="I58" i="3"/>
  <c r="H57" i="3"/>
  <c r="G57" i="3"/>
  <c r="F57" i="3"/>
  <c r="E57" i="3"/>
  <c r="D57" i="3"/>
  <c r="C57" i="3"/>
  <c r="I57" i="3"/>
  <c r="H55" i="3"/>
  <c r="G55" i="3"/>
  <c r="F55" i="3"/>
  <c r="E55" i="3"/>
  <c r="D55" i="3"/>
  <c r="C55" i="3"/>
  <c r="I55" i="3"/>
  <c r="H54" i="3"/>
  <c r="G54" i="3"/>
  <c r="F54" i="3"/>
  <c r="E54" i="3"/>
  <c r="D54" i="3"/>
  <c r="C54" i="3"/>
  <c r="I54" i="3"/>
  <c r="H52" i="3"/>
  <c r="G52" i="3"/>
  <c r="F52" i="3"/>
  <c r="E52" i="3"/>
  <c r="D52" i="3"/>
  <c r="C52" i="3"/>
  <c r="I52" i="3"/>
  <c r="H51" i="3"/>
  <c r="G51" i="3"/>
  <c r="F51" i="3"/>
  <c r="E51" i="3"/>
  <c r="D51" i="3"/>
  <c r="I51" i="3"/>
  <c r="H50" i="3"/>
  <c r="G50" i="3"/>
  <c r="F50" i="3"/>
  <c r="E50" i="3"/>
  <c r="D50" i="3"/>
  <c r="C50" i="3"/>
  <c r="I50" i="3"/>
  <c r="H46" i="3"/>
  <c r="G46" i="3"/>
  <c r="F46" i="3"/>
  <c r="E46" i="3"/>
  <c r="D46" i="3"/>
  <c r="C46" i="3"/>
  <c r="I46" i="3"/>
  <c r="H42" i="3"/>
  <c r="G42" i="3"/>
  <c r="F42" i="3"/>
  <c r="E42" i="3"/>
  <c r="D42" i="3"/>
  <c r="C42" i="3"/>
  <c r="I42" i="3"/>
  <c r="H41" i="3"/>
  <c r="G41" i="3"/>
  <c r="F41" i="3"/>
  <c r="E41" i="3"/>
  <c r="D41" i="3"/>
  <c r="C41" i="3"/>
  <c r="I41" i="3"/>
  <c r="H31" i="3"/>
  <c r="G31" i="3"/>
  <c r="F31" i="3"/>
  <c r="E31" i="3"/>
  <c r="D31" i="3"/>
  <c r="C31" i="3"/>
  <c r="I31" i="3"/>
  <c r="H29" i="3"/>
  <c r="G29" i="3"/>
  <c r="F29" i="3"/>
  <c r="E29" i="3"/>
  <c r="D29" i="3"/>
  <c r="C29" i="3"/>
  <c r="I28" i="3"/>
  <c r="I29" i="3"/>
  <c r="H30" i="3"/>
  <c r="G30" i="3"/>
  <c r="F30" i="3"/>
  <c r="E30" i="3"/>
  <c r="D30" i="3"/>
  <c r="C30" i="3"/>
  <c r="H28" i="3"/>
  <c r="G28" i="3"/>
  <c r="F28" i="3"/>
  <c r="E28" i="3"/>
  <c r="D28" i="3"/>
  <c r="C28" i="3"/>
  <c r="H25" i="3"/>
  <c r="G25" i="3"/>
  <c r="F25" i="3"/>
  <c r="E25" i="3"/>
  <c r="D25" i="3"/>
  <c r="C25" i="3"/>
  <c r="I25" i="3"/>
  <c r="H24" i="3"/>
  <c r="G24" i="3"/>
  <c r="F24" i="3"/>
  <c r="E24" i="3"/>
  <c r="D24" i="3"/>
  <c r="C24" i="3"/>
  <c r="C18" i="3" s="1"/>
  <c r="I24" i="3"/>
  <c r="H23" i="3"/>
  <c r="G23" i="3"/>
  <c r="F23" i="3"/>
  <c r="E23" i="3"/>
  <c r="D23" i="3"/>
  <c r="C23" i="3"/>
  <c r="I23" i="3"/>
  <c r="H22" i="3"/>
  <c r="G22" i="3"/>
  <c r="F22" i="3"/>
  <c r="E22" i="3"/>
  <c r="D22" i="3"/>
  <c r="C22" i="3"/>
  <c r="I22" i="3"/>
  <c r="I30" i="3" s="1"/>
  <c r="H21" i="3"/>
  <c r="G21" i="3"/>
  <c r="F21" i="3"/>
  <c r="E21" i="3"/>
  <c r="D21" i="3"/>
  <c r="C21" i="3"/>
  <c r="I21" i="3"/>
  <c r="H18" i="3"/>
  <c r="G18" i="3"/>
  <c r="H17" i="3"/>
  <c r="G17" i="3"/>
  <c r="F17" i="3"/>
  <c r="E17" i="3"/>
  <c r="D17" i="3"/>
  <c r="I17" i="3"/>
  <c r="H16" i="3"/>
  <c r="G16" i="3"/>
  <c r="F16" i="3"/>
  <c r="E16" i="3"/>
  <c r="D16" i="3"/>
  <c r="I16" i="3"/>
  <c r="H15" i="3"/>
  <c r="G15" i="3"/>
  <c r="F15" i="3"/>
  <c r="E15" i="3"/>
  <c r="D15" i="3"/>
  <c r="I15" i="3"/>
  <c r="H14" i="3"/>
  <c r="G14" i="3"/>
  <c r="F14" i="3"/>
  <c r="E14" i="3"/>
  <c r="D14" i="3"/>
  <c r="C14" i="3"/>
  <c r="I14" i="3"/>
  <c r="H13" i="3"/>
  <c r="G13" i="3"/>
  <c r="F13" i="3"/>
  <c r="E13" i="3"/>
  <c r="D13" i="3"/>
  <c r="C13" i="3"/>
  <c r="I13" i="3"/>
  <c r="H12" i="3"/>
  <c r="G12" i="3"/>
  <c r="F12" i="3"/>
  <c r="E12" i="3"/>
  <c r="D12" i="3"/>
  <c r="C12" i="3"/>
  <c r="I12" i="3"/>
  <c r="H11" i="3"/>
  <c r="G11" i="3"/>
  <c r="F11" i="3"/>
  <c r="E11" i="3"/>
  <c r="D11" i="3"/>
  <c r="C11" i="3"/>
  <c r="I11" i="3"/>
  <c r="H10" i="3"/>
  <c r="G10" i="3"/>
  <c r="F10" i="3"/>
  <c r="E10" i="3"/>
  <c r="D10" i="3"/>
  <c r="C10" i="3"/>
  <c r="I10" i="3"/>
  <c r="H7" i="3"/>
  <c r="G7" i="3"/>
  <c r="F7" i="3"/>
  <c r="E7" i="3"/>
  <c r="D7" i="3"/>
  <c r="C7" i="3"/>
  <c r="I7" i="3"/>
  <c r="H6" i="3"/>
  <c r="G6" i="3"/>
  <c r="F6" i="3"/>
  <c r="E6" i="3"/>
  <c r="D6" i="3"/>
  <c r="C6" i="3"/>
  <c r="I6" i="3"/>
  <c r="I5" i="3"/>
  <c r="H5" i="3"/>
  <c r="G5" i="3"/>
  <c r="F5" i="3"/>
  <c r="E5" i="3"/>
  <c r="D5" i="3"/>
  <c r="C5" i="3"/>
  <c r="I4" i="3"/>
  <c r="H4" i="3"/>
  <c r="G4" i="3"/>
  <c r="F4" i="3"/>
  <c r="E4" i="3"/>
  <c r="D4" i="3"/>
  <c r="C4" i="3"/>
  <c r="K48" i="4"/>
  <c r="K49" i="4" s="1"/>
  <c r="J48" i="4"/>
  <c r="J49" i="4" s="1"/>
  <c r="I48" i="4"/>
  <c r="I49" i="4" s="1"/>
  <c r="H48" i="4"/>
  <c r="H49" i="4" s="1"/>
  <c r="G48" i="4"/>
  <c r="F48" i="4"/>
  <c r="L48" i="4"/>
  <c r="K45" i="4"/>
  <c r="J45" i="4"/>
  <c r="I45" i="4"/>
  <c r="H45" i="4"/>
  <c r="G45" i="4"/>
  <c r="F45" i="4"/>
  <c r="L45" i="4"/>
  <c r="F49" i="4"/>
  <c r="F46" i="4"/>
  <c r="F43" i="4"/>
  <c r="K42" i="4"/>
  <c r="J42" i="4"/>
  <c r="I42" i="4"/>
  <c r="H42" i="4"/>
  <c r="G42" i="4"/>
  <c r="F42" i="4"/>
  <c r="L42" i="4"/>
  <c r="K37" i="4"/>
  <c r="J37" i="4"/>
  <c r="I37" i="4"/>
  <c r="H37" i="4"/>
  <c r="G37" i="4"/>
  <c r="F37" i="4"/>
  <c r="L37" i="4"/>
  <c r="F40" i="4"/>
  <c r="F38" i="4"/>
  <c r="G26" i="4"/>
  <c r="F25" i="4"/>
  <c r="F31" i="4"/>
  <c r="F32" i="4" s="1"/>
  <c r="K31" i="4"/>
  <c r="J31" i="4"/>
  <c r="J40" i="4" s="1"/>
  <c r="I31" i="4"/>
  <c r="H31" i="4"/>
  <c r="G31" i="4"/>
  <c r="L31" i="4"/>
  <c r="L40" i="4" s="1"/>
  <c r="L51" i="4" s="1"/>
  <c r="L25" i="4"/>
  <c r="L43" i="4" s="1"/>
  <c r="K25" i="4"/>
  <c r="K43" i="4" s="1"/>
  <c r="J25" i="4"/>
  <c r="J43" i="4" s="1"/>
  <c r="I25" i="4"/>
  <c r="I46" i="4" s="1"/>
  <c r="H25" i="4"/>
  <c r="H43" i="4" s="1"/>
  <c r="G25" i="4"/>
  <c r="G32" i="4" s="1"/>
  <c r="J3" i="4"/>
  <c r="L49" i="4"/>
  <c r="L46" i="4"/>
  <c r="K46" i="4"/>
  <c r="G40" i="4"/>
  <c r="L38" i="4"/>
  <c r="G38" i="4"/>
  <c r="V32" i="4" a="1"/>
  <c r="V32" i="4" s="1"/>
  <c r="U32" i="4" a="1"/>
  <c r="U32" i="4" s="1"/>
  <c r="T32" i="4" a="1"/>
  <c r="T32" i="4" s="1"/>
  <c r="S32" i="4" a="1"/>
  <c r="S32" i="4" s="1"/>
  <c r="R32" i="4" a="1"/>
  <c r="R32" i="4" s="1"/>
  <c r="Q32" i="4" a="1"/>
  <c r="Q32" i="4" s="1"/>
  <c r="P32" i="4" a="1"/>
  <c r="P32" i="4" s="1"/>
  <c r="O32" i="4" a="1"/>
  <c r="O32" i="4" s="1"/>
  <c r="N32" i="4" a="1"/>
  <c r="N32" i="4" s="1"/>
  <c r="M32" i="4" a="1"/>
  <c r="M32" i="4" s="1"/>
  <c r="L32" i="4"/>
  <c r="M26" i="4" a="1"/>
  <c r="M26" i="4" s="1"/>
  <c r="H24" i="4"/>
  <c r="I24" i="4" s="1"/>
  <c r="J24" i="4" s="1"/>
  <c r="K24" i="4" s="1"/>
  <c r="L24" i="4" s="1"/>
  <c r="M24" i="4" s="1"/>
  <c r="N24" i="4" s="1"/>
  <c r="O24" i="4" s="1"/>
  <c r="P24" i="4" s="1"/>
  <c r="Q24" i="4" s="1"/>
  <c r="R24" i="4" s="1"/>
  <c r="S24" i="4" s="1"/>
  <c r="T24" i="4" s="1"/>
  <c r="U24" i="4" s="1"/>
  <c r="V24" i="4" s="1"/>
  <c r="E20" i="4"/>
  <c r="E19" i="4"/>
  <c r="E18" i="4"/>
  <c r="F18" i="3" s="1"/>
  <c r="O4" i="4"/>
  <c r="E4" i="4"/>
  <c r="M53" i="4" s="1"/>
  <c r="N53" i="4" s="1"/>
  <c r="O53" i="4" s="1"/>
  <c r="P53" i="4" s="1"/>
  <c r="Q53" i="4" s="1"/>
  <c r="R53" i="4" s="1"/>
  <c r="S53" i="4" s="1"/>
  <c r="T53" i="4" s="1"/>
  <c r="U53" i="4" s="1"/>
  <c r="V53" i="4" s="1"/>
  <c r="O3" i="4"/>
  <c r="D2" i="3"/>
  <c r="E2" i="3" s="1"/>
  <c r="F2" i="3" s="1"/>
  <c r="G2" i="3" s="1"/>
  <c r="H2" i="3" s="1"/>
  <c r="I2" i="3" s="1"/>
  <c r="J2" i="3" s="1"/>
  <c r="I47" i="5"/>
  <c r="F37" i="5"/>
  <c r="F32" i="5"/>
  <c r="F20" i="5"/>
  <c r="F8" i="5"/>
  <c r="F22" i="5" s="1"/>
  <c r="AA28" i="2" l="1"/>
  <c r="T28" i="4"/>
  <c r="T26" i="4" s="1" a="1"/>
  <c r="T26" i="4" s="1"/>
  <c r="W12" i="2"/>
  <c r="X12" i="2" s="1"/>
  <c r="Y12" i="2" s="1"/>
  <c r="Z12" i="2" s="1"/>
  <c r="AA12" i="2" s="1"/>
  <c r="Q28" i="4"/>
  <c r="Q26" i="4" s="1" a="1"/>
  <c r="Q26" i="4" s="1"/>
  <c r="R28" i="4"/>
  <c r="R26" i="4" s="1" a="1"/>
  <c r="R26" i="4" s="1"/>
  <c r="P28" i="4"/>
  <c r="P26" i="4" s="1" a="1"/>
  <c r="P26" i="4" s="1"/>
  <c r="S28" i="4"/>
  <c r="S26" i="4" s="1" a="1"/>
  <c r="S26" i="4" s="1"/>
  <c r="I18" i="3"/>
  <c r="D18" i="3"/>
  <c r="E18" i="3"/>
  <c r="J51" i="4"/>
  <c r="G51" i="4"/>
  <c r="F51" i="4"/>
  <c r="I26" i="4"/>
  <c r="J26" i="4"/>
  <c r="K26" i="4"/>
  <c r="L26" i="4"/>
  <c r="M25" i="4"/>
  <c r="N25" i="4" s="1"/>
  <c r="H32" i="4"/>
  <c r="I43" i="4"/>
  <c r="I32" i="4"/>
  <c r="H46" i="4"/>
  <c r="K32" i="4"/>
  <c r="J46" i="4"/>
  <c r="H38" i="4"/>
  <c r="I38" i="4"/>
  <c r="J38" i="4"/>
  <c r="K38" i="4"/>
  <c r="H40" i="4"/>
  <c r="H51" i="4" s="1"/>
  <c r="I40" i="4"/>
  <c r="I51" i="4" s="1"/>
  <c r="K40" i="4"/>
  <c r="K51" i="4" s="1"/>
  <c r="J32" i="4"/>
  <c r="G43" i="4"/>
  <c r="H26" i="4"/>
  <c r="G46" i="4"/>
  <c r="G49" i="4"/>
  <c r="O5" i="4"/>
  <c r="F41" i="5"/>
  <c r="AB28" i="2" l="1"/>
  <c r="U28" i="4"/>
  <c r="U26" i="4" s="1" a="1"/>
  <c r="U26" i="4" s="1"/>
  <c r="M31" i="4"/>
  <c r="M37" i="4" s="1"/>
  <c r="M40" i="4" s="1"/>
  <c r="M42" i="4"/>
  <c r="M45" i="4"/>
  <c r="M48" i="4"/>
  <c r="O25" i="4"/>
  <c r="N48" i="4"/>
  <c r="N45" i="4"/>
  <c r="N42" i="4"/>
  <c r="N31" i="4"/>
  <c r="AC28" i="2" l="1"/>
  <c r="AD28" i="2" s="1"/>
  <c r="V28" i="4"/>
  <c r="V26" i="4" s="1" a="1"/>
  <c r="V26" i="4" s="1"/>
  <c r="M51" i="4"/>
  <c r="M52" i="4" s="1"/>
  <c r="N37" i="4"/>
  <c r="N40" i="4" s="1"/>
  <c r="N51" i="4" s="1"/>
  <c r="N52" i="4" s="1"/>
  <c r="P25" i="4"/>
  <c r="O45" i="4"/>
  <c r="O42" i="4"/>
  <c r="O48" i="4"/>
  <c r="O31" i="4"/>
  <c r="O37" i="4" l="1"/>
  <c r="O40" i="4" s="1"/>
  <c r="O51" i="4" s="1"/>
  <c r="O52" i="4" s="1"/>
  <c r="P45" i="4"/>
  <c r="P48" i="4"/>
  <c r="P42" i="4"/>
  <c r="Q25" i="4"/>
  <c r="P31" i="4"/>
  <c r="P37" i="4" l="1"/>
  <c r="P40" i="4" s="1"/>
  <c r="P51" i="4" s="1"/>
  <c r="P52" i="4" s="1"/>
  <c r="Q48" i="4"/>
  <c r="R25" i="4"/>
  <c r="Q45" i="4"/>
  <c r="Q42" i="4"/>
  <c r="Q31" i="4"/>
  <c r="S25" i="4" l="1"/>
  <c r="R45" i="4"/>
  <c r="R48" i="4"/>
  <c r="R42" i="4"/>
  <c r="R31" i="4"/>
  <c r="Q37" i="4"/>
  <c r="Q40" i="4" s="1"/>
  <c r="Q51" i="4" s="1"/>
  <c r="Q52" i="4" s="1"/>
  <c r="R37" i="4" l="1"/>
  <c r="R40" i="4" s="1"/>
  <c r="R51" i="4" s="1"/>
  <c r="R52" i="4" s="1"/>
  <c r="T25" i="4"/>
  <c r="S48" i="4"/>
  <c r="S45" i="4"/>
  <c r="S42" i="4"/>
  <c r="S31" i="4"/>
  <c r="S37" i="4" l="1"/>
  <c r="S40" i="4" s="1"/>
  <c r="S51" i="4" s="1"/>
  <c r="S52" i="4" s="1"/>
  <c r="U25" i="4"/>
  <c r="T48" i="4"/>
  <c r="T45" i="4"/>
  <c r="T42" i="4"/>
  <c r="T31" i="4"/>
  <c r="T37" i="4" l="1"/>
  <c r="T40" i="4" s="1"/>
  <c r="T51" i="4" s="1"/>
  <c r="T52" i="4" s="1"/>
  <c r="U45" i="4"/>
  <c r="U48" i="4"/>
  <c r="U42" i="4"/>
  <c r="V25" i="4"/>
  <c r="U31" i="4"/>
  <c r="U37" i="4" l="1"/>
  <c r="U40" i="4" s="1"/>
  <c r="U51" i="4" s="1"/>
  <c r="U52" i="4" s="1"/>
  <c r="V45" i="4"/>
  <c r="V48" i="4"/>
  <c r="V42" i="4"/>
  <c r="V31" i="4"/>
  <c r="V37" i="4" l="1"/>
  <c r="V40" i="4" s="1"/>
  <c r="V51" i="4" l="1"/>
  <c r="V52" i="4" s="1"/>
  <c r="V54" i="4" s="1"/>
  <c r="V55" i="4"/>
  <c r="V56" i="4" s="1"/>
  <c r="V57" i="4" l="1"/>
  <c r="V60" i="4" s="1"/>
  <c r="V62" i="4" s="1"/>
  <c r="J4" i="4" s="1"/>
  <c r="N69" i="4" l="1"/>
  <c r="J5" i="4"/>
  <c r="C69" i="4"/>
  <c r="N47" i="2"/>
  <c r="N48" i="2" s="1"/>
  <c r="N45" i="2"/>
  <c r="N41" i="2"/>
  <c r="N43" i="2" s="1"/>
  <c r="L88" i="2"/>
  <c r="L89" i="2"/>
  <c r="M88" i="2"/>
  <c r="M89" i="2"/>
  <c r="L87" i="2"/>
  <c r="M87" i="2"/>
  <c r="L84" i="2"/>
  <c r="M84" i="2"/>
  <c r="M85" i="2"/>
  <c r="L75" i="2"/>
  <c r="M75" i="2"/>
  <c r="L58" i="2"/>
  <c r="L69" i="2"/>
  <c r="L68" i="2"/>
  <c r="L71" i="2" s="1"/>
  <c r="M69" i="2"/>
  <c r="M68" i="2"/>
  <c r="L31" i="2"/>
  <c r="L30" i="2"/>
  <c r="L29" i="2"/>
  <c r="L21" i="2"/>
  <c r="M24" i="2"/>
  <c r="L47" i="2"/>
  <c r="L48" i="2" s="1"/>
  <c r="M47" i="2"/>
  <c r="L45" i="2"/>
  <c r="M45" i="2"/>
  <c r="L41" i="2"/>
  <c r="M41" i="2"/>
  <c r="N89" i="2"/>
  <c r="O88" i="2"/>
  <c r="O89" i="2"/>
  <c r="O80" i="2"/>
  <c r="O85" i="2"/>
  <c r="N76" i="2"/>
  <c r="N75" i="2"/>
  <c r="N73" i="2"/>
  <c r="N78" i="2" s="1"/>
  <c r="O76" i="2"/>
  <c r="O75" i="2"/>
  <c r="O78" i="2" s="1"/>
  <c r="O73" i="2"/>
  <c r="N68" i="2"/>
  <c r="N64" i="2"/>
  <c r="O68" i="2"/>
  <c r="O64" i="2"/>
  <c r="O58" i="2"/>
  <c r="N58" i="2"/>
  <c r="O53" i="2"/>
  <c r="N53" i="2"/>
  <c r="M53" i="2"/>
  <c r="L53" i="2"/>
  <c r="O45" i="2"/>
  <c r="O48" i="2" s="1"/>
  <c r="O54" i="2" s="1"/>
  <c r="O56" i="2" s="1"/>
  <c r="P54" i="2"/>
  <c r="P56" i="2" s="1"/>
  <c r="P53" i="2"/>
  <c r="P48" i="2"/>
  <c r="P45" i="2"/>
  <c r="O41" i="2"/>
  <c r="P41" i="2"/>
  <c r="P43" i="2" s="1"/>
  <c r="P89" i="2"/>
  <c r="Q88" i="2"/>
  <c r="Q89" i="2"/>
  <c r="N85" i="2"/>
  <c r="L85" i="2"/>
  <c r="P85" i="2"/>
  <c r="P87" i="2" s="1"/>
  <c r="P88" i="2" s="1"/>
  <c r="Q85" i="2"/>
  <c r="Q87" i="2" s="1"/>
  <c r="R89" i="2"/>
  <c r="R87" i="2"/>
  <c r="R85" i="2"/>
  <c r="Q78" i="2"/>
  <c r="P78" i="2"/>
  <c r="M78" i="2"/>
  <c r="L78" i="2"/>
  <c r="R78" i="2"/>
  <c r="Q71" i="2"/>
  <c r="P71" i="2"/>
  <c r="O71" i="2"/>
  <c r="O72" i="2" s="1"/>
  <c r="N71" i="2"/>
  <c r="M71" i="2"/>
  <c r="Q72" i="2"/>
  <c r="P72" i="2"/>
  <c r="R72" i="2"/>
  <c r="R71" i="2"/>
  <c r="Q58" i="2"/>
  <c r="P58" i="2"/>
  <c r="R58" i="2"/>
  <c r="Q53" i="2"/>
  <c r="Q48" i="2"/>
  <c r="Q54" i="2" s="1"/>
  <c r="Q56" i="2" s="1"/>
  <c r="R53" i="2"/>
  <c r="R48" i="2"/>
  <c r="R54" i="2" s="1"/>
  <c r="R56" i="2" s="1"/>
  <c r="Q43" i="2"/>
  <c r="Q44" i="2" s="1"/>
  <c r="O43" i="2"/>
  <c r="M43" i="2"/>
  <c r="L43" i="2"/>
  <c r="R44" i="2"/>
  <c r="R43" i="2"/>
  <c r="Q37" i="2"/>
  <c r="P37" i="2"/>
  <c r="O37" i="2"/>
  <c r="N37" i="2"/>
  <c r="M37" i="2"/>
  <c r="L37" i="2"/>
  <c r="L44" i="2" s="1"/>
  <c r="R37" i="2"/>
  <c r="F21" i="2"/>
  <c r="F19" i="2"/>
  <c r="F17" i="2"/>
  <c r="F16" i="2"/>
  <c r="F15" i="2"/>
  <c r="F14" i="2"/>
  <c r="F13" i="2"/>
  <c r="F12" i="2"/>
  <c r="J12" i="2"/>
  <c r="F11" i="2"/>
  <c r="F10" i="2"/>
  <c r="F9" i="2"/>
  <c r="F8" i="2"/>
  <c r="F25" i="2"/>
  <c r="J21" i="2"/>
  <c r="J19" i="2"/>
  <c r="J17" i="2"/>
  <c r="J16" i="2"/>
  <c r="J15" i="2"/>
  <c r="J13" i="2"/>
  <c r="J11" i="2"/>
  <c r="J10" i="2"/>
  <c r="J9" i="2"/>
  <c r="J8" i="2"/>
  <c r="S31" i="2"/>
  <c r="S28" i="2"/>
  <c r="S27" i="2"/>
  <c r="Q31" i="2"/>
  <c r="P31" i="2"/>
  <c r="Q30" i="2"/>
  <c r="P30" i="2"/>
  <c r="Q29" i="2"/>
  <c r="P29" i="2"/>
  <c r="M29" i="2"/>
  <c r="R31" i="2"/>
  <c r="R30" i="2"/>
  <c r="R29" i="2"/>
  <c r="Q28" i="2"/>
  <c r="P28" i="2"/>
  <c r="O28" i="2"/>
  <c r="N28" i="2"/>
  <c r="M28" i="2"/>
  <c r="R28" i="2"/>
  <c r="Q27" i="2"/>
  <c r="P27" i="2"/>
  <c r="O27" i="2"/>
  <c r="N27" i="2"/>
  <c r="M27" i="2"/>
  <c r="R27" i="2"/>
  <c r="S22" i="2"/>
  <c r="S24" i="2" s="1"/>
  <c r="S14" i="2"/>
  <c r="S18" i="2" s="1"/>
  <c r="S30" i="2" s="1"/>
  <c r="R14" i="2"/>
  <c r="R18" i="2" s="1"/>
  <c r="R20" i="2" s="1"/>
  <c r="R22" i="2" s="1"/>
  <c r="R24" i="2" s="1"/>
  <c r="Q14" i="2"/>
  <c r="Q18" i="2" s="1"/>
  <c r="Q20" i="2" s="1"/>
  <c r="Q22" i="2" s="1"/>
  <c r="Q24" i="2" s="1"/>
  <c r="P14" i="2"/>
  <c r="P18" i="2" s="1"/>
  <c r="P20" i="2" s="1"/>
  <c r="P22" i="2" s="1"/>
  <c r="P24" i="2" s="1"/>
  <c r="O14" i="2"/>
  <c r="O18" i="2" s="1"/>
  <c r="O20" i="2" s="1"/>
  <c r="O22" i="2" s="1"/>
  <c r="O24" i="2" s="1"/>
  <c r="N14" i="2"/>
  <c r="N18" i="2" s="1"/>
  <c r="N20" i="2" s="1"/>
  <c r="N22" i="2" s="1"/>
  <c r="N24" i="2" s="1"/>
  <c r="M14" i="2"/>
  <c r="M18" i="2" s="1"/>
  <c r="M20" i="2" s="1"/>
  <c r="M22" i="2" s="1"/>
  <c r="L14" i="2"/>
  <c r="L18" i="2" s="1"/>
  <c r="L20" i="2" s="1"/>
  <c r="I5" i="1"/>
  <c r="R4" i="2"/>
  <c r="Q4" i="2"/>
  <c r="P4" i="2"/>
  <c r="O4" i="2"/>
  <c r="N4" i="2"/>
  <c r="M4" i="2"/>
  <c r="L4" i="2"/>
  <c r="I3" i="1"/>
  <c r="S29" i="2" l="1"/>
  <c r="N54" i="2"/>
  <c r="N56" i="2" s="1"/>
  <c r="N44" i="2"/>
  <c r="L22" i="2"/>
  <c r="L24" i="2" s="1"/>
  <c r="L72" i="2"/>
  <c r="M58" i="2"/>
  <c r="M72" i="2" s="1"/>
  <c r="L54" i="2"/>
  <c r="L56" i="2" s="1"/>
  <c r="M48" i="2"/>
  <c r="M54" i="2" s="1"/>
  <c r="M56" i="2" s="1"/>
  <c r="M44" i="2"/>
  <c r="M30" i="2"/>
  <c r="M31" i="2"/>
  <c r="O87" i="2"/>
  <c r="N72" i="2"/>
  <c r="N87" i="2" s="1"/>
  <c r="N88" i="2" s="1"/>
  <c r="N29" i="2"/>
  <c r="O29" i="2"/>
  <c r="O44" i="2"/>
  <c r="P44" i="2"/>
  <c r="N30" i="2"/>
  <c r="N31" i="2"/>
  <c r="O30" i="2"/>
  <c r="O31" i="2"/>
  <c r="H4" i="2"/>
  <c r="J4" i="2"/>
  <c r="I4" i="2"/>
  <c r="G4" i="2"/>
  <c r="F4" i="2"/>
  <c r="E4" i="2"/>
  <c r="D4" i="2"/>
  <c r="C4" i="2"/>
  <c r="J27" i="2"/>
  <c r="I27" i="2"/>
  <c r="G27" i="2"/>
  <c r="H27" i="2"/>
  <c r="J28" i="2"/>
  <c r="I28" i="2"/>
  <c r="G28" i="2"/>
  <c r="D14" i="2"/>
  <c r="D29" i="2" s="1"/>
  <c r="J14" i="2"/>
  <c r="J29" i="2" s="1"/>
  <c r="I14" i="2"/>
  <c r="I18" i="2" s="1"/>
  <c r="I20" i="2" s="1"/>
  <c r="G14" i="2"/>
  <c r="G29" i="2" s="1"/>
  <c r="F18" i="2"/>
  <c r="E14" i="2"/>
  <c r="E29" i="2" s="1"/>
  <c r="C14" i="2"/>
  <c r="C29" i="2" s="1"/>
  <c r="H28" i="2"/>
  <c r="H14" i="2"/>
  <c r="H18" i="2" s="1"/>
  <c r="H30" i="2" s="1"/>
  <c r="I4" i="1"/>
  <c r="E18" i="2" l="1"/>
  <c r="E20" i="2" s="1"/>
  <c r="E31" i="2" s="1"/>
  <c r="I7" i="1"/>
  <c r="C18" i="2"/>
  <c r="C30" i="2" s="1"/>
  <c r="G18" i="2"/>
  <c r="G20" i="2" s="1"/>
  <c r="J18" i="2"/>
  <c r="J20" i="2" s="1"/>
  <c r="J22" i="2" s="1"/>
  <c r="J24" i="2" s="1"/>
  <c r="D18" i="2"/>
  <c r="F30" i="2"/>
  <c r="F20" i="2"/>
  <c r="I30" i="2"/>
  <c r="H29" i="2"/>
  <c r="F29" i="2"/>
  <c r="I29" i="2"/>
  <c r="H20" i="2"/>
  <c r="J31" i="2" l="1"/>
  <c r="G22" i="2"/>
  <c r="G24" i="2" s="1"/>
  <c r="E22" i="2"/>
  <c r="E24" i="2" s="1"/>
  <c r="E30" i="2"/>
  <c r="C20" i="2"/>
  <c r="C31" i="2" s="1"/>
  <c r="J30" i="2"/>
  <c r="G31" i="2"/>
  <c r="G30" i="2"/>
  <c r="D30" i="2"/>
  <c r="D20" i="2"/>
  <c r="I22" i="2"/>
  <c r="I24" i="2" s="1"/>
  <c r="I31" i="2"/>
  <c r="F31" i="2"/>
  <c r="F22" i="2"/>
  <c r="F24" i="2" s="1"/>
  <c r="H31" i="2"/>
  <c r="H22" i="2"/>
  <c r="H24" i="2" s="1"/>
  <c r="C22" i="2" l="1"/>
  <c r="C24" i="2" s="1"/>
  <c r="D22" i="2"/>
  <c r="D24" i="2" s="1"/>
  <c r="D3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Oscar Settje</author>
  </authors>
  <commentList>
    <comment ref="B6" authorId="0" shapeId="0" xr:uid="{EF9A5F89-7E93-4E8C-A927-6AC1EBA83751}">
      <text>
        <r>
          <rPr>
            <b/>
            <sz val="9"/>
            <color indexed="81"/>
            <rFont val="Tahoma"/>
            <family val="2"/>
          </rPr>
          <t>Oscar Settje:</t>
        </r>
        <r>
          <rPr>
            <sz val="9"/>
            <color indexed="81"/>
            <rFont val="Tahoma"/>
            <family val="2"/>
          </rPr>
          <t xml:space="preserve">
Average Price Per Ad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<sst xmlns="http://schemas.openxmlformats.org/spreadsheetml/2006/main" count="409" uniqueCount="298">
  <si>
    <t>Meta Platforms Inc</t>
  </si>
  <si>
    <t>numbers in mio USD</t>
  </si>
  <si>
    <t>x</t>
  </si>
  <si>
    <t>SEC</t>
  </si>
  <si>
    <t>META</t>
  </si>
  <si>
    <t>Price</t>
  </si>
  <si>
    <t>Shares</t>
  </si>
  <si>
    <t>MC</t>
  </si>
  <si>
    <t>Cash</t>
  </si>
  <si>
    <t>Debt</t>
  </si>
  <si>
    <t>Q224</t>
  </si>
  <si>
    <t>EV</t>
  </si>
  <si>
    <t>Main</t>
  </si>
  <si>
    <t>Q123</t>
  </si>
  <si>
    <t>Q223</t>
  </si>
  <si>
    <t>Q324</t>
  </si>
  <si>
    <t>Q323</t>
  </si>
  <si>
    <t>Q423</t>
  </si>
  <si>
    <t>Q124</t>
  </si>
  <si>
    <t>Q424</t>
  </si>
  <si>
    <t>Revenue</t>
  </si>
  <si>
    <t>COGS</t>
  </si>
  <si>
    <t>Gross Profit</t>
  </si>
  <si>
    <t>R&amp;D</t>
  </si>
  <si>
    <t>Marketing and Sales</t>
  </si>
  <si>
    <t>General and Administrative</t>
  </si>
  <si>
    <t>Operating Profit</t>
  </si>
  <si>
    <t>Pretax Income</t>
  </si>
  <si>
    <t>Interest Income</t>
  </si>
  <si>
    <t>Income Tax</t>
  </si>
  <si>
    <t>Net Income</t>
  </si>
  <si>
    <t>EPS</t>
  </si>
  <si>
    <t>Revenue YoY</t>
  </si>
  <si>
    <t>Gross Margin</t>
  </si>
  <si>
    <t>Operating Margin</t>
  </si>
  <si>
    <t>Tax Rate</t>
  </si>
  <si>
    <t xml:space="preserve">Advertising </t>
  </si>
  <si>
    <t>Other</t>
  </si>
  <si>
    <t>Apps</t>
  </si>
  <si>
    <t>Reality Labs</t>
  </si>
  <si>
    <t>Notes</t>
  </si>
  <si>
    <t>DAP Growth</t>
  </si>
  <si>
    <t>ARPP</t>
  </si>
  <si>
    <t>Ad Impressions</t>
  </si>
  <si>
    <t>Change in APPA</t>
  </si>
  <si>
    <t>Revenue:</t>
  </si>
  <si>
    <t xml:space="preserve">Ads </t>
  </si>
  <si>
    <t>Substantially all of the Revenue -&gt; Ads displayed on Facebook, Instagram, Messanger, Whats App and third party mobile apllications</t>
  </si>
  <si>
    <t>Whats App Buisness Platform, net fees from devolopers using Metas payment infrastructures and other</t>
  </si>
  <si>
    <t>Meta Orion Glasses in colloborations with Luxottica (Ray Ban)</t>
  </si>
  <si>
    <t>Apps: Facebook, Instagram, Messanger, Whats App, Theads</t>
  </si>
  <si>
    <t>Delivery of consumer hadware products such as Meta Quests, wearables, and related software content, Meta Horizon</t>
  </si>
  <si>
    <t>FY18</t>
  </si>
  <si>
    <t>FY19</t>
  </si>
  <si>
    <t>FY20</t>
  </si>
  <si>
    <t>FY21</t>
  </si>
  <si>
    <t>FY22</t>
  </si>
  <si>
    <t>FY23</t>
  </si>
  <si>
    <t>FY24</t>
  </si>
  <si>
    <t>FY25</t>
  </si>
  <si>
    <t>Cash and Cash Equivalents</t>
  </si>
  <si>
    <t>Marketable Securities</t>
  </si>
  <si>
    <t>Accounts receivables</t>
  </si>
  <si>
    <t>Prepaid expenses and other</t>
  </si>
  <si>
    <t>Current Assets</t>
  </si>
  <si>
    <t>Non-marketable securities</t>
  </si>
  <si>
    <t>PP&amp;E</t>
  </si>
  <si>
    <t>Operating Leases</t>
  </si>
  <si>
    <t xml:space="preserve">Goodwill </t>
  </si>
  <si>
    <t>Non-current Assets</t>
  </si>
  <si>
    <t>Total Assets</t>
  </si>
  <si>
    <t>Accounts payables</t>
  </si>
  <si>
    <t>Operating Lease Liabilties</t>
  </si>
  <si>
    <t>Accrued expenses</t>
  </si>
  <si>
    <t>Current Liabilities</t>
  </si>
  <si>
    <t>Tax Payables</t>
  </si>
  <si>
    <t xml:space="preserve">Other </t>
  </si>
  <si>
    <t>Non-current Liabilties</t>
  </si>
  <si>
    <t>Equity</t>
  </si>
  <si>
    <t>Total Liabilities</t>
  </si>
  <si>
    <t>Liabilities &amp; Equity</t>
  </si>
  <si>
    <t>D&amp;A</t>
  </si>
  <si>
    <t>Share-based compensations</t>
  </si>
  <si>
    <t>Deffered Income Taxes</t>
  </si>
  <si>
    <t>Data Center Assets abdondment</t>
  </si>
  <si>
    <t>Impairment for facilities consolid.</t>
  </si>
  <si>
    <t>Change in Prepaid Expenses</t>
  </si>
  <si>
    <t>Cahnge in other Assets</t>
  </si>
  <si>
    <t>Changes in AP</t>
  </si>
  <si>
    <t>Change in AR</t>
  </si>
  <si>
    <t>Change in accrued Expenses</t>
  </si>
  <si>
    <t>Change in other Liabilities</t>
  </si>
  <si>
    <t>Change in WC</t>
  </si>
  <si>
    <t>CFFO</t>
  </si>
  <si>
    <t>CFFI</t>
  </si>
  <si>
    <t>CapEx</t>
  </si>
  <si>
    <t>Purchase of MS</t>
  </si>
  <si>
    <t>Sale of MS</t>
  </si>
  <si>
    <t>Acquisiton of Intangibles</t>
  </si>
  <si>
    <t>Cash EoP</t>
  </si>
  <si>
    <t>Cash BoP</t>
  </si>
  <si>
    <t>Change in Cash</t>
  </si>
  <si>
    <t>FX Effect</t>
  </si>
  <si>
    <t>CFFF</t>
  </si>
  <si>
    <t>Taxes paid settlement of equity awards</t>
  </si>
  <si>
    <t>Stock Buybacks</t>
  </si>
  <si>
    <t>Dividends</t>
  </si>
  <si>
    <t>Issuance of Debt</t>
  </si>
  <si>
    <t>Lease Payments</t>
  </si>
  <si>
    <t>n.a.</t>
  </si>
  <si>
    <t>DAPs in billions</t>
  </si>
  <si>
    <t>Mangement</t>
  </si>
  <si>
    <t>CEO</t>
  </si>
  <si>
    <t>Mark Zuckerberg</t>
  </si>
  <si>
    <t>Javier Olivan</t>
  </si>
  <si>
    <t>COO</t>
  </si>
  <si>
    <t>CPO</t>
  </si>
  <si>
    <t>CLO</t>
  </si>
  <si>
    <t>Chris Cox</t>
  </si>
  <si>
    <t>Jennifer Newstead</t>
  </si>
  <si>
    <t>Founded:</t>
  </si>
  <si>
    <t>Employees:</t>
  </si>
  <si>
    <t>Cost of Capital</t>
  </si>
  <si>
    <t>Cost of Equity (CAPM)</t>
  </si>
  <si>
    <t>Riskfree Rate</t>
  </si>
  <si>
    <t>Expected Inflation</t>
  </si>
  <si>
    <t>=(1+Nominal Rate)/(1+Real Rate)-1</t>
  </si>
  <si>
    <t>Average Real Interest Rate</t>
  </si>
  <si>
    <t>= Average Interest Rate of the Past</t>
  </si>
  <si>
    <t>=Goverment Bond or Expected Inflation + Average Real Interest Rate</t>
  </si>
  <si>
    <t>Adjustments for Industry/Company Risk</t>
  </si>
  <si>
    <t xml:space="preserve">Raw Beta </t>
  </si>
  <si>
    <t>=Raw beta slope of regression line aginst total market -&gt; Ri= alpha + beta*Rm + standard error</t>
  </si>
  <si>
    <t>Debt to Value Ratio</t>
  </si>
  <si>
    <t>Value of Debt/Enterpries Value</t>
  </si>
  <si>
    <t>Unlevered Beta</t>
  </si>
  <si>
    <t>= Raw Beta* Debt-to-Equity Ratio (Book Value)</t>
  </si>
  <si>
    <t>Unlevered Industry Beta</t>
  </si>
  <si>
    <t>=Median of Peer Group</t>
  </si>
  <si>
    <t>Levered Industry Beta</t>
  </si>
  <si>
    <t>=Unlevered Industry Beta * Market Value of Debt to Market Value of Equity</t>
  </si>
  <si>
    <t>Expected Equity Risk Premium</t>
  </si>
  <si>
    <t>Estimated Future Market Return</t>
  </si>
  <si>
    <t>= 1/P/E * (1.g/ROE) + g , g = real growth in GDP, P/E =&gt; P/E ratio for S&amp;P500 or MSCI World Index, ROE = Average ROE in S&amp;P500 or MSCI World</t>
  </si>
  <si>
    <t>=&gt; ER(i)=rf+beta(i)*(Er(m)-rf)</t>
  </si>
  <si>
    <t>Cost of Debt</t>
  </si>
  <si>
    <t>Yield to Maturity on Trading Bonds</t>
  </si>
  <si>
    <t>=&gt; Price = Coupon/(1+YTM)+Coupon(1+YTM)^2 + … + (Face Value + Coupon)/(1+YTM)^n =&gt; solve for YTM</t>
  </si>
  <si>
    <t>or</t>
  </si>
  <si>
    <t>Credit Default Spread</t>
  </si>
  <si>
    <t>Country Rsik Premium</t>
  </si>
  <si>
    <t>Capital Structure</t>
  </si>
  <si>
    <t>Market Value of Debt</t>
  </si>
  <si>
    <t xml:space="preserve">Market Value of Equity </t>
  </si>
  <si>
    <t>Total  Enterprise Value</t>
  </si>
  <si>
    <t>Marginal Tax Rate</t>
  </si>
  <si>
    <t>WACC</t>
  </si>
  <si>
    <t>=&gt; WACC = (D/D+E)*kd * (1-t) + (E/D+E) * ke</t>
  </si>
  <si>
    <t>Change</t>
  </si>
  <si>
    <t>Ratios</t>
  </si>
  <si>
    <t>Shares o/s</t>
  </si>
  <si>
    <t>Market Cap</t>
  </si>
  <si>
    <t>Net Debt</t>
  </si>
  <si>
    <t>Value Driver</t>
  </si>
  <si>
    <t>Capital Emloyed</t>
  </si>
  <si>
    <t>=Long Term Assets + Working Capital (Exclusive of cash)-Accounts Payables</t>
  </si>
  <si>
    <t>=Net Working Capital + PP&amp;E + Other Net Operating Assets (net of Liabilties) + (Intangibles)</t>
  </si>
  <si>
    <t>Invested Capital (exl. Intangibles)</t>
  </si>
  <si>
    <t>Total Funds Invested</t>
  </si>
  <si>
    <t>Invested Capital + Non-Operating Assets</t>
  </si>
  <si>
    <t>NOPAT</t>
  </si>
  <si>
    <t>EBITA * (1-Marginal Tax Rate)</t>
  </si>
  <si>
    <t>Net Investment</t>
  </si>
  <si>
    <t>=Invested Capital (t+1)-Invested Capital (t)</t>
  </si>
  <si>
    <t>FCF</t>
  </si>
  <si>
    <t>=NOPAT + non-cash Expenses - Investments in Invested Capital</t>
  </si>
  <si>
    <t>Investment Rate</t>
  </si>
  <si>
    <t>=Net Investment/NOPAT</t>
  </si>
  <si>
    <t>Economic Profit</t>
  </si>
  <si>
    <t>=Invested Capital *(ROIC-WACC)</t>
  </si>
  <si>
    <t>Efficency-Ratios</t>
  </si>
  <si>
    <t>Capital Turnover</t>
  </si>
  <si>
    <t>=Revenue/Equity</t>
  </si>
  <si>
    <t>Return on Equity (ROE)</t>
  </si>
  <si>
    <t>=Net Income/Book Value of Equity</t>
  </si>
  <si>
    <t>Return on Capital Employed (ROCE)</t>
  </si>
  <si>
    <t>=EBIT/Capital Employed</t>
  </si>
  <si>
    <t>Return on Capital Invested (ROIC)</t>
  </si>
  <si>
    <t>=NOPAT/Invested Capital</t>
  </si>
  <si>
    <t>ROIC without Intangibles</t>
  </si>
  <si>
    <t>=NOPAT/(Invested Capital exclusive of Intangibles)</t>
  </si>
  <si>
    <t>Decomposed ROIC</t>
  </si>
  <si>
    <t>= ROIC = (1-operating cash tax)* (EBITA/Revenues) * (Revenue/Invested Capital)</t>
  </si>
  <si>
    <t>Retention Rate</t>
  </si>
  <si>
    <t>=1 - Dividends/Net Income</t>
  </si>
  <si>
    <t>Reinvestment Rate</t>
  </si>
  <si>
    <t>=Net CapEx + Change in WC / EBIT * (1-t)</t>
  </si>
  <si>
    <t>Epected Growth in Net Income</t>
  </si>
  <si>
    <t>=ROE * Retention Rate</t>
  </si>
  <si>
    <t>Expected Growth in NOPAT</t>
  </si>
  <si>
    <t>=ROIC * Reinvestment Rate</t>
  </si>
  <si>
    <t>Finacial Stability Ratios</t>
  </si>
  <si>
    <t>Equity/Debt Ratio</t>
  </si>
  <si>
    <t>=Book Value of Equtiy/Book Value of Debt</t>
  </si>
  <si>
    <t>Gearing</t>
  </si>
  <si>
    <t>=(Debt - Cash (Net Debt))/Book Value of Equity</t>
  </si>
  <si>
    <t>Interest Coverage Ratio</t>
  </si>
  <si>
    <t>=EBIT/Interest Expenses</t>
  </si>
  <si>
    <t>Net Debt / EBITDA</t>
  </si>
  <si>
    <t>=Net Debt/EBITDA</t>
  </si>
  <si>
    <t>Cash Burn Rate</t>
  </si>
  <si>
    <t>=Book Value of Equity/Absolute value of Loss</t>
  </si>
  <si>
    <t>WC-Managment Ratios</t>
  </si>
  <si>
    <t>Debitor-Duration</t>
  </si>
  <si>
    <t>=Accounts Receivables/Revenue*360</t>
  </si>
  <si>
    <t>Creditor-Duration</t>
  </si>
  <si>
    <t>=Accounts Payable/Revenue*360</t>
  </si>
  <si>
    <t>Inventory Intensity</t>
  </si>
  <si>
    <t>=Inventory/Balance Sheet Total</t>
  </si>
  <si>
    <t>Invetory Turnover</t>
  </si>
  <si>
    <t>=Cogs/Inventory</t>
  </si>
  <si>
    <t>Storage-Duration</t>
  </si>
  <si>
    <t>=360/Inventory Turnover</t>
  </si>
  <si>
    <t>Cash Conversion Cycle</t>
  </si>
  <si>
    <t>=Debitor Duration + Storage Duration - Creditor Duration</t>
  </si>
  <si>
    <t>Multipliers</t>
  </si>
  <si>
    <t>Equitymultiples</t>
  </si>
  <si>
    <t>P/E Ratio</t>
  </si>
  <si>
    <t>=Share Price/EPS</t>
  </si>
  <si>
    <t>PEG Ratio</t>
  </si>
  <si>
    <t>=P/E Ratio / Growth</t>
  </si>
  <si>
    <t>P/B Ratio</t>
  </si>
  <si>
    <t>=Market Cap/Book Vakue of Equity</t>
  </si>
  <si>
    <t>P/TB Ratio</t>
  </si>
  <si>
    <t>=Market Cap / Tangible Book Value</t>
  </si>
  <si>
    <t>P/Cf Ratio</t>
  </si>
  <si>
    <t>=Share Price/Cashflow per share</t>
  </si>
  <si>
    <t>P/R Ratio</t>
  </si>
  <si>
    <t>=Share Price/Revenue per Share</t>
  </si>
  <si>
    <t>Entitymultiples</t>
  </si>
  <si>
    <t>EV/EBITDA</t>
  </si>
  <si>
    <t>=EV/EBITDA</t>
  </si>
  <si>
    <t>EV/EBIT</t>
  </si>
  <si>
    <t>=EV/EBIT</t>
  </si>
  <si>
    <t>EV/FCF</t>
  </si>
  <si>
    <t>=EV/FCF</t>
  </si>
  <si>
    <t>EV/Sales</t>
  </si>
  <si>
    <t>=EV/Revenue</t>
  </si>
  <si>
    <t>Ticker</t>
  </si>
  <si>
    <t>Share Price</t>
  </si>
  <si>
    <t>Date</t>
  </si>
  <si>
    <t>Fair Share Price</t>
  </si>
  <si>
    <t>Scneario DCF Price</t>
  </si>
  <si>
    <t>End of FY</t>
  </si>
  <si>
    <t>Implied Upside</t>
  </si>
  <si>
    <t>Assumptions</t>
  </si>
  <si>
    <t>Switches</t>
  </si>
  <si>
    <t>Conservative Case</t>
  </si>
  <si>
    <t>Base Case</t>
  </si>
  <si>
    <t>Optimistic Case</t>
  </si>
  <si>
    <t>Assuptions</t>
  </si>
  <si>
    <t>Year</t>
  </si>
  <si>
    <t>Metic</t>
  </si>
  <si>
    <t xml:space="preserve">Revenue </t>
  </si>
  <si>
    <t>EBIT</t>
  </si>
  <si>
    <t>Implied Share Price</t>
  </si>
  <si>
    <t>TGR</t>
  </si>
  <si>
    <t>Probability</t>
  </si>
  <si>
    <t>ROIC</t>
  </si>
  <si>
    <t>Implied Share Price * p</t>
  </si>
  <si>
    <t>Valuation</t>
  </si>
  <si>
    <t>RONIC</t>
  </si>
  <si>
    <t>Model</t>
  </si>
  <si>
    <t>Growth (%)</t>
  </si>
  <si>
    <t xml:space="preserve">Base Case </t>
  </si>
  <si>
    <t>Optimisitic Case</t>
  </si>
  <si>
    <t>% of Sales</t>
  </si>
  <si>
    <t>Taxes</t>
  </si>
  <si>
    <t>Tax Rate (%)</t>
  </si>
  <si>
    <t>Nopat</t>
  </si>
  <si>
    <t>D&amp;A and other non-cash Expenses</t>
  </si>
  <si>
    <t>Unlevered Free Cashflow</t>
  </si>
  <si>
    <t>Present Value of unlevered FC</t>
  </si>
  <si>
    <t>Discount Period</t>
  </si>
  <si>
    <t>Sum of Present Value</t>
  </si>
  <si>
    <t>Terminal Value</t>
  </si>
  <si>
    <t>=&gt; CV(t) = NOPAT(t+1)*(1-g/RONIC)/(WACC - g) =&gt; equal pertuity formula: CV = FCF*(1+g) /(WACC-g)</t>
  </si>
  <si>
    <t>Present Value of TV</t>
  </si>
  <si>
    <t>Enterprise Value</t>
  </si>
  <si>
    <t>(+) Cash and other non-operating assets</t>
  </si>
  <si>
    <t>(-) Debt and other non-equity claims</t>
  </si>
  <si>
    <t>Equity Value</t>
  </si>
  <si>
    <t xml:space="preserve">Number of Shares </t>
  </si>
  <si>
    <t>Sensitivity Analysis</t>
  </si>
  <si>
    <t>ROINC</t>
  </si>
  <si>
    <t>META DCF</t>
  </si>
  <si>
    <t>Invested Capital (incl. Intangibles)</t>
  </si>
  <si>
    <t>2004 by Mark Zuckerberg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</si>
</sst>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#,##0;\(#,##0\)"/>
    <numFmt numFmtId="165" formatCode="#,##0.0;\(#,##0.0\)"/>
    <numFmt numFmtId="166" formatCode="#,##0.00;\(#,##0.00\)"/>
    <numFmt numFmtId="167" formatCode="\F\Y#,##0"/>
    <numFmt numFmtId="168" formatCode="#,##0.0;[Red]#,##0.0"/>
    <numFmt numFmtId="169" formatCode="#,##0.0"/>
    <numFmt numFmtId="170" formatCode="0.0%"/>
    <numFmt numFmtId="171" formatCode="&quot;FY&quot;0&quot;A&quot;"/>
    <numFmt numFmtId="172" formatCode="0.0"/>
  </numFmts>
  <fonts count="1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u/>
      <sz val="11"/>
      <name val="Aptos Narrow"/>
      <family val="2"/>
      <scheme val="minor"/>
    </font>
    <font>
      <sz val="11"/>
      <name val="Aptos Narrow"/>
      <family val="2"/>
      <scheme val="minor"/>
    </font>
    <font>
      <b/>
      <sz val="15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  <fill>
      <patternFill patternType="solid">
        <fgColor rgb="FFF1E9D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0" fontId="3" fillId="0" borderId="0" xfId="2"/>
    <xf numFmtId="164" fontId="2" fillId="0" borderId="0" xfId="0" applyNumberFormat="1" applyFont="1"/>
    <xf numFmtId="2" fontId="0" fillId="0" borderId="0" xfId="0" applyNumberFormat="1"/>
    <xf numFmtId="9" fontId="0" fillId="0" borderId="0" xfId="1" applyFont="1"/>
    <xf numFmtId="166" fontId="0" fillId="0" borderId="0" xfId="0" applyNumberFormat="1"/>
    <xf numFmtId="166" fontId="0" fillId="0" borderId="0" xfId="0" applyNumberFormat="1" applyAlignment="1">
      <alignment horizontal="right"/>
    </xf>
    <xf numFmtId="3" fontId="0" fillId="0" borderId="0" xfId="0" applyNumberFormat="1"/>
    <xf numFmtId="0" fontId="7" fillId="2" borderId="0" xfId="0" applyFont="1" applyFill="1"/>
    <xf numFmtId="0" fontId="9" fillId="0" borderId="0" xfId="0" applyFont="1"/>
    <xf numFmtId="0" fontId="0" fillId="0" borderId="0" xfId="0" quotePrefix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0" fillId="0" borderId="0" xfId="0" applyFont="1"/>
    <xf numFmtId="167" fontId="11" fillId="0" borderId="0" xfId="0" applyNumberFormat="1" applyFont="1" applyAlignment="1">
      <alignment horizontal="right"/>
    </xf>
    <xf numFmtId="0" fontId="11" fillId="0" borderId="0" xfId="0" applyFont="1"/>
    <xf numFmtId="9" fontId="0" fillId="0" borderId="0" xfId="0" applyNumberFormat="1"/>
    <xf numFmtId="2" fontId="0" fillId="0" borderId="0" xfId="0" applyNumberFormat="1" applyAlignment="1">
      <alignment horizontal="right"/>
    </xf>
    <xf numFmtId="168" fontId="0" fillId="0" borderId="0" xfId="0" applyNumberFormat="1"/>
    <xf numFmtId="0" fontId="3" fillId="0" borderId="6" xfId="2" applyBorder="1"/>
    <xf numFmtId="0" fontId="12" fillId="0" borderId="6" xfId="0" applyFont="1" applyBorder="1"/>
    <xf numFmtId="0" fontId="0" fillId="0" borderId="6" xfId="0" applyBorder="1"/>
    <xf numFmtId="0" fontId="0" fillId="0" borderId="7" xfId="0" applyBorder="1"/>
    <xf numFmtId="0" fontId="0" fillId="3" borderId="8" xfId="0" applyFill="1" applyBorder="1" applyAlignment="1">
      <alignment horizontal="center"/>
    </xf>
    <xf numFmtId="2" fontId="0" fillId="3" borderId="8" xfId="0" applyNumberFormat="1" applyFill="1" applyBorder="1" applyAlignment="1">
      <alignment horizontal="center"/>
    </xf>
    <xf numFmtId="169" fontId="0" fillId="3" borderId="9" xfId="1" applyNumberFormat="1" applyFon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9" fontId="0" fillId="3" borderId="9" xfId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7" fillId="4" borderId="0" xfId="0" applyFont="1" applyFill="1"/>
    <xf numFmtId="0" fontId="8" fillId="4" borderId="0" xfId="0" applyFont="1" applyFill="1"/>
    <xf numFmtId="170" fontId="0" fillId="3" borderId="9" xfId="1" applyNumberFormat="1" applyFont="1" applyFill="1" applyBorder="1" applyAlignment="1">
      <alignment horizontal="center"/>
    </xf>
    <xf numFmtId="171" fontId="7" fillId="2" borderId="0" xfId="0" applyNumberFormat="1" applyFont="1" applyFill="1"/>
    <xf numFmtId="0" fontId="13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13" fillId="0" borderId="0" xfId="0" applyFont="1"/>
    <xf numFmtId="9" fontId="13" fillId="0" borderId="0" xfId="1" applyFont="1"/>
    <xf numFmtId="170" fontId="0" fillId="3" borderId="9" xfId="1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5" borderId="2" xfId="0" applyFont="1" applyFill="1" applyBorder="1"/>
    <xf numFmtId="164" fontId="2" fillId="5" borderId="2" xfId="0" applyNumberFormat="1" applyFont="1" applyFill="1" applyBorder="1"/>
    <xf numFmtId="164" fontId="2" fillId="5" borderId="3" xfId="0" applyNumberFormat="1" applyFont="1" applyFill="1" applyBorder="1"/>
    <xf numFmtId="170" fontId="13" fillId="0" borderId="0" xfId="1" applyNumberFormat="1" applyFont="1"/>
    <xf numFmtId="170" fontId="13" fillId="0" borderId="0" xfId="0" applyNumberFormat="1" applyFont="1"/>
    <xf numFmtId="168" fontId="2" fillId="5" borderId="10" xfId="0" applyNumberFormat="1" applyFont="1" applyFill="1" applyBorder="1"/>
    <xf numFmtId="168" fontId="2" fillId="5" borderId="11" xfId="0" applyNumberFormat="1" applyFont="1" applyFill="1" applyBorder="1"/>
    <xf numFmtId="164" fontId="2" fillId="5" borderId="11" xfId="0" applyNumberFormat="1" applyFont="1" applyFill="1" applyBorder="1"/>
    <xf numFmtId="164" fontId="2" fillId="5" borderId="12" xfId="0" applyNumberFormat="1" applyFont="1" applyFill="1" applyBorder="1"/>
    <xf numFmtId="168" fontId="2" fillId="5" borderId="13" xfId="0" applyNumberFormat="1" applyFont="1" applyFill="1" applyBorder="1"/>
    <xf numFmtId="168" fontId="2" fillId="5" borderId="6" xfId="0" applyNumberFormat="1" applyFont="1" applyFill="1" applyBorder="1"/>
    <xf numFmtId="164" fontId="2" fillId="5" borderId="6" xfId="0" applyNumberFormat="1" applyFont="1" applyFill="1" applyBorder="1"/>
    <xf numFmtId="164" fontId="2" fillId="5" borderId="14" xfId="0" applyNumberFormat="1" applyFont="1" applyFill="1" applyBorder="1"/>
    <xf numFmtId="168" fontId="0" fillId="0" borderId="6" xfId="0" applyNumberFormat="1" applyBorder="1"/>
    <xf numFmtId="168" fontId="0" fillId="0" borderId="6" xfId="0" applyNumberFormat="1" applyBorder="1" applyAlignment="1">
      <alignment horizontal="right"/>
    </xf>
    <xf numFmtId="168" fontId="0" fillId="0" borderId="2" xfId="0" applyNumberFormat="1" applyBorder="1"/>
    <xf numFmtId="168" fontId="0" fillId="0" borderId="2" xfId="0" applyNumberFormat="1" applyBorder="1" applyAlignment="1">
      <alignment horizontal="right"/>
    </xf>
    <xf numFmtId="168" fontId="0" fillId="0" borderId="0" xfId="0" applyNumberFormat="1" applyAlignment="1">
      <alignment horizontal="right"/>
    </xf>
    <xf numFmtId="0" fontId="0" fillId="6" borderId="10" xfId="0" applyFill="1" applyBorder="1"/>
    <xf numFmtId="2" fontId="14" fillId="6" borderId="11" xfId="0" applyNumberFormat="1" applyFont="1" applyFill="1" applyBorder="1"/>
    <xf numFmtId="170" fontId="7" fillId="6" borderId="11" xfId="0" applyNumberFormat="1" applyFont="1" applyFill="1" applyBorder="1"/>
    <xf numFmtId="170" fontId="7" fillId="6" borderId="0" xfId="0" applyNumberFormat="1" applyFont="1" applyFill="1"/>
    <xf numFmtId="172" fontId="0" fillId="0" borderId="0" xfId="0" applyNumberFormat="1"/>
    <xf numFmtId="172" fontId="2" fillId="0" borderId="0" xfId="0" applyNumberFormat="1" applyFont="1"/>
    <xf numFmtId="16" fontId="0" fillId="3" borderId="9" xfId="0" applyNumberFormat="1" applyFill="1" applyBorder="1" applyAlignment="1">
      <alignment horizontal="center"/>
    </xf>
    <xf numFmtId="170" fontId="0" fillId="0" borderId="0" xfId="1" applyNumberFormat="1" applyFont="1"/>
    <xf numFmtId="0" fontId="2" fillId="6" borderId="11" xfId="0" applyFont="1" applyFill="1" applyBorder="1" applyAlignment="1">
      <alignment horizontal="center"/>
    </xf>
    <xf numFmtId="0" fontId="2" fillId="6" borderId="1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 vertical="center" textRotation="90"/>
    </xf>
    <xf numFmtId="0" fontId="2" fillId="6" borderId="5" xfId="0" applyFont="1" applyFill="1" applyBorder="1" applyAlignment="1">
      <alignment horizontal="center" vertical="center" textRotation="90"/>
    </xf>
  </cellXfs>
  <cellStyles count="3">
    <cellStyle name="Hyperlink" xfId="2" builtinId="8"/>
    <cellStyle name="Normal" xfId="0" builtinId="0"/>
    <cellStyle name="Per cent" xfId="1" builtinId="5"/>
  </cellStyles>
  <dxfs count="4"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604838</xdr:colOff>
      <xdr:row>0</xdr:row>
      <xdr:rowOff>161925</xdr:rowOff>
    </xdr:from>
    <xdr:to>
      <xdr:col>18</xdr:col>
      <xdr:colOff>14285</xdr:colOff>
      <xdr:row>31</xdr:row>
      <xdr:rowOff>52388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DD891988-A6BD-5DA1-5E16-87BD1DA0E9AD}"/>
            </a:ext>
          </a:extLst>
        </xdr:cNvPr>
        <xdr:cNvCxnSpPr/>
      </xdr:nvCxnSpPr>
      <xdr:spPr>
        <a:xfrm flipH="1">
          <a:off x="12044363" y="161925"/>
          <a:ext cx="19047" cy="579596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14288</xdr:colOff>
      <xdr:row>0</xdr:row>
      <xdr:rowOff>187324</xdr:rowOff>
    </xdr:from>
    <xdr:to>
      <xdr:col>9</xdr:col>
      <xdr:colOff>14288</xdr:colOff>
      <xdr:row>61</xdr:row>
      <xdr:rowOff>41274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BD8C75B1-9544-4DBC-9A4E-B7B5DAE91DF1}"/>
            </a:ext>
          </a:extLst>
        </xdr:cNvPr>
        <xdr:cNvCxnSpPr/>
      </xdr:nvCxnSpPr>
      <xdr:spPr>
        <a:xfrm>
          <a:off x="6805613" y="187324"/>
          <a:ext cx="0" cy="114744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vestor.atmeta.com/home/default.asp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4D475-5E7D-486D-B992-BB5391B55D2A}">
  <dimension ref="A1:J21"/>
  <sheetViews>
    <sheetView tabSelected="1" zoomScale="200" zoomScaleNormal="200" workbookViewId="0">
      <selection activeCell="B12" sqref="B12"/>
    </sheetView>
  </sheetViews>
  <sheetFormatPr defaultRowHeight="15" x14ac:dyDescent="0.25"/>
  <cols>
    <col min="1" max="1" width="4" customWidth="1"/>
    <col min="2" max="2" width="10.140625" customWidth="1"/>
    <col min="9" max="9" width="9.5703125" bestFit="1" customWidth="1"/>
  </cols>
  <sheetData>
    <row r="1" spans="1:10" x14ac:dyDescent="0.25">
      <c r="A1" s="1" t="s">
        <v>0</v>
      </c>
    </row>
    <row r="2" spans="1:10" x14ac:dyDescent="0.25">
      <c r="A2" t="s">
        <v>1</v>
      </c>
      <c r="H2" t="s">
        <v>5</v>
      </c>
      <c r="I2" s="5">
        <v>518</v>
      </c>
    </row>
    <row r="3" spans="1:10" x14ac:dyDescent="0.25">
      <c r="H3" t="s">
        <v>6</v>
      </c>
      <c r="I3" s="4">
        <f>2189.898148+343.761117</f>
        <v>2533.6592650000002</v>
      </c>
      <c r="J3" s="6" t="s">
        <v>19</v>
      </c>
    </row>
    <row r="4" spans="1:10" x14ac:dyDescent="0.25">
      <c r="B4" t="s">
        <v>3</v>
      </c>
      <c r="H4" t="s">
        <v>7</v>
      </c>
      <c r="I4" s="4">
        <f>I2*I3</f>
        <v>1312435.49927</v>
      </c>
    </row>
    <row r="5" spans="1:10" x14ac:dyDescent="0.25">
      <c r="B5" s="7" t="s">
        <v>4</v>
      </c>
      <c r="H5" t="s">
        <v>8</v>
      </c>
      <c r="I5" s="4">
        <f>43889+33926</f>
        <v>77815</v>
      </c>
      <c r="J5" s="6" t="s">
        <v>19</v>
      </c>
    </row>
    <row r="6" spans="1:10" x14ac:dyDescent="0.25">
      <c r="A6" s="2"/>
      <c r="B6" s="3"/>
      <c r="H6" t="s">
        <v>9</v>
      </c>
      <c r="I6" s="4">
        <v>28826</v>
      </c>
      <c r="J6" s="6" t="s">
        <v>19</v>
      </c>
    </row>
    <row r="7" spans="1:10" x14ac:dyDescent="0.25">
      <c r="A7" s="2" t="s">
        <v>2</v>
      </c>
      <c r="B7" s="1" t="s">
        <v>111</v>
      </c>
      <c r="H7" t="s">
        <v>11</v>
      </c>
      <c r="I7" s="4">
        <f>I4-I5+I6</f>
        <v>1263446.49927</v>
      </c>
    </row>
    <row r="8" spans="1:10" x14ac:dyDescent="0.25">
      <c r="B8" t="s">
        <v>112</v>
      </c>
      <c r="C8" t="s">
        <v>113</v>
      </c>
    </row>
    <row r="9" spans="1:10" x14ac:dyDescent="0.25">
      <c r="B9" t="s">
        <v>115</v>
      </c>
      <c r="C9" t="s">
        <v>114</v>
      </c>
      <c r="H9" t="s">
        <v>120</v>
      </c>
      <c r="I9" t="s">
        <v>297</v>
      </c>
    </row>
    <row r="10" spans="1:10" x14ac:dyDescent="0.25">
      <c r="B10" t="s">
        <v>116</v>
      </c>
      <c r="C10" t="s">
        <v>118</v>
      </c>
      <c r="H10" t="s">
        <v>121</v>
      </c>
      <c r="I10" s="13">
        <v>74067</v>
      </c>
    </row>
    <row r="11" spans="1:10" x14ac:dyDescent="0.25">
      <c r="B11" t="s">
        <v>117</v>
      </c>
      <c r="C11" t="s">
        <v>119</v>
      </c>
    </row>
    <row r="15" spans="1:10" x14ac:dyDescent="0.25">
      <c r="A15" s="2" t="s">
        <v>2</v>
      </c>
      <c r="B15" s="3" t="s">
        <v>40</v>
      </c>
    </row>
    <row r="16" spans="1:10" x14ac:dyDescent="0.25">
      <c r="B16" t="s">
        <v>50</v>
      </c>
    </row>
    <row r="17" spans="2:3" x14ac:dyDescent="0.25">
      <c r="B17" t="s">
        <v>45</v>
      </c>
    </row>
    <row r="18" spans="2:3" x14ac:dyDescent="0.25">
      <c r="B18" t="s">
        <v>46</v>
      </c>
      <c r="C18" t="s">
        <v>47</v>
      </c>
    </row>
    <row r="19" spans="2:3" x14ac:dyDescent="0.25">
      <c r="B19" t="s">
        <v>37</v>
      </c>
      <c r="C19" t="s">
        <v>48</v>
      </c>
    </row>
    <row r="20" spans="2:3" x14ac:dyDescent="0.25">
      <c r="B20" t="s">
        <v>39</v>
      </c>
      <c r="C20" t="s">
        <v>51</v>
      </c>
    </row>
    <row r="21" spans="2:3" x14ac:dyDescent="0.25">
      <c r="C21" t="s">
        <v>49</v>
      </c>
    </row>
  </sheetData>
  <hyperlinks>
    <hyperlink ref="B5" r:id="rId1" xr:uid="{668AC949-6C67-4F1B-BD8C-CBD0C73116F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46C3B-9DA1-408F-AD58-F1C27A59B54A}">
  <dimension ref="A1:DS702"/>
  <sheetViews>
    <sheetView zoomScale="200" zoomScaleNormal="200" workbookViewId="0">
      <pane xSplit="2" ySplit="2" topLeftCell="U6" activePane="bottomRight" state="frozen"/>
      <selection pane="topRight" activeCell="C1" sqref="C1"/>
      <selection pane="bottomLeft" activeCell="A3" sqref="A3"/>
      <selection pane="bottomRight" activeCell="W12" sqref="W12"/>
    </sheetView>
  </sheetViews>
  <sheetFormatPr defaultRowHeight="15" x14ac:dyDescent="0.25"/>
  <cols>
    <col min="1" max="1" width="4.7109375" bestFit="1" customWidth="1"/>
    <col min="2" max="2" width="29.7109375" bestFit="1" customWidth="1"/>
  </cols>
  <sheetData>
    <row r="1" spans="1:123" x14ac:dyDescent="0.25">
      <c r="A1" s="7" t="s">
        <v>12</v>
      </c>
    </row>
    <row r="2" spans="1:123" x14ac:dyDescent="0.25">
      <c r="C2" s="6" t="s">
        <v>13</v>
      </c>
      <c r="D2" s="6" t="s">
        <v>14</v>
      </c>
      <c r="E2" s="6" t="s">
        <v>16</v>
      </c>
      <c r="F2" s="6" t="s">
        <v>17</v>
      </c>
      <c r="G2" s="6" t="s">
        <v>18</v>
      </c>
      <c r="H2" s="6" t="s">
        <v>10</v>
      </c>
      <c r="I2" s="6" t="s">
        <v>15</v>
      </c>
      <c r="J2" s="6" t="s">
        <v>19</v>
      </c>
      <c r="L2" s="6" t="s">
        <v>52</v>
      </c>
      <c r="M2" s="6" t="s">
        <v>53</v>
      </c>
      <c r="N2" s="6" t="s">
        <v>54</v>
      </c>
      <c r="O2" s="6" t="s">
        <v>55</v>
      </c>
      <c r="P2" s="6" t="s">
        <v>56</v>
      </c>
      <c r="Q2" s="6" t="s">
        <v>57</v>
      </c>
      <c r="R2" s="6" t="s">
        <v>58</v>
      </c>
      <c r="S2" s="6" t="s">
        <v>59</v>
      </c>
    </row>
    <row r="3" spans="1:123" x14ac:dyDescent="0.25">
      <c r="B3" t="s">
        <v>110</v>
      </c>
      <c r="C3" s="11">
        <v>3.02</v>
      </c>
      <c r="D3" s="11">
        <v>3.07</v>
      </c>
      <c r="E3" s="11">
        <v>3.14</v>
      </c>
      <c r="F3" s="11">
        <v>3.19</v>
      </c>
      <c r="G3" s="11">
        <v>3.24</v>
      </c>
      <c r="H3" s="11">
        <v>3.27</v>
      </c>
      <c r="I3" s="11">
        <v>3.29</v>
      </c>
      <c r="J3" s="11">
        <v>3.35</v>
      </c>
      <c r="K3" s="11"/>
      <c r="L3" s="11">
        <v>2.0299999999999998</v>
      </c>
      <c r="M3" s="11">
        <v>2.2599999999999998</v>
      </c>
      <c r="N3" s="11">
        <v>2.6</v>
      </c>
      <c r="O3" s="11">
        <v>2.82</v>
      </c>
      <c r="P3" s="11">
        <v>2.96</v>
      </c>
      <c r="Q3" s="11">
        <v>3.19</v>
      </c>
      <c r="R3" s="11">
        <v>3.35</v>
      </c>
      <c r="S3" s="11"/>
    </row>
    <row r="4" spans="1:123" x14ac:dyDescent="0.25">
      <c r="B4" t="s">
        <v>42</v>
      </c>
      <c r="C4" s="5">
        <f t="shared" ref="C4:G4" si="0">C10/(C3*1000)</f>
        <v>9.3728476821192057</v>
      </c>
      <c r="D4" s="5">
        <f t="shared" si="0"/>
        <v>10.333224755700325</v>
      </c>
      <c r="E4" s="5">
        <f t="shared" si="0"/>
        <v>1.0815286624203821</v>
      </c>
      <c r="F4" s="5">
        <f t="shared" si="0"/>
        <v>21.812225705329155</v>
      </c>
      <c r="G4" s="5">
        <f t="shared" si="0"/>
        <v>11.11574074074074</v>
      </c>
      <c r="H4" s="5">
        <f>H10/(H3*1000)</f>
        <v>11.840366972477064</v>
      </c>
      <c r="I4" s="5">
        <f t="shared" ref="I4:R4" si="1">I10/(I3*1000)</f>
        <v>12.255015197568389</v>
      </c>
      <c r="J4" s="5">
        <f t="shared" si="1"/>
        <v>14.120298507462687</v>
      </c>
      <c r="K4" s="11"/>
      <c r="L4" s="5">
        <f t="shared" si="1"/>
        <v>27.506403940886702</v>
      </c>
      <c r="M4" s="5">
        <f t="shared" si="1"/>
        <v>31.281858407079646</v>
      </c>
      <c r="N4" s="5">
        <f t="shared" si="1"/>
        <v>32.625384615384618</v>
      </c>
      <c r="O4" s="5">
        <f t="shared" si="1"/>
        <v>41.012411347517734</v>
      </c>
      <c r="P4" s="5">
        <f t="shared" si="1"/>
        <v>38.66554054054054</v>
      </c>
      <c r="Q4" s="5">
        <f t="shared" si="1"/>
        <v>41.694670846394985</v>
      </c>
      <c r="R4" s="5">
        <f t="shared" si="1"/>
        <v>48.464179104477608</v>
      </c>
      <c r="S4" s="11"/>
    </row>
    <row r="5" spans="1:123" x14ac:dyDescent="0.25">
      <c r="B5" t="s">
        <v>43</v>
      </c>
      <c r="C5" s="10">
        <v>0.26</v>
      </c>
      <c r="D5" s="10">
        <v>0.34</v>
      </c>
      <c r="E5" s="10">
        <v>0.31</v>
      </c>
      <c r="F5" s="10">
        <v>0.21</v>
      </c>
      <c r="G5" s="10">
        <v>0.2</v>
      </c>
      <c r="H5" s="10">
        <v>0.1</v>
      </c>
      <c r="I5" s="10">
        <v>7.0000000000000007E-2</v>
      </c>
      <c r="J5" s="10">
        <v>0.06</v>
      </c>
      <c r="K5" s="11"/>
      <c r="L5" s="12" t="s">
        <v>109</v>
      </c>
      <c r="M5" s="12" t="s">
        <v>109</v>
      </c>
      <c r="N5" s="12" t="s">
        <v>109</v>
      </c>
      <c r="O5" s="12" t="s">
        <v>109</v>
      </c>
      <c r="P5" s="10">
        <v>0.26</v>
      </c>
      <c r="Q5" s="10">
        <v>0.21</v>
      </c>
      <c r="R5" s="10">
        <v>0.06</v>
      </c>
      <c r="S5" s="11"/>
    </row>
    <row r="6" spans="1:123" x14ac:dyDescent="0.25">
      <c r="B6" t="s">
        <v>44</v>
      </c>
      <c r="C6" s="10">
        <v>-0.17</v>
      </c>
      <c r="D6" s="10">
        <v>-0.16</v>
      </c>
      <c r="E6" s="10">
        <v>-0.06</v>
      </c>
      <c r="F6" s="10">
        <v>0.02</v>
      </c>
      <c r="G6" s="10">
        <v>0.06</v>
      </c>
      <c r="H6" s="10">
        <v>0.1</v>
      </c>
      <c r="I6" s="10">
        <v>0.11</v>
      </c>
      <c r="J6" s="10">
        <v>0.14000000000000001</v>
      </c>
      <c r="K6" s="4"/>
      <c r="L6" s="12" t="s">
        <v>109</v>
      </c>
      <c r="M6" s="12" t="s">
        <v>109</v>
      </c>
      <c r="N6" s="12" t="s">
        <v>109</v>
      </c>
      <c r="O6" s="12" t="s">
        <v>109</v>
      </c>
      <c r="P6" s="10">
        <v>-0.17</v>
      </c>
      <c r="Q6" s="10">
        <v>0.02</v>
      </c>
      <c r="R6" s="10">
        <v>0.14000000000000001</v>
      </c>
    </row>
    <row r="7" spans="1:123" x14ac:dyDescent="0.25"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23" x14ac:dyDescent="0.25">
      <c r="B8" t="s">
        <v>36</v>
      </c>
      <c r="C8" s="4">
        <v>28101</v>
      </c>
      <c r="D8" s="4">
        <v>31498</v>
      </c>
      <c r="E8" s="4">
        <v>33643</v>
      </c>
      <c r="F8" s="4">
        <f>+Q8-SUM(C8:E8)</f>
        <v>38706</v>
      </c>
      <c r="G8" s="4">
        <v>35635</v>
      </c>
      <c r="H8" s="4">
        <v>38329</v>
      </c>
      <c r="I8" s="4">
        <v>39885</v>
      </c>
      <c r="J8" s="4">
        <f>+R8-SUM(G8:I8)</f>
        <v>46784</v>
      </c>
      <c r="K8" s="4"/>
      <c r="L8" s="4">
        <v>55013</v>
      </c>
      <c r="M8" s="4">
        <v>69655</v>
      </c>
      <c r="N8" s="4">
        <v>84169</v>
      </c>
      <c r="O8" s="4">
        <v>114934</v>
      </c>
      <c r="P8" s="4">
        <v>113642</v>
      </c>
      <c r="Q8" s="4">
        <v>131948</v>
      </c>
      <c r="R8" s="4">
        <v>160633</v>
      </c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</row>
    <row r="9" spans="1:123" x14ac:dyDescent="0.25">
      <c r="B9" t="s">
        <v>37</v>
      </c>
      <c r="C9" s="4">
        <v>205</v>
      </c>
      <c r="D9" s="4">
        <v>225</v>
      </c>
      <c r="E9" s="4">
        <v>293</v>
      </c>
      <c r="F9" s="4">
        <f t="shared" ref="F9:F21" si="2">+Q9-SUM(C9:E9)</f>
        <v>335</v>
      </c>
      <c r="G9" s="4">
        <v>380</v>
      </c>
      <c r="H9" s="4">
        <v>389</v>
      </c>
      <c r="I9" s="4">
        <v>434</v>
      </c>
      <c r="J9" s="4">
        <f t="shared" ref="J9:J21" si="3">+R9-SUM(G9:I9)</f>
        <v>519</v>
      </c>
      <c r="K9" s="4"/>
      <c r="L9" s="4">
        <v>825</v>
      </c>
      <c r="M9" s="4">
        <v>1042</v>
      </c>
      <c r="N9" s="4">
        <v>657</v>
      </c>
      <c r="O9" s="4">
        <v>721</v>
      </c>
      <c r="P9" s="4">
        <v>808</v>
      </c>
      <c r="Q9" s="4">
        <v>1058</v>
      </c>
      <c r="R9" s="4">
        <v>1722</v>
      </c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</row>
    <row r="10" spans="1:123" x14ac:dyDescent="0.25">
      <c r="B10" t="s">
        <v>38</v>
      </c>
      <c r="C10" s="4">
        <v>28306</v>
      </c>
      <c r="D10" s="4">
        <v>31723</v>
      </c>
      <c r="E10" s="4">
        <v>3396</v>
      </c>
      <c r="F10" s="4">
        <f t="shared" si="2"/>
        <v>69581</v>
      </c>
      <c r="G10" s="4">
        <v>36015</v>
      </c>
      <c r="H10" s="4">
        <v>38718</v>
      </c>
      <c r="I10" s="4">
        <v>40319</v>
      </c>
      <c r="J10" s="4">
        <f t="shared" si="3"/>
        <v>47303</v>
      </c>
      <c r="K10" s="4"/>
      <c r="L10" s="4">
        <v>55838</v>
      </c>
      <c r="M10" s="4">
        <v>70697</v>
      </c>
      <c r="N10" s="4">
        <v>84826</v>
      </c>
      <c r="O10" s="4">
        <v>115655</v>
      </c>
      <c r="P10" s="4">
        <v>114450</v>
      </c>
      <c r="Q10" s="4">
        <v>133006</v>
      </c>
      <c r="R10" s="4">
        <v>162355</v>
      </c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</row>
    <row r="11" spans="1:123" x14ac:dyDescent="0.25">
      <c r="B11" t="s">
        <v>39</v>
      </c>
      <c r="C11" s="4">
        <v>3339</v>
      </c>
      <c r="D11" s="4">
        <v>276</v>
      </c>
      <c r="E11" s="4">
        <v>210</v>
      </c>
      <c r="F11" s="4">
        <f t="shared" si="2"/>
        <v>-1929</v>
      </c>
      <c r="G11" s="4">
        <v>440</v>
      </c>
      <c r="H11" s="4">
        <v>353</v>
      </c>
      <c r="I11" s="4">
        <v>270</v>
      </c>
      <c r="J11" s="4">
        <f t="shared" si="3"/>
        <v>1083</v>
      </c>
      <c r="K11" s="4"/>
      <c r="L11" s="4">
        <v>0</v>
      </c>
      <c r="M11" s="4">
        <v>0</v>
      </c>
      <c r="N11" s="4">
        <v>1139</v>
      </c>
      <c r="O11" s="4">
        <v>2274</v>
      </c>
      <c r="P11" s="4">
        <v>2159</v>
      </c>
      <c r="Q11" s="4">
        <v>1896</v>
      </c>
      <c r="R11" s="4">
        <v>2146</v>
      </c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</row>
    <row r="12" spans="1:123" x14ac:dyDescent="0.25">
      <c r="B12" s="1" t="s">
        <v>20</v>
      </c>
      <c r="C12" s="8">
        <v>28645</v>
      </c>
      <c r="D12" s="8">
        <v>31999</v>
      </c>
      <c r="E12" s="8">
        <v>34146</v>
      </c>
      <c r="F12" s="8">
        <f t="shared" si="2"/>
        <v>40112</v>
      </c>
      <c r="G12" s="8">
        <v>36455</v>
      </c>
      <c r="H12" s="8">
        <v>39071</v>
      </c>
      <c r="I12" s="8">
        <v>40589</v>
      </c>
      <c r="J12" s="8">
        <f t="shared" si="3"/>
        <v>48386</v>
      </c>
      <c r="K12" s="4"/>
      <c r="L12" s="8">
        <v>55838</v>
      </c>
      <c r="M12" s="8">
        <v>70697</v>
      </c>
      <c r="N12" s="8">
        <v>85965</v>
      </c>
      <c r="O12" s="8">
        <v>117929</v>
      </c>
      <c r="P12" s="8">
        <v>116609</v>
      </c>
      <c r="Q12" s="8">
        <v>134902</v>
      </c>
      <c r="R12" s="8">
        <v>164501</v>
      </c>
      <c r="S12" s="8">
        <v>188160</v>
      </c>
      <c r="T12" s="8">
        <v>213520</v>
      </c>
      <c r="U12" s="8">
        <f>+T12*(1+U28)</f>
        <v>239420.19387755101</v>
      </c>
      <c r="V12" s="8">
        <f t="shared" ref="V12:AA12" si="4">+U12*(1+V28)</f>
        <v>265557.91631885146</v>
      </c>
      <c r="W12" s="8">
        <f t="shared" si="4"/>
        <v>291649.99776267476</v>
      </c>
      <c r="X12" s="8">
        <f t="shared" si="4"/>
        <v>317440.15322171937</v>
      </c>
      <c r="Y12" s="8">
        <f t="shared" si="4"/>
        <v>342703.81811800256</v>
      </c>
      <c r="Z12" s="8">
        <f t="shared" si="4"/>
        <v>367250.67804912943</v>
      </c>
      <c r="AA12" s="8">
        <f t="shared" si="4"/>
        <v>390925.24900334439</v>
      </c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</row>
    <row r="13" spans="1:123" x14ac:dyDescent="0.25">
      <c r="B13" t="s">
        <v>21</v>
      </c>
      <c r="C13" s="4">
        <v>6108</v>
      </c>
      <c r="D13" s="4">
        <v>5945</v>
      </c>
      <c r="E13" s="4">
        <v>6210</v>
      </c>
      <c r="F13" s="4">
        <f t="shared" si="2"/>
        <v>7696</v>
      </c>
      <c r="G13" s="4">
        <v>6640</v>
      </c>
      <c r="H13" s="4">
        <v>7308</v>
      </c>
      <c r="I13" s="4">
        <v>7375</v>
      </c>
      <c r="J13" s="4">
        <f t="shared" si="3"/>
        <v>8838</v>
      </c>
      <c r="K13" s="4"/>
      <c r="L13" s="4">
        <v>9355</v>
      </c>
      <c r="M13" s="4">
        <v>12770</v>
      </c>
      <c r="N13" s="4">
        <v>16692</v>
      </c>
      <c r="O13" s="4">
        <v>22649</v>
      </c>
      <c r="P13" s="4">
        <v>25249</v>
      </c>
      <c r="Q13" s="4">
        <v>25959</v>
      </c>
      <c r="R13" s="4">
        <v>30161</v>
      </c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</row>
    <row r="14" spans="1:123" x14ac:dyDescent="0.25">
      <c r="B14" t="s">
        <v>22</v>
      </c>
      <c r="C14" s="4">
        <f t="shared" ref="C14:G14" si="5">C12-C13</f>
        <v>22537</v>
      </c>
      <c r="D14" s="4">
        <f>D12-D13</f>
        <v>26054</v>
      </c>
      <c r="E14" s="4">
        <f t="shared" si="5"/>
        <v>27936</v>
      </c>
      <c r="F14" s="4">
        <f t="shared" si="5"/>
        <v>32416</v>
      </c>
      <c r="G14" s="4">
        <f t="shared" si="5"/>
        <v>29815</v>
      </c>
      <c r="H14" s="4">
        <f>H12-H13</f>
        <v>31763</v>
      </c>
      <c r="I14" s="4">
        <f t="shared" ref="I14:S14" si="6">I12-I13</f>
        <v>33214</v>
      </c>
      <c r="J14" s="4">
        <f t="shared" si="6"/>
        <v>39548</v>
      </c>
      <c r="K14" s="4"/>
      <c r="L14" s="4">
        <f t="shared" si="6"/>
        <v>46483</v>
      </c>
      <c r="M14" s="4">
        <f t="shared" si="6"/>
        <v>57927</v>
      </c>
      <c r="N14" s="4">
        <f t="shared" si="6"/>
        <v>69273</v>
      </c>
      <c r="O14" s="4">
        <f t="shared" si="6"/>
        <v>95280</v>
      </c>
      <c r="P14" s="4">
        <f t="shared" si="6"/>
        <v>91360</v>
      </c>
      <c r="Q14" s="4">
        <f t="shared" si="6"/>
        <v>108943</v>
      </c>
      <c r="R14" s="4">
        <f t="shared" si="6"/>
        <v>134340</v>
      </c>
      <c r="S14" s="4">
        <f t="shared" si="6"/>
        <v>188160</v>
      </c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</row>
    <row r="15" spans="1:123" x14ac:dyDescent="0.25">
      <c r="B15" t="s">
        <v>23</v>
      </c>
      <c r="C15" s="4">
        <v>9381</v>
      </c>
      <c r="D15" s="4">
        <v>9344</v>
      </c>
      <c r="E15" s="4">
        <v>9241</v>
      </c>
      <c r="F15" s="4">
        <f t="shared" si="2"/>
        <v>10517</v>
      </c>
      <c r="G15" s="4">
        <v>9978</v>
      </c>
      <c r="H15" s="4">
        <v>10537</v>
      </c>
      <c r="I15" s="4">
        <v>11177</v>
      </c>
      <c r="J15" s="4">
        <f t="shared" si="3"/>
        <v>12181</v>
      </c>
      <c r="K15" s="4"/>
      <c r="L15" s="4">
        <v>10273</v>
      </c>
      <c r="M15" s="4">
        <v>13600</v>
      </c>
      <c r="N15" s="4">
        <v>18447</v>
      </c>
      <c r="O15" s="4">
        <v>24655</v>
      </c>
      <c r="P15" s="4">
        <v>35338</v>
      </c>
      <c r="Q15" s="4">
        <v>38483</v>
      </c>
      <c r="R15" s="4">
        <v>43873</v>
      </c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</row>
    <row r="16" spans="1:123" x14ac:dyDescent="0.25">
      <c r="B16" t="s">
        <v>24</v>
      </c>
      <c r="C16" s="4">
        <v>3044</v>
      </c>
      <c r="D16" s="4">
        <v>3154</v>
      </c>
      <c r="E16" s="4">
        <v>2877</v>
      </c>
      <c r="F16" s="4">
        <f t="shared" si="2"/>
        <v>3226</v>
      </c>
      <c r="G16" s="4">
        <v>2564</v>
      </c>
      <c r="H16" s="4">
        <v>2721</v>
      </c>
      <c r="I16" s="4">
        <v>2822</v>
      </c>
      <c r="J16" s="4">
        <f t="shared" si="3"/>
        <v>3240</v>
      </c>
      <c r="K16" s="4"/>
      <c r="L16" s="4">
        <v>7846</v>
      </c>
      <c r="M16" s="4">
        <v>9876</v>
      </c>
      <c r="N16" s="4">
        <v>11591</v>
      </c>
      <c r="O16" s="4">
        <v>14043</v>
      </c>
      <c r="P16" s="4">
        <v>15262</v>
      </c>
      <c r="Q16" s="4">
        <v>12301</v>
      </c>
      <c r="R16" s="4">
        <v>11347</v>
      </c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</row>
    <row r="17" spans="2:123" x14ac:dyDescent="0.25">
      <c r="B17" t="s">
        <v>25</v>
      </c>
      <c r="C17" s="4">
        <v>2885</v>
      </c>
      <c r="D17" s="4">
        <v>4164</v>
      </c>
      <c r="E17" s="4">
        <v>2070</v>
      </c>
      <c r="F17" s="4">
        <f t="shared" si="2"/>
        <v>2289</v>
      </c>
      <c r="G17" s="4">
        <v>3455</v>
      </c>
      <c r="H17" s="4">
        <v>3658</v>
      </c>
      <c r="I17" s="4">
        <v>1865</v>
      </c>
      <c r="J17" s="4">
        <f t="shared" si="3"/>
        <v>762</v>
      </c>
      <c r="K17" s="4"/>
      <c r="L17" s="4">
        <v>3451</v>
      </c>
      <c r="M17" s="4">
        <v>10465</v>
      </c>
      <c r="N17" s="4">
        <v>6564</v>
      </c>
      <c r="O17" s="4">
        <v>9829</v>
      </c>
      <c r="P17" s="4">
        <v>11816</v>
      </c>
      <c r="Q17" s="4">
        <v>11408</v>
      </c>
      <c r="R17" s="4">
        <v>9740</v>
      </c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</row>
    <row r="18" spans="2:123" x14ac:dyDescent="0.25">
      <c r="B18" t="s">
        <v>26</v>
      </c>
      <c r="C18" s="4">
        <f t="shared" ref="C18:G18" si="7">C14-SUM(C15:C17)</f>
        <v>7227</v>
      </c>
      <c r="D18" s="4">
        <f>D14-SUM(D15:D17)</f>
        <v>9392</v>
      </c>
      <c r="E18" s="4">
        <f t="shared" si="7"/>
        <v>13748</v>
      </c>
      <c r="F18" s="4">
        <f t="shared" si="7"/>
        <v>16384</v>
      </c>
      <c r="G18" s="4">
        <f t="shared" si="7"/>
        <v>13818</v>
      </c>
      <c r="H18" s="4">
        <f>H14-SUM(H15:H17)</f>
        <v>14847</v>
      </c>
      <c r="I18" s="4">
        <f t="shared" ref="I18:S18" si="8">I14-SUM(I15:I17)</f>
        <v>17350</v>
      </c>
      <c r="J18" s="4">
        <f t="shared" si="8"/>
        <v>23365</v>
      </c>
      <c r="K18" s="4"/>
      <c r="L18" s="4">
        <f t="shared" si="8"/>
        <v>24913</v>
      </c>
      <c r="M18" s="4">
        <f t="shared" si="8"/>
        <v>23986</v>
      </c>
      <c r="N18" s="4">
        <f t="shared" si="8"/>
        <v>32671</v>
      </c>
      <c r="O18" s="4">
        <f t="shared" si="8"/>
        <v>46753</v>
      </c>
      <c r="P18" s="4">
        <f t="shared" si="8"/>
        <v>28944</v>
      </c>
      <c r="Q18" s="4">
        <f t="shared" si="8"/>
        <v>46751</v>
      </c>
      <c r="R18" s="4">
        <f t="shared" si="8"/>
        <v>69380</v>
      </c>
      <c r="S18" s="4">
        <f t="shared" si="8"/>
        <v>188160</v>
      </c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</row>
    <row r="19" spans="2:123" x14ac:dyDescent="0.25">
      <c r="B19" t="s">
        <v>28</v>
      </c>
      <c r="C19" s="4">
        <v>80</v>
      </c>
      <c r="D19" s="4">
        <v>-99</v>
      </c>
      <c r="E19" s="4">
        <v>272</v>
      </c>
      <c r="F19" s="4">
        <f t="shared" si="2"/>
        <v>424</v>
      </c>
      <c r="G19" s="4">
        <v>365</v>
      </c>
      <c r="H19" s="4">
        <v>259</v>
      </c>
      <c r="I19" s="4">
        <v>472</v>
      </c>
      <c r="J19" s="4">
        <f t="shared" si="3"/>
        <v>187</v>
      </c>
      <c r="K19" s="4"/>
      <c r="L19" s="4">
        <v>448</v>
      </c>
      <c r="M19" s="4">
        <v>826</v>
      </c>
      <c r="N19" s="4">
        <v>509</v>
      </c>
      <c r="O19" s="4">
        <v>531</v>
      </c>
      <c r="P19" s="4">
        <v>-125</v>
      </c>
      <c r="Q19" s="4">
        <v>677</v>
      </c>
      <c r="R19" s="4">
        <v>1283</v>
      </c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</row>
    <row r="20" spans="2:123" x14ac:dyDescent="0.25">
      <c r="B20" t="s">
        <v>27</v>
      </c>
      <c r="C20" s="4">
        <f t="shared" ref="C20:J20" si="9">C18+C19</f>
        <v>7307</v>
      </c>
      <c r="D20" s="4">
        <f t="shared" si="9"/>
        <v>9293</v>
      </c>
      <c r="E20" s="4">
        <f t="shared" si="9"/>
        <v>14020</v>
      </c>
      <c r="F20" s="4">
        <f t="shared" si="9"/>
        <v>16808</v>
      </c>
      <c r="G20" s="4">
        <f t="shared" si="9"/>
        <v>14183</v>
      </c>
      <c r="H20" s="4">
        <f t="shared" si="9"/>
        <v>15106</v>
      </c>
      <c r="I20" s="4">
        <f t="shared" si="9"/>
        <v>17822</v>
      </c>
      <c r="J20" s="4">
        <f t="shared" si="9"/>
        <v>23552</v>
      </c>
      <c r="K20" s="4"/>
      <c r="L20" s="4">
        <f t="shared" ref="L20:R20" si="10">L18+L19</f>
        <v>25361</v>
      </c>
      <c r="M20" s="4">
        <f t="shared" si="10"/>
        <v>24812</v>
      </c>
      <c r="N20" s="4">
        <f t="shared" si="10"/>
        <v>33180</v>
      </c>
      <c r="O20" s="4">
        <f t="shared" si="10"/>
        <v>47284</v>
      </c>
      <c r="P20" s="4">
        <f t="shared" si="10"/>
        <v>28819</v>
      </c>
      <c r="Q20" s="4">
        <f t="shared" si="10"/>
        <v>47428</v>
      </c>
      <c r="R20" s="4">
        <f t="shared" si="10"/>
        <v>70663</v>
      </c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</row>
    <row r="21" spans="2:123" x14ac:dyDescent="0.25">
      <c r="B21" t="s">
        <v>29</v>
      </c>
      <c r="C21" s="4">
        <v>1598</v>
      </c>
      <c r="D21" s="4">
        <v>1505</v>
      </c>
      <c r="E21" s="4">
        <v>2437</v>
      </c>
      <c r="F21" s="4">
        <f t="shared" si="2"/>
        <v>2790</v>
      </c>
      <c r="G21" s="4">
        <v>1814</v>
      </c>
      <c r="H21" s="4">
        <v>1641</v>
      </c>
      <c r="I21" s="4">
        <v>2134</v>
      </c>
      <c r="J21" s="4">
        <f t="shared" si="3"/>
        <v>2714</v>
      </c>
      <c r="K21" s="4"/>
      <c r="L21" s="4">
        <f>3249+1</f>
        <v>3250</v>
      </c>
      <c r="M21" s="4">
        <v>6327</v>
      </c>
      <c r="N21" s="4">
        <v>4034</v>
      </c>
      <c r="O21" s="4">
        <v>7914</v>
      </c>
      <c r="P21" s="4">
        <v>5619</v>
      </c>
      <c r="Q21" s="4">
        <v>8330</v>
      </c>
      <c r="R21" s="4">
        <v>8303</v>
      </c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</row>
    <row r="22" spans="2:123" x14ac:dyDescent="0.25">
      <c r="B22" t="s">
        <v>30</v>
      </c>
      <c r="C22" s="4">
        <f t="shared" ref="C22:F22" si="11">C20-C21</f>
        <v>5709</v>
      </c>
      <c r="D22" s="4">
        <f>D20-D21</f>
        <v>7788</v>
      </c>
      <c r="E22" s="4">
        <f t="shared" si="11"/>
        <v>11583</v>
      </c>
      <c r="F22" s="4">
        <f t="shared" si="11"/>
        <v>14018</v>
      </c>
      <c r="G22" s="4">
        <f>G20-G21</f>
        <v>12369</v>
      </c>
      <c r="H22" s="4">
        <f>H20-H21</f>
        <v>13465</v>
      </c>
      <c r="I22" s="4">
        <f t="shared" ref="I22:S22" si="12">I20-I21</f>
        <v>15688</v>
      </c>
      <c r="J22" s="4">
        <f t="shared" si="12"/>
        <v>20838</v>
      </c>
      <c r="K22" s="4"/>
      <c r="L22" s="4">
        <f t="shared" si="12"/>
        <v>22111</v>
      </c>
      <c r="M22" s="4">
        <f t="shared" si="12"/>
        <v>18485</v>
      </c>
      <c r="N22" s="4">
        <f t="shared" si="12"/>
        <v>29146</v>
      </c>
      <c r="O22" s="4">
        <f t="shared" si="12"/>
        <v>39370</v>
      </c>
      <c r="P22" s="4">
        <f t="shared" si="12"/>
        <v>23200</v>
      </c>
      <c r="Q22" s="4">
        <f t="shared" si="12"/>
        <v>39098</v>
      </c>
      <c r="R22" s="4">
        <f t="shared" si="12"/>
        <v>62360</v>
      </c>
      <c r="S22" s="4">
        <f t="shared" si="12"/>
        <v>0</v>
      </c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</row>
    <row r="23" spans="2:123" x14ac:dyDescent="0.25"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</row>
    <row r="24" spans="2:123" x14ac:dyDescent="0.25">
      <c r="B24" t="s">
        <v>31</v>
      </c>
      <c r="C24" s="9">
        <f t="shared" ref="C24:G24" si="13">C22/C25</f>
        <v>2.206803247004252</v>
      </c>
      <c r="D24" s="9">
        <f t="shared" si="13"/>
        <v>3.0327102803738319</v>
      </c>
      <c r="E24" s="9">
        <f t="shared" si="13"/>
        <v>4.4965062111801242</v>
      </c>
      <c r="F24" s="9">
        <f t="shared" si="13"/>
        <v>5.4459984459984456</v>
      </c>
      <c r="G24" s="9">
        <f t="shared" si="13"/>
        <v>4.8601178781925345</v>
      </c>
      <c r="H24" s="9">
        <f>H22/H25</f>
        <v>5.3137332280978686</v>
      </c>
      <c r="I24" s="9">
        <f t="shared" ref="I24:S24" si="14">I22/I25</f>
        <v>6.2032423882957692</v>
      </c>
      <c r="J24" s="9">
        <f t="shared" si="14"/>
        <v>8.2244681784391389</v>
      </c>
      <c r="K24" s="4"/>
      <c r="L24" s="9">
        <f t="shared" si="14"/>
        <v>7.6508650519031143</v>
      </c>
      <c r="M24" s="9">
        <f t="shared" si="14"/>
        <v>6.47687456201822</v>
      </c>
      <c r="N24" s="9">
        <f t="shared" si="14"/>
        <v>10.223079621185549</v>
      </c>
      <c r="O24" s="9">
        <f t="shared" si="14"/>
        <v>13.985790408525755</v>
      </c>
      <c r="P24" s="9">
        <f t="shared" si="14"/>
        <v>8.6341644957201336</v>
      </c>
      <c r="Q24" s="9">
        <f t="shared" si="14"/>
        <v>15.189588189588189</v>
      </c>
      <c r="R24" s="9">
        <f t="shared" si="14"/>
        <v>24.609313338595108</v>
      </c>
      <c r="S24" s="9" t="e">
        <f t="shared" si="14"/>
        <v>#DIV/0!</v>
      </c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</row>
    <row r="25" spans="2:123" x14ac:dyDescent="0.25">
      <c r="B25" t="s">
        <v>6</v>
      </c>
      <c r="C25" s="4">
        <v>2587</v>
      </c>
      <c r="D25" s="4">
        <v>2568</v>
      </c>
      <c r="E25" s="4">
        <v>2576</v>
      </c>
      <c r="F25" s="4">
        <f>+Q25</f>
        <v>2574</v>
      </c>
      <c r="G25" s="4">
        <v>2545</v>
      </c>
      <c r="H25" s="4">
        <v>2534</v>
      </c>
      <c r="I25" s="4">
        <v>2529</v>
      </c>
      <c r="J25" s="4">
        <v>2533.6592650000002</v>
      </c>
      <c r="K25" s="4"/>
      <c r="L25" s="4">
        <v>2890</v>
      </c>
      <c r="M25" s="4">
        <v>2854</v>
      </c>
      <c r="N25" s="4">
        <v>2851</v>
      </c>
      <c r="O25" s="4">
        <v>2815</v>
      </c>
      <c r="P25" s="4">
        <v>2687</v>
      </c>
      <c r="Q25" s="4">
        <v>2574</v>
      </c>
      <c r="R25" s="4">
        <v>2534</v>
      </c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</row>
    <row r="26" spans="2:123" x14ac:dyDescent="0.25"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</row>
    <row r="27" spans="2:123" x14ac:dyDescent="0.25">
      <c r="B27" t="s">
        <v>41</v>
      </c>
      <c r="C27" s="4"/>
      <c r="D27" s="4"/>
      <c r="E27" s="4"/>
      <c r="F27" s="10"/>
      <c r="G27" s="10">
        <f>G3/C3-1</f>
        <v>7.2847682119205448E-2</v>
      </c>
      <c r="H27" s="10">
        <f>H3/D3-1</f>
        <v>6.514657980456029E-2</v>
      </c>
      <c r="I27" s="10">
        <f>I3/E3-1</f>
        <v>4.7770700636942554E-2</v>
      </c>
      <c r="J27" s="10">
        <f>J3/F3-1</f>
        <v>5.0156739811912265E-2</v>
      </c>
      <c r="K27" s="4"/>
      <c r="L27" s="4"/>
      <c r="M27" s="10">
        <f t="shared" ref="M27:Q27" si="15">+M3/L3-1</f>
        <v>0.11330049261083741</v>
      </c>
      <c r="N27" s="10">
        <f t="shared" si="15"/>
        <v>0.15044247787610643</v>
      </c>
      <c r="O27" s="10">
        <f t="shared" si="15"/>
        <v>8.4615384615384537E-2</v>
      </c>
      <c r="P27" s="10">
        <f t="shared" si="15"/>
        <v>4.9645390070921946E-2</v>
      </c>
      <c r="Q27" s="10">
        <f t="shared" si="15"/>
        <v>7.7702702702702631E-2</v>
      </c>
      <c r="R27" s="10">
        <f>+R3/Q3-1</f>
        <v>5.0156739811912265E-2</v>
      </c>
      <c r="S27" s="10">
        <f>+S3/R3-1</f>
        <v>-1</v>
      </c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</row>
    <row r="28" spans="2:123" x14ac:dyDescent="0.25">
      <c r="B28" t="s">
        <v>32</v>
      </c>
      <c r="C28" s="4"/>
      <c r="D28" s="4"/>
      <c r="E28" s="4"/>
      <c r="F28" s="4"/>
      <c r="G28" s="10">
        <f>G12/C12-1</f>
        <v>0.27264793157619138</v>
      </c>
      <c r="H28" s="10">
        <f>H12/D12-1</f>
        <v>0.2210069064658271</v>
      </c>
      <c r="I28" s="10">
        <f>I12/E12-1</f>
        <v>0.18868974404029748</v>
      </c>
      <c r="J28" s="10">
        <f>J12/F12-1</f>
        <v>0.20627243717590749</v>
      </c>
      <c r="K28" s="4"/>
      <c r="L28" s="4"/>
      <c r="M28" s="10">
        <f t="shared" ref="M28:Q28" si="16">+M12/L12-1</f>
        <v>0.26610910132884413</v>
      </c>
      <c r="N28" s="10">
        <f t="shared" si="16"/>
        <v>0.21596390228722573</v>
      </c>
      <c r="O28" s="10">
        <f t="shared" si="16"/>
        <v>0.37182574303495608</v>
      </c>
      <c r="P28" s="10">
        <f t="shared" si="16"/>
        <v>-1.1193175554782941E-2</v>
      </c>
      <c r="Q28" s="10">
        <f t="shared" si="16"/>
        <v>0.15687468377226454</v>
      </c>
      <c r="R28" s="10">
        <f>+R12/Q12-1</f>
        <v>0.21941112807816054</v>
      </c>
      <c r="S28" s="10">
        <f>+S12/R12-1</f>
        <v>0.14382283390374528</v>
      </c>
      <c r="T28" s="10">
        <f t="shared" ref="T28" si="17">+T12/S12-1</f>
        <v>0.13477891156462585</v>
      </c>
      <c r="U28" s="10">
        <f>+T28*(1-10%)</f>
        <v>0.12130102040816326</v>
      </c>
      <c r="V28" s="10">
        <f t="shared" ref="V28:AD28" si="18">+U28*(1-10%)</f>
        <v>0.10917091836734694</v>
      </c>
      <c r="W28" s="10">
        <f t="shared" si="18"/>
        <v>9.8253826530612251E-2</v>
      </c>
      <c r="X28" s="10">
        <f t="shared" si="18"/>
        <v>8.8428443877551027E-2</v>
      </c>
      <c r="Y28" s="10">
        <f t="shared" si="18"/>
        <v>7.9585599489795933E-2</v>
      </c>
      <c r="Z28" s="10">
        <f t="shared" si="18"/>
        <v>7.162703954081634E-2</v>
      </c>
      <c r="AA28" s="10">
        <f t="shared" si="18"/>
        <v>6.4464335586734714E-2</v>
      </c>
      <c r="AB28" s="10">
        <f t="shared" si="18"/>
        <v>5.8017902028061244E-2</v>
      </c>
      <c r="AC28" s="10">
        <f t="shared" si="18"/>
        <v>5.2216111825255124E-2</v>
      </c>
      <c r="AD28" s="10">
        <f t="shared" si="18"/>
        <v>4.6994500642729614E-2</v>
      </c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</row>
    <row r="29" spans="2:123" x14ac:dyDescent="0.25">
      <c r="B29" t="s">
        <v>33</v>
      </c>
      <c r="C29" s="10">
        <f t="shared" ref="C29:J29" si="19">C14/C12</f>
        <v>0.7867690696456624</v>
      </c>
      <c r="D29" s="10">
        <f t="shared" si="19"/>
        <v>0.81421294415450485</v>
      </c>
      <c r="E29" s="10">
        <f t="shared" si="19"/>
        <v>0.81813389562467054</v>
      </c>
      <c r="F29" s="10">
        <f t="shared" si="19"/>
        <v>0.8081372157957718</v>
      </c>
      <c r="G29" s="10">
        <f t="shared" si="19"/>
        <v>0.81785763269784661</v>
      </c>
      <c r="H29" s="10">
        <f t="shared" si="19"/>
        <v>0.81295590079598679</v>
      </c>
      <c r="I29" s="10">
        <f t="shared" si="19"/>
        <v>0.81830052477272164</v>
      </c>
      <c r="J29" s="10">
        <f t="shared" si="19"/>
        <v>0.81734385979415536</v>
      </c>
      <c r="K29" s="4"/>
      <c r="L29" s="10">
        <f t="shared" ref="L29" si="20">+L14/L12</f>
        <v>0.8324617643898421</v>
      </c>
      <c r="M29" s="10">
        <f t="shared" ref="M29:Q29" si="21">+M14/M12</f>
        <v>0.81936998741106415</v>
      </c>
      <c r="N29" s="10">
        <f t="shared" si="21"/>
        <v>0.80582795323678236</v>
      </c>
      <c r="O29" s="10">
        <f t="shared" si="21"/>
        <v>0.80794376277251567</v>
      </c>
      <c r="P29" s="10">
        <f t="shared" si="21"/>
        <v>0.78347297378418479</v>
      </c>
      <c r="Q29" s="10">
        <f t="shared" si="21"/>
        <v>0.8075714222176098</v>
      </c>
      <c r="R29" s="10">
        <f>+R14/R12</f>
        <v>0.81665157050717019</v>
      </c>
      <c r="S29" s="10">
        <f>+S14/S12</f>
        <v>1</v>
      </c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</row>
    <row r="30" spans="2:123" x14ac:dyDescent="0.25">
      <c r="B30" t="s">
        <v>34</v>
      </c>
      <c r="C30" s="10">
        <f t="shared" ref="C30:J30" si="22">C18/C12</f>
        <v>0.25229533950078548</v>
      </c>
      <c r="D30" s="10">
        <f t="shared" si="22"/>
        <v>0.29350917216163003</v>
      </c>
      <c r="E30" s="10">
        <f t="shared" si="22"/>
        <v>0.40262402624026239</v>
      </c>
      <c r="F30" s="10">
        <f t="shared" si="22"/>
        <v>0.40845632229756679</v>
      </c>
      <c r="G30" s="10">
        <f t="shared" si="22"/>
        <v>0.37904265532848719</v>
      </c>
      <c r="H30" s="10">
        <f t="shared" si="22"/>
        <v>0.38000051188861306</v>
      </c>
      <c r="I30" s="10">
        <f t="shared" si="22"/>
        <v>0.4274557146024785</v>
      </c>
      <c r="J30" s="10">
        <f t="shared" si="22"/>
        <v>0.48288761211920805</v>
      </c>
      <c r="K30" s="4"/>
      <c r="L30" s="10">
        <f t="shared" ref="L30" si="23">+L18/L12</f>
        <v>0.44616569361366809</v>
      </c>
      <c r="M30" s="10">
        <f t="shared" ref="M30:Q30" si="24">+M18/M12</f>
        <v>0.33927889443682191</v>
      </c>
      <c r="N30" s="10">
        <f t="shared" si="24"/>
        <v>0.3800500203571221</v>
      </c>
      <c r="O30" s="10">
        <f t="shared" si="24"/>
        <v>0.39645040660058173</v>
      </c>
      <c r="P30" s="10">
        <f t="shared" si="24"/>
        <v>0.24821411726367604</v>
      </c>
      <c r="Q30" s="10">
        <f t="shared" si="24"/>
        <v>0.34655527716416362</v>
      </c>
      <c r="R30" s="10">
        <f>+R18/R12</f>
        <v>0.42176035404040096</v>
      </c>
      <c r="S30" s="10">
        <f>+S18/S12</f>
        <v>1</v>
      </c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</row>
    <row r="31" spans="2:123" x14ac:dyDescent="0.25">
      <c r="B31" t="s">
        <v>35</v>
      </c>
      <c r="C31" s="10">
        <f t="shared" ref="C31:G31" si="25">C21/C20</f>
        <v>0.21869440262761736</v>
      </c>
      <c r="D31" s="10">
        <f t="shared" si="25"/>
        <v>0.16194985472936618</v>
      </c>
      <c r="E31" s="10">
        <f t="shared" si="25"/>
        <v>0.1738231098430813</v>
      </c>
      <c r="F31" s="10">
        <f t="shared" si="25"/>
        <v>0.16599238457877202</v>
      </c>
      <c r="G31" s="10">
        <f t="shared" si="25"/>
        <v>0.12789959811041388</v>
      </c>
      <c r="H31" s="10">
        <f>H21/H20</f>
        <v>0.10863233152389778</v>
      </c>
      <c r="I31" s="10">
        <f t="shared" ref="I31:J31" si="26">I21/I20</f>
        <v>0.11973964762652901</v>
      </c>
      <c r="J31" s="10">
        <f t="shared" si="26"/>
        <v>0.115234375</v>
      </c>
      <c r="K31" s="4"/>
      <c r="L31" s="10">
        <f t="shared" ref="L31" si="27">+L21/L20</f>
        <v>0.12814952091794488</v>
      </c>
      <c r="M31" s="10">
        <f t="shared" ref="M31:Q31" si="28">+M21/M20</f>
        <v>0.25499758181525067</v>
      </c>
      <c r="N31" s="10">
        <f t="shared" si="28"/>
        <v>0.12157926461723931</v>
      </c>
      <c r="O31" s="10">
        <f t="shared" si="28"/>
        <v>0.16737162676592504</v>
      </c>
      <c r="P31" s="10">
        <f t="shared" si="28"/>
        <v>0.19497553697213643</v>
      </c>
      <c r="Q31" s="10">
        <f t="shared" si="28"/>
        <v>0.17563464620055663</v>
      </c>
      <c r="R31" s="10">
        <f>+R21/R20</f>
        <v>0.11750137978857393</v>
      </c>
      <c r="S31" s="10" t="e">
        <f>+S21/S20</f>
        <v>#DIV/0!</v>
      </c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</row>
    <row r="32" spans="2:123" x14ac:dyDescent="0.25"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</row>
    <row r="33" spans="2:123" x14ac:dyDescent="0.25">
      <c r="B33" t="s">
        <v>60</v>
      </c>
      <c r="C33" s="4"/>
      <c r="D33" s="4"/>
      <c r="E33" s="4"/>
      <c r="F33" s="4"/>
      <c r="G33" s="4"/>
      <c r="H33" s="4"/>
      <c r="I33" s="4"/>
      <c r="J33" s="4"/>
      <c r="K33" s="4"/>
      <c r="L33" s="4">
        <v>10019</v>
      </c>
      <c r="M33" s="4">
        <v>19079</v>
      </c>
      <c r="N33" s="4">
        <v>17576</v>
      </c>
      <c r="O33" s="4">
        <v>16601</v>
      </c>
      <c r="P33" s="4">
        <v>14681</v>
      </c>
      <c r="Q33" s="4">
        <v>41862</v>
      </c>
      <c r="R33" s="4">
        <v>43889</v>
      </c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</row>
    <row r="34" spans="2:123" x14ac:dyDescent="0.25">
      <c r="B34" t="s">
        <v>61</v>
      </c>
      <c r="C34" s="4"/>
      <c r="D34" s="4"/>
      <c r="E34" s="4"/>
      <c r="F34" s="4"/>
      <c r="G34" s="4"/>
      <c r="H34" s="4"/>
      <c r="I34" s="4"/>
      <c r="J34" s="4"/>
      <c r="K34" s="4"/>
      <c r="L34" s="4">
        <v>31095</v>
      </c>
      <c r="M34" s="4">
        <v>35776</v>
      </c>
      <c r="N34" s="4">
        <v>44378</v>
      </c>
      <c r="O34" s="4">
        <v>31397</v>
      </c>
      <c r="P34" s="4">
        <v>26057</v>
      </c>
      <c r="Q34" s="4">
        <v>23541</v>
      </c>
      <c r="R34" s="4">
        <v>33926</v>
      </c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</row>
    <row r="35" spans="2:123" x14ac:dyDescent="0.25">
      <c r="B35" t="s">
        <v>62</v>
      </c>
      <c r="C35" s="4"/>
      <c r="D35" s="4"/>
      <c r="E35" s="4"/>
      <c r="F35" s="4"/>
      <c r="G35" s="4"/>
      <c r="H35" s="4"/>
      <c r="I35" s="4"/>
      <c r="J35" s="4"/>
      <c r="K35" s="4"/>
      <c r="L35" s="4">
        <v>7587</v>
      </c>
      <c r="M35" s="4">
        <v>9518</v>
      </c>
      <c r="N35" s="4">
        <v>11335</v>
      </c>
      <c r="O35" s="4">
        <v>14039</v>
      </c>
      <c r="P35" s="4">
        <v>13466</v>
      </c>
      <c r="Q35" s="4">
        <v>16169</v>
      </c>
      <c r="R35" s="4">
        <v>16994</v>
      </c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</row>
    <row r="36" spans="2:123" x14ac:dyDescent="0.25">
      <c r="B36" t="s">
        <v>63</v>
      </c>
      <c r="C36" s="4"/>
      <c r="D36" s="4"/>
      <c r="E36" s="4"/>
      <c r="F36" s="4"/>
      <c r="G36" s="4"/>
      <c r="H36" s="4"/>
      <c r="I36" s="4"/>
      <c r="J36" s="4"/>
      <c r="K36" s="4"/>
      <c r="L36" s="4">
        <v>1779</v>
      </c>
      <c r="M36" s="4">
        <v>1852</v>
      </c>
      <c r="N36" s="4">
        <v>2381</v>
      </c>
      <c r="O36" s="4">
        <v>4629</v>
      </c>
      <c r="P36" s="4">
        <v>5345</v>
      </c>
      <c r="Q36" s="4">
        <v>3793</v>
      </c>
      <c r="R36" s="4">
        <v>5236</v>
      </c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</row>
    <row r="37" spans="2:123" x14ac:dyDescent="0.25">
      <c r="B37" t="s">
        <v>64</v>
      </c>
      <c r="C37" s="4"/>
      <c r="D37" s="4"/>
      <c r="E37" s="4"/>
      <c r="F37" s="4"/>
      <c r="G37" s="4"/>
      <c r="H37" s="4"/>
      <c r="I37" s="4"/>
      <c r="J37" s="4"/>
      <c r="K37" s="4"/>
      <c r="L37" s="4">
        <f t="shared" ref="L37:Q37" si="29">+SUM(L33:L36)</f>
        <v>50480</v>
      </c>
      <c r="M37" s="4">
        <f t="shared" si="29"/>
        <v>66225</v>
      </c>
      <c r="N37" s="4">
        <f t="shared" si="29"/>
        <v>75670</v>
      </c>
      <c r="O37" s="4">
        <f t="shared" si="29"/>
        <v>66666</v>
      </c>
      <c r="P37" s="4">
        <f t="shared" si="29"/>
        <v>59549</v>
      </c>
      <c r="Q37" s="4">
        <f t="shared" si="29"/>
        <v>85365</v>
      </c>
      <c r="R37" s="4">
        <f>+SUM(R33:R36)</f>
        <v>100045</v>
      </c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</row>
    <row r="38" spans="2:123" x14ac:dyDescent="0.25">
      <c r="B38" t="s">
        <v>65</v>
      </c>
      <c r="C38" s="4"/>
      <c r="D38" s="4"/>
      <c r="E38" s="4"/>
      <c r="F38" s="4"/>
      <c r="G38" s="4"/>
      <c r="H38" s="4"/>
      <c r="I38" s="4"/>
      <c r="J38" s="4"/>
      <c r="K38" s="4"/>
      <c r="L38" s="4">
        <v>0</v>
      </c>
      <c r="M38" s="4">
        <v>0</v>
      </c>
      <c r="N38" s="4">
        <v>6234</v>
      </c>
      <c r="O38" s="4">
        <v>6775</v>
      </c>
      <c r="P38" s="4">
        <v>6201</v>
      </c>
      <c r="Q38" s="4">
        <v>6141</v>
      </c>
      <c r="R38" s="4">
        <v>6070</v>
      </c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</row>
    <row r="39" spans="2:123" x14ac:dyDescent="0.25">
      <c r="B39" t="s">
        <v>66</v>
      </c>
      <c r="C39" s="4"/>
      <c r="D39" s="4"/>
      <c r="E39" s="4"/>
      <c r="F39" s="4"/>
      <c r="G39" s="4"/>
      <c r="H39" s="4"/>
      <c r="I39" s="4"/>
      <c r="J39" s="4"/>
      <c r="K39" s="4"/>
      <c r="L39" s="4">
        <v>24683</v>
      </c>
      <c r="M39" s="4">
        <v>35323</v>
      </c>
      <c r="N39" s="4">
        <v>45633</v>
      </c>
      <c r="O39" s="4">
        <v>57809</v>
      </c>
      <c r="P39" s="4">
        <v>79518</v>
      </c>
      <c r="Q39" s="4">
        <v>96587</v>
      </c>
      <c r="R39" s="4">
        <v>121346</v>
      </c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</row>
    <row r="40" spans="2:123" x14ac:dyDescent="0.25">
      <c r="B40" t="s">
        <v>67</v>
      </c>
      <c r="C40" s="4"/>
      <c r="D40" s="4"/>
      <c r="E40" s="4"/>
      <c r="F40" s="4"/>
      <c r="G40" s="4"/>
      <c r="H40" s="4"/>
      <c r="I40" s="4"/>
      <c r="J40" s="4"/>
      <c r="K40" s="4"/>
      <c r="L40" s="4">
        <v>0</v>
      </c>
      <c r="M40" s="4">
        <v>9460</v>
      </c>
      <c r="N40" s="4">
        <v>9348</v>
      </c>
      <c r="O40" s="4">
        <v>12155</v>
      </c>
      <c r="P40" s="4">
        <v>12673</v>
      </c>
      <c r="Q40" s="4">
        <v>13294</v>
      </c>
      <c r="R40" s="4">
        <v>14922</v>
      </c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</row>
    <row r="41" spans="2:123" x14ac:dyDescent="0.25">
      <c r="B41" t="s">
        <v>68</v>
      </c>
      <c r="C41" s="4"/>
      <c r="D41" s="4"/>
      <c r="E41" s="4"/>
      <c r="F41" s="4"/>
      <c r="G41" s="4"/>
      <c r="H41" s="4"/>
      <c r="I41" s="4"/>
      <c r="J41" s="4"/>
      <c r="K41" s="4"/>
      <c r="L41" s="4">
        <f>1294+18301</f>
        <v>19595</v>
      </c>
      <c r="M41" s="4">
        <f>894+18715</f>
        <v>19609</v>
      </c>
      <c r="N41" s="4">
        <f>623+19050</f>
        <v>19673</v>
      </c>
      <c r="O41" s="4">
        <f>634+19197</f>
        <v>19831</v>
      </c>
      <c r="P41" s="4">
        <f>897+20306</f>
        <v>21203</v>
      </c>
      <c r="Q41" s="4">
        <v>20654</v>
      </c>
      <c r="R41" s="4">
        <v>20654</v>
      </c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</row>
    <row r="42" spans="2:123" x14ac:dyDescent="0.25">
      <c r="B42" t="s">
        <v>37</v>
      </c>
      <c r="C42" s="4"/>
      <c r="D42" s="4"/>
      <c r="E42" s="4"/>
      <c r="F42" s="4"/>
      <c r="G42" s="4"/>
      <c r="H42" s="4"/>
      <c r="I42" s="4"/>
      <c r="J42" s="4"/>
      <c r="K42" s="4"/>
      <c r="L42" s="4">
        <v>2576</v>
      </c>
      <c r="M42" s="4">
        <v>2759</v>
      </c>
      <c r="N42" s="4">
        <v>2758</v>
      </c>
      <c r="O42" s="4">
        <v>2751</v>
      </c>
      <c r="P42" s="4">
        <v>6583</v>
      </c>
      <c r="Q42" s="4">
        <v>7582</v>
      </c>
      <c r="R42" s="4">
        <v>13017</v>
      </c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</row>
    <row r="43" spans="2:123" x14ac:dyDescent="0.25">
      <c r="B43" t="s">
        <v>69</v>
      </c>
      <c r="C43" s="4"/>
      <c r="D43" s="4"/>
      <c r="E43" s="4"/>
      <c r="F43" s="4"/>
      <c r="G43" s="4"/>
      <c r="H43" s="4"/>
      <c r="I43" s="4"/>
      <c r="J43" s="4"/>
      <c r="K43" s="4"/>
      <c r="L43" s="4">
        <f t="shared" ref="L43:Q43" si="30">+SUM(L38:L42)</f>
        <v>46854</v>
      </c>
      <c r="M43" s="4">
        <f t="shared" si="30"/>
        <v>67151</v>
      </c>
      <c r="N43" s="4">
        <f t="shared" si="30"/>
        <v>83646</v>
      </c>
      <c r="O43" s="4">
        <f t="shared" si="30"/>
        <v>99321</v>
      </c>
      <c r="P43" s="4">
        <f t="shared" si="30"/>
        <v>126178</v>
      </c>
      <c r="Q43" s="4">
        <f t="shared" si="30"/>
        <v>144258</v>
      </c>
      <c r="R43" s="4">
        <f>+SUM(R38:R42)</f>
        <v>176009</v>
      </c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</row>
    <row r="44" spans="2:123" x14ac:dyDescent="0.25">
      <c r="B44" s="1" t="s">
        <v>70</v>
      </c>
      <c r="C44" s="4"/>
      <c r="D44" s="4"/>
      <c r="E44" s="4"/>
      <c r="F44" s="4"/>
      <c r="G44" s="4"/>
      <c r="H44" s="4"/>
      <c r="I44" s="4"/>
      <c r="J44" s="4"/>
      <c r="K44" s="4"/>
      <c r="L44" s="8">
        <f t="shared" ref="L44:Q44" si="31">+L37+L43</f>
        <v>97334</v>
      </c>
      <c r="M44" s="8">
        <f t="shared" si="31"/>
        <v>133376</v>
      </c>
      <c r="N44" s="8">
        <f t="shared" si="31"/>
        <v>159316</v>
      </c>
      <c r="O44" s="8">
        <f t="shared" si="31"/>
        <v>165987</v>
      </c>
      <c r="P44" s="8">
        <f t="shared" si="31"/>
        <v>185727</v>
      </c>
      <c r="Q44" s="8">
        <f t="shared" si="31"/>
        <v>229623</v>
      </c>
      <c r="R44" s="8">
        <f>+R37+R43</f>
        <v>276054</v>
      </c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</row>
    <row r="45" spans="2:123" x14ac:dyDescent="0.25">
      <c r="B45" t="s">
        <v>71</v>
      </c>
      <c r="C45" s="4"/>
      <c r="D45" s="4"/>
      <c r="E45" s="4"/>
      <c r="F45" s="4"/>
      <c r="G45" s="4"/>
      <c r="H45" s="4"/>
      <c r="I45" s="4"/>
      <c r="J45" s="4"/>
      <c r="K45" s="4"/>
      <c r="L45" s="4">
        <f>820+541</f>
        <v>1361</v>
      </c>
      <c r="M45" s="4">
        <f>1363+886</f>
        <v>2249</v>
      </c>
      <c r="N45" s="4">
        <f>1331+1093</f>
        <v>2424</v>
      </c>
      <c r="O45" s="4">
        <f>4083+1052</f>
        <v>5135</v>
      </c>
      <c r="P45" s="4">
        <f>4990+1117</f>
        <v>6107</v>
      </c>
      <c r="Q45" s="4">
        <v>4849</v>
      </c>
      <c r="R45" s="4">
        <v>7687</v>
      </c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</row>
    <row r="46" spans="2:123" x14ac:dyDescent="0.25">
      <c r="B46" t="s">
        <v>72</v>
      </c>
      <c r="C46" s="4"/>
      <c r="D46" s="4"/>
      <c r="E46" s="4"/>
      <c r="F46" s="4"/>
      <c r="G46" s="4"/>
      <c r="H46" s="4"/>
      <c r="I46" s="4"/>
      <c r="J46" s="4"/>
      <c r="K46" s="4"/>
      <c r="L46" s="4">
        <v>0</v>
      </c>
      <c r="M46" s="4">
        <v>800</v>
      </c>
      <c r="N46" s="4">
        <v>1023</v>
      </c>
      <c r="O46" s="4">
        <v>1127</v>
      </c>
      <c r="P46" s="4">
        <v>1367</v>
      </c>
      <c r="Q46" s="4">
        <v>1623</v>
      </c>
      <c r="R46" s="4">
        <v>1942</v>
      </c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</row>
    <row r="47" spans="2:123" x14ac:dyDescent="0.25">
      <c r="B47" t="s">
        <v>73</v>
      </c>
      <c r="C47" s="4"/>
      <c r="D47" s="4"/>
      <c r="E47" s="4"/>
      <c r="F47" s="4"/>
      <c r="G47" s="4"/>
      <c r="H47" s="4"/>
      <c r="I47" s="4"/>
      <c r="J47" s="4"/>
      <c r="K47" s="4"/>
      <c r="L47" s="4">
        <f>5509+147</f>
        <v>5656</v>
      </c>
      <c r="M47" s="4">
        <f>11735+269</f>
        <v>12004</v>
      </c>
      <c r="N47" s="4">
        <f>11152+382</f>
        <v>11534</v>
      </c>
      <c r="O47" s="4">
        <v>14873</v>
      </c>
      <c r="P47" s="4">
        <v>19552</v>
      </c>
      <c r="Q47" s="4">
        <v>25488</v>
      </c>
      <c r="R47" s="4">
        <v>23967</v>
      </c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</row>
    <row r="48" spans="2:123" x14ac:dyDescent="0.25">
      <c r="B48" t="s">
        <v>74</v>
      </c>
      <c r="C48" s="4"/>
      <c r="D48" s="4"/>
      <c r="E48" s="4"/>
      <c r="F48" s="4"/>
      <c r="G48" s="4"/>
      <c r="H48" s="4"/>
      <c r="I48" s="4"/>
      <c r="J48" s="4"/>
      <c r="K48" s="4"/>
      <c r="L48" s="4">
        <f t="shared" ref="L48:P48" si="32">+SUM(L45:L47)</f>
        <v>7017</v>
      </c>
      <c r="M48" s="4">
        <f t="shared" si="32"/>
        <v>15053</v>
      </c>
      <c r="N48" s="4">
        <f t="shared" si="32"/>
        <v>14981</v>
      </c>
      <c r="O48" s="4">
        <f t="shared" si="32"/>
        <v>21135</v>
      </c>
      <c r="P48" s="4">
        <f t="shared" si="32"/>
        <v>27026</v>
      </c>
      <c r="Q48" s="4">
        <f>+SUM(Q45:Q47)</f>
        <v>31960</v>
      </c>
      <c r="R48" s="4">
        <f>+SUM(R45:R47)</f>
        <v>33596</v>
      </c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</row>
    <row r="49" spans="2:123" x14ac:dyDescent="0.25">
      <c r="B49" t="s">
        <v>72</v>
      </c>
      <c r="C49" s="4"/>
      <c r="D49" s="4"/>
      <c r="E49" s="4"/>
      <c r="F49" s="4"/>
      <c r="G49" s="4"/>
      <c r="H49" s="4"/>
      <c r="I49" s="4"/>
      <c r="J49" s="4"/>
      <c r="K49" s="4"/>
      <c r="L49" s="4">
        <v>0</v>
      </c>
      <c r="M49" s="4">
        <v>9524</v>
      </c>
      <c r="N49" s="4">
        <v>9631</v>
      </c>
      <c r="O49" s="4">
        <v>12746</v>
      </c>
      <c r="P49" s="4">
        <v>15301</v>
      </c>
      <c r="Q49" s="4">
        <v>17226</v>
      </c>
      <c r="R49" s="4">
        <v>18292</v>
      </c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</row>
    <row r="50" spans="2:123" x14ac:dyDescent="0.25">
      <c r="B50" t="s">
        <v>9</v>
      </c>
      <c r="C50" s="4"/>
      <c r="D50" s="4"/>
      <c r="E50" s="4"/>
      <c r="F50" s="4"/>
      <c r="G50" s="4"/>
      <c r="H50" s="4"/>
      <c r="I50" s="4"/>
      <c r="J50" s="4"/>
      <c r="K50" s="4"/>
      <c r="L50" s="4">
        <v>0</v>
      </c>
      <c r="M50" s="4">
        <v>0</v>
      </c>
      <c r="N50" s="4">
        <v>0</v>
      </c>
      <c r="O50" s="4">
        <v>0</v>
      </c>
      <c r="P50" s="4">
        <v>9923</v>
      </c>
      <c r="Q50" s="4">
        <v>18385</v>
      </c>
      <c r="R50" s="4">
        <v>28826</v>
      </c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</row>
    <row r="51" spans="2:123" x14ac:dyDescent="0.25">
      <c r="B51" t="s">
        <v>75</v>
      </c>
      <c r="C51" s="4"/>
      <c r="D51" s="4"/>
      <c r="E51" s="4"/>
      <c r="F51" s="4"/>
      <c r="G51" s="4"/>
      <c r="H51" s="4"/>
      <c r="I51" s="4"/>
      <c r="J51" s="4"/>
      <c r="K51" s="4"/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7514</v>
      </c>
      <c r="R51" s="4">
        <v>9987</v>
      </c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</row>
    <row r="52" spans="2:123" x14ac:dyDescent="0.25">
      <c r="B52" t="s">
        <v>76</v>
      </c>
      <c r="C52" s="4"/>
      <c r="D52" s="4"/>
      <c r="E52" s="4"/>
      <c r="F52" s="4"/>
      <c r="G52" s="4"/>
      <c r="H52" s="4"/>
      <c r="I52" s="4"/>
      <c r="J52" s="4"/>
      <c r="K52" s="4"/>
      <c r="L52" s="4">
        <v>6190</v>
      </c>
      <c r="M52" s="4">
        <v>7745</v>
      </c>
      <c r="N52" s="4">
        <v>6414</v>
      </c>
      <c r="O52" s="4">
        <v>7227</v>
      </c>
      <c r="P52" s="4">
        <v>7764</v>
      </c>
      <c r="Q52" s="4">
        <v>1370</v>
      </c>
      <c r="R52" s="4">
        <v>2716</v>
      </c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</row>
    <row r="53" spans="2:123" x14ac:dyDescent="0.25">
      <c r="B53" t="s">
        <v>77</v>
      </c>
      <c r="C53" s="4"/>
      <c r="D53" s="4"/>
      <c r="E53" s="4"/>
      <c r="F53" s="4"/>
      <c r="G53" s="4"/>
      <c r="H53" s="4"/>
      <c r="I53" s="4"/>
      <c r="J53" s="4"/>
      <c r="K53" s="4"/>
      <c r="L53" s="4">
        <f t="shared" ref="L53:O53" si="33">+SUM(L49:L52)</f>
        <v>6190</v>
      </c>
      <c r="M53" s="4">
        <f t="shared" si="33"/>
        <v>17269</v>
      </c>
      <c r="N53" s="4">
        <f t="shared" si="33"/>
        <v>16045</v>
      </c>
      <c r="O53" s="4">
        <f t="shared" si="33"/>
        <v>19973</v>
      </c>
      <c r="P53" s="4">
        <f>+SUM(P49:P52)</f>
        <v>32988</v>
      </c>
      <c r="Q53" s="4">
        <f>+SUM(Q49:Q52)</f>
        <v>44495</v>
      </c>
      <c r="R53" s="4">
        <f>+SUM(R49:R52)</f>
        <v>59821</v>
      </c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</row>
    <row r="54" spans="2:123" x14ac:dyDescent="0.25">
      <c r="B54" s="1" t="s">
        <v>79</v>
      </c>
      <c r="C54" s="4"/>
      <c r="D54" s="4"/>
      <c r="E54" s="4"/>
      <c r="F54" s="4"/>
      <c r="G54" s="4"/>
      <c r="H54" s="4"/>
      <c r="I54" s="4"/>
      <c r="J54" s="4"/>
      <c r="K54" s="4"/>
      <c r="L54" s="8">
        <f t="shared" ref="L54:O54" si="34">+L48+L53</f>
        <v>13207</v>
      </c>
      <c r="M54" s="8">
        <f t="shared" si="34"/>
        <v>32322</v>
      </c>
      <c r="N54" s="8">
        <f t="shared" si="34"/>
        <v>31026</v>
      </c>
      <c r="O54" s="8">
        <f t="shared" si="34"/>
        <v>41108</v>
      </c>
      <c r="P54" s="8">
        <f>+P48+P53</f>
        <v>60014</v>
      </c>
      <c r="Q54" s="8">
        <f>+Q48+Q53</f>
        <v>76455</v>
      </c>
      <c r="R54" s="8">
        <f>+R48+R53</f>
        <v>93417</v>
      </c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</row>
    <row r="55" spans="2:123" x14ac:dyDescent="0.25">
      <c r="B55" t="s">
        <v>78</v>
      </c>
      <c r="C55" s="4"/>
      <c r="D55" s="4"/>
      <c r="E55" s="4"/>
      <c r="F55" s="4"/>
      <c r="G55" s="4"/>
      <c r="H55" s="4"/>
      <c r="I55" s="4"/>
      <c r="J55" s="4"/>
      <c r="K55" s="4"/>
      <c r="L55" s="4">
        <v>84127</v>
      </c>
      <c r="M55" s="4">
        <v>101054</v>
      </c>
      <c r="N55" s="4">
        <v>128290</v>
      </c>
      <c r="O55" s="4">
        <v>124879</v>
      </c>
      <c r="P55" s="4">
        <v>125713</v>
      </c>
      <c r="Q55" s="4">
        <v>153168</v>
      </c>
      <c r="R55" s="4">
        <v>182637</v>
      </c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</row>
    <row r="56" spans="2:123" x14ac:dyDescent="0.25">
      <c r="B56" s="1" t="s">
        <v>80</v>
      </c>
      <c r="C56" s="4"/>
      <c r="D56" s="4"/>
      <c r="E56" s="4"/>
      <c r="F56" s="4"/>
      <c r="G56" s="4"/>
      <c r="H56" s="4"/>
      <c r="I56" s="4"/>
      <c r="J56" s="4"/>
      <c r="K56" s="4"/>
      <c r="L56" s="8">
        <f t="shared" ref="L56:P56" si="35">+L54+L55</f>
        <v>97334</v>
      </c>
      <c r="M56" s="8">
        <f t="shared" si="35"/>
        <v>133376</v>
      </c>
      <c r="N56" s="8">
        <f t="shared" si="35"/>
        <v>159316</v>
      </c>
      <c r="O56" s="8">
        <f t="shared" si="35"/>
        <v>165987</v>
      </c>
      <c r="P56" s="8">
        <f t="shared" si="35"/>
        <v>185727</v>
      </c>
      <c r="Q56" s="8">
        <f>+Q54+Q55</f>
        <v>229623</v>
      </c>
      <c r="R56" s="8">
        <f>+R54+R55</f>
        <v>276054</v>
      </c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</row>
    <row r="57" spans="2:123" x14ac:dyDescent="0.25"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</row>
    <row r="58" spans="2:123" x14ac:dyDescent="0.25">
      <c r="B58" t="s">
        <v>30</v>
      </c>
      <c r="C58" s="4"/>
      <c r="D58" s="4"/>
      <c r="E58" s="4"/>
      <c r="F58" s="4"/>
      <c r="G58" s="4"/>
      <c r="H58" s="4"/>
      <c r="I58" s="4"/>
      <c r="J58" s="4"/>
      <c r="K58" s="4"/>
      <c r="L58" s="4">
        <f>+L22+1</f>
        <v>22112</v>
      </c>
      <c r="M58" s="4">
        <f t="shared" ref="M58:O58" si="36">+M22</f>
        <v>18485</v>
      </c>
      <c r="N58" s="4">
        <f t="shared" si="36"/>
        <v>29146</v>
      </c>
      <c r="O58" s="4">
        <f t="shared" si="36"/>
        <v>39370</v>
      </c>
      <c r="P58" s="4">
        <f t="shared" ref="P58:Q58" si="37">+P22</f>
        <v>23200</v>
      </c>
      <c r="Q58" s="4">
        <f t="shared" si="37"/>
        <v>39098</v>
      </c>
      <c r="R58" s="4">
        <f>+R22</f>
        <v>62360</v>
      </c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</row>
    <row r="59" spans="2:123" x14ac:dyDescent="0.25">
      <c r="B59" t="s">
        <v>81</v>
      </c>
      <c r="C59" s="4"/>
      <c r="D59" s="4"/>
      <c r="E59" s="4"/>
      <c r="F59" s="4"/>
      <c r="G59" s="4"/>
      <c r="H59" s="4"/>
      <c r="I59" s="4"/>
      <c r="J59" s="4"/>
      <c r="K59" s="4"/>
      <c r="L59" s="4">
        <v>4315</v>
      </c>
      <c r="M59" s="4">
        <v>5741</v>
      </c>
      <c r="N59" s="4">
        <v>6862</v>
      </c>
      <c r="O59" s="4">
        <v>7967</v>
      </c>
      <c r="P59" s="4">
        <v>8686</v>
      </c>
      <c r="Q59" s="4">
        <v>11178</v>
      </c>
      <c r="R59" s="4">
        <v>15498</v>
      </c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</row>
    <row r="60" spans="2:123" x14ac:dyDescent="0.25">
      <c r="B60" t="s">
        <v>82</v>
      </c>
      <c r="C60" s="4"/>
      <c r="D60" s="4"/>
      <c r="E60" s="4"/>
      <c r="F60" s="4"/>
      <c r="G60" s="4"/>
      <c r="H60" s="4"/>
      <c r="I60" s="4"/>
      <c r="J60" s="4"/>
      <c r="K60" s="4"/>
      <c r="L60" s="4">
        <v>4152</v>
      </c>
      <c r="M60" s="4">
        <v>4836</v>
      </c>
      <c r="N60" s="4">
        <v>6536</v>
      </c>
      <c r="O60" s="4">
        <v>9164</v>
      </c>
      <c r="P60" s="4">
        <v>11992</v>
      </c>
      <c r="Q60" s="4">
        <v>14027</v>
      </c>
      <c r="R60" s="4">
        <v>16690</v>
      </c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</row>
    <row r="61" spans="2:123" x14ac:dyDescent="0.25">
      <c r="B61" t="s">
        <v>83</v>
      </c>
      <c r="C61" s="4"/>
      <c r="D61" s="4"/>
      <c r="E61" s="4"/>
      <c r="F61" s="4"/>
      <c r="G61" s="4"/>
      <c r="H61" s="4"/>
      <c r="I61" s="4"/>
      <c r="J61" s="4"/>
      <c r="K61" s="4"/>
      <c r="L61" s="4">
        <v>286</v>
      </c>
      <c r="M61" s="4">
        <v>-37</v>
      </c>
      <c r="N61" s="4">
        <v>-1192</v>
      </c>
      <c r="O61" s="4">
        <v>609</v>
      </c>
      <c r="P61" s="4">
        <v>-3286</v>
      </c>
      <c r="Q61" s="4">
        <v>131</v>
      </c>
      <c r="R61" s="4">
        <v>-4738</v>
      </c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</row>
    <row r="62" spans="2:123" x14ac:dyDescent="0.25">
      <c r="B62" t="s">
        <v>85</v>
      </c>
      <c r="C62" s="4"/>
      <c r="D62" s="4"/>
      <c r="E62" s="4"/>
      <c r="F62" s="4"/>
      <c r="G62" s="4"/>
      <c r="H62" s="4"/>
      <c r="I62" s="4"/>
      <c r="J62" s="4"/>
      <c r="K62" s="4"/>
      <c r="L62" s="4">
        <v>0</v>
      </c>
      <c r="M62" s="4">
        <v>0</v>
      </c>
      <c r="N62" s="4">
        <v>0</v>
      </c>
      <c r="O62" s="4">
        <v>0</v>
      </c>
      <c r="P62" s="4">
        <v>2218</v>
      </c>
      <c r="Q62" s="4">
        <v>2432</v>
      </c>
      <c r="R62" s="4">
        <v>383</v>
      </c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</row>
    <row r="63" spans="2:123" x14ac:dyDescent="0.25">
      <c r="B63" t="s">
        <v>84</v>
      </c>
      <c r="C63" s="4"/>
      <c r="D63" s="4"/>
      <c r="E63" s="4"/>
      <c r="F63" s="4"/>
      <c r="G63" s="4"/>
      <c r="H63" s="4"/>
      <c r="I63" s="4"/>
      <c r="J63" s="4"/>
      <c r="K63" s="4"/>
      <c r="L63" s="4">
        <v>0</v>
      </c>
      <c r="M63" s="4">
        <v>0</v>
      </c>
      <c r="N63" s="4">
        <v>0</v>
      </c>
      <c r="O63" s="4">
        <v>0</v>
      </c>
      <c r="P63" s="4">
        <v>1341</v>
      </c>
      <c r="Q63" s="4">
        <v>-224</v>
      </c>
      <c r="R63" s="4">
        <v>0</v>
      </c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</row>
    <row r="64" spans="2:123" x14ac:dyDescent="0.25">
      <c r="B64" t="s">
        <v>37</v>
      </c>
      <c r="C64" s="4"/>
      <c r="D64" s="4"/>
      <c r="E64" s="4"/>
      <c r="F64" s="4"/>
      <c r="G64" s="4"/>
      <c r="H64" s="4"/>
      <c r="I64" s="4"/>
      <c r="J64" s="4"/>
      <c r="K64" s="4"/>
      <c r="L64" s="4">
        <v>-64</v>
      </c>
      <c r="M64" s="4">
        <v>39</v>
      </c>
      <c r="N64" s="4">
        <f>33+85</f>
        <v>118</v>
      </c>
      <c r="O64" s="4">
        <f>105-232</f>
        <v>-127</v>
      </c>
      <c r="P64" s="4">
        <v>641</v>
      </c>
      <c r="Q64" s="4">
        <v>635</v>
      </c>
      <c r="R64" s="4">
        <v>87</v>
      </c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</row>
    <row r="65" spans="2:123" x14ac:dyDescent="0.25">
      <c r="B65" t="s">
        <v>89</v>
      </c>
      <c r="C65" s="4"/>
      <c r="D65" s="4"/>
      <c r="E65" s="4"/>
      <c r="F65" s="4"/>
      <c r="G65" s="4"/>
      <c r="H65" s="4"/>
      <c r="I65" s="4"/>
      <c r="J65" s="4"/>
      <c r="K65" s="4"/>
      <c r="L65" s="4">
        <v>-1892</v>
      </c>
      <c r="M65" s="4">
        <v>-1961</v>
      </c>
      <c r="N65" s="4">
        <v>-1512</v>
      </c>
      <c r="O65" s="4">
        <v>-3110</v>
      </c>
      <c r="P65" s="4">
        <v>231</v>
      </c>
      <c r="Q65" s="4">
        <v>-2399</v>
      </c>
      <c r="R65" s="4">
        <v>-1485</v>
      </c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</row>
    <row r="66" spans="2:123" x14ac:dyDescent="0.25">
      <c r="B66" t="s">
        <v>86</v>
      </c>
      <c r="C66" s="4"/>
      <c r="D66" s="4"/>
      <c r="E66" s="4"/>
      <c r="F66" s="4"/>
      <c r="G66" s="4"/>
      <c r="H66" s="4"/>
      <c r="I66" s="4"/>
      <c r="J66" s="4"/>
      <c r="K66" s="4"/>
      <c r="L66" s="4">
        <v>-690</v>
      </c>
      <c r="M66" s="4">
        <v>47</v>
      </c>
      <c r="N66" s="4">
        <v>135</v>
      </c>
      <c r="O66" s="4">
        <v>-1750</v>
      </c>
      <c r="P66" s="4">
        <v>162</v>
      </c>
      <c r="Q66" s="4">
        <v>559</v>
      </c>
      <c r="R66" s="4">
        <v>-698</v>
      </c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</row>
    <row r="67" spans="2:123" x14ac:dyDescent="0.25">
      <c r="B67" t="s">
        <v>87</v>
      </c>
      <c r="C67" s="4"/>
      <c r="D67" s="4"/>
      <c r="E67" s="4"/>
      <c r="F67" s="4"/>
      <c r="G67" s="4"/>
      <c r="H67" s="4"/>
      <c r="I67" s="4"/>
      <c r="J67" s="4"/>
      <c r="K67" s="4"/>
      <c r="L67" s="4">
        <v>-159</v>
      </c>
      <c r="M67" s="4">
        <v>41</v>
      </c>
      <c r="N67" s="4">
        <v>-34</v>
      </c>
      <c r="O67" s="4">
        <v>-349</v>
      </c>
      <c r="P67" s="4">
        <v>-106</v>
      </c>
      <c r="Q67" s="4">
        <v>-80</v>
      </c>
      <c r="R67" s="4">
        <v>-270</v>
      </c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</row>
    <row r="68" spans="2:123" x14ac:dyDescent="0.25">
      <c r="B68" t="s">
        <v>88</v>
      </c>
      <c r="C68" s="4"/>
      <c r="D68" s="4"/>
      <c r="E68" s="4"/>
      <c r="F68" s="4"/>
      <c r="G68" s="4"/>
      <c r="H68" s="4"/>
      <c r="I68" s="4"/>
      <c r="J68" s="4"/>
      <c r="K68" s="4"/>
      <c r="L68" s="4">
        <f>221+157</f>
        <v>378</v>
      </c>
      <c r="M68" s="4">
        <f>113+348</f>
        <v>461</v>
      </c>
      <c r="N68" s="4">
        <f>-17+178</f>
        <v>161</v>
      </c>
      <c r="O68" s="4">
        <f>1436-12</f>
        <v>1424</v>
      </c>
      <c r="P68" s="4">
        <v>210</v>
      </c>
      <c r="Q68" s="4">
        <v>51</v>
      </c>
      <c r="R68" s="4">
        <v>373</v>
      </c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</row>
    <row r="69" spans="2:123" x14ac:dyDescent="0.25">
      <c r="B69" t="s">
        <v>90</v>
      </c>
      <c r="C69" s="4"/>
      <c r="D69" s="4"/>
      <c r="E69" s="4"/>
      <c r="F69" s="4"/>
      <c r="G69" s="4"/>
      <c r="H69" s="4"/>
      <c r="I69" s="4"/>
      <c r="J69" s="4"/>
      <c r="K69" s="4"/>
      <c r="L69" s="4">
        <f>1417+53</f>
        <v>1470</v>
      </c>
      <c r="M69" s="4">
        <f>7300+123</f>
        <v>7423</v>
      </c>
      <c r="N69" s="4">
        <v>-946</v>
      </c>
      <c r="O69" s="4">
        <v>3544</v>
      </c>
      <c r="P69" s="4">
        <v>4300</v>
      </c>
      <c r="Q69" s="4">
        <v>5081</v>
      </c>
      <c r="R69" s="4">
        <v>323</v>
      </c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</row>
    <row r="70" spans="2:123" x14ac:dyDescent="0.25">
      <c r="B70" t="s">
        <v>91</v>
      </c>
      <c r="C70" s="4"/>
      <c r="D70" s="4"/>
      <c r="E70" s="4"/>
      <c r="F70" s="4"/>
      <c r="G70" s="4"/>
      <c r="H70" s="4"/>
      <c r="I70" s="4"/>
      <c r="J70" s="4"/>
      <c r="K70" s="4"/>
      <c r="L70" s="4">
        <v>-634</v>
      </c>
      <c r="M70" s="4">
        <v>1239</v>
      </c>
      <c r="N70" s="4">
        <v>-527</v>
      </c>
      <c r="O70" s="4">
        <v>941</v>
      </c>
      <c r="P70" s="4">
        <v>886</v>
      </c>
      <c r="Q70" s="4">
        <v>624</v>
      </c>
      <c r="R70" s="4">
        <v>2805</v>
      </c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</row>
    <row r="71" spans="2:123" x14ac:dyDescent="0.25">
      <c r="B71" t="s">
        <v>92</v>
      </c>
      <c r="C71" s="4"/>
      <c r="D71" s="4"/>
      <c r="E71" s="4"/>
      <c r="F71" s="4"/>
      <c r="G71" s="4"/>
      <c r="H71" s="4"/>
      <c r="I71" s="4"/>
      <c r="J71" s="4"/>
      <c r="K71" s="4"/>
      <c r="L71" s="4">
        <f t="shared" ref="L71:P71" si="38">+SUM(L65:L70)</f>
        <v>-1527</v>
      </c>
      <c r="M71" s="4">
        <f t="shared" si="38"/>
        <v>7250</v>
      </c>
      <c r="N71" s="4">
        <f t="shared" si="38"/>
        <v>-2723</v>
      </c>
      <c r="O71" s="4">
        <f t="shared" si="38"/>
        <v>700</v>
      </c>
      <c r="P71" s="4">
        <f t="shared" si="38"/>
        <v>5683</v>
      </c>
      <c r="Q71" s="4">
        <f>+SUM(Q65:Q70)</f>
        <v>3836</v>
      </c>
      <c r="R71" s="4">
        <f>+SUM(R65:R70)</f>
        <v>1048</v>
      </c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</row>
    <row r="72" spans="2:123" x14ac:dyDescent="0.25">
      <c r="B72" s="1" t="s">
        <v>93</v>
      </c>
      <c r="C72" s="4"/>
      <c r="D72" s="4"/>
      <c r="E72" s="4"/>
      <c r="F72" s="4"/>
      <c r="G72" s="4"/>
      <c r="H72" s="4"/>
      <c r="I72" s="4"/>
      <c r="J72" s="4"/>
      <c r="K72" s="4"/>
      <c r="L72" s="8">
        <f t="shared" ref="L72:Q72" si="39">+L58+SUM(L59:L64)+L71</f>
        <v>29274</v>
      </c>
      <c r="M72" s="8">
        <f t="shared" si="39"/>
        <v>36314</v>
      </c>
      <c r="N72" s="8">
        <f t="shared" si="39"/>
        <v>38747</v>
      </c>
      <c r="O72" s="8">
        <f t="shared" si="39"/>
        <v>57683</v>
      </c>
      <c r="P72" s="8">
        <f t="shared" si="39"/>
        <v>50475</v>
      </c>
      <c r="Q72" s="8">
        <f t="shared" si="39"/>
        <v>71113</v>
      </c>
      <c r="R72" s="8">
        <f>+R58+SUM(R59:R64)+R71</f>
        <v>91328</v>
      </c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</row>
    <row r="73" spans="2:123" x14ac:dyDescent="0.25">
      <c r="B73" t="s">
        <v>95</v>
      </c>
      <c r="C73" s="4"/>
      <c r="D73" s="4"/>
      <c r="E73" s="4"/>
      <c r="F73" s="4"/>
      <c r="G73" s="4"/>
      <c r="H73" s="4"/>
      <c r="I73" s="4"/>
      <c r="J73" s="4"/>
      <c r="K73" s="4"/>
      <c r="L73" s="4">
        <v>-13915</v>
      </c>
      <c r="M73" s="4">
        <v>-15102</v>
      </c>
      <c r="N73" s="4">
        <f>-15163+48</f>
        <v>-15115</v>
      </c>
      <c r="O73" s="4">
        <f>-18690+123</f>
        <v>-18567</v>
      </c>
      <c r="P73" s="4">
        <v>-31186</v>
      </c>
      <c r="Q73" s="4">
        <v>-27045</v>
      </c>
      <c r="R73" s="4">
        <v>-37256</v>
      </c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</row>
    <row r="74" spans="2:123" x14ac:dyDescent="0.25">
      <c r="B74" t="s">
        <v>96</v>
      </c>
      <c r="C74" s="4"/>
      <c r="D74" s="4"/>
      <c r="E74" s="4"/>
      <c r="F74" s="4"/>
      <c r="G74" s="4"/>
      <c r="H74" s="4"/>
      <c r="I74" s="4"/>
      <c r="J74" s="4"/>
      <c r="K74" s="4"/>
      <c r="L74" s="4">
        <v>-14656</v>
      </c>
      <c r="M74" s="4">
        <v>-23910</v>
      </c>
      <c r="N74" s="4">
        <v>-33930</v>
      </c>
      <c r="O74" s="4">
        <v>-30407</v>
      </c>
      <c r="P74" s="4">
        <v>-9626</v>
      </c>
      <c r="Q74" s="4">
        <v>-2982</v>
      </c>
      <c r="R74" s="4">
        <v>-25542</v>
      </c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</row>
    <row r="75" spans="2:123" x14ac:dyDescent="0.25">
      <c r="B75" t="s">
        <v>97</v>
      </c>
      <c r="C75" s="4"/>
      <c r="D75" s="4"/>
      <c r="E75" s="4"/>
      <c r="F75" s="4"/>
      <c r="G75" s="4"/>
      <c r="H75" s="4"/>
      <c r="I75" s="4"/>
      <c r="J75" s="4"/>
      <c r="K75" s="4"/>
      <c r="L75" s="4">
        <f>12358+4772</f>
        <v>17130</v>
      </c>
      <c r="M75" s="4">
        <f>9565+10152</f>
        <v>19717</v>
      </c>
      <c r="N75" s="4">
        <f>11787+13984</f>
        <v>25771</v>
      </c>
      <c r="O75" s="4">
        <f>31671+10915</f>
        <v>42586</v>
      </c>
      <c r="P75" s="4">
        <v>13158</v>
      </c>
      <c r="Q75" s="4">
        <v>6184</v>
      </c>
      <c r="R75" s="4">
        <v>15789</v>
      </c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</row>
    <row r="76" spans="2:123" x14ac:dyDescent="0.25">
      <c r="B76" t="s">
        <v>98</v>
      </c>
      <c r="C76" s="4"/>
      <c r="D76" s="4"/>
      <c r="E76" s="4"/>
      <c r="F76" s="4"/>
      <c r="G76" s="4"/>
      <c r="H76" s="4"/>
      <c r="I76" s="4"/>
      <c r="J76" s="4"/>
      <c r="K76" s="4"/>
      <c r="L76" s="4">
        <v>-137</v>
      </c>
      <c r="M76" s="4">
        <v>-508</v>
      </c>
      <c r="N76" s="4">
        <f>-6361-388</f>
        <v>-6749</v>
      </c>
      <c r="O76" s="4">
        <f>-47-851</f>
        <v>-898</v>
      </c>
      <c r="P76" s="4">
        <v>-1312</v>
      </c>
      <c r="Q76" s="4">
        <v>-629</v>
      </c>
      <c r="R76" s="4">
        <v>-270</v>
      </c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</row>
    <row r="77" spans="2:123" x14ac:dyDescent="0.25">
      <c r="B77" t="s">
        <v>37</v>
      </c>
      <c r="C77" s="4"/>
      <c r="D77" s="4"/>
      <c r="E77" s="4"/>
      <c r="F77" s="4"/>
      <c r="G77" s="4"/>
      <c r="H77" s="4"/>
      <c r="I77" s="4"/>
      <c r="J77" s="4"/>
      <c r="K77" s="4"/>
      <c r="L77" s="4">
        <v>-25</v>
      </c>
      <c r="M77" s="4">
        <v>-61</v>
      </c>
      <c r="N77" s="4">
        <v>-36</v>
      </c>
      <c r="O77" s="4">
        <v>-284</v>
      </c>
      <c r="P77" s="4">
        <v>-4</v>
      </c>
      <c r="Q77" s="4">
        <v>-23</v>
      </c>
      <c r="R77" s="4">
        <v>129</v>
      </c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</row>
    <row r="78" spans="2:123" x14ac:dyDescent="0.25">
      <c r="B78" s="1" t="s">
        <v>94</v>
      </c>
      <c r="C78" s="4"/>
      <c r="D78" s="4"/>
      <c r="E78" s="4"/>
      <c r="F78" s="4"/>
      <c r="G78" s="4"/>
      <c r="H78" s="4"/>
      <c r="I78" s="4"/>
      <c r="J78" s="4"/>
      <c r="K78" s="4"/>
      <c r="L78" s="8">
        <f t="shared" ref="L78:Q78" si="40">+SUM(L73:L77)</f>
        <v>-11603</v>
      </c>
      <c r="M78" s="8">
        <f t="shared" si="40"/>
        <v>-19864</v>
      </c>
      <c r="N78" s="8">
        <f t="shared" si="40"/>
        <v>-30059</v>
      </c>
      <c r="O78" s="8">
        <f t="shared" si="40"/>
        <v>-7570</v>
      </c>
      <c r="P78" s="8">
        <f t="shared" si="40"/>
        <v>-28970</v>
      </c>
      <c r="Q78" s="8">
        <f t="shared" si="40"/>
        <v>-24495</v>
      </c>
      <c r="R78" s="8">
        <f>+SUM(R73:R77)</f>
        <v>-47150</v>
      </c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</row>
    <row r="79" spans="2:123" x14ac:dyDescent="0.25">
      <c r="B79" t="s">
        <v>104</v>
      </c>
      <c r="C79" s="4"/>
      <c r="D79" s="4"/>
      <c r="E79" s="4"/>
      <c r="F79" s="4"/>
      <c r="G79" s="4"/>
      <c r="H79" s="4"/>
      <c r="I79" s="4"/>
      <c r="J79" s="4"/>
      <c r="K79" s="4"/>
      <c r="L79" s="4">
        <v>-3208</v>
      </c>
      <c r="M79" s="4">
        <v>-2337</v>
      </c>
      <c r="N79" s="4">
        <v>-3564</v>
      </c>
      <c r="O79" s="4">
        <v>-5515</v>
      </c>
      <c r="P79" s="4">
        <v>-3595</v>
      </c>
      <c r="Q79" s="4">
        <v>-7012</v>
      </c>
      <c r="R79" s="4">
        <v>-13770</v>
      </c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</row>
    <row r="80" spans="2:123" x14ac:dyDescent="0.25">
      <c r="B80" t="s">
        <v>105</v>
      </c>
      <c r="C80" s="4"/>
      <c r="D80" s="4"/>
      <c r="E80" s="4"/>
      <c r="F80" s="4"/>
      <c r="G80" s="4"/>
      <c r="H80" s="4"/>
      <c r="I80" s="4"/>
      <c r="J80" s="4"/>
      <c r="K80" s="4"/>
      <c r="L80" s="4">
        <v>-12879</v>
      </c>
      <c r="M80" s="4">
        <v>-4202</v>
      </c>
      <c r="N80" s="4">
        <v>-6272</v>
      </c>
      <c r="O80" s="4">
        <f>-44537</f>
        <v>-44537</v>
      </c>
      <c r="P80" s="4">
        <v>-27956</v>
      </c>
      <c r="Q80" s="4">
        <v>-19774</v>
      </c>
      <c r="R80" s="4">
        <v>-30125</v>
      </c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</row>
    <row r="81" spans="2:123" x14ac:dyDescent="0.25">
      <c r="B81" t="s">
        <v>106</v>
      </c>
      <c r="C81" s="4"/>
      <c r="D81" s="4"/>
      <c r="E81" s="4"/>
      <c r="F81" s="4"/>
      <c r="G81" s="4"/>
      <c r="H81" s="4"/>
      <c r="I81" s="4"/>
      <c r="J81" s="4"/>
      <c r="K81" s="4"/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-5072</v>
      </c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</row>
    <row r="82" spans="2:123" x14ac:dyDescent="0.25">
      <c r="B82" t="s">
        <v>107</v>
      </c>
      <c r="C82" s="4"/>
      <c r="D82" s="4"/>
      <c r="E82" s="4"/>
      <c r="F82" s="4"/>
      <c r="G82" s="4"/>
      <c r="H82" s="4"/>
      <c r="I82" s="4"/>
      <c r="J82" s="4"/>
      <c r="K82" s="4"/>
      <c r="L82" s="4">
        <v>0</v>
      </c>
      <c r="M82" s="4">
        <v>0</v>
      </c>
      <c r="N82" s="4">
        <v>0</v>
      </c>
      <c r="O82" s="4">
        <v>0</v>
      </c>
      <c r="P82" s="4">
        <v>9921</v>
      </c>
      <c r="Q82" s="4">
        <v>8455</v>
      </c>
      <c r="R82" s="4">
        <v>10432</v>
      </c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</row>
    <row r="83" spans="2:123" x14ac:dyDescent="0.25">
      <c r="B83" t="s">
        <v>108</v>
      </c>
      <c r="C83" s="4"/>
      <c r="D83" s="4"/>
      <c r="E83" s="4"/>
      <c r="F83" s="4"/>
      <c r="G83" s="4"/>
      <c r="H83" s="4"/>
      <c r="I83" s="4"/>
      <c r="J83" s="4"/>
      <c r="K83" s="4"/>
      <c r="L83" s="4">
        <v>0</v>
      </c>
      <c r="M83" s="4">
        <v>-552</v>
      </c>
      <c r="N83" s="4">
        <v>-604</v>
      </c>
      <c r="O83" s="4">
        <v>-677</v>
      </c>
      <c r="P83" s="4">
        <v>-850</v>
      </c>
      <c r="Q83" s="4">
        <v>-1058</v>
      </c>
      <c r="R83" s="4">
        <v>-1969</v>
      </c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</row>
    <row r="84" spans="2:123" x14ac:dyDescent="0.25">
      <c r="B84" t="s">
        <v>37</v>
      </c>
      <c r="C84" s="4"/>
      <c r="D84" s="4"/>
      <c r="E84" s="4"/>
      <c r="F84" s="4"/>
      <c r="G84" s="4"/>
      <c r="H84" s="4"/>
      <c r="I84" s="4"/>
      <c r="J84" s="4"/>
      <c r="K84" s="4"/>
      <c r="L84" s="4">
        <f>500+15</f>
        <v>515</v>
      </c>
      <c r="M84" s="4">
        <f>-223+15</f>
        <v>-208</v>
      </c>
      <c r="N84" s="4">
        <v>148</v>
      </c>
      <c r="O84" s="4">
        <v>1</v>
      </c>
      <c r="P84" s="4">
        <v>344</v>
      </c>
      <c r="Q84" s="4">
        <v>-111</v>
      </c>
      <c r="R84" s="4">
        <v>-277</v>
      </c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</row>
    <row r="85" spans="2:123" x14ac:dyDescent="0.25">
      <c r="B85" s="1" t="s">
        <v>103</v>
      </c>
      <c r="C85" s="4"/>
      <c r="D85" s="4"/>
      <c r="E85" s="4"/>
      <c r="F85" s="4"/>
      <c r="G85" s="4"/>
      <c r="H85" s="4"/>
      <c r="I85" s="4"/>
      <c r="J85" s="4"/>
      <c r="K85" s="4"/>
      <c r="L85" s="8">
        <f t="shared" ref="L85:O85" si="41">+SUM(L79:L84)</f>
        <v>-15572</v>
      </c>
      <c r="M85" s="8">
        <f t="shared" si="41"/>
        <v>-7299</v>
      </c>
      <c r="N85" s="8">
        <f t="shared" si="41"/>
        <v>-10292</v>
      </c>
      <c r="O85" s="8">
        <f t="shared" si="41"/>
        <v>-50728</v>
      </c>
      <c r="P85" s="8">
        <f>+SUM(P79:P84)</f>
        <v>-22136</v>
      </c>
      <c r="Q85" s="8">
        <f>+SUM(Q79:Q84)</f>
        <v>-19500</v>
      </c>
      <c r="R85" s="8">
        <f>+SUM(R79:R84)</f>
        <v>-40781</v>
      </c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</row>
    <row r="86" spans="2:123" x14ac:dyDescent="0.25">
      <c r="B86" t="s">
        <v>102</v>
      </c>
      <c r="C86" s="4"/>
      <c r="D86" s="4"/>
      <c r="E86" s="4"/>
      <c r="F86" s="4"/>
      <c r="G86" s="4"/>
      <c r="H86" s="4"/>
      <c r="I86" s="4"/>
      <c r="J86" s="4"/>
      <c r="K86" s="4"/>
      <c r="L86" s="4">
        <v>-179</v>
      </c>
      <c r="M86" s="4">
        <v>4</v>
      </c>
      <c r="N86" s="4">
        <v>279</v>
      </c>
      <c r="O86" s="4">
        <v>-474</v>
      </c>
      <c r="P86" s="4">
        <v>-638</v>
      </c>
      <c r="Q86" s="4">
        <v>113</v>
      </c>
      <c r="R86" s="4">
        <v>-786</v>
      </c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</row>
    <row r="87" spans="2:123" x14ac:dyDescent="0.25">
      <c r="B87" s="1" t="s">
        <v>101</v>
      </c>
      <c r="C87" s="4"/>
      <c r="D87" s="4"/>
      <c r="E87" s="4"/>
      <c r="F87" s="4"/>
      <c r="G87" s="4"/>
      <c r="H87" s="4"/>
      <c r="I87" s="4"/>
      <c r="J87" s="4"/>
      <c r="K87" s="4"/>
      <c r="L87" s="8">
        <f t="shared" ref="L87:Q87" si="42">+L85+L86+L78+L72</f>
        <v>1920</v>
      </c>
      <c r="M87" s="8">
        <f t="shared" si="42"/>
        <v>9155</v>
      </c>
      <c r="N87" s="8">
        <f t="shared" si="42"/>
        <v>-1325</v>
      </c>
      <c r="O87" s="8">
        <f t="shared" si="42"/>
        <v>-1089</v>
      </c>
      <c r="P87" s="8">
        <f t="shared" si="42"/>
        <v>-1269</v>
      </c>
      <c r="Q87" s="8">
        <f t="shared" si="42"/>
        <v>27231</v>
      </c>
      <c r="R87" s="8">
        <f>+R85+R86+R78+R72</f>
        <v>2611</v>
      </c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</row>
    <row r="88" spans="2:123" x14ac:dyDescent="0.25">
      <c r="B88" t="s">
        <v>100</v>
      </c>
      <c r="C88" s="4"/>
      <c r="D88" s="4"/>
      <c r="E88" s="4"/>
      <c r="F88" s="4"/>
      <c r="G88" s="4"/>
      <c r="H88" s="4"/>
      <c r="I88" s="4"/>
      <c r="J88" s="4"/>
      <c r="K88" s="4"/>
      <c r="L88" s="4">
        <f t="shared" ref="L88:Q88" si="43">+L89-L87</f>
        <v>8204</v>
      </c>
      <c r="M88" s="4">
        <f t="shared" si="43"/>
        <v>10124</v>
      </c>
      <c r="N88" s="4">
        <f t="shared" si="43"/>
        <v>19279</v>
      </c>
      <c r="O88" s="4">
        <f t="shared" si="43"/>
        <v>17954</v>
      </c>
      <c r="P88" s="4">
        <f t="shared" si="43"/>
        <v>16865</v>
      </c>
      <c r="Q88" s="4">
        <f t="shared" si="43"/>
        <v>15596</v>
      </c>
      <c r="R88" s="4">
        <v>42827</v>
      </c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</row>
    <row r="89" spans="2:123" x14ac:dyDescent="0.25">
      <c r="B89" t="s">
        <v>99</v>
      </c>
      <c r="C89" s="4"/>
      <c r="D89" s="4"/>
      <c r="E89" s="4"/>
      <c r="F89" s="4"/>
      <c r="G89" s="4"/>
      <c r="H89" s="4"/>
      <c r="I89" s="4"/>
      <c r="J89" s="4"/>
      <c r="K89" s="4"/>
      <c r="L89" s="4">
        <f t="shared" ref="L89:Q89" si="44">+M88</f>
        <v>10124</v>
      </c>
      <c r="M89" s="4">
        <f t="shared" si="44"/>
        <v>19279</v>
      </c>
      <c r="N89" s="4">
        <f t="shared" si="44"/>
        <v>17954</v>
      </c>
      <c r="O89" s="4">
        <f t="shared" si="44"/>
        <v>16865</v>
      </c>
      <c r="P89" s="4">
        <f t="shared" si="44"/>
        <v>15596</v>
      </c>
      <c r="Q89" s="4">
        <f t="shared" si="44"/>
        <v>42827</v>
      </c>
      <c r="R89" s="4">
        <f>+R87+R88</f>
        <v>45438</v>
      </c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</row>
    <row r="90" spans="2:123" x14ac:dyDescent="0.25"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</row>
    <row r="91" spans="2:123" x14ac:dyDescent="0.25"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</row>
    <row r="92" spans="2:123" x14ac:dyDescent="0.25"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</row>
    <row r="93" spans="2:123" x14ac:dyDescent="0.25"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</row>
    <row r="94" spans="2:123" x14ac:dyDescent="0.25"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</row>
    <row r="95" spans="2:123" x14ac:dyDescent="0.25"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</row>
    <row r="96" spans="2:123" x14ac:dyDescent="0.25"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</row>
    <row r="97" spans="3:123" x14ac:dyDescent="0.25"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</row>
    <row r="98" spans="3:123" x14ac:dyDescent="0.25"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</row>
    <row r="99" spans="3:123" x14ac:dyDescent="0.25"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</row>
    <row r="100" spans="3:123" x14ac:dyDescent="0.25"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</row>
    <row r="101" spans="3:123" x14ac:dyDescent="0.25"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</row>
    <row r="102" spans="3:123" x14ac:dyDescent="0.25"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</row>
    <row r="103" spans="3:123" x14ac:dyDescent="0.25"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</row>
    <row r="104" spans="3:123" x14ac:dyDescent="0.25"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</row>
    <row r="105" spans="3:123" x14ac:dyDescent="0.25"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</row>
    <row r="106" spans="3:123" x14ac:dyDescent="0.25"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</row>
    <row r="107" spans="3:123" x14ac:dyDescent="0.25"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</row>
    <row r="108" spans="3:123" x14ac:dyDescent="0.25"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</row>
    <row r="109" spans="3:123" x14ac:dyDescent="0.25"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</row>
    <row r="110" spans="3:123" x14ac:dyDescent="0.25"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</row>
    <row r="111" spans="3:123" x14ac:dyDescent="0.25"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</row>
    <row r="112" spans="3:123" x14ac:dyDescent="0.25"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</row>
    <row r="113" spans="3:123" x14ac:dyDescent="0.25"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</row>
    <row r="114" spans="3:123" x14ac:dyDescent="0.25"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</row>
    <row r="115" spans="3:123" x14ac:dyDescent="0.25"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</row>
    <row r="116" spans="3:123" x14ac:dyDescent="0.25"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</row>
    <row r="117" spans="3:123" x14ac:dyDescent="0.25"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</row>
    <row r="118" spans="3:123" x14ac:dyDescent="0.25"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</row>
    <row r="119" spans="3:123" x14ac:dyDescent="0.25"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</row>
    <row r="120" spans="3:123" x14ac:dyDescent="0.25"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</row>
    <row r="121" spans="3:123" x14ac:dyDescent="0.25"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</row>
    <row r="122" spans="3:123" x14ac:dyDescent="0.25"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</row>
    <row r="123" spans="3:123" x14ac:dyDescent="0.25"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</row>
    <row r="124" spans="3:123" x14ac:dyDescent="0.25"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</row>
    <row r="125" spans="3:123" x14ac:dyDescent="0.25"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</row>
    <row r="126" spans="3:123" x14ac:dyDescent="0.25"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</row>
    <row r="127" spans="3:123" x14ac:dyDescent="0.25"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</row>
    <row r="128" spans="3:123" x14ac:dyDescent="0.25"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</row>
    <row r="129" spans="3:123" x14ac:dyDescent="0.25"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</row>
    <row r="130" spans="3:123" x14ac:dyDescent="0.25"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</row>
    <row r="131" spans="3:123" x14ac:dyDescent="0.25"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</row>
    <row r="132" spans="3:123" x14ac:dyDescent="0.25"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</row>
    <row r="133" spans="3:123" x14ac:dyDescent="0.25"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</row>
    <row r="134" spans="3:123" x14ac:dyDescent="0.25"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</row>
    <row r="135" spans="3:123" x14ac:dyDescent="0.25"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</row>
    <row r="136" spans="3:123" x14ac:dyDescent="0.25"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</row>
    <row r="137" spans="3:123" x14ac:dyDescent="0.25"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</row>
    <row r="138" spans="3:123" x14ac:dyDescent="0.25"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</row>
    <row r="139" spans="3:123" x14ac:dyDescent="0.25"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</row>
    <row r="140" spans="3:123" x14ac:dyDescent="0.25"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</row>
    <row r="141" spans="3:123" x14ac:dyDescent="0.25"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</row>
    <row r="142" spans="3:123" x14ac:dyDescent="0.25"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</row>
    <row r="143" spans="3:123" x14ac:dyDescent="0.25"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</row>
    <row r="144" spans="3:123" x14ac:dyDescent="0.25"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</row>
    <row r="145" spans="3:123" x14ac:dyDescent="0.25"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</row>
    <row r="146" spans="3:123" x14ac:dyDescent="0.25"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</row>
    <row r="147" spans="3:123" x14ac:dyDescent="0.25"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</row>
    <row r="148" spans="3:123" x14ac:dyDescent="0.25"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</row>
    <row r="149" spans="3:123" x14ac:dyDescent="0.25"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</row>
    <row r="150" spans="3:123" x14ac:dyDescent="0.25"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</row>
    <row r="151" spans="3:123" x14ac:dyDescent="0.25"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</row>
    <row r="152" spans="3:123" x14ac:dyDescent="0.25"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</row>
    <row r="153" spans="3:123" x14ac:dyDescent="0.25"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</row>
    <row r="154" spans="3:123" x14ac:dyDescent="0.25"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</row>
    <row r="155" spans="3:123" x14ac:dyDescent="0.25"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</row>
    <row r="156" spans="3:123" x14ac:dyDescent="0.25"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</row>
    <row r="157" spans="3:123" x14ac:dyDescent="0.25"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</row>
    <row r="158" spans="3:123" x14ac:dyDescent="0.25"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</row>
    <row r="159" spans="3:123" x14ac:dyDescent="0.25"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</row>
    <row r="160" spans="3:123" x14ac:dyDescent="0.25"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</row>
    <row r="161" spans="3:123" x14ac:dyDescent="0.25"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</row>
    <row r="162" spans="3:123" x14ac:dyDescent="0.25"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</row>
    <row r="163" spans="3:123" x14ac:dyDescent="0.25"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</row>
    <row r="164" spans="3:123" x14ac:dyDescent="0.25"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</row>
    <row r="165" spans="3:123" x14ac:dyDescent="0.25"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</row>
    <row r="166" spans="3:123" x14ac:dyDescent="0.25"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</row>
    <row r="167" spans="3:123" x14ac:dyDescent="0.25"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</row>
    <row r="168" spans="3:123" x14ac:dyDescent="0.25"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</row>
    <row r="169" spans="3:123" x14ac:dyDescent="0.25"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</row>
    <row r="170" spans="3:123" x14ac:dyDescent="0.25"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</row>
    <row r="171" spans="3:123" x14ac:dyDescent="0.25"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</row>
    <row r="172" spans="3:123" x14ac:dyDescent="0.25"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</row>
    <row r="173" spans="3:123" x14ac:dyDescent="0.25"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</row>
    <row r="174" spans="3:123" x14ac:dyDescent="0.25"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</row>
    <row r="175" spans="3:123" x14ac:dyDescent="0.25"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</row>
    <row r="176" spans="3:123" x14ac:dyDescent="0.25"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</row>
    <row r="177" spans="3:123" x14ac:dyDescent="0.25"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</row>
    <row r="178" spans="3:123" x14ac:dyDescent="0.25"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</row>
    <row r="179" spans="3:123" x14ac:dyDescent="0.25"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</row>
    <row r="180" spans="3:123" x14ac:dyDescent="0.25"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</row>
    <row r="181" spans="3:123" x14ac:dyDescent="0.25"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</row>
    <row r="182" spans="3:123" x14ac:dyDescent="0.25"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</row>
    <row r="183" spans="3:123" x14ac:dyDescent="0.25"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</row>
    <row r="184" spans="3:123" x14ac:dyDescent="0.25"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</row>
    <row r="185" spans="3:123" x14ac:dyDescent="0.25"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</row>
    <row r="186" spans="3:123" x14ac:dyDescent="0.25"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</row>
    <row r="187" spans="3:123" x14ac:dyDescent="0.25"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</row>
    <row r="188" spans="3:123" x14ac:dyDescent="0.25"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</row>
    <row r="189" spans="3:123" x14ac:dyDescent="0.25"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</row>
    <row r="190" spans="3:123" x14ac:dyDescent="0.25"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</row>
    <row r="191" spans="3:123" x14ac:dyDescent="0.25"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</row>
    <row r="192" spans="3:123" x14ac:dyDescent="0.25"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</row>
    <row r="193" spans="3:123" x14ac:dyDescent="0.25"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</row>
    <row r="194" spans="3:123" x14ac:dyDescent="0.25"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</row>
    <row r="195" spans="3:123" x14ac:dyDescent="0.25"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</row>
    <row r="196" spans="3:123" x14ac:dyDescent="0.25"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</row>
    <row r="197" spans="3:123" x14ac:dyDescent="0.25"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</row>
    <row r="198" spans="3:123" x14ac:dyDescent="0.25"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</row>
    <row r="199" spans="3:123" x14ac:dyDescent="0.25"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</row>
    <row r="200" spans="3:123" x14ac:dyDescent="0.25"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</row>
    <row r="201" spans="3:123" x14ac:dyDescent="0.25"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</row>
    <row r="202" spans="3:123" x14ac:dyDescent="0.25"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</row>
    <row r="203" spans="3:123" x14ac:dyDescent="0.25"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</row>
    <row r="204" spans="3:123" x14ac:dyDescent="0.25"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</row>
    <row r="205" spans="3:123" x14ac:dyDescent="0.25"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</row>
    <row r="206" spans="3:123" x14ac:dyDescent="0.25"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</row>
    <row r="207" spans="3:123" x14ac:dyDescent="0.25"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</row>
    <row r="208" spans="3:123" x14ac:dyDescent="0.25"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</row>
    <row r="209" spans="3:123" x14ac:dyDescent="0.25"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</row>
    <row r="210" spans="3:123" x14ac:dyDescent="0.25"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</row>
    <row r="211" spans="3:123" x14ac:dyDescent="0.25"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</row>
    <row r="212" spans="3:123" x14ac:dyDescent="0.25"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</row>
    <row r="213" spans="3:123" x14ac:dyDescent="0.25"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</row>
    <row r="214" spans="3:123" x14ac:dyDescent="0.25"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</row>
    <row r="215" spans="3:123" x14ac:dyDescent="0.25"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</row>
    <row r="216" spans="3:123" x14ac:dyDescent="0.25"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</row>
    <row r="217" spans="3:123" x14ac:dyDescent="0.25"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</row>
    <row r="218" spans="3:123" x14ac:dyDescent="0.25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</row>
    <row r="219" spans="3:123" x14ac:dyDescent="0.25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</row>
    <row r="220" spans="3:123" x14ac:dyDescent="0.25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</row>
    <row r="221" spans="3:123" x14ac:dyDescent="0.25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</row>
    <row r="222" spans="3:123" x14ac:dyDescent="0.25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</row>
    <row r="223" spans="3:123" x14ac:dyDescent="0.25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</row>
    <row r="224" spans="3:123" x14ac:dyDescent="0.25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</row>
    <row r="225" spans="3:123" x14ac:dyDescent="0.25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</row>
    <row r="226" spans="3:123" x14ac:dyDescent="0.25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</row>
    <row r="227" spans="3:123" x14ac:dyDescent="0.25"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</row>
    <row r="228" spans="3:123" x14ac:dyDescent="0.25"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</row>
    <row r="229" spans="3:123" x14ac:dyDescent="0.25"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</row>
    <row r="230" spans="3:123" x14ac:dyDescent="0.25"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</row>
    <row r="231" spans="3:123" x14ac:dyDescent="0.25"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</row>
    <row r="232" spans="3:123" x14ac:dyDescent="0.25"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</row>
    <row r="233" spans="3:123" x14ac:dyDescent="0.25"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</row>
    <row r="234" spans="3:123" x14ac:dyDescent="0.25"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</row>
    <row r="235" spans="3:123" x14ac:dyDescent="0.25"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</row>
    <row r="236" spans="3:123" x14ac:dyDescent="0.25"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</row>
    <row r="237" spans="3:123" x14ac:dyDescent="0.25"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</row>
    <row r="238" spans="3:123" x14ac:dyDescent="0.25"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</row>
    <row r="239" spans="3:123" x14ac:dyDescent="0.25"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</row>
    <row r="240" spans="3:123" x14ac:dyDescent="0.25"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</row>
    <row r="241" spans="3:123" x14ac:dyDescent="0.25"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</row>
    <row r="242" spans="3:123" x14ac:dyDescent="0.25"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</row>
    <row r="243" spans="3:123" x14ac:dyDescent="0.25"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</row>
    <row r="244" spans="3:123" x14ac:dyDescent="0.25"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</row>
    <row r="245" spans="3:123" x14ac:dyDescent="0.25"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</row>
    <row r="246" spans="3:123" x14ac:dyDescent="0.25"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</row>
    <row r="247" spans="3:123" x14ac:dyDescent="0.25"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</row>
    <row r="248" spans="3:123" x14ac:dyDescent="0.25"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</row>
    <row r="249" spans="3:123" x14ac:dyDescent="0.25"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</row>
    <row r="250" spans="3:123" x14ac:dyDescent="0.25"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</row>
    <row r="251" spans="3:123" x14ac:dyDescent="0.25"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</row>
    <row r="252" spans="3:123" x14ac:dyDescent="0.25"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</row>
    <row r="253" spans="3:123" x14ac:dyDescent="0.25"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</row>
    <row r="254" spans="3:123" x14ac:dyDescent="0.25"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</row>
    <row r="255" spans="3:123" x14ac:dyDescent="0.25"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</row>
    <row r="256" spans="3:123" x14ac:dyDescent="0.25"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</row>
    <row r="257" spans="3:123" x14ac:dyDescent="0.25"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</row>
    <row r="258" spans="3:123" x14ac:dyDescent="0.25"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</row>
    <row r="259" spans="3:123" x14ac:dyDescent="0.25"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</row>
    <row r="260" spans="3:123" x14ac:dyDescent="0.25"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</row>
    <row r="261" spans="3:123" x14ac:dyDescent="0.25"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</row>
    <row r="262" spans="3:123" x14ac:dyDescent="0.25"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</row>
    <row r="263" spans="3:123" x14ac:dyDescent="0.25"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</row>
    <row r="264" spans="3:123" x14ac:dyDescent="0.25"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</row>
    <row r="265" spans="3:123" x14ac:dyDescent="0.25"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</row>
    <row r="266" spans="3:123" x14ac:dyDescent="0.25"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</row>
    <row r="267" spans="3:123" x14ac:dyDescent="0.25"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</row>
    <row r="268" spans="3:123" x14ac:dyDescent="0.25"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</row>
    <row r="269" spans="3:123" x14ac:dyDescent="0.25"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</row>
    <row r="270" spans="3:123" x14ac:dyDescent="0.25"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</row>
    <row r="271" spans="3:123" x14ac:dyDescent="0.25"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</row>
    <row r="272" spans="3:123" x14ac:dyDescent="0.25"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</row>
    <row r="273" spans="3:123" x14ac:dyDescent="0.25"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</row>
    <row r="274" spans="3:123" x14ac:dyDescent="0.25"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</row>
    <row r="275" spans="3:123" x14ac:dyDescent="0.25"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</row>
    <row r="276" spans="3:123" x14ac:dyDescent="0.25"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</row>
    <row r="277" spans="3:123" x14ac:dyDescent="0.25"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</row>
    <row r="278" spans="3:123" x14ac:dyDescent="0.25"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</row>
    <row r="279" spans="3:123" x14ac:dyDescent="0.25"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</row>
    <row r="280" spans="3:123" x14ac:dyDescent="0.25"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</row>
    <row r="281" spans="3:123" x14ac:dyDescent="0.25"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</row>
    <row r="282" spans="3:123" x14ac:dyDescent="0.25"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</row>
    <row r="283" spans="3:123" x14ac:dyDescent="0.25"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</row>
    <row r="284" spans="3:123" x14ac:dyDescent="0.25"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</row>
    <row r="285" spans="3:123" x14ac:dyDescent="0.25"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</row>
    <row r="286" spans="3:123" x14ac:dyDescent="0.25"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</row>
    <row r="287" spans="3:123" x14ac:dyDescent="0.25"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</row>
    <row r="288" spans="3:123" x14ac:dyDescent="0.25"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</row>
    <row r="289" spans="3:123" x14ac:dyDescent="0.25"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</row>
    <row r="290" spans="3:123" x14ac:dyDescent="0.25"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</row>
    <row r="291" spans="3:123" x14ac:dyDescent="0.25"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</row>
    <row r="292" spans="3:123" x14ac:dyDescent="0.25"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</row>
    <row r="293" spans="3:123" x14ac:dyDescent="0.25"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</row>
    <row r="294" spans="3:123" x14ac:dyDescent="0.25"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</row>
    <row r="295" spans="3:123" x14ac:dyDescent="0.25"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</row>
    <row r="296" spans="3:123" x14ac:dyDescent="0.25"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</row>
    <row r="297" spans="3:123" x14ac:dyDescent="0.25"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</row>
    <row r="298" spans="3:123" x14ac:dyDescent="0.25"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</row>
    <row r="299" spans="3:123" x14ac:dyDescent="0.25"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</row>
    <row r="300" spans="3:123" x14ac:dyDescent="0.25"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</row>
    <row r="301" spans="3:123" x14ac:dyDescent="0.25"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</row>
    <row r="302" spans="3:123" x14ac:dyDescent="0.25"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</row>
    <row r="303" spans="3:123" x14ac:dyDescent="0.25"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</row>
    <row r="304" spans="3:123" x14ac:dyDescent="0.25"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</row>
    <row r="305" spans="3:17" x14ac:dyDescent="0.25"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</row>
    <row r="306" spans="3:17" x14ac:dyDescent="0.25"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</row>
    <row r="307" spans="3:17" x14ac:dyDescent="0.25"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</row>
    <row r="308" spans="3:17" x14ac:dyDescent="0.25"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</row>
    <row r="309" spans="3:17" x14ac:dyDescent="0.25"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</row>
    <row r="310" spans="3:17" x14ac:dyDescent="0.25"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</row>
    <row r="311" spans="3:17" x14ac:dyDescent="0.25"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</row>
    <row r="312" spans="3:17" x14ac:dyDescent="0.25"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</row>
    <row r="313" spans="3:17" x14ac:dyDescent="0.25"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</row>
    <row r="314" spans="3:17" x14ac:dyDescent="0.25"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</row>
    <row r="315" spans="3:17" x14ac:dyDescent="0.25"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</row>
    <row r="316" spans="3:17" x14ac:dyDescent="0.25"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</row>
    <row r="317" spans="3:17" x14ac:dyDescent="0.25"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</row>
    <row r="318" spans="3:17" x14ac:dyDescent="0.25"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</row>
    <row r="319" spans="3:17" x14ac:dyDescent="0.25"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</row>
    <row r="320" spans="3:17" x14ac:dyDescent="0.25"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</row>
    <row r="321" spans="3:17" x14ac:dyDescent="0.25"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</row>
    <row r="322" spans="3:17" x14ac:dyDescent="0.25"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</row>
    <row r="323" spans="3:17" x14ac:dyDescent="0.25"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</row>
    <row r="324" spans="3:17" x14ac:dyDescent="0.25"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</row>
    <row r="325" spans="3:17" x14ac:dyDescent="0.25"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</row>
    <row r="326" spans="3:17" x14ac:dyDescent="0.25"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</row>
    <row r="327" spans="3:17" x14ac:dyDescent="0.25"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</row>
    <row r="328" spans="3:17" x14ac:dyDescent="0.25"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</row>
    <row r="329" spans="3:17" x14ac:dyDescent="0.25"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</row>
    <row r="330" spans="3:17" x14ac:dyDescent="0.25"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</row>
    <row r="331" spans="3:17" x14ac:dyDescent="0.25"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4"/>
      <c r="Q331" s="4"/>
    </row>
    <row r="332" spans="3:17" x14ac:dyDescent="0.25"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4"/>
      <c r="Q332" s="4"/>
    </row>
    <row r="333" spans="3:17" x14ac:dyDescent="0.25"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4"/>
      <c r="Q333" s="4"/>
    </row>
    <row r="334" spans="3:17" x14ac:dyDescent="0.25"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4"/>
      <c r="Q334" s="4"/>
    </row>
    <row r="335" spans="3:17" x14ac:dyDescent="0.25"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4"/>
      <c r="Q335" s="4"/>
    </row>
    <row r="336" spans="3:17" x14ac:dyDescent="0.25"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4"/>
      <c r="Q336" s="4"/>
    </row>
    <row r="337" spans="3:17" x14ac:dyDescent="0.25"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4"/>
      <c r="Q337" s="4"/>
    </row>
    <row r="338" spans="3:17" x14ac:dyDescent="0.25"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4"/>
      <c r="Q338" s="4"/>
    </row>
    <row r="339" spans="3:17" x14ac:dyDescent="0.25"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4"/>
      <c r="Q339" s="4"/>
    </row>
    <row r="340" spans="3:17" x14ac:dyDescent="0.25"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4"/>
      <c r="Q340" s="4"/>
    </row>
    <row r="341" spans="3:17" x14ac:dyDescent="0.25"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4"/>
      <c r="Q341" s="4"/>
    </row>
    <row r="342" spans="3:17" x14ac:dyDescent="0.25"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4"/>
      <c r="Q342" s="4"/>
    </row>
    <row r="343" spans="3:17" x14ac:dyDescent="0.25"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4"/>
      <c r="Q343" s="4"/>
    </row>
    <row r="344" spans="3:17" x14ac:dyDescent="0.25"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4"/>
      <c r="Q344" s="4"/>
    </row>
    <row r="345" spans="3:17" x14ac:dyDescent="0.25"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4"/>
      <c r="Q345" s="4"/>
    </row>
    <row r="346" spans="3:17" x14ac:dyDescent="0.25"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4"/>
      <c r="Q346" s="4"/>
    </row>
    <row r="347" spans="3:17" x14ac:dyDescent="0.25"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4"/>
      <c r="Q347" s="4"/>
    </row>
    <row r="348" spans="3:17" x14ac:dyDescent="0.25"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4"/>
      <c r="Q348" s="4"/>
    </row>
    <row r="349" spans="3:17" x14ac:dyDescent="0.25"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4"/>
      <c r="Q349" s="4"/>
    </row>
    <row r="350" spans="3:17" x14ac:dyDescent="0.25"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4"/>
      <c r="Q350" s="4"/>
    </row>
    <row r="351" spans="3:17" x14ac:dyDescent="0.25"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4"/>
      <c r="Q351" s="4"/>
    </row>
    <row r="352" spans="3:17" x14ac:dyDescent="0.25"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4"/>
      <c r="Q352" s="4"/>
    </row>
    <row r="353" spans="3:17" x14ac:dyDescent="0.25"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4"/>
      <c r="Q353" s="4"/>
    </row>
    <row r="354" spans="3:17" x14ac:dyDescent="0.25"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4"/>
      <c r="Q354" s="4"/>
    </row>
    <row r="355" spans="3:17" x14ac:dyDescent="0.25"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4"/>
      <c r="Q355" s="4"/>
    </row>
    <row r="356" spans="3:17" x14ac:dyDescent="0.25"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4"/>
      <c r="Q356" s="4"/>
    </row>
    <row r="357" spans="3:17" x14ac:dyDescent="0.25"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4"/>
      <c r="Q357" s="4"/>
    </row>
    <row r="358" spans="3:17" x14ac:dyDescent="0.25"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4"/>
      <c r="Q358" s="4"/>
    </row>
    <row r="359" spans="3:17" x14ac:dyDescent="0.25"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4"/>
      <c r="Q359" s="4"/>
    </row>
    <row r="360" spans="3:17" x14ac:dyDescent="0.25"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4"/>
      <c r="Q360" s="4"/>
    </row>
    <row r="361" spans="3:17" x14ac:dyDescent="0.25"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4"/>
      <c r="Q361" s="4"/>
    </row>
    <row r="362" spans="3:17" x14ac:dyDescent="0.25"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4"/>
      <c r="Q362" s="4"/>
    </row>
    <row r="363" spans="3:17" x14ac:dyDescent="0.25"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4"/>
      <c r="Q363" s="4"/>
    </row>
    <row r="364" spans="3:17" x14ac:dyDescent="0.25"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4"/>
      <c r="Q364" s="4"/>
    </row>
    <row r="365" spans="3:17" x14ac:dyDescent="0.25"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4"/>
      <c r="Q365" s="4"/>
    </row>
    <row r="366" spans="3:17" x14ac:dyDescent="0.25"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4"/>
      <c r="Q366" s="4"/>
    </row>
    <row r="367" spans="3:17" x14ac:dyDescent="0.25"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4"/>
      <c r="Q367" s="4"/>
    </row>
    <row r="368" spans="3:17" x14ac:dyDescent="0.25"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4"/>
      <c r="Q368" s="4"/>
    </row>
    <row r="369" spans="3:17" x14ac:dyDescent="0.25"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4"/>
      <c r="Q369" s="4"/>
    </row>
    <row r="370" spans="3:17" x14ac:dyDescent="0.25"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4"/>
      <c r="Q370" s="4"/>
    </row>
    <row r="371" spans="3:17" x14ac:dyDescent="0.25"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4"/>
      <c r="Q371" s="4"/>
    </row>
    <row r="372" spans="3:17" x14ac:dyDescent="0.25"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4"/>
      <c r="Q372" s="4"/>
    </row>
    <row r="373" spans="3:17" x14ac:dyDescent="0.25"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4"/>
      <c r="Q373" s="4"/>
    </row>
    <row r="374" spans="3:17" x14ac:dyDescent="0.25"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4"/>
      <c r="Q374" s="4"/>
    </row>
    <row r="375" spans="3:17" x14ac:dyDescent="0.25"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4"/>
      <c r="Q375" s="4"/>
    </row>
    <row r="376" spans="3:17" x14ac:dyDescent="0.25"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4"/>
      <c r="Q376" s="4"/>
    </row>
    <row r="377" spans="3:17" x14ac:dyDescent="0.25"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4"/>
      <c r="Q377" s="4"/>
    </row>
    <row r="378" spans="3:17" x14ac:dyDescent="0.25"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4"/>
      <c r="Q378" s="4"/>
    </row>
    <row r="379" spans="3:17" x14ac:dyDescent="0.25"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4"/>
      <c r="Q379" s="4"/>
    </row>
    <row r="380" spans="3:17" x14ac:dyDescent="0.25"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4"/>
      <c r="Q380" s="4"/>
    </row>
    <row r="381" spans="3:17" x14ac:dyDescent="0.25"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4"/>
      <c r="Q381" s="4"/>
    </row>
    <row r="382" spans="3:17" x14ac:dyDescent="0.25"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4"/>
      <c r="Q382" s="4"/>
    </row>
    <row r="383" spans="3:17" x14ac:dyDescent="0.25"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4"/>
      <c r="Q383" s="4"/>
    </row>
    <row r="384" spans="3:17" x14ac:dyDescent="0.25"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4"/>
      <c r="Q384" s="4"/>
    </row>
    <row r="385" spans="3:17" x14ac:dyDescent="0.25"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4"/>
      <c r="Q385" s="4"/>
    </row>
    <row r="386" spans="3:17" x14ac:dyDescent="0.25"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4"/>
      <c r="Q386" s="4"/>
    </row>
    <row r="387" spans="3:17" x14ac:dyDescent="0.25"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4"/>
      <c r="Q387" s="4"/>
    </row>
    <row r="388" spans="3:17" x14ac:dyDescent="0.25"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4"/>
      <c r="Q388" s="4"/>
    </row>
    <row r="389" spans="3:17" x14ac:dyDescent="0.25"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4"/>
      <c r="Q389" s="4"/>
    </row>
    <row r="390" spans="3:17" x14ac:dyDescent="0.25"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4"/>
      <c r="Q390" s="4"/>
    </row>
    <row r="391" spans="3:17" x14ac:dyDescent="0.25"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4"/>
      <c r="Q391" s="4"/>
    </row>
    <row r="392" spans="3:17" x14ac:dyDescent="0.25"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4"/>
      <c r="Q392" s="4"/>
    </row>
    <row r="393" spans="3:17" x14ac:dyDescent="0.25"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4"/>
      <c r="Q393" s="4"/>
    </row>
    <row r="394" spans="3:17" x14ac:dyDescent="0.25"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4"/>
      <c r="Q394" s="4"/>
    </row>
    <row r="395" spans="3:17" x14ac:dyDescent="0.25"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4"/>
      <c r="Q395" s="4"/>
    </row>
    <row r="396" spans="3:17" x14ac:dyDescent="0.25"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4"/>
      <c r="Q396" s="4"/>
    </row>
    <row r="397" spans="3:17" x14ac:dyDescent="0.25"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4"/>
      <c r="Q397" s="4"/>
    </row>
    <row r="398" spans="3:17" x14ac:dyDescent="0.25"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4"/>
      <c r="Q398" s="4"/>
    </row>
    <row r="399" spans="3:17" x14ac:dyDescent="0.25"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4"/>
      <c r="Q399" s="4"/>
    </row>
    <row r="400" spans="3:17" x14ac:dyDescent="0.25"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4"/>
      <c r="Q400" s="4"/>
    </row>
    <row r="401" spans="3:17" x14ac:dyDescent="0.25"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4"/>
      <c r="Q401" s="4"/>
    </row>
    <row r="402" spans="3:17" x14ac:dyDescent="0.25"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4"/>
      <c r="Q402" s="4"/>
    </row>
    <row r="403" spans="3:17" x14ac:dyDescent="0.25"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4"/>
      <c r="Q403" s="4"/>
    </row>
    <row r="404" spans="3:17" x14ac:dyDescent="0.25"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4"/>
      <c r="Q404" s="4"/>
    </row>
    <row r="405" spans="3:17" x14ac:dyDescent="0.25"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4"/>
      <c r="Q405" s="4"/>
    </row>
    <row r="406" spans="3:17" x14ac:dyDescent="0.25"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4"/>
      <c r="Q406" s="4"/>
    </row>
    <row r="407" spans="3:17" x14ac:dyDescent="0.25"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4"/>
      <c r="Q407" s="4"/>
    </row>
    <row r="408" spans="3:17" x14ac:dyDescent="0.25"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4"/>
      <c r="Q408" s="4"/>
    </row>
    <row r="409" spans="3:17" x14ac:dyDescent="0.25"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4"/>
      <c r="Q409" s="4"/>
    </row>
    <row r="410" spans="3:17" x14ac:dyDescent="0.25"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4"/>
      <c r="Q410" s="4"/>
    </row>
    <row r="411" spans="3:17" x14ac:dyDescent="0.25"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4"/>
      <c r="Q411" s="4"/>
    </row>
    <row r="412" spans="3:17" x14ac:dyDescent="0.25"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4"/>
      <c r="Q412" s="4"/>
    </row>
    <row r="413" spans="3:17" x14ac:dyDescent="0.25"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4"/>
      <c r="Q413" s="4"/>
    </row>
    <row r="414" spans="3:17" x14ac:dyDescent="0.25"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4"/>
      <c r="Q414" s="4"/>
    </row>
    <row r="415" spans="3:17" x14ac:dyDescent="0.25"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4"/>
      <c r="Q415" s="4"/>
    </row>
    <row r="416" spans="3:17" x14ac:dyDescent="0.25"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4"/>
      <c r="Q416" s="4"/>
    </row>
    <row r="417" spans="3:17" x14ac:dyDescent="0.25"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4"/>
      <c r="Q417" s="4"/>
    </row>
    <row r="418" spans="3:17" x14ac:dyDescent="0.25"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4"/>
      <c r="Q418" s="4"/>
    </row>
    <row r="419" spans="3:17" x14ac:dyDescent="0.25"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4"/>
      <c r="Q419" s="4"/>
    </row>
    <row r="420" spans="3:17" x14ac:dyDescent="0.25"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4"/>
      <c r="Q420" s="4"/>
    </row>
    <row r="421" spans="3:17" x14ac:dyDescent="0.25"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4"/>
      <c r="Q421" s="4"/>
    </row>
    <row r="422" spans="3:17" x14ac:dyDescent="0.25"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4"/>
      <c r="Q422" s="4"/>
    </row>
    <row r="423" spans="3:17" x14ac:dyDescent="0.25"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4"/>
      <c r="Q423" s="4"/>
    </row>
    <row r="424" spans="3:17" x14ac:dyDescent="0.25"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4"/>
      <c r="Q424" s="4"/>
    </row>
    <row r="425" spans="3:17" x14ac:dyDescent="0.25"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4"/>
      <c r="Q425" s="4"/>
    </row>
    <row r="426" spans="3:17" x14ac:dyDescent="0.25"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4"/>
      <c r="Q426" s="4"/>
    </row>
    <row r="427" spans="3:17" x14ac:dyDescent="0.25"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4"/>
      <c r="Q427" s="4"/>
    </row>
    <row r="428" spans="3:17" x14ac:dyDescent="0.25"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4"/>
      <c r="Q428" s="4"/>
    </row>
    <row r="429" spans="3:17" x14ac:dyDescent="0.25"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4"/>
      <c r="Q429" s="4"/>
    </row>
    <row r="430" spans="3:17" x14ac:dyDescent="0.25"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4"/>
      <c r="Q430" s="4"/>
    </row>
    <row r="431" spans="3:17" x14ac:dyDescent="0.25"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4"/>
      <c r="Q431" s="4"/>
    </row>
    <row r="432" spans="3:17" x14ac:dyDescent="0.25"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4"/>
      <c r="Q432" s="4"/>
    </row>
    <row r="433" spans="3:17" x14ac:dyDescent="0.25"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4"/>
      <c r="Q433" s="4"/>
    </row>
    <row r="434" spans="3:17" x14ac:dyDescent="0.25"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4"/>
      <c r="Q434" s="4"/>
    </row>
    <row r="435" spans="3:17" x14ac:dyDescent="0.25"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4"/>
      <c r="Q435" s="4"/>
    </row>
    <row r="436" spans="3:17" x14ac:dyDescent="0.25"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4"/>
      <c r="Q436" s="4"/>
    </row>
    <row r="437" spans="3:17" x14ac:dyDescent="0.25"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4"/>
      <c r="Q437" s="4"/>
    </row>
    <row r="438" spans="3:17" x14ac:dyDescent="0.25"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4"/>
      <c r="Q438" s="4"/>
    </row>
    <row r="439" spans="3:17" x14ac:dyDescent="0.25"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4"/>
      <c r="Q439" s="4"/>
    </row>
    <row r="440" spans="3:17" x14ac:dyDescent="0.25"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4"/>
      <c r="Q440" s="4"/>
    </row>
    <row r="441" spans="3:17" x14ac:dyDescent="0.25"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4"/>
      <c r="Q441" s="4"/>
    </row>
    <row r="442" spans="3:17" x14ac:dyDescent="0.25"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4"/>
      <c r="Q442" s="4"/>
    </row>
    <row r="443" spans="3:17" x14ac:dyDescent="0.25"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4"/>
      <c r="Q443" s="4"/>
    </row>
    <row r="444" spans="3:17" x14ac:dyDescent="0.25"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4"/>
      <c r="Q444" s="4"/>
    </row>
    <row r="445" spans="3:17" x14ac:dyDescent="0.25"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4"/>
      <c r="Q445" s="4"/>
    </row>
    <row r="446" spans="3:17" x14ac:dyDescent="0.25"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4"/>
      <c r="Q446" s="4"/>
    </row>
    <row r="447" spans="3:17" x14ac:dyDescent="0.25"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4"/>
      <c r="Q447" s="4"/>
    </row>
    <row r="448" spans="3:17" x14ac:dyDescent="0.25"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4"/>
      <c r="Q448" s="4"/>
    </row>
    <row r="449" spans="3:17" x14ac:dyDescent="0.25"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4"/>
      <c r="Q449" s="4"/>
    </row>
    <row r="450" spans="3:17" x14ac:dyDescent="0.25"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4"/>
      <c r="Q450" s="4"/>
    </row>
    <row r="451" spans="3:17" x14ac:dyDescent="0.25"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4"/>
      <c r="Q451" s="4"/>
    </row>
    <row r="452" spans="3:17" x14ac:dyDescent="0.25"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4"/>
      <c r="Q452" s="4"/>
    </row>
    <row r="453" spans="3:17" x14ac:dyDescent="0.25"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4"/>
      <c r="Q453" s="4"/>
    </row>
    <row r="454" spans="3:17" x14ac:dyDescent="0.25"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4"/>
      <c r="Q454" s="4"/>
    </row>
    <row r="455" spans="3:17" x14ac:dyDescent="0.25"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4"/>
      <c r="Q455" s="4"/>
    </row>
    <row r="456" spans="3:17" x14ac:dyDescent="0.25"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4"/>
      <c r="Q456" s="4"/>
    </row>
    <row r="457" spans="3:17" x14ac:dyDescent="0.25"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4"/>
      <c r="Q457" s="4"/>
    </row>
    <row r="458" spans="3:17" x14ac:dyDescent="0.25"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4"/>
      <c r="Q458" s="4"/>
    </row>
    <row r="459" spans="3:17" x14ac:dyDescent="0.25"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4"/>
      <c r="Q459" s="4"/>
    </row>
    <row r="460" spans="3:17" x14ac:dyDescent="0.25"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4"/>
      <c r="Q460" s="4"/>
    </row>
    <row r="461" spans="3:17" x14ac:dyDescent="0.25"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4"/>
      <c r="Q461" s="4"/>
    </row>
    <row r="462" spans="3:17" x14ac:dyDescent="0.25"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4"/>
      <c r="Q462" s="4"/>
    </row>
    <row r="463" spans="3:17" x14ac:dyDescent="0.25"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4"/>
      <c r="Q463" s="4"/>
    </row>
    <row r="464" spans="3:17" x14ac:dyDescent="0.25"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4"/>
      <c r="Q464" s="4"/>
    </row>
    <row r="465" spans="3:17" x14ac:dyDescent="0.25"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4"/>
      <c r="Q465" s="4"/>
    </row>
    <row r="466" spans="3:17" x14ac:dyDescent="0.25"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4"/>
      <c r="Q466" s="4"/>
    </row>
    <row r="467" spans="3:17" x14ac:dyDescent="0.25"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4"/>
      <c r="Q467" s="4"/>
    </row>
    <row r="468" spans="3:17" x14ac:dyDescent="0.25"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4"/>
      <c r="Q468" s="4"/>
    </row>
    <row r="469" spans="3:17" x14ac:dyDescent="0.25"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4"/>
      <c r="Q469" s="4"/>
    </row>
    <row r="470" spans="3:17" x14ac:dyDescent="0.25"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4"/>
      <c r="Q470" s="4"/>
    </row>
    <row r="471" spans="3:17" x14ac:dyDescent="0.25"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4"/>
      <c r="Q471" s="4"/>
    </row>
    <row r="472" spans="3:17" x14ac:dyDescent="0.25"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4"/>
      <c r="Q472" s="4"/>
    </row>
    <row r="473" spans="3:17" x14ac:dyDescent="0.25"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4"/>
      <c r="Q473" s="4"/>
    </row>
    <row r="474" spans="3:17" x14ac:dyDescent="0.25"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4"/>
      <c r="Q474" s="4"/>
    </row>
    <row r="475" spans="3:17" x14ac:dyDescent="0.25"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4"/>
      <c r="Q475" s="4"/>
    </row>
    <row r="476" spans="3:17" x14ac:dyDescent="0.25"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4"/>
      <c r="Q476" s="4"/>
    </row>
    <row r="477" spans="3:17" x14ac:dyDescent="0.25"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4"/>
      <c r="Q477" s="4"/>
    </row>
    <row r="478" spans="3:17" x14ac:dyDescent="0.25"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4"/>
      <c r="Q478" s="4"/>
    </row>
    <row r="479" spans="3:17" x14ac:dyDescent="0.25"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4"/>
      <c r="Q479" s="4"/>
    </row>
    <row r="480" spans="3:17" x14ac:dyDescent="0.25"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4"/>
      <c r="Q480" s="4"/>
    </row>
    <row r="481" spans="3:17" x14ac:dyDescent="0.25"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4"/>
      <c r="Q481" s="4"/>
    </row>
    <row r="482" spans="3:17" x14ac:dyDescent="0.25"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4"/>
      <c r="Q482" s="4"/>
    </row>
    <row r="483" spans="3:17" x14ac:dyDescent="0.25"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4"/>
      <c r="Q483" s="4"/>
    </row>
    <row r="484" spans="3:17" x14ac:dyDescent="0.25"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4"/>
      <c r="Q484" s="4"/>
    </row>
    <row r="485" spans="3:17" x14ac:dyDescent="0.25"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4"/>
      <c r="Q485" s="4"/>
    </row>
    <row r="486" spans="3:17" x14ac:dyDescent="0.25"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4"/>
      <c r="Q486" s="4"/>
    </row>
    <row r="487" spans="3:17" x14ac:dyDescent="0.25"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4"/>
      <c r="Q487" s="4"/>
    </row>
    <row r="488" spans="3:17" x14ac:dyDescent="0.25"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4"/>
      <c r="Q488" s="4"/>
    </row>
    <row r="489" spans="3:17" x14ac:dyDescent="0.25"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4"/>
      <c r="Q489" s="4"/>
    </row>
    <row r="490" spans="3:17" x14ac:dyDescent="0.25"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4"/>
      <c r="Q490" s="4"/>
    </row>
    <row r="491" spans="3:17" x14ac:dyDescent="0.25"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4"/>
      <c r="Q491" s="4"/>
    </row>
    <row r="492" spans="3:17" x14ac:dyDescent="0.25"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4"/>
      <c r="Q492" s="4"/>
    </row>
    <row r="493" spans="3:17" x14ac:dyDescent="0.25"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4"/>
      <c r="Q493" s="4"/>
    </row>
    <row r="494" spans="3:17" x14ac:dyDescent="0.25"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4"/>
      <c r="Q494" s="4"/>
    </row>
    <row r="495" spans="3:17" x14ac:dyDescent="0.25"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4"/>
      <c r="Q495" s="4"/>
    </row>
    <row r="496" spans="3:17" x14ac:dyDescent="0.25"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4"/>
      <c r="Q496" s="4"/>
    </row>
    <row r="497" spans="3:17" x14ac:dyDescent="0.25"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4"/>
      <c r="Q497" s="4"/>
    </row>
    <row r="498" spans="3:17" x14ac:dyDescent="0.25"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4"/>
      <c r="Q498" s="4"/>
    </row>
    <row r="499" spans="3:17" x14ac:dyDescent="0.25"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4"/>
      <c r="Q499" s="4"/>
    </row>
    <row r="500" spans="3:17" x14ac:dyDescent="0.25"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4"/>
      <c r="Q500" s="4"/>
    </row>
    <row r="501" spans="3:17" x14ac:dyDescent="0.25"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4"/>
      <c r="Q501" s="4"/>
    </row>
    <row r="502" spans="3:17" x14ac:dyDescent="0.25"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4"/>
      <c r="Q502" s="4"/>
    </row>
    <row r="503" spans="3:17" x14ac:dyDescent="0.25"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4"/>
      <c r="Q503" s="4"/>
    </row>
    <row r="504" spans="3:17" x14ac:dyDescent="0.25"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4"/>
      <c r="Q504" s="4"/>
    </row>
    <row r="505" spans="3:17" x14ac:dyDescent="0.25"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4"/>
      <c r="Q505" s="4"/>
    </row>
    <row r="506" spans="3:17" x14ac:dyDescent="0.25"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4"/>
      <c r="Q506" s="4"/>
    </row>
    <row r="507" spans="3:17" x14ac:dyDescent="0.25"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4"/>
      <c r="Q507" s="4"/>
    </row>
    <row r="508" spans="3:17" x14ac:dyDescent="0.25"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4"/>
      <c r="Q508" s="4"/>
    </row>
    <row r="509" spans="3:17" x14ac:dyDescent="0.25"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4"/>
      <c r="Q509" s="4"/>
    </row>
    <row r="510" spans="3:17" x14ac:dyDescent="0.25"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4"/>
      <c r="Q510" s="4"/>
    </row>
    <row r="511" spans="3:17" x14ac:dyDescent="0.25"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4"/>
      <c r="Q511" s="4"/>
    </row>
    <row r="512" spans="3:17" x14ac:dyDescent="0.25"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4"/>
      <c r="Q512" s="4"/>
    </row>
    <row r="513" spans="3:17" x14ac:dyDescent="0.25"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4"/>
      <c r="Q513" s="4"/>
    </row>
    <row r="514" spans="3:17" x14ac:dyDescent="0.25"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4"/>
      <c r="Q514" s="4"/>
    </row>
    <row r="515" spans="3:17" x14ac:dyDescent="0.25"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4"/>
      <c r="Q515" s="4"/>
    </row>
    <row r="516" spans="3:17" x14ac:dyDescent="0.25"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4"/>
      <c r="Q516" s="4"/>
    </row>
    <row r="517" spans="3:17" x14ac:dyDescent="0.25"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4"/>
      <c r="Q517" s="4"/>
    </row>
    <row r="518" spans="3:17" x14ac:dyDescent="0.25"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4"/>
      <c r="Q518" s="4"/>
    </row>
    <row r="519" spans="3:17" x14ac:dyDescent="0.25"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4"/>
      <c r="Q519" s="4"/>
    </row>
    <row r="520" spans="3:17" x14ac:dyDescent="0.25"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4"/>
      <c r="Q520" s="4"/>
    </row>
    <row r="521" spans="3:17" x14ac:dyDescent="0.25"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4"/>
      <c r="Q521" s="4"/>
    </row>
    <row r="522" spans="3:17" x14ac:dyDescent="0.25"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4"/>
      <c r="Q522" s="4"/>
    </row>
    <row r="523" spans="3:17" x14ac:dyDescent="0.25"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4"/>
      <c r="Q523" s="4"/>
    </row>
    <row r="524" spans="3:17" x14ac:dyDescent="0.25"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4"/>
      <c r="Q524" s="4"/>
    </row>
    <row r="525" spans="3:17" x14ac:dyDescent="0.25"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4"/>
      <c r="Q525" s="4"/>
    </row>
    <row r="526" spans="3:17" x14ac:dyDescent="0.25"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4"/>
      <c r="Q526" s="4"/>
    </row>
    <row r="527" spans="3:17" x14ac:dyDescent="0.25"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4"/>
      <c r="Q527" s="4"/>
    </row>
    <row r="528" spans="3:17" x14ac:dyDescent="0.25"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4"/>
      <c r="Q528" s="4"/>
    </row>
    <row r="529" spans="3:17" x14ac:dyDescent="0.25"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4"/>
      <c r="Q529" s="4"/>
    </row>
    <row r="530" spans="3:17" x14ac:dyDescent="0.25"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4"/>
      <c r="Q530" s="4"/>
    </row>
    <row r="531" spans="3:17" x14ac:dyDescent="0.25"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4"/>
      <c r="Q531" s="4"/>
    </row>
    <row r="532" spans="3:17" x14ac:dyDescent="0.25"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4"/>
      <c r="Q532" s="4"/>
    </row>
    <row r="533" spans="3:17" x14ac:dyDescent="0.25"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4"/>
      <c r="Q533" s="4"/>
    </row>
    <row r="534" spans="3:17" x14ac:dyDescent="0.25"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4"/>
      <c r="Q534" s="4"/>
    </row>
    <row r="535" spans="3:17" x14ac:dyDescent="0.25"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4"/>
      <c r="Q535" s="4"/>
    </row>
    <row r="536" spans="3:17" x14ac:dyDescent="0.25"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4"/>
      <c r="Q536" s="4"/>
    </row>
    <row r="537" spans="3:17" x14ac:dyDescent="0.25"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4"/>
      <c r="Q537" s="4"/>
    </row>
    <row r="538" spans="3:17" x14ac:dyDescent="0.25"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4"/>
      <c r="Q538" s="4"/>
    </row>
    <row r="539" spans="3:17" x14ac:dyDescent="0.25"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4"/>
      <c r="Q539" s="4"/>
    </row>
    <row r="540" spans="3:17" x14ac:dyDescent="0.25"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4"/>
      <c r="Q540" s="4"/>
    </row>
    <row r="541" spans="3:17" x14ac:dyDescent="0.25"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4"/>
      <c r="Q541" s="4"/>
    </row>
    <row r="542" spans="3:17" x14ac:dyDescent="0.25"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4"/>
      <c r="Q542" s="4"/>
    </row>
    <row r="543" spans="3:17" x14ac:dyDescent="0.25"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4"/>
      <c r="Q543" s="4"/>
    </row>
    <row r="544" spans="3:17" x14ac:dyDescent="0.25"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4"/>
      <c r="Q544" s="4"/>
    </row>
    <row r="545" spans="3:17" x14ac:dyDescent="0.25"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4"/>
      <c r="Q545" s="4"/>
    </row>
    <row r="546" spans="3:17" x14ac:dyDescent="0.25"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4"/>
      <c r="Q546" s="4"/>
    </row>
    <row r="547" spans="3:17" x14ac:dyDescent="0.25"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4"/>
      <c r="Q547" s="4"/>
    </row>
    <row r="548" spans="3:17" x14ac:dyDescent="0.25"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4"/>
      <c r="Q548" s="4"/>
    </row>
    <row r="549" spans="3:17" x14ac:dyDescent="0.25"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4"/>
      <c r="Q549" s="4"/>
    </row>
    <row r="550" spans="3:17" x14ac:dyDescent="0.25"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4"/>
      <c r="Q550" s="4"/>
    </row>
    <row r="551" spans="3:17" x14ac:dyDescent="0.25"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4"/>
      <c r="Q551" s="4"/>
    </row>
    <row r="552" spans="3:17" x14ac:dyDescent="0.25"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4"/>
      <c r="Q552" s="4"/>
    </row>
    <row r="553" spans="3:17" x14ac:dyDescent="0.25"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4"/>
      <c r="Q553" s="4"/>
    </row>
    <row r="554" spans="3:17" x14ac:dyDescent="0.25"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4"/>
      <c r="Q554" s="4"/>
    </row>
    <row r="555" spans="3:17" x14ac:dyDescent="0.25"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4"/>
      <c r="Q555" s="4"/>
    </row>
    <row r="556" spans="3:17" x14ac:dyDescent="0.25"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4"/>
      <c r="Q556" s="4"/>
    </row>
    <row r="557" spans="3:17" x14ac:dyDescent="0.25"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4"/>
      <c r="Q557" s="4"/>
    </row>
    <row r="558" spans="3:17" x14ac:dyDescent="0.25"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4"/>
      <c r="Q558" s="4"/>
    </row>
    <row r="559" spans="3:17" x14ac:dyDescent="0.25"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4"/>
      <c r="Q559" s="4"/>
    </row>
    <row r="560" spans="3:17" x14ac:dyDescent="0.25"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</row>
    <row r="561" spans="3:17" x14ac:dyDescent="0.25"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</row>
    <row r="562" spans="3:17" x14ac:dyDescent="0.25"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</row>
    <row r="563" spans="3:17" x14ac:dyDescent="0.25"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</row>
    <row r="564" spans="3:17" x14ac:dyDescent="0.25"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</row>
    <row r="565" spans="3:17" x14ac:dyDescent="0.25"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</row>
    <row r="566" spans="3:17" x14ac:dyDescent="0.25"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</row>
    <row r="567" spans="3:17" x14ac:dyDescent="0.25"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</row>
    <row r="568" spans="3:17" x14ac:dyDescent="0.25"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</row>
    <row r="569" spans="3:17" x14ac:dyDescent="0.25"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</row>
    <row r="570" spans="3:17" x14ac:dyDescent="0.25"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</row>
    <row r="571" spans="3:17" x14ac:dyDescent="0.25"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</row>
    <row r="572" spans="3:17" x14ac:dyDescent="0.25"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</row>
    <row r="573" spans="3:17" x14ac:dyDescent="0.25"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</row>
    <row r="574" spans="3:17" x14ac:dyDescent="0.25"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</row>
    <row r="575" spans="3:17" x14ac:dyDescent="0.25"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</row>
    <row r="576" spans="3:17" x14ac:dyDescent="0.25"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</row>
    <row r="577" spans="3:17" x14ac:dyDescent="0.25"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</row>
    <row r="578" spans="3:17" x14ac:dyDescent="0.25"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</row>
    <row r="579" spans="3:17" x14ac:dyDescent="0.25"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</row>
    <row r="580" spans="3:17" x14ac:dyDescent="0.25"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</row>
    <row r="581" spans="3:17" x14ac:dyDescent="0.25"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</row>
    <row r="582" spans="3:17" x14ac:dyDescent="0.25"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</row>
    <row r="583" spans="3:17" x14ac:dyDescent="0.25"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</row>
    <row r="584" spans="3:17" x14ac:dyDescent="0.25"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</row>
    <row r="585" spans="3:17" x14ac:dyDescent="0.25"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</row>
    <row r="586" spans="3:17" x14ac:dyDescent="0.25"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</row>
    <row r="587" spans="3:17" x14ac:dyDescent="0.25"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</row>
    <row r="588" spans="3:17" x14ac:dyDescent="0.25"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</row>
    <row r="589" spans="3:17" x14ac:dyDescent="0.25"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</row>
    <row r="590" spans="3:17" x14ac:dyDescent="0.25"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</row>
    <row r="591" spans="3:17" x14ac:dyDescent="0.25"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</row>
    <row r="592" spans="3:17" x14ac:dyDescent="0.25"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</row>
    <row r="593" spans="3:17" x14ac:dyDescent="0.25"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</row>
    <row r="594" spans="3:17" x14ac:dyDescent="0.25"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</row>
    <row r="595" spans="3:17" x14ac:dyDescent="0.25"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</row>
    <row r="596" spans="3:17" x14ac:dyDescent="0.25"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</row>
    <row r="597" spans="3:17" x14ac:dyDescent="0.25"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</row>
    <row r="598" spans="3:17" x14ac:dyDescent="0.25"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</row>
    <row r="599" spans="3:17" x14ac:dyDescent="0.25"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</row>
    <row r="600" spans="3:17" x14ac:dyDescent="0.25"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</row>
    <row r="601" spans="3:17" x14ac:dyDescent="0.25"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</row>
    <row r="602" spans="3:17" x14ac:dyDescent="0.25"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</row>
    <row r="603" spans="3:17" x14ac:dyDescent="0.25"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</row>
    <row r="604" spans="3:17" x14ac:dyDescent="0.25"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</row>
    <row r="605" spans="3:17" x14ac:dyDescent="0.25"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</row>
    <row r="606" spans="3:17" x14ac:dyDescent="0.25"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</row>
    <row r="607" spans="3:17" x14ac:dyDescent="0.25"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</row>
    <row r="608" spans="3:17" x14ac:dyDescent="0.25"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</row>
    <row r="609" spans="3:17" x14ac:dyDescent="0.25"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</row>
    <row r="610" spans="3:17" x14ac:dyDescent="0.25"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</row>
    <row r="611" spans="3:17" x14ac:dyDescent="0.25"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</row>
    <row r="612" spans="3:17" x14ac:dyDescent="0.25"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</row>
    <row r="613" spans="3:17" x14ac:dyDescent="0.25"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</row>
    <row r="614" spans="3:17" x14ac:dyDescent="0.25"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</row>
    <row r="615" spans="3:17" x14ac:dyDescent="0.25"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</row>
    <row r="616" spans="3:17" x14ac:dyDescent="0.25"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</row>
    <row r="617" spans="3:17" x14ac:dyDescent="0.25"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</row>
    <row r="618" spans="3:17" x14ac:dyDescent="0.25"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</row>
    <row r="619" spans="3:17" x14ac:dyDescent="0.25"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</row>
    <row r="620" spans="3:17" x14ac:dyDescent="0.25"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</row>
    <row r="621" spans="3:17" x14ac:dyDescent="0.25"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</row>
    <row r="622" spans="3:17" x14ac:dyDescent="0.25"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</row>
    <row r="623" spans="3:17" x14ac:dyDescent="0.25"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</row>
    <row r="624" spans="3:17" x14ac:dyDescent="0.25"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</row>
    <row r="625" spans="3:17" x14ac:dyDescent="0.25"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</row>
    <row r="626" spans="3:17" x14ac:dyDescent="0.25"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</row>
    <row r="627" spans="3:17" x14ac:dyDescent="0.25"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</row>
    <row r="628" spans="3:17" x14ac:dyDescent="0.25"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</row>
    <row r="629" spans="3:17" x14ac:dyDescent="0.25"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</row>
    <row r="630" spans="3:17" x14ac:dyDescent="0.25"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</row>
    <row r="631" spans="3:17" x14ac:dyDescent="0.25"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</row>
    <row r="632" spans="3:17" x14ac:dyDescent="0.25"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</row>
    <row r="633" spans="3:17" x14ac:dyDescent="0.25"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</row>
    <row r="634" spans="3:17" x14ac:dyDescent="0.25"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</row>
    <row r="635" spans="3:17" x14ac:dyDescent="0.25"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</row>
    <row r="636" spans="3:17" x14ac:dyDescent="0.25"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</row>
    <row r="637" spans="3:17" x14ac:dyDescent="0.25"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</row>
    <row r="638" spans="3:17" x14ac:dyDescent="0.25"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</row>
    <row r="639" spans="3:17" x14ac:dyDescent="0.25"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</row>
    <row r="640" spans="3:17" x14ac:dyDescent="0.25"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</row>
    <row r="641" spans="3:17" x14ac:dyDescent="0.25"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</row>
    <row r="642" spans="3:17" x14ac:dyDescent="0.25"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</row>
    <row r="643" spans="3:17" x14ac:dyDescent="0.25"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</row>
    <row r="644" spans="3:17" x14ac:dyDescent="0.25"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</row>
    <row r="645" spans="3:17" x14ac:dyDescent="0.25"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</row>
    <row r="646" spans="3:17" x14ac:dyDescent="0.25"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</row>
    <row r="647" spans="3:17" x14ac:dyDescent="0.25"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</row>
    <row r="648" spans="3:17" x14ac:dyDescent="0.25"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</row>
    <row r="649" spans="3:17" x14ac:dyDescent="0.25"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</row>
    <row r="650" spans="3:17" x14ac:dyDescent="0.25"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</row>
    <row r="651" spans="3:17" x14ac:dyDescent="0.25"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</row>
    <row r="652" spans="3:17" x14ac:dyDescent="0.25"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</row>
    <row r="653" spans="3:17" x14ac:dyDescent="0.25"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</row>
    <row r="654" spans="3:17" x14ac:dyDescent="0.25"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</row>
    <row r="655" spans="3:17" x14ac:dyDescent="0.25"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</row>
    <row r="656" spans="3:17" x14ac:dyDescent="0.25"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</row>
    <row r="657" spans="3:17" x14ac:dyDescent="0.25"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</row>
    <row r="658" spans="3:17" x14ac:dyDescent="0.25"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</row>
    <row r="659" spans="3:17" x14ac:dyDescent="0.25"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</row>
    <row r="660" spans="3:17" x14ac:dyDescent="0.25"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</row>
    <row r="661" spans="3:17" x14ac:dyDescent="0.25"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</row>
    <row r="662" spans="3:17" x14ac:dyDescent="0.25"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</row>
    <row r="663" spans="3:17" x14ac:dyDescent="0.25"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</row>
    <row r="664" spans="3:17" x14ac:dyDescent="0.25"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</row>
    <row r="665" spans="3:17" x14ac:dyDescent="0.25"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</row>
    <row r="666" spans="3:17" x14ac:dyDescent="0.25"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</row>
    <row r="667" spans="3:17" x14ac:dyDescent="0.25"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</row>
    <row r="668" spans="3:17" x14ac:dyDescent="0.25"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</row>
    <row r="669" spans="3:17" x14ac:dyDescent="0.25"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</row>
    <row r="670" spans="3:17" x14ac:dyDescent="0.25"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</row>
    <row r="671" spans="3:17" x14ac:dyDescent="0.25"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</row>
    <row r="672" spans="3:17" x14ac:dyDescent="0.25"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</row>
    <row r="673" spans="3:17" x14ac:dyDescent="0.25"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</row>
    <row r="674" spans="3:17" x14ac:dyDescent="0.25"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</row>
    <row r="675" spans="3:17" x14ac:dyDescent="0.25"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</row>
    <row r="676" spans="3:17" x14ac:dyDescent="0.25"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</row>
    <row r="677" spans="3:17" x14ac:dyDescent="0.25"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</row>
    <row r="678" spans="3:17" x14ac:dyDescent="0.25"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</row>
    <row r="679" spans="3:17" x14ac:dyDescent="0.25"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</row>
    <row r="680" spans="3:17" x14ac:dyDescent="0.25"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</row>
    <row r="681" spans="3:17" x14ac:dyDescent="0.25"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</row>
    <row r="682" spans="3:17" x14ac:dyDescent="0.25"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</row>
    <row r="683" spans="3:17" x14ac:dyDescent="0.25"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</row>
    <row r="684" spans="3:17" x14ac:dyDescent="0.25"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</row>
    <row r="685" spans="3:17" x14ac:dyDescent="0.25"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</row>
    <row r="686" spans="3:17" x14ac:dyDescent="0.25"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</row>
    <row r="687" spans="3:17" x14ac:dyDescent="0.25"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</row>
    <row r="688" spans="3:17" x14ac:dyDescent="0.25"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</row>
    <row r="689" spans="3:17" x14ac:dyDescent="0.25"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</row>
    <row r="690" spans="3:17" x14ac:dyDescent="0.25"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</row>
    <row r="691" spans="3:17" x14ac:dyDescent="0.25"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</row>
    <row r="692" spans="3:17" x14ac:dyDescent="0.25"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</row>
    <row r="693" spans="3:17" x14ac:dyDescent="0.25"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</row>
    <row r="694" spans="3:17" x14ac:dyDescent="0.25"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</row>
    <row r="695" spans="3:17" x14ac:dyDescent="0.25"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</row>
    <row r="696" spans="3:17" x14ac:dyDescent="0.25"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</row>
    <row r="697" spans="3:17" x14ac:dyDescent="0.25"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</row>
    <row r="698" spans="3:17" x14ac:dyDescent="0.25"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</row>
    <row r="699" spans="3:17" x14ac:dyDescent="0.25"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</row>
    <row r="700" spans="3:17" x14ac:dyDescent="0.25"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</row>
    <row r="701" spans="3:17" x14ac:dyDescent="0.25"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</row>
    <row r="702" spans="3:17" x14ac:dyDescent="0.25"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</row>
  </sheetData>
  <hyperlinks>
    <hyperlink ref="A1" location="Main!A1" display="Main" xr:uid="{724DD481-B086-417C-95BA-23239FCFE2CC}"/>
  </hyperlinks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F9392-DE51-4F5A-98F9-7E60A0AB9542}">
  <dimension ref="A1:L60"/>
  <sheetViews>
    <sheetView zoomScale="200" zoomScaleNormal="200" workbookViewId="0">
      <pane xSplit="2" ySplit="2" topLeftCell="E7" activePane="bottomRight" state="frozen"/>
      <selection pane="topRight" activeCell="C1" sqref="C1"/>
      <selection pane="bottomLeft" activeCell="A3" sqref="A3"/>
      <selection pane="bottomRight" activeCell="I1" sqref="I1"/>
    </sheetView>
  </sheetViews>
  <sheetFormatPr defaultRowHeight="15" x14ac:dyDescent="0.25"/>
  <cols>
    <col min="1" max="1" width="5.42578125" bestFit="1" customWidth="1"/>
    <col min="2" max="2" width="32.42578125" bestFit="1" customWidth="1"/>
    <col min="9" max="9" width="9.5703125" bestFit="1" customWidth="1"/>
  </cols>
  <sheetData>
    <row r="1" spans="1:12" x14ac:dyDescent="0.25">
      <c r="A1" s="7" t="s">
        <v>12</v>
      </c>
    </row>
    <row r="2" spans="1:12" x14ac:dyDescent="0.25">
      <c r="B2" s="20" t="s">
        <v>159</v>
      </c>
      <c r="C2" s="21">
        <v>18</v>
      </c>
      <c r="D2" s="21">
        <f>+C2+1</f>
        <v>19</v>
      </c>
      <c r="E2" s="21">
        <f t="shared" ref="E2:J2" si="0">+D2+1</f>
        <v>20</v>
      </c>
      <c r="F2" s="21">
        <f t="shared" si="0"/>
        <v>21</v>
      </c>
      <c r="G2" s="21">
        <f t="shared" si="0"/>
        <v>22</v>
      </c>
      <c r="H2" s="21">
        <f t="shared" si="0"/>
        <v>23</v>
      </c>
      <c r="I2" s="21">
        <f t="shared" si="0"/>
        <v>24</v>
      </c>
      <c r="J2" s="21">
        <f t="shared" si="0"/>
        <v>25</v>
      </c>
      <c r="K2" s="22"/>
    </row>
    <row r="3" spans="1:12" x14ac:dyDescent="0.25">
      <c r="B3" t="s">
        <v>5</v>
      </c>
      <c r="C3" s="4">
        <v>135.04</v>
      </c>
      <c r="D3" s="4">
        <v>208.8</v>
      </c>
      <c r="E3" s="4">
        <v>267.68</v>
      </c>
      <c r="F3" s="4">
        <v>336.95</v>
      </c>
      <c r="G3" s="4">
        <v>124.15</v>
      </c>
      <c r="H3" s="4">
        <v>346.29</v>
      </c>
      <c r="I3" s="4">
        <v>598.71</v>
      </c>
      <c r="J3" s="4"/>
      <c r="K3" s="4"/>
    </row>
    <row r="4" spans="1:12" x14ac:dyDescent="0.25">
      <c r="B4" t="s">
        <v>160</v>
      </c>
      <c r="C4" s="4">
        <f>+Model!L25</f>
        <v>2890</v>
      </c>
      <c r="D4" s="4">
        <f>+Model!M25</f>
        <v>2854</v>
      </c>
      <c r="E4" s="4">
        <f>+Model!N25</f>
        <v>2851</v>
      </c>
      <c r="F4" s="4">
        <f>+Model!O25</f>
        <v>2815</v>
      </c>
      <c r="G4" s="4">
        <f>+Model!P25</f>
        <v>2687</v>
      </c>
      <c r="H4" s="4">
        <f>+Model!Q25</f>
        <v>2574</v>
      </c>
      <c r="I4" s="4">
        <f>+Model!R25</f>
        <v>2534</v>
      </c>
      <c r="J4" s="4"/>
      <c r="K4" s="4"/>
    </row>
    <row r="5" spans="1:12" x14ac:dyDescent="0.25">
      <c r="B5" t="s">
        <v>161</v>
      </c>
      <c r="C5" s="4">
        <f>+C3*C4</f>
        <v>390265.59999999998</v>
      </c>
      <c r="D5" s="4">
        <f t="shared" ref="D5:I5" si="1">+D3*D4</f>
        <v>595915.20000000007</v>
      </c>
      <c r="E5" s="4">
        <f t="shared" si="1"/>
        <v>763155.68</v>
      </c>
      <c r="F5" s="4">
        <f t="shared" si="1"/>
        <v>948514.25</v>
      </c>
      <c r="G5" s="4">
        <f t="shared" si="1"/>
        <v>333591.05</v>
      </c>
      <c r="H5" s="4">
        <f t="shared" si="1"/>
        <v>891350.46000000008</v>
      </c>
      <c r="I5" s="4">
        <f t="shared" si="1"/>
        <v>1517131.1400000001</v>
      </c>
      <c r="J5" s="4"/>
      <c r="K5" s="4"/>
    </row>
    <row r="6" spans="1:12" x14ac:dyDescent="0.25">
      <c r="B6" t="s">
        <v>162</v>
      </c>
      <c r="C6" s="4">
        <f>+Model!L33+Model!L34-Model!L50</f>
        <v>41114</v>
      </c>
      <c r="D6" s="4">
        <f>+Model!M33+Model!M34-Model!M50</f>
        <v>54855</v>
      </c>
      <c r="E6" s="4">
        <f>+Model!N33+Model!N34-Model!N50</f>
        <v>61954</v>
      </c>
      <c r="F6" s="4">
        <f>+Model!O33+Model!O34-Model!O50</f>
        <v>47998</v>
      </c>
      <c r="G6" s="4">
        <f>+Model!P33+Model!P34-Model!P50</f>
        <v>30815</v>
      </c>
      <c r="H6" s="4">
        <f>+Model!Q33+Model!Q34-Model!Q50</f>
        <v>47018</v>
      </c>
      <c r="I6" s="4">
        <f>+Model!R33+Model!R34-Model!R50</f>
        <v>48989</v>
      </c>
      <c r="J6" s="4"/>
      <c r="K6" s="4"/>
    </row>
    <row r="7" spans="1:12" x14ac:dyDescent="0.25">
      <c r="B7" t="s">
        <v>11</v>
      </c>
      <c r="C7" s="4">
        <f t="shared" ref="C7:H7" si="2">+C5-C6</f>
        <v>349151.6</v>
      </c>
      <c r="D7" s="4">
        <f t="shared" si="2"/>
        <v>541060.20000000007</v>
      </c>
      <c r="E7" s="4">
        <f t="shared" si="2"/>
        <v>701201.68</v>
      </c>
      <c r="F7" s="4">
        <f t="shared" si="2"/>
        <v>900516.25</v>
      </c>
      <c r="G7" s="4">
        <f t="shared" si="2"/>
        <v>302776.05</v>
      </c>
      <c r="H7" s="4">
        <f t="shared" si="2"/>
        <v>844332.46000000008</v>
      </c>
      <c r="I7" s="4">
        <f>+I5-I6</f>
        <v>1468142.1400000001</v>
      </c>
      <c r="J7" s="4"/>
      <c r="K7" s="4"/>
    </row>
    <row r="8" spans="1:12" x14ac:dyDescent="0.25">
      <c r="C8" s="4"/>
      <c r="D8" s="4"/>
      <c r="E8" s="4"/>
      <c r="F8" s="4"/>
      <c r="G8" s="4"/>
      <c r="H8" s="4"/>
      <c r="I8" s="4"/>
      <c r="J8" s="4"/>
      <c r="K8" s="4"/>
    </row>
    <row r="9" spans="1:12" x14ac:dyDescent="0.25">
      <c r="B9" s="15" t="s">
        <v>163</v>
      </c>
      <c r="C9" s="4"/>
      <c r="D9" s="4"/>
      <c r="E9" s="4"/>
      <c r="F9" s="4"/>
      <c r="G9" s="4"/>
      <c r="H9" s="4"/>
      <c r="I9" s="4"/>
      <c r="J9" s="4"/>
      <c r="K9" s="4"/>
    </row>
    <row r="10" spans="1:12" x14ac:dyDescent="0.25">
      <c r="B10" t="s">
        <v>164</v>
      </c>
      <c r="C10" s="4">
        <f>+Model!L43+SUM(Model!L35:L36)-Model!L45</f>
        <v>54859</v>
      </c>
      <c r="D10" s="4">
        <f>+Model!M43+SUM(Model!M35:M36)-Model!M45</f>
        <v>76272</v>
      </c>
      <c r="E10" s="4">
        <f>+Model!N43+SUM(Model!N35:N36)-Model!N45</f>
        <v>94938</v>
      </c>
      <c r="F10" s="4">
        <f>+Model!O43+SUM(Model!O35:O36)-Model!O45</f>
        <v>112854</v>
      </c>
      <c r="G10" s="4">
        <f>+Model!P43+SUM(Model!P35:P36)-Model!P45</f>
        <v>138882</v>
      </c>
      <c r="H10" s="4">
        <f>+Model!Q43+SUM(Model!Q35:Q36)-Model!Q45</f>
        <v>159371</v>
      </c>
      <c r="I10" s="4">
        <f>+Model!R43+SUM(Model!R35:R36)-Model!R45</f>
        <v>190552</v>
      </c>
      <c r="L10" s="16" t="s">
        <v>165</v>
      </c>
    </row>
    <row r="11" spans="1:12" x14ac:dyDescent="0.25">
      <c r="B11" t="s">
        <v>167</v>
      </c>
      <c r="C11" s="4">
        <f>+Model!L39+SUM(Model!L35:L36)-SUM(Model!L45,L47)-Model!L46+Model!L40-Model!L49</f>
        <v>32688</v>
      </c>
      <c r="D11" s="4">
        <f>+Model!M39+SUM(Model!M35:M36)-SUM(Model!M45,M47)-Model!M46+Model!M40-Model!M49</f>
        <v>43580</v>
      </c>
      <c r="E11" s="4">
        <f>+Model!N39+SUM(Model!N35:N36)-SUM(Model!N45,N47)-Model!N46+Model!N40-Model!N49</f>
        <v>55619</v>
      </c>
      <c r="F11" s="4">
        <f>+Model!O39+SUM(Model!O35:O36)-SUM(Model!O45,O47)-Model!O46+Model!O40-Model!O49</f>
        <v>69624</v>
      </c>
      <c r="G11" s="4">
        <f>+Model!P39+SUM(Model!P35:P36)-SUM(Model!P45,P47)-Model!P46+Model!P40-Model!P49</f>
        <v>88227</v>
      </c>
      <c r="H11" s="4">
        <f>+Model!Q39+SUM(Model!Q35:Q36)-SUM(Model!Q45,Q47)-Model!Q46+Model!Q40-Model!Q49</f>
        <v>106145</v>
      </c>
      <c r="I11" s="4">
        <f>+Model!R39+SUM(Model!R35:R36)-SUM(Model!R45,R47)-Model!R46+Model!R40-Model!R49</f>
        <v>130577</v>
      </c>
      <c r="L11" s="16" t="s">
        <v>166</v>
      </c>
    </row>
    <row r="12" spans="1:12" x14ac:dyDescent="0.25">
      <c r="B12" t="s">
        <v>296</v>
      </c>
      <c r="C12" s="4">
        <f>+C11+Model!L41</f>
        <v>52283</v>
      </c>
      <c r="D12" s="4">
        <f>+D11+Model!M41</f>
        <v>63189</v>
      </c>
      <c r="E12" s="4">
        <f>+E11+Model!N41</f>
        <v>75292</v>
      </c>
      <c r="F12" s="4">
        <f>+F11+Model!O41</f>
        <v>89455</v>
      </c>
      <c r="G12" s="4">
        <f>+G11+Model!P41</f>
        <v>109430</v>
      </c>
      <c r="H12" s="4">
        <f>+H11+Model!Q41</f>
        <v>126799</v>
      </c>
      <c r="I12" s="4">
        <f>+I11+Model!R41</f>
        <v>151231</v>
      </c>
      <c r="L12" s="16"/>
    </row>
    <row r="13" spans="1:12" x14ac:dyDescent="0.25">
      <c r="B13" t="s">
        <v>168</v>
      </c>
      <c r="C13" s="4">
        <f>+C12+Model!L33+Model!L34+Model!L38</f>
        <v>93397</v>
      </c>
      <c r="D13" s="4">
        <f>+D12+Model!M33+Model!M34+Model!M38</f>
        <v>118044</v>
      </c>
      <c r="E13" s="4">
        <f>+E12+Model!N33+Model!N34+Model!N38</f>
        <v>143480</v>
      </c>
      <c r="F13" s="4">
        <f>+F12+Model!O33+Model!O34+Model!O38</f>
        <v>144228</v>
      </c>
      <c r="G13" s="4">
        <f>+G12+Model!P33+Model!P34+Model!P38</f>
        <v>156369</v>
      </c>
      <c r="H13" s="4">
        <f>+H12+Model!Q33+Model!Q34+Model!Q38</f>
        <v>198343</v>
      </c>
      <c r="I13" s="4">
        <f>+I12+Model!R33+Model!R34+Model!R38</f>
        <v>235116</v>
      </c>
      <c r="L13" s="16" t="s">
        <v>169</v>
      </c>
    </row>
    <row r="14" spans="1:12" x14ac:dyDescent="0.25">
      <c r="B14" t="s">
        <v>170</v>
      </c>
      <c r="C14" s="4">
        <f>+Model!L18*(1-Model!L31)</f>
        <v>21720.41098537124</v>
      </c>
      <c r="D14" s="4">
        <f>+Model!M18*(1-Model!M31)</f>
        <v>17869.628002579397</v>
      </c>
      <c r="E14" s="4">
        <f>+Model!N18*(1-Model!N31)</f>
        <v>28698.883845690172</v>
      </c>
      <c r="F14" s="4">
        <f>+Model!O18*(1-Model!O31)</f>
        <v>38927.874333812702</v>
      </c>
      <c r="G14" s="4">
        <f>+Model!P18*(1-Model!P31)</f>
        <v>23300.628057878483</v>
      </c>
      <c r="H14" s="4">
        <f>+Model!Q18*(1-Model!Q31)</f>
        <v>38539.904655477774</v>
      </c>
      <c r="I14" s="4">
        <f>+Model!R18*(1-Model!R31)</f>
        <v>61227.754270268742</v>
      </c>
      <c r="L14" t="s">
        <v>171</v>
      </c>
    </row>
    <row r="15" spans="1:12" x14ac:dyDescent="0.25">
      <c r="B15" t="s">
        <v>172</v>
      </c>
      <c r="C15" s="4"/>
      <c r="D15" s="4">
        <f t="shared" ref="D15:H15" si="3">+D12-C12</f>
        <v>10906</v>
      </c>
      <c r="E15" s="4">
        <f t="shared" si="3"/>
        <v>12103</v>
      </c>
      <c r="F15" s="4">
        <f t="shared" si="3"/>
        <v>14163</v>
      </c>
      <c r="G15" s="4">
        <f t="shared" si="3"/>
        <v>19975</v>
      </c>
      <c r="H15" s="4">
        <f t="shared" si="3"/>
        <v>17369</v>
      </c>
      <c r="I15" s="4">
        <f>+I12-H12</f>
        <v>24432</v>
      </c>
      <c r="L15" s="16" t="s">
        <v>173</v>
      </c>
    </row>
    <row r="16" spans="1:12" x14ac:dyDescent="0.25">
      <c r="B16" t="s">
        <v>174</v>
      </c>
      <c r="C16" s="4"/>
      <c r="D16" s="4">
        <f>+D14-D15+Model!M59+Model!M60</f>
        <v>17540.628002579397</v>
      </c>
      <c r="E16" s="4">
        <f>+E14-E15+Model!N59+Model!N60</f>
        <v>29993.883845690172</v>
      </c>
      <c r="F16" s="4">
        <f>+F14-F15+Model!O59+Model!O60</f>
        <v>41895.874333812702</v>
      </c>
      <c r="G16" s="4">
        <f>+G14-G15+Model!P59+Model!P60</f>
        <v>24003.628057878483</v>
      </c>
      <c r="H16" s="4">
        <f>+H14-H15+Model!Q59+Model!Q60</f>
        <v>46375.904655477774</v>
      </c>
      <c r="I16" s="4">
        <f>+I14-I15+Model!R59+Model!R60</f>
        <v>68983.75427026875</v>
      </c>
      <c r="L16" s="16" t="s">
        <v>175</v>
      </c>
    </row>
    <row r="17" spans="2:12" x14ac:dyDescent="0.25">
      <c r="B17" t="s">
        <v>176</v>
      </c>
      <c r="D17" s="10">
        <f t="shared" ref="D17:H17" si="4">+D15/D14</f>
        <v>0.61030929118534361</v>
      </c>
      <c r="E17" s="10">
        <f t="shared" si="4"/>
        <v>0.42172371807475562</v>
      </c>
      <c r="F17" s="10">
        <f t="shared" si="4"/>
        <v>0.36382669853868788</v>
      </c>
      <c r="G17" s="10">
        <f t="shared" si="4"/>
        <v>0.85727302930986826</v>
      </c>
      <c r="H17" s="10">
        <f t="shared" si="4"/>
        <v>0.45067573869909144</v>
      </c>
      <c r="I17" s="10">
        <f>+I15/I14</f>
        <v>0.39903472356920666</v>
      </c>
      <c r="L17" s="16" t="s">
        <v>177</v>
      </c>
    </row>
    <row r="18" spans="2:12" x14ac:dyDescent="0.25">
      <c r="B18" t="s">
        <v>178</v>
      </c>
      <c r="C18">
        <f>+C12*(C24-DCF!$E$18)</f>
        <v>16492.110985371237</v>
      </c>
      <c r="D18">
        <f>+D12*(D24-DCF!$E$18)</f>
        <v>11550.728002579395</v>
      </c>
      <c r="E18">
        <f>+E12*(E24-DCF!$E$18)</f>
        <v>21169.683845690171</v>
      </c>
      <c r="F18">
        <f>+F12*(F24-DCF!$E$18)</f>
        <v>29982.374333812702</v>
      </c>
      <c r="G18">
        <f>+G12*(G24-DCF!$E$18)</f>
        <v>12357.628057878483</v>
      </c>
      <c r="H18">
        <f>+H12*(H24-DCF!$E$18)</f>
        <v>25860.004655477773</v>
      </c>
      <c r="I18">
        <f>+I12*(I24-DCF!$E$18)</f>
        <v>46104.654270268737</v>
      </c>
      <c r="L18" s="16" t="s">
        <v>179</v>
      </c>
    </row>
    <row r="20" spans="2:12" x14ac:dyDescent="0.25">
      <c r="B20" s="15" t="s">
        <v>180</v>
      </c>
    </row>
    <row r="21" spans="2:12" x14ac:dyDescent="0.25">
      <c r="B21" t="s">
        <v>181</v>
      </c>
      <c r="C21" s="9">
        <f>+Model!L12/Model!L55</f>
        <v>0.66373459174819027</v>
      </c>
      <c r="D21" s="9">
        <f>+Model!M12/Model!M55</f>
        <v>0.69959625546737392</v>
      </c>
      <c r="E21" s="9">
        <f>+Model!N12/Model!N55</f>
        <v>0.67008340478603168</v>
      </c>
      <c r="F21" s="9">
        <f>+Model!O12/Model!O55</f>
        <v>0.94434612705098531</v>
      </c>
      <c r="G21" s="9">
        <f>+Model!P12/Model!P55</f>
        <v>0.92758107753374752</v>
      </c>
      <c r="H21" s="9">
        <f>+Model!Q12/Model!Q55</f>
        <v>0.88074532539433825</v>
      </c>
      <c r="I21" s="9">
        <f>+Model!R12/Model!R55</f>
        <v>0.90069920114763169</v>
      </c>
      <c r="L21" s="16" t="s">
        <v>182</v>
      </c>
    </row>
    <row r="22" spans="2:12" x14ac:dyDescent="0.25">
      <c r="B22" t="s">
        <v>183</v>
      </c>
      <c r="C22" s="71">
        <f>+Model!L22/Model!L55</f>
        <v>0.2628288183341852</v>
      </c>
      <c r="D22" s="71">
        <f>+Model!M22/Model!M55</f>
        <v>0.18292200209788825</v>
      </c>
      <c r="E22" s="71">
        <f>+Model!N22/Model!N55</f>
        <v>0.22718840127835374</v>
      </c>
      <c r="F22" s="71">
        <f>+Model!O22/Model!O55</f>
        <v>0.31526517669103693</v>
      </c>
      <c r="G22" s="71">
        <f>+Model!P22/Model!P55</f>
        <v>0.18454734196145187</v>
      </c>
      <c r="H22" s="71">
        <f>+Model!Q22/Model!Q55</f>
        <v>0.25526219575890524</v>
      </c>
      <c r="I22" s="71">
        <f>+Model!R22/Model!R55</f>
        <v>0.34144231453648494</v>
      </c>
      <c r="L22" s="16" t="s">
        <v>184</v>
      </c>
    </row>
    <row r="23" spans="2:12" x14ac:dyDescent="0.25">
      <c r="B23" t="s">
        <v>185</v>
      </c>
      <c r="C23" s="71">
        <f>+Model!L18/KPIs!C10</f>
        <v>0.45412785504657394</v>
      </c>
      <c r="D23" s="71">
        <f>+Model!M18/KPIs!D10</f>
        <v>0.31447975666037342</v>
      </c>
      <c r="E23" s="71">
        <f>+Model!N18/KPIs!E10</f>
        <v>0.34412985316733025</v>
      </c>
      <c r="F23" s="71">
        <f>+Model!O18/KPIs!F10</f>
        <v>0.41427862548070959</v>
      </c>
      <c r="G23" s="71">
        <f>+Model!P18/KPIs!G10</f>
        <v>0.20840713699399491</v>
      </c>
      <c r="H23" s="71">
        <f>+Model!Q18/KPIs!H10</f>
        <v>0.29334697027690104</v>
      </c>
      <c r="I23" s="71">
        <f>+Model!R18/KPIs!I10</f>
        <v>0.36410008816491035</v>
      </c>
      <c r="L23" s="16" t="s">
        <v>186</v>
      </c>
    </row>
    <row r="24" spans="2:12" x14ac:dyDescent="0.25">
      <c r="B24" t="s">
        <v>187</v>
      </c>
      <c r="C24" s="71">
        <f t="shared" ref="C24:H24" si="5">+C14/C12</f>
        <v>0.41543926296064188</v>
      </c>
      <c r="D24" s="71">
        <f t="shared" si="5"/>
        <v>0.28279649943153706</v>
      </c>
      <c r="E24" s="71">
        <f t="shared" si="5"/>
        <v>0.38116777141914376</v>
      </c>
      <c r="F24" s="71">
        <f t="shared" si="5"/>
        <v>0.43516711568735905</v>
      </c>
      <c r="G24" s="71">
        <f t="shared" si="5"/>
        <v>0.21292724168764035</v>
      </c>
      <c r="H24" s="71">
        <f t="shared" si="5"/>
        <v>0.30394486277871097</v>
      </c>
      <c r="I24" s="71">
        <f>+I14/I12</f>
        <v>0.40486245723607422</v>
      </c>
      <c r="L24" s="16" t="s">
        <v>188</v>
      </c>
    </row>
    <row r="25" spans="2:12" x14ac:dyDescent="0.25">
      <c r="B25" t="s">
        <v>189</v>
      </c>
      <c r="C25" s="71">
        <f t="shared" ref="C25:H25" si="6">+C14/C11</f>
        <v>0.66447659646877266</v>
      </c>
      <c r="D25" s="71">
        <f t="shared" si="6"/>
        <v>0.41004194590590631</v>
      </c>
      <c r="E25" s="71">
        <f t="shared" si="6"/>
        <v>0.51599064790251847</v>
      </c>
      <c r="F25" s="71">
        <f t="shared" si="6"/>
        <v>0.55911574074762582</v>
      </c>
      <c r="G25" s="71">
        <f t="shared" si="6"/>
        <v>0.26409860992528911</v>
      </c>
      <c r="H25" s="71">
        <f t="shared" si="6"/>
        <v>0.36308733011896721</v>
      </c>
      <c r="I25" s="71">
        <f>+I14/I11</f>
        <v>0.46890152377730182</v>
      </c>
      <c r="L25" s="16" t="s">
        <v>190</v>
      </c>
    </row>
    <row r="26" spans="2:12" x14ac:dyDescent="0.25">
      <c r="B26" t="s">
        <v>191</v>
      </c>
      <c r="L26" s="16" t="s">
        <v>192</v>
      </c>
    </row>
    <row r="28" spans="2:12" x14ac:dyDescent="0.25">
      <c r="B28" t="s">
        <v>193</v>
      </c>
      <c r="C28" s="71">
        <f>1-(-Model!L80+Model!L81)/Model!L22</f>
        <v>0.4175297363303333</v>
      </c>
      <c r="D28" s="71">
        <f>1-(-Model!M80+Model!M81)/Model!M22</f>
        <v>0.77268055179875572</v>
      </c>
      <c r="E28" s="71">
        <f>1-(-Model!N80+Model!N81)/Model!N22</f>
        <v>0.78480752075756532</v>
      </c>
      <c r="F28" s="71">
        <f>1-(-Model!O80+Model!O81)/Model!O22</f>
        <v>-0.13124206248412507</v>
      </c>
      <c r="G28" s="71">
        <f>1-(-Model!P80+Model!P81)/Model!P22</f>
        <v>-0.20500000000000007</v>
      </c>
      <c r="H28" s="71">
        <f>1-(-Model!Q80+Model!Q81)/Model!Q22</f>
        <v>0.49424522993503506</v>
      </c>
      <c r="I28" s="71">
        <f>1-(-Model!R80+Model!R81)/Model!R22</f>
        <v>0.59825208466965996</v>
      </c>
      <c r="L28" s="16" t="s">
        <v>194</v>
      </c>
    </row>
    <row r="29" spans="2:12" x14ac:dyDescent="0.25">
      <c r="B29" t="s">
        <v>195</v>
      </c>
      <c r="C29" s="71">
        <f>-(Model!L73+Model!L70)/KPIs!C14</f>
        <v>0.66983078772306814</v>
      </c>
      <c r="D29" s="71">
        <f>-(Model!M73+Model!M70)/KPIs!D14</f>
        <v>0.77578559542475878</v>
      </c>
      <c r="E29" s="71">
        <f>-(Model!N73+Model!N70)/KPIs!E14</f>
        <v>0.54503861836943956</v>
      </c>
      <c r="F29" s="71">
        <f>-(Model!O73+Model!O70)/KPIs!F14</f>
        <v>0.45278608970154011</v>
      </c>
      <c r="G29" s="71">
        <f>-(Model!P73+Model!P70)/KPIs!G14</f>
        <v>1.3003941320695374</v>
      </c>
      <c r="H29" s="71">
        <f>-(Model!Q73+Model!Q70)/KPIs!H14</f>
        <v>0.68554917912192381</v>
      </c>
      <c r="I29" s="71">
        <f>-(Model!R73+Model!R70)/KPIs!I14</f>
        <v>0.56266966526206363</v>
      </c>
      <c r="L29" s="16" t="s">
        <v>196</v>
      </c>
    </row>
    <row r="30" spans="2:12" x14ac:dyDescent="0.25">
      <c r="B30" t="s">
        <v>197</v>
      </c>
      <c r="C30" s="71">
        <f t="shared" ref="C30:H30" si="7">+C28*C22</f>
        <v>0.10973884721908542</v>
      </c>
      <c r="D30" s="71">
        <f t="shared" si="7"/>
        <v>0.14134027351712944</v>
      </c>
      <c r="E30" s="71">
        <f t="shared" si="7"/>
        <v>0.17829916595213968</v>
      </c>
      <c r="F30" s="71">
        <f t="shared" si="7"/>
        <v>-4.1376052018353801E-2</v>
      </c>
      <c r="G30" s="71">
        <f t="shared" si="7"/>
        <v>-3.7832205102097644E-2</v>
      </c>
      <c r="H30" s="71">
        <f t="shared" si="7"/>
        <v>0.12616212263658205</v>
      </c>
      <c r="I30" s="71">
        <f>+I28*I22</f>
        <v>0.20426857646588586</v>
      </c>
      <c r="L30" s="16" t="s">
        <v>198</v>
      </c>
    </row>
    <row r="31" spans="2:12" x14ac:dyDescent="0.25">
      <c r="B31" t="s">
        <v>199</v>
      </c>
      <c r="C31" s="71">
        <f t="shared" ref="C31:H31" si="8">+C29*C24</f>
        <v>0.27827400876001762</v>
      </c>
      <c r="D31" s="71">
        <f t="shared" si="8"/>
        <v>0.21938945069553245</v>
      </c>
      <c r="E31" s="71">
        <f t="shared" si="8"/>
        <v>0.20775115550124848</v>
      </c>
      <c r="F31" s="71">
        <f t="shared" si="8"/>
        <v>0.19703761667877703</v>
      </c>
      <c r="G31" s="71">
        <f t="shared" si="8"/>
        <v>0.27688933564835971</v>
      </c>
      <c r="H31" s="71">
        <f t="shared" si="8"/>
        <v>0.20836915117627108</v>
      </c>
      <c r="I31" s="71">
        <f>+I29*I24</f>
        <v>0.22780382329019844</v>
      </c>
      <c r="L31" s="16" t="s">
        <v>200</v>
      </c>
    </row>
    <row r="33" spans="2:12" x14ac:dyDescent="0.25">
      <c r="B33" s="15" t="s">
        <v>201</v>
      </c>
    </row>
    <row r="34" spans="2:12" x14ac:dyDescent="0.25">
      <c r="B34" t="s">
        <v>202</v>
      </c>
      <c r="L34" s="16" t="s">
        <v>203</v>
      </c>
    </row>
    <row r="35" spans="2:12" x14ac:dyDescent="0.25">
      <c r="B35" t="s">
        <v>204</v>
      </c>
      <c r="L35" s="16" t="s">
        <v>205</v>
      </c>
    </row>
    <row r="36" spans="2:12" x14ac:dyDescent="0.25">
      <c r="B36" t="s">
        <v>206</v>
      </c>
      <c r="L36" s="16" t="s">
        <v>207</v>
      </c>
    </row>
    <row r="37" spans="2:12" x14ac:dyDescent="0.25">
      <c r="B37" t="s">
        <v>208</v>
      </c>
      <c r="C37" s="10"/>
      <c r="D37" s="10"/>
      <c r="E37" s="10"/>
      <c r="F37" s="10"/>
      <c r="G37" s="10"/>
      <c r="I37" s="23"/>
      <c r="J37" s="23"/>
      <c r="L37" s="16" t="s">
        <v>209</v>
      </c>
    </row>
    <row r="38" spans="2:12" x14ac:dyDescent="0.25">
      <c r="B38" t="s">
        <v>210</v>
      </c>
      <c r="C38" s="6"/>
      <c r="D38" s="24"/>
      <c r="E38" s="6"/>
      <c r="F38" s="6"/>
      <c r="G38" s="6"/>
      <c r="I38" s="23"/>
      <c r="J38" s="23"/>
      <c r="L38" s="16" t="s">
        <v>211</v>
      </c>
    </row>
    <row r="40" spans="2:12" x14ac:dyDescent="0.25">
      <c r="B40" s="15" t="s">
        <v>212</v>
      </c>
    </row>
    <row r="41" spans="2:12" x14ac:dyDescent="0.25">
      <c r="B41" t="s">
        <v>213</v>
      </c>
      <c r="C41" s="9">
        <f>+Model!L35/Model!L12*360</f>
        <v>48.915075754862279</v>
      </c>
      <c r="D41" s="9">
        <f>+Model!M35/Model!M12*360</f>
        <v>48.467120245554973</v>
      </c>
      <c r="E41" s="9">
        <f>+Model!N35/Model!N12*360</f>
        <v>47.468155644739142</v>
      </c>
      <c r="F41" s="9">
        <f>+Model!O35/Model!O12*360</f>
        <v>42.856634076435817</v>
      </c>
      <c r="G41" s="9">
        <f>+Model!P35/Model!P12*360</f>
        <v>41.572777401401261</v>
      </c>
      <c r="H41" s="9">
        <f>+Model!Q35/Model!Q12*360</f>
        <v>43.148656061437194</v>
      </c>
      <c r="I41" s="9">
        <f>+Model!R35/Model!R12*360</f>
        <v>37.190290636531088</v>
      </c>
      <c r="J41" s="9"/>
      <c r="L41" s="16" t="s">
        <v>214</v>
      </c>
    </row>
    <row r="42" spans="2:12" x14ac:dyDescent="0.25">
      <c r="B42" t="s">
        <v>215</v>
      </c>
      <c r="C42" s="9">
        <f>+Model!L45/Model!L12*360</f>
        <v>8.7746695798560115</v>
      </c>
      <c r="D42" s="9">
        <f>+Model!M45/Model!M12*360</f>
        <v>11.452253985317622</v>
      </c>
      <c r="E42" s="9">
        <f>+Model!N45/Model!N12*360</f>
        <v>10.151108009073459</v>
      </c>
      <c r="F42" s="9">
        <f>+Model!O45/Model!O12*360</f>
        <v>15.675533583766503</v>
      </c>
      <c r="G42" s="9">
        <f>+Model!P45/Model!P12*360</f>
        <v>18.853776295140168</v>
      </c>
      <c r="H42" s="9">
        <f>+Model!Q45/Model!Q12*360</f>
        <v>12.940060191842967</v>
      </c>
      <c r="I42" s="9">
        <f>+Model!R45/Model!R12*360</f>
        <v>16.822511717253999</v>
      </c>
      <c r="J42" s="9"/>
      <c r="L42" s="16" t="s">
        <v>216</v>
      </c>
    </row>
    <row r="43" spans="2:12" x14ac:dyDescent="0.25">
      <c r="B43" t="s">
        <v>217</v>
      </c>
      <c r="C43" s="6" t="s">
        <v>109</v>
      </c>
      <c r="D43" s="6" t="s">
        <v>109</v>
      </c>
      <c r="E43" s="6" t="s">
        <v>109</v>
      </c>
      <c r="F43" s="6" t="s">
        <v>109</v>
      </c>
      <c r="G43" s="6" t="s">
        <v>109</v>
      </c>
      <c r="H43" s="6" t="s">
        <v>109</v>
      </c>
      <c r="I43" s="6" t="s">
        <v>109</v>
      </c>
      <c r="L43" s="16" t="s">
        <v>218</v>
      </c>
    </row>
    <row r="44" spans="2:12" x14ac:dyDescent="0.25">
      <c r="B44" t="s">
        <v>219</v>
      </c>
      <c r="C44" s="6" t="s">
        <v>109</v>
      </c>
      <c r="D44" s="6" t="s">
        <v>109</v>
      </c>
      <c r="E44" s="6" t="s">
        <v>109</v>
      </c>
      <c r="F44" s="6" t="s">
        <v>109</v>
      </c>
      <c r="G44" s="6" t="s">
        <v>109</v>
      </c>
      <c r="H44" s="6" t="s">
        <v>109</v>
      </c>
      <c r="I44" s="6" t="s">
        <v>109</v>
      </c>
      <c r="L44" s="16" t="s">
        <v>220</v>
      </c>
    </row>
    <row r="45" spans="2:12" x14ac:dyDescent="0.25">
      <c r="B45" t="s">
        <v>221</v>
      </c>
      <c r="C45" s="6" t="s">
        <v>109</v>
      </c>
      <c r="D45" s="6" t="s">
        <v>109</v>
      </c>
      <c r="E45" s="6" t="s">
        <v>109</v>
      </c>
      <c r="F45" s="6" t="s">
        <v>109</v>
      </c>
      <c r="G45" s="6" t="s">
        <v>109</v>
      </c>
      <c r="H45" s="6" t="s">
        <v>109</v>
      </c>
      <c r="I45" s="6" t="s">
        <v>109</v>
      </c>
      <c r="L45" s="16" t="s">
        <v>222</v>
      </c>
    </row>
    <row r="46" spans="2:12" x14ac:dyDescent="0.25">
      <c r="B46" t="s">
        <v>223</v>
      </c>
      <c r="C46" s="24">
        <f t="shared" ref="C46:H46" si="9">+C41-C42</f>
        <v>40.14040617500627</v>
      </c>
      <c r="D46" s="24">
        <f t="shared" si="9"/>
        <v>37.014866260237355</v>
      </c>
      <c r="E46" s="24">
        <f t="shared" si="9"/>
        <v>37.317047635665681</v>
      </c>
      <c r="F46" s="24">
        <f t="shared" si="9"/>
        <v>27.181100492669316</v>
      </c>
      <c r="G46" s="24">
        <f t="shared" si="9"/>
        <v>22.719001106261093</v>
      </c>
      <c r="H46" s="24">
        <f t="shared" si="9"/>
        <v>30.208595869594227</v>
      </c>
      <c r="I46" s="24">
        <f>+I41-I42</f>
        <v>20.367778919277089</v>
      </c>
      <c r="L46" s="16" t="s">
        <v>224</v>
      </c>
    </row>
    <row r="48" spans="2:12" x14ac:dyDescent="0.25">
      <c r="B48" s="15" t="s">
        <v>225</v>
      </c>
    </row>
    <row r="49" spans="2:12" x14ac:dyDescent="0.25">
      <c r="B49" s="15" t="s">
        <v>226</v>
      </c>
      <c r="C49" s="25"/>
      <c r="D49" s="25"/>
      <c r="E49" s="25"/>
      <c r="F49" s="25"/>
      <c r="G49" s="25"/>
    </row>
    <row r="50" spans="2:12" x14ac:dyDescent="0.25">
      <c r="B50" t="s">
        <v>227</v>
      </c>
      <c r="C50" s="9">
        <f>+C5/Model!L22</f>
        <v>17.650291710008592</v>
      </c>
      <c r="D50" s="9">
        <f>+D5/Model!M22</f>
        <v>32.237771165810123</v>
      </c>
      <c r="E50" s="9">
        <f>+E5/Model!N22</f>
        <v>26.183890756879162</v>
      </c>
      <c r="F50" s="9">
        <f>+F5/Model!O22</f>
        <v>24.09231013462027</v>
      </c>
      <c r="G50" s="9">
        <f>+G5/Model!P22</f>
        <v>14.378924568965516</v>
      </c>
      <c r="H50" s="9">
        <f>+H5/Model!Q22</f>
        <v>22.797853087114433</v>
      </c>
      <c r="I50" s="9">
        <f>+I5/Model!R22</f>
        <v>24.328594291212319</v>
      </c>
      <c r="J50" s="9"/>
      <c r="L50" s="16" t="s">
        <v>228</v>
      </c>
    </row>
    <row r="51" spans="2:12" x14ac:dyDescent="0.25">
      <c r="B51" t="s">
        <v>229</v>
      </c>
      <c r="C51" s="9"/>
      <c r="D51" s="9">
        <f>+D50/((Model!M22/Model!L22-1)*100)</f>
        <v>-1.965828345965879</v>
      </c>
      <c r="E51" s="9">
        <f>+E50/((Model!N22/Model!M22-1)*100)</f>
        <v>0.45399983176147757</v>
      </c>
      <c r="F51" s="9">
        <f>+F50/((Model!O22/Model!N22-1)*100)</f>
        <v>0.68680992877899316</v>
      </c>
      <c r="G51" s="9">
        <f>+G50/((Model!P22/Model!O22-1)*100)</f>
        <v>-0.35009168848495509</v>
      </c>
      <c r="H51" s="9">
        <f>+H50/((Model!Q22/Model!P22-1)*100)</f>
        <v>0.3326897670279626</v>
      </c>
      <c r="I51" s="9">
        <f>+I50/((Model!R22/Model!Q22-1)*100)</f>
        <v>0.40890696397464499</v>
      </c>
      <c r="J51" s="9"/>
      <c r="L51" s="16" t="s">
        <v>230</v>
      </c>
    </row>
    <row r="52" spans="2:12" x14ac:dyDescent="0.25">
      <c r="B52" t="s">
        <v>231</v>
      </c>
      <c r="C52" s="9">
        <f>+C5/Model!L44</f>
        <v>4.0095506195163049</v>
      </c>
      <c r="D52" s="9">
        <f>+D5/Model!M44</f>
        <v>4.4679342610364685</v>
      </c>
      <c r="E52" s="9">
        <f>+E5/Model!N44</f>
        <v>4.7902011097441566</v>
      </c>
      <c r="F52" s="9">
        <f>+F5/Model!O44</f>
        <v>5.7143887774343778</v>
      </c>
      <c r="G52" s="9">
        <f>+G5/Model!P44</f>
        <v>1.7961365337296138</v>
      </c>
      <c r="H52" s="9">
        <f>+H5/Model!Q44</f>
        <v>3.8817995584066058</v>
      </c>
      <c r="I52" s="9">
        <f>+I5/Model!R44</f>
        <v>5.495776695863853</v>
      </c>
      <c r="J52" s="9"/>
      <c r="L52" s="16" t="s">
        <v>232</v>
      </c>
    </row>
    <row r="53" spans="2:12" x14ac:dyDescent="0.25">
      <c r="B53" t="s">
        <v>233</v>
      </c>
      <c r="C53" s="9"/>
      <c r="D53" s="9"/>
      <c r="E53" s="9"/>
      <c r="F53" s="9"/>
      <c r="G53" s="9"/>
      <c r="I53" s="9"/>
      <c r="J53" s="9"/>
      <c r="L53" s="16" t="s">
        <v>234</v>
      </c>
    </row>
    <row r="54" spans="2:12" x14ac:dyDescent="0.25">
      <c r="B54" t="s">
        <v>235</v>
      </c>
      <c r="C54" s="9" t="e">
        <f t="shared" ref="C54:H54" si="10">+C5/C16</f>
        <v>#DIV/0!</v>
      </c>
      <c r="D54" s="9">
        <f t="shared" si="10"/>
        <v>33.973424435679789</v>
      </c>
      <c r="E54" s="9">
        <f t="shared" si="10"/>
        <v>25.443709921869889</v>
      </c>
      <c r="F54" s="9">
        <f t="shared" si="10"/>
        <v>22.639800817678296</v>
      </c>
      <c r="G54" s="9">
        <f t="shared" si="10"/>
        <v>13.89752620710637</v>
      </c>
      <c r="H54" s="9">
        <f t="shared" si="10"/>
        <v>19.220120159849358</v>
      </c>
      <c r="I54" s="9">
        <f>+I5/I16</f>
        <v>21.992585878351754</v>
      </c>
      <c r="J54" s="9"/>
      <c r="L54" s="16" t="s">
        <v>236</v>
      </c>
    </row>
    <row r="55" spans="2:12" x14ac:dyDescent="0.25">
      <c r="B55" t="s">
        <v>237</v>
      </c>
      <c r="C55" s="9">
        <f>+C5/Model!L12</f>
        <v>6.989247465883448</v>
      </c>
      <c r="D55" s="9">
        <f>+D5/Model!M12</f>
        <v>8.4291440938087909</v>
      </c>
      <c r="E55" s="9">
        <f>+E5/Model!N12</f>
        <v>8.8775161984528594</v>
      </c>
      <c r="F55" s="9">
        <f>+F5/Model!O12</f>
        <v>8.0430958458055262</v>
      </c>
      <c r="G55" s="9">
        <f>+G5/Model!P12</f>
        <v>2.8607658928556114</v>
      </c>
      <c r="H55" s="9">
        <f>+H5/Model!Q12</f>
        <v>6.6073924775021871</v>
      </c>
      <c r="I55" s="9">
        <f>+I5/Model!R12</f>
        <v>9.2226256375341187</v>
      </c>
      <c r="J55" s="9"/>
      <c r="L55" s="16" t="s">
        <v>238</v>
      </c>
    </row>
    <row r="56" spans="2:12" x14ac:dyDescent="0.25">
      <c r="B56" s="15" t="s">
        <v>239</v>
      </c>
      <c r="I56" s="9"/>
      <c r="J56" s="9"/>
    </row>
    <row r="57" spans="2:12" x14ac:dyDescent="0.25">
      <c r="B57" t="s">
        <v>240</v>
      </c>
      <c r="C57" s="9">
        <f>+C7/(Model!L18+Model!L59)</f>
        <v>11.945791706582728</v>
      </c>
      <c r="D57" s="9">
        <f>+D7/(Model!M18+Model!M59)</f>
        <v>18.200968816227675</v>
      </c>
      <c r="E57" s="9">
        <f>+E7/(Model!N18+Model!N59)</f>
        <v>17.737122909973948</v>
      </c>
      <c r="F57" s="9">
        <f>+F7/(Model!O18+Model!O59)</f>
        <v>16.456802814327485</v>
      </c>
      <c r="G57" s="9">
        <f>+G7/(Model!P18+Model!P59)</f>
        <v>8.0461347329258572</v>
      </c>
      <c r="H57" s="9">
        <f>+H7/(Model!Q18+Model!Q59)</f>
        <v>14.575298382502719</v>
      </c>
      <c r="I57" s="9">
        <f>+I7/(Model!R18+Model!R59)</f>
        <v>17.297086877636136</v>
      </c>
      <c r="J57" s="9"/>
      <c r="L57" s="16" t="s">
        <v>241</v>
      </c>
    </row>
    <row r="58" spans="2:12" x14ac:dyDescent="0.25">
      <c r="B58" t="s">
        <v>242</v>
      </c>
      <c r="C58" s="9">
        <f>+C7/Model!L18</f>
        <v>14.014835627985388</v>
      </c>
      <c r="D58" s="9">
        <f>+D7/Model!M18</f>
        <v>22.5573334445093</v>
      </c>
      <c r="E58" s="9">
        <f>+E7/Model!N18</f>
        <v>21.462510483303237</v>
      </c>
      <c r="F58" s="9">
        <f>+F7/Model!O18</f>
        <v>19.261143669924923</v>
      </c>
      <c r="G58" s="9">
        <f>+G7/Model!P18</f>
        <v>10.460753524046433</v>
      </c>
      <c r="H58" s="9">
        <f>+H7/Model!Q18</f>
        <v>18.060201065217857</v>
      </c>
      <c r="I58" s="9">
        <f>+I7/Model!R18</f>
        <v>21.160884116460078</v>
      </c>
      <c r="J58" s="9"/>
      <c r="L58" s="16" t="s">
        <v>243</v>
      </c>
    </row>
    <row r="59" spans="2:12" x14ac:dyDescent="0.25">
      <c r="B59" t="s">
        <v>244</v>
      </c>
      <c r="C59" s="9"/>
      <c r="D59" s="9">
        <f t="shared" ref="D59:H59" si="11">+D7/D16</f>
        <v>30.846113372932582</v>
      </c>
      <c r="E59" s="9">
        <f t="shared" si="11"/>
        <v>23.378155480213206</v>
      </c>
      <c r="F59" s="9">
        <f t="shared" si="11"/>
        <v>21.494151018904137</v>
      </c>
      <c r="G59" s="9">
        <f t="shared" si="11"/>
        <v>12.613761939234127</v>
      </c>
      <c r="H59" s="9">
        <f t="shared" si="11"/>
        <v>18.206274708223297</v>
      </c>
      <c r="I59" s="9">
        <f>+I7/I16</f>
        <v>21.282433168946177</v>
      </c>
      <c r="J59" s="9"/>
      <c r="L59" s="16" t="s">
        <v>245</v>
      </c>
    </row>
    <row r="60" spans="2:12" x14ac:dyDescent="0.25">
      <c r="B60" t="s">
        <v>246</v>
      </c>
      <c r="C60" s="9">
        <f>+C7/Model!L12</f>
        <v>6.2529388588416488</v>
      </c>
      <c r="D60" s="9">
        <f>+D7/Model!M12</f>
        <v>7.6532271524958633</v>
      </c>
      <c r="E60" s="9">
        <f>+E7/Model!N12</f>
        <v>8.1568275460943411</v>
      </c>
      <c r="F60" s="9">
        <f>+F7/Model!O12</f>
        <v>7.6360882395339571</v>
      </c>
      <c r="G60" s="9">
        <f>+G7/Model!P12</f>
        <v>2.5965067018840742</v>
      </c>
      <c r="H60" s="9">
        <f>+H7/Model!Q12</f>
        <v>6.2588579857970981</v>
      </c>
      <c r="I60" s="9">
        <f>+I7/Model!R12</f>
        <v>8.9248219767660988</v>
      </c>
      <c r="J60" s="9"/>
      <c r="L60" s="16" t="s">
        <v>247</v>
      </c>
    </row>
  </sheetData>
  <hyperlinks>
    <hyperlink ref="A1" location="Main!A1" display="Main" xr:uid="{F2CE95A4-66BC-4412-AAC6-240FC8E482A6}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28755-841C-487A-B715-A85AC1833BAF}">
  <dimension ref="A1:I48"/>
  <sheetViews>
    <sheetView showGridLines="0" zoomScale="200" zoomScaleNormal="200" workbookViewId="0">
      <selection activeCell="F4" sqref="F4:F8"/>
    </sheetView>
  </sheetViews>
  <sheetFormatPr defaultRowHeight="15" x14ac:dyDescent="0.25"/>
  <cols>
    <col min="1" max="1" width="5.42578125" bestFit="1" customWidth="1"/>
  </cols>
  <sheetData>
    <row r="1" spans="1:8" x14ac:dyDescent="0.25">
      <c r="A1" s="7" t="s">
        <v>12</v>
      </c>
    </row>
    <row r="3" spans="1:8" x14ac:dyDescent="0.25">
      <c r="B3" s="14" t="s">
        <v>122</v>
      </c>
      <c r="C3" s="14"/>
      <c r="D3" s="14"/>
      <c r="E3" s="14"/>
      <c r="F3" s="14"/>
    </row>
    <row r="4" spans="1:8" x14ac:dyDescent="0.25">
      <c r="A4" s="2" t="s">
        <v>2</v>
      </c>
      <c r="B4" s="15" t="s">
        <v>123</v>
      </c>
    </row>
    <row r="5" spans="1:8" x14ac:dyDescent="0.25">
      <c r="B5" s="15" t="s">
        <v>124</v>
      </c>
    </row>
    <row r="6" spans="1:8" x14ac:dyDescent="0.25">
      <c r="B6" t="s">
        <v>125</v>
      </c>
      <c r="H6" s="16" t="s">
        <v>126</v>
      </c>
    </row>
    <row r="7" spans="1:8" x14ac:dyDescent="0.25">
      <c r="B7" t="s">
        <v>127</v>
      </c>
      <c r="H7" s="16" t="s">
        <v>128</v>
      </c>
    </row>
    <row r="8" spans="1:8" x14ac:dyDescent="0.25">
      <c r="B8" t="s">
        <v>124</v>
      </c>
      <c r="F8">
        <f>F6+F7</f>
        <v>0</v>
      </c>
      <c r="H8" s="16" t="s">
        <v>129</v>
      </c>
    </row>
    <row r="10" spans="1:8" x14ac:dyDescent="0.25">
      <c r="A10" s="2" t="s">
        <v>2</v>
      </c>
      <c r="B10" s="15" t="s">
        <v>130</v>
      </c>
    </row>
    <row r="11" spans="1:8" x14ac:dyDescent="0.25">
      <c r="B11" t="s">
        <v>131</v>
      </c>
      <c r="H11" s="16" t="s">
        <v>132</v>
      </c>
    </row>
    <row r="12" spans="1:8" x14ac:dyDescent="0.25">
      <c r="B12" t="s">
        <v>133</v>
      </c>
      <c r="H12" s="16" t="s">
        <v>134</v>
      </c>
    </row>
    <row r="13" spans="1:8" x14ac:dyDescent="0.25">
      <c r="B13" t="s">
        <v>135</v>
      </c>
      <c r="H13" s="16" t="s">
        <v>136</v>
      </c>
    </row>
    <row r="14" spans="1:8" x14ac:dyDescent="0.25">
      <c r="B14" t="s">
        <v>137</v>
      </c>
      <c r="H14" s="16" t="s">
        <v>138</v>
      </c>
    </row>
    <row r="15" spans="1:8" x14ac:dyDescent="0.25">
      <c r="B15" t="s">
        <v>139</v>
      </c>
      <c r="H15" s="16" t="s">
        <v>140</v>
      </c>
    </row>
    <row r="17" spans="1:8" x14ac:dyDescent="0.25">
      <c r="A17" s="2" t="s">
        <v>2</v>
      </c>
      <c r="B17" s="15" t="s">
        <v>141</v>
      </c>
    </row>
    <row r="18" spans="1:8" x14ac:dyDescent="0.25">
      <c r="B18" t="s">
        <v>142</v>
      </c>
      <c r="H18" s="16" t="s">
        <v>143</v>
      </c>
    </row>
    <row r="19" spans="1:8" x14ac:dyDescent="0.25">
      <c r="B19" t="s">
        <v>124</v>
      </c>
    </row>
    <row r="20" spans="1:8" x14ac:dyDescent="0.25">
      <c r="B20" t="s">
        <v>141</v>
      </c>
      <c r="F20">
        <f>F18-F19</f>
        <v>0</v>
      </c>
    </row>
    <row r="22" spans="1:8" x14ac:dyDescent="0.25">
      <c r="A22" s="2" t="s">
        <v>2</v>
      </c>
      <c r="B22" s="17" t="s">
        <v>123</v>
      </c>
      <c r="C22" s="18"/>
      <c r="D22" s="18"/>
      <c r="E22" s="18"/>
      <c r="F22" s="19">
        <f>F8+F15*F20</f>
        <v>0</v>
      </c>
      <c r="H22" s="16" t="s">
        <v>144</v>
      </c>
    </row>
    <row r="25" spans="1:8" x14ac:dyDescent="0.25">
      <c r="A25" s="2" t="s">
        <v>2</v>
      </c>
      <c r="B25" s="15" t="s">
        <v>145</v>
      </c>
    </row>
    <row r="26" spans="1:8" x14ac:dyDescent="0.25">
      <c r="B26" t="s">
        <v>146</v>
      </c>
      <c r="H26" s="16" t="s">
        <v>147</v>
      </c>
    </row>
    <row r="27" spans="1:8" x14ac:dyDescent="0.25">
      <c r="B27" t="s">
        <v>148</v>
      </c>
    </row>
    <row r="28" spans="1:8" x14ac:dyDescent="0.25">
      <c r="B28" t="s">
        <v>124</v>
      </c>
    </row>
    <row r="29" spans="1:8" x14ac:dyDescent="0.25">
      <c r="B29" t="s">
        <v>149</v>
      </c>
    </row>
    <row r="30" spans="1:8" x14ac:dyDescent="0.25">
      <c r="B30" t="s">
        <v>150</v>
      </c>
    </row>
    <row r="32" spans="1:8" x14ac:dyDescent="0.25">
      <c r="A32" s="2" t="s">
        <v>2</v>
      </c>
      <c r="B32" s="17" t="s">
        <v>145</v>
      </c>
      <c r="C32" s="18"/>
      <c r="D32" s="18"/>
      <c r="E32" s="18"/>
      <c r="F32" s="19">
        <f>F28+F29+F30</f>
        <v>0</v>
      </c>
    </row>
    <row r="34" spans="1:9" x14ac:dyDescent="0.25">
      <c r="A34" s="2" t="s">
        <v>2</v>
      </c>
      <c r="B34" s="15" t="s">
        <v>151</v>
      </c>
    </row>
    <row r="35" spans="1:9" x14ac:dyDescent="0.25">
      <c r="B35" t="s">
        <v>152</v>
      </c>
    </row>
    <row r="36" spans="1:9" x14ac:dyDescent="0.25">
      <c r="B36" t="s">
        <v>153</v>
      </c>
    </row>
    <row r="37" spans="1:9" x14ac:dyDescent="0.25">
      <c r="B37" t="s">
        <v>154</v>
      </c>
      <c r="F37">
        <f>F35+F36</f>
        <v>0</v>
      </c>
    </row>
    <row r="39" spans="1:9" x14ac:dyDescent="0.25">
      <c r="B39" t="s">
        <v>155</v>
      </c>
    </row>
    <row r="41" spans="1:9" x14ac:dyDescent="0.25">
      <c r="A41" s="2" t="s">
        <v>2</v>
      </c>
      <c r="B41" s="17" t="s">
        <v>156</v>
      </c>
      <c r="C41" s="18"/>
      <c r="D41" s="18"/>
      <c r="E41" s="18"/>
      <c r="F41" s="19" t="e">
        <f>(F32*(F35/F37)*(1-F39))+((F36/F38)*F22)</f>
        <v>#DIV/0!</v>
      </c>
      <c r="H41" s="16" t="s">
        <v>157</v>
      </c>
    </row>
    <row r="47" spans="1:9" x14ac:dyDescent="0.25">
      <c r="I47" t="e">
        <f>SLOPE(H48:H52,K48:K52)</f>
        <v>#DIV/0!</v>
      </c>
    </row>
    <row r="48" spans="1:9" x14ac:dyDescent="0.25">
      <c r="H48" t="s">
        <v>158</v>
      </c>
    </row>
  </sheetData>
  <hyperlinks>
    <hyperlink ref="A1" location="Main!A1" display="Main" xr:uid="{09EC116E-2AB5-4CAD-B604-A265A1BE89F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FBDF4-A587-444A-8940-D1033E4FDDD6}">
  <dimension ref="A1:AM76"/>
  <sheetViews>
    <sheetView showGridLines="0" zoomScaleNormal="100" workbookViewId="0">
      <selection activeCell="E4" sqref="E4"/>
    </sheetView>
  </sheetViews>
  <sheetFormatPr defaultRowHeight="15" x14ac:dyDescent="0.25"/>
  <cols>
    <col min="1" max="1" width="5.42578125" bestFit="1" customWidth="1"/>
    <col min="5" max="5" width="10.28515625" customWidth="1"/>
    <col min="22" max="22" width="10.7109375" bestFit="1" customWidth="1"/>
  </cols>
  <sheetData>
    <row r="1" spans="1:39" ht="19.5" x14ac:dyDescent="0.3">
      <c r="A1" s="26" t="s">
        <v>12</v>
      </c>
      <c r="B1" s="27" t="s">
        <v>295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</row>
    <row r="2" spans="1:39" x14ac:dyDescent="0.25">
      <c r="E2" s="29"/>
    </row>
    <row r="3" spans="1:39" x14ac:dyDescent="0.25">
      <c r="B3" t="s">
        <v>248</v>
      </c>
      <c r="E3" s="30" t="s">
        <v>4</v>
      </c>
      <c r="G3" t="s">
        <v>249</v>
      </c>
      <c r="J3" s="30">
        <f>+Main!I2</f>
        <v>518</v>
      </c>
      <c r="L3" t="s">
        <v>249</v>
      </c>
      <c r="O3" s="30">
        <f>+J3</f>
        <v>518</v>
      </c>
    </row>
    <row r="4" spans="1:39" x14ac:dyDescent="0.25">
      <c r="B4" t="s">
        <v>250</v>
      </c>
      <c r="E4" s="70">
        <f ca="1">+TODAY()</f>
        <v>45775</v>
      </c>
      <c r="G4" t="s">
        <v>251</v>
      </c>
      <c r="J4" s="31">
        <f ca="1">V62</f>
        <v>548.96838818927142</v>
      </c>
      <c r="L4" t="s">
        <v>252</v>
      </c>
      <c r="O4" s="32">
        <f>+J15+O15+T15</f>
        <v>0</v>
      </c>
    </row>
    <row r="5" spans="1:39" x14ac:dyDescent="0.25">
      <c r="B5" t="s">
        <v>253</v>
      </c>
      <c r="E5" s="70">
        <v>46022</v>
      </c>
      <c r="G5" t="s">
        <v>254</v>
      </c>
      <c r="J5" s="34">
        <f ca="1">J4/J3-1</f>
        <v>5.978453318392174E-2</v>
      </c>
      <c r="L5" t="s">
        <v>254</v>
      </c>
      <c r="O5" s="34">
        <f>O4/O3-1</f>
        <v>-1</v>
      </c>
    </row>
    <row r="7" spans="1:39" x14ac:dyDescent="0.25">
      <c r="A7" s="35" t="s">
        <v>2</v>
      </c>
      <c r="B7" s="14" t="s">
        <v>255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</row>
    <row r="8" spans="1:39" x14ac:dyDescent="0.25">
      <c r="A8" s="35"/>
    </row>
    <row r="9" spans="1:39" x14ac:dyDescent="0.25">
      <c r="A9" s="35"/>
      <c r="B9" s="36" t="s">
        <v>256</v>
      </c>
      <c r="C9" s="37"/>
      <c r="D9" s="37"/>
      <c r="E9" s="37"/>
      <c r="G9" s="36" t="s">
        <v>257</v>
      </c>
      <c r="H9" s="36"/>
      <c r="I9" s="37"/>
      <c r="J9" s="37"/>
      <c r="L9" s="36" t="s">
        <v>258</v>
      </c>
      <c r="M9" s="37"/>
      <c r="N9" s="37"/>
      <c r="O9" s="37"/>
      <c r="Q9" s="36" t="s">
        <v>259</v>
      </c>
      <c r="R9" s="37"/>
      <c r="S9" s="37"/>
      <c r="T9" s="37"/>
    </row>
    <row r="10" spans="1:39" x14ac:dyDescent="0.25">
      <c r="A10" s="35"/>
      <c r="B10" s="3" t="s">
        <v>260</v>
      </c>
      <c r="G10" s="3" t="s">
        <v>260</v>
      </c>
      <c r="H10" s="3"/>
      <c r="I10" s="3" t="s">
        <v>261</v>
      </c>
      <c r="J10" s="3" t="s">
        <v>262</v>
      </c>
      <c r="L10" s="3" t="s">
        <v>260</v>
      </c>
      <c r="N10" s="3" t="s">
        <v>261</v>
      </c>
      <c r="O10" s="3" t="s">
        <v>262</v>
      </c>
      <c r="Q10" s="3" t="s">
        <v>260</v>
      </c>
      <c r="S10" s="3" t="s">
        <v>261</v>
      </c>
      <c r="T10" s="3" t="s">
        <v>262</v>
      </c>
    </row>
    <row r="11" spans="1:39" x14ac:dyDescent="0.25">
      <c r="B11" t="s">
        <v>20</v>
      </c>
      <c r="E11" s="33">
        <v>2</v>
      </c>
      <c r="G11" t="s">
        <v>263</v>
      </c>
      <c r="K11" s="1"/>
      <c r="L11" t="s">
        <v>263</v>
      </c>
      <c r="Q11" t="s">
        <v>263</v>
      </c>
    </row>
    <row r="12" spans="1:39" x14ac:dyDescent="0.25">
      <c r="B12" t="s">
        <v>264</v>
      </c>
      <c r="E12" s="33">
        <v>2</v>
      </c>
      <c r="G12" t="s">
        <v>264</v>
      </c>
      <c r="L12" t="s">
        <v>264</v>
      </c>
      <c r="Q12" t="s">
        <v>264</v>
      </c>
    </row>
    <row r="13" spans="1:39" x14ac:dyDescent="0.25">
      <c r="B13" t="s">
        <v>156</v>
      </c>
      <c r="E13" s="33">
        <v>2</v>
      </c>
      <c r="G13" t="s">
        <v>265</v>
      </c>
      <c r="J13" s="38"/>
      <c r="O13" s="38"/>
      <c r="T13" s="38"/>
    </row>
    <row r="14" spans="1:39" x14ac:dyDescent="0.25">
      <c r="B14" t="s">
        <v>266</v>
      </c>
      <c r="E14" s="33">
        <v>2</v>
      </c>
      <c r="G14" t="s">
        <v>267</v>
      </c>
      <c r="J14" s="38"/>
      <c r="L14" t="s">
        <v>267</v>
      </c>
      <c r="O14" s="38"/>
      <c r="Q14" t="s">
        <v>267</v>
      </c>
      <c r="T14" s="38"/>
    </row>
    <row r="15" spans="1:39" x14ac:dyDescent="0.25">
      <c r="B15" t="s">
        <v>268</v>
      </c>
      <c r="E15" s="33">
        <v>2</v>
      </c>
      <c r="G15" t="s">
        <v>269</v>
      </c>
      <c r="J15" s="38"/>
      <c r="L15" t="s">
        <v>269</v>
      </c>
      <c r="O15" s="38"/>
      <c r="Q15" t="s">
        <v>269</v>
      </c>
      <c r="T15" s="38"/>
    </row>
    <row r="17" spans="1:22" x14ac:dyDescent="0.25">
      <c r="B17" s="3" t="s">
        <v>270</v>
      </c>
    </row>
    <row r="18" spans="1:22" x14ac:dyDescent="0.25">
      <c r="B18" t="s">
        <v>156</v>
      </c>
      <c r="E18" s="38">
        <f>CHOOSE(E13,J18,O18,T18)</f>
        <v>0.1</v>
      </c>
      <c r="G18" t="s">
        <v>156</v>
      </c>
      <c r="J18" s="38"/>
      <c r="L18" t="s">
        <v>156</v>
      </c>
      <c r="O18" s="38">
        <v>0.1</v>
      </c>
      <c r="Q18" t="s">
        <v>156</v>
      </c>
      <c r="T18" s="38"/>
    </row>
    <row r="19" spans="1:22" x14ac:dyDescent="0.25">
      <c r="B19" t="s">
        <v>266</v>
      </c>
      <c r="E19" s="38">
        <f>CHOOSE(E14,J19,O19,T19)</f>
        <v>0.03</v>
      </c>
      <c r="G19" t="s">
        <v>266</v>
      </c>
      <c r="J19" s="38"/>
      <c r="L19" t="s">
        <v>266</v>
      </c>
      <c r="O19" s="38">
        <v>0.03</v>
      </c>
      <c r="Q19" t="s">
        <v>266</v>
      </c>
      <c r="T19" s="38"/>
    </row>
    <row r="20" spans="1:22" x14ac:dyDescent="0.25">
      <c r="B20" t="s">
        <v>271</v>
      </c>
      <c r="E20" s="38">
        <f>CHOOSE(E15,J20,O20,T20)</f>
        <v>0.15</v>
      </c>
      <c r="G20" t="s">
        <v>271</v>
      </c>
      <c r="J20" s="38"/>
      <c r="L20" t="s">
        <v>271</v>
      </c>
      <c r="O20" s="38">
        <v>0.15</v>
      </c>
      <c r="Q20" t="s">
        <v>271</v>
      </c>
      <c r="T20" s="38"/>
    </row>
    <row r="24" spans="1:22" x14ac:dyDescent="0.25">
      <c r="A24" s="35" t="s">
        <v>2</v>
      </c>
      <c r="B24" s="14" t="s">
        <v>272</v>
      </c>
      <c r="C24" s="14"/>
      <c r="D24" s="14"/>
      <c r="E24" s="14"/>
      <c r="F24" s="39">
        <v>18</v>
      </c>
      <c r="G24" s="39">
        <v>19</v>
      </c>
      <c r="H24" s="39">
        <f>G24+1</f>
        <v>20</v>
      </c>
      <c r="I24" s="39">
        <f t="shared" ref="I24:V24" si="0">H24+1</f>
        <v>21</v>
      </c>
      <c r="J24" s="39">
        <f t="shared" si="0"/>
        <v>22</v>
      </c>
      <c r="K24" s="39">
        <f t="shared" si="0"/>
        <v>23</v>
      </c>
      <c r="L24" s="39">
        <f t="shared" si="0"/>
        <v>24</v>
      </c>
      <c r="M24" s="39">
        <f t="shared" si="0"/>
        <v>25</v>
      </c>
      <c r="N24" s="39">
        <f t="shared" si="0"/>
        <v>26</v>
      </c>
      <c r="O24" s="39">
        <f t="shared" si="0"/>
        <v>27</v>
      </c>
      <c r="P24" s="39">
        <f t="shared" si="0"/>
        <v>28</v>
      </c>
      <c r="Q24" s="39">
        <f t="shared" si="0"/>
        <v>29</v>
      </c>
      <c r="R24" s="39">
        <f t="shared" si="0"/>
        <v>30</v>
      </c>
      <c r="S24" s="39">
        <f t="shared" si="0"/>
        <v>31</v>
      </c>
      <c r="T24" s="39">
        <f t="shared" si="0"/>
        <v>32</v>
      </c>
      <c r="U24" s="39">
        <f t="shared" si="0"/>
        <v>33</v>
      </c>
      <c r="V24" s="39">
        <f t="shared" si="0"/>
        <v>34</v>
      </c>
    </row>
    <row r="25" spans="1:22" x14ac:dyDescent="0.25">
      <c r="B25" t="s">
        <v>263</v>
      </c>
      <c r="F25" s="4">
        <f>+Model!L12</f>
        <v>55838</v>
      </c>
      <c r="G25" s="4">
        <f>+Model!M12</f>
        <v>70697</v>
      </c>
      <c r="H25" s="4">
        <f>+Model!N12</f>
        <v>85965</v>
      </c>
      <c r="I25" s="4">
        <f>+Model!O12</f>
        <v>117929</v>
      </c>
      <c r="J25" s="4">
        <f>+Model!P12</f>
        <v>116609</v>
      </c>
      <c r="K25" s="4">
        <f>+Model!Q12</f>
        <v>134902</v>
      </c>
      <c r="L25" s="4">
        <f>+Model!R12</f>
        <v>164501</v>
      </c>
      <c r="M25" s="4">
        <f ca="1">L25*(1+M26)</f>
        <v>188160</v>
      </c>
      <c r="N25" s="4">
        <f t="shared" ref="N25:V25" ca="1" si="1">M25*(1+N26)</f>
        <v>213520</v>
      </c>
      <c r="O25" s="4">
        <f t="shared" ca="1" si="1"/>
        <v>239420.19387755101</v>
      </c>
      <c r="P25" s="4">
        <f t="shared" ca="1" si="1"/>
        <v>265557.91631885146</v>
      </c>
      <c r="Q25" s="4">
        <f t="shared" ca="1" si="1"/>
        <v>291649.99776267476</v>
      </c>
      <c r="R25" s="4">
        <f t="shared" ca="1" si="1"/>
        <v>317440.15322171937</v>
      </c>
      <c r="S25" s="4">
        <f t="shared" ca="1" si="1"/>
        <v>342703.81811800256</v>
      </c>
      <c r="T25" s="4">
        <f t="shared" ca="1" si="1"/>
        <v>367250.67804912943</v>
      </c>
      <c r="U25" s="4">
        <f t="shared" ca="1" si="1"/>
        <v>390925.24900334439</v>
      </c>
      <c r="V25" s="4">
        <f t="shared" ca="1" si="1"/>
        <v>413605.91180031589</v>
      </c>
    </row>
    <row r="26" spans="1:22" x14ac:dyDescent="0.25">
      <c r="B26" s="40" t="s">
        <v>273</v>
      </c>
      <c r="C26" s="41"/>
      <c r="G26" s="43">
        <f>G25/F25-1</f>
        <v>0.26610910132884413</v>
      </c>
      <c r="H26" s="43">
        <f>H25/G25-1</f>
        <v>0.21596390228722573</v>
      </c>
      <c r="I26" s="43">
        <f t="shared" ref="I26:L26" si="2">I25/H25-1</f>
        <v>0.37182574303495608</v>
      </c>
      <c r="J26" s="43">
        <f t="shared" si="2"/>
        <v>-1.1193175554782941E-2</v>
      </c>
      <c r="K26" s="43">
        <f t="shared" si="2"/>
        <v>0.15687468377226454</v>
      </c>
      <c r="L26" s="43">
        <f t="shared" si="2"/>
        <v>0.21941112807816054</v>
      </c>
      <c r="M26" s="43" cm="1">
        <f t="array" aca="1" ref="M26" ca="1">OFFSET(M26,$E$11,,)</f>
        <v>0.14382283390374528</v>
      </c>
      <c r="N26" s="43" cm="1">
        <f t="array" aca="1" ref="N26" ca="1">OFFSET(N26,$E$11,,)</f>
        <v>0.13477891156462585</v>
      </c>
      <c r="O26" s="43" cm="1">
        <f t="array" aca="1" ref="O26" ca="1">OFFSET(O26,$E$11,,)</f>
        <v>0.12130102040816326</v>
      </c>
      <c r="P26" s="43" cm="1">
        <f t="array" aca="1" ref="P26" ca="1">OFFSET(P26,$E$11,,)</f>
        <v>0.10917091836734694</v>
      </c>
      <c r="Q26" s="43" cm="1">
        <f t="array" aca="1" ref="Q26" ca="1">OFFSET(Q26,$E$11,,)</f>
        <v>9.8253826530612251E-2</v>
      </c>
      <c r="R26" s="43" cm="1">
        <f t="array" aca="1" ref="R26" ca="1">OFFSET(R26,$E$11,,)</f>
        <v>8.8428443877551027E-2</v>
      </c>
      <c r="S26" s="43" cm="1">
        <f t="array" aca="1" ref="S26" ca="1">OFFSET(S26,$E$11,,)</f>
        <v>7.9585599489795933E-2</v>
      </c>
      <c r="T26" s="43" cm="1">
        <f t="array" aca="1" ref="T26" ca="1">OFFSET(T26,$E$11,,)</f>
        <v>7.162703954081634E-2</v>
      </c>
      <c r="U26" s="43" cm="1">
        <f t="array" aca="1" ref="U26" ca="1">OFFSET(U26,$E$11,,)</f>
        <v>6.4464335586734714E-2</v>
      </c>
      <c r="V26" s="43" cm="1">
        <f t="array" aca="1" ref="V26" ca="1">OFFSET(V26,$E$11,,)</f>
        <v>5.8017902028061244E-2</v>
      </c>
    </row>
    <row r="27" spans="1:22" x14ac:dyDescent="0.25">
      <c r="B27" s="40" t="s">
        <v>257</v>
      </c>
      <c r="C27" s="41"/>
      <c r="I27" s="10"/>
      <c r="J27" s="10"/>
      <c r="K27" s="10"/>
      <c r="L27" s="10"/>
      <c r="M27" s="44"/>
      <c r="N27" s="44"/>
      <c r="O27" s="44"/>
      <c r="P27" s="44"/>
      <c r="Q27" s="44"/>
      <c r="R27" s="44"/>
      <c r="S27" s="44"/>
      <c r="T27" s="44"/>
      <c r="U27" s="44"/>
      <c r="V27" s="44"/>
    </row>
    <row r="28" spans="1:22" x14ac:dyDescent="0.25">
      <c r="B28" s="40" t="s">
        <v>274</v>
      </c>
      <c r="C28" s="41"/>
      <c r="I28" s="10"/>
      <c r="J28" s="10"/>
      <c r="K28" s="10"/>
      <c r="L28" s="10"/>
      <c r="M28" s="44">
        <f>+Model!S28</f>
        <v>0.14382283390374528</v>
      </c>
      <c r="N28" s="44">
        <f>+Model!T28</f>
        <v>0.13477891156462585</v>
      </c>
      <c r="O28" s="44">
        <f>+Model!U28</f>
        <v>0.12130102040816326</v>
      </c>
      <c r="P28" s="44">
        <f>+Model!V28</f>
        <v>0.10917091836734694</v>
      </c>
      <c r="Q28" s="44">
        <f>+Model!W28</f>
        <v>9.8253826530612251E-2</v>
      </c>
      <c r="R28" s="44">
        <f>+Model!X28</f>
        <v>8.8428443877551027E-2</v>
      </c>
      <c r="S28" s="44">
        <f>+Model!Y28</f>
        <v>7.9585599489795933E-2</v>
      </c>
      <c r="T28" s="44">
        <f>+Model!Z28</f>
        <v>7.162703954081634E-2</v>
      </c>
      <c r="U28" s="44">
        <f>+Model!AA28</f>
        <v>6.4464335586734714E-2</v>
      </c>
      <c r="V28" s="44">
        <f>+Model!AB28</f>
        <v>5.8017902028061244E-2</v>
      </c>
    </row>
    <row r="29" spans="1:22" x14ac:dyDescent="0.25">
      <c r="B29" s="40" t="s">
        <v>275</v>
      </c>
      <c r="C29" s="41"/>
      <c r="I29" s="10"/>
      <c r="J29" s="10"/>
      <c r="K29" s="10"/>
      <c r="L29" s="10"/>
      <c r="M29" s="44"/>
      <c r="N29" s="44"/>
      <c r="O29" s="44"/>
      <c r="P29" s="44"/>
      <c r="Q29" s="44"/>
      <c r="R29" s="44"/>
      <c r="S29" s="44"/>
      <c r="T29" s="44"/>
      <c r="U29" s="44"/>
      <c r="V29" s="44"/>
    </row>
    <row r="31" spans="1:22" x14ac:dyDescent="0.25">
      <c r="B31" t="s">
        <v>264</v>
      </c>
      <c r="F31" s="4">
        <f>+Model!L18</f>
        <v>24913</v>
      </c>
      <c r="G31" s="4">
        <f>+Model!M18</f>
        <v>23986</v>
      </c>
      <c r="H31" s="4">
        <f>+Model!N18</f>
        <v>32671</v>
      </c>
      <c r="I31" s="4">
        <f>+Model!O18</f>
        <v>46753</v>
      </c>
      <c r="J31" s="4">
        <f>+Model!P18</f>
        <v>28944</v>
      </c>
      <c r="K31" s="4">
        <f>+Model!Q18</f>
        <v>46751</v>
      </c>
      <c r="L31" s="4">
        <f>+Model!R18</f>
        <v>69380</v>
      </c>
      <c r="M31" s="4">
        <f ca="1">M32*M25</f>
        <v>79027.199999999997</v>
      </c>
      <c r="N31" s="4">
        <f t="shared" ref="N31:V31" ca="1" si="3">N32*N25</f>
        <v>90746</v>
      </c>
      <c r="O31" s="4">
        <f t="shared" ca="1" si="3"/>
        <v>102950.68336734694</v>
      </c>
      <c r="P31" s="4">
        <f t="shared" ca="1" si="3"/>
        <v>116845.48318029464</v>
      </c>
      <c r="Q31" s="4">
        <f t="shared" ca="1" si="3"/>
        <v>131242.49899320366</v>
      </c>
      <c r="R31" s="4">
        <f t="shared" ca="1" si="3"/>
        <v>142848.06894977373</v>
      </c>
      <c r="S31" s="4">
        <f t="shared" ca="1" si="3"/>
        <v>154216.71815310116</v>
      </c>
      <c r="T31" s="4">
        <f t="shared" ca="1" si="3"/>
        <v>165262.80512210826</v>
      </c>
      <c r="U31" s="4">
        <f t="shared" ca="1" si="3"/>
        <v>175916.36205150498</v>
      </c>
      <c r="V31" s="4">
        <f t="shared" ca="1" si="3"/>
        <v>186122.66031014215</v>
      </c>
    </row>
    <row r="32" spans="1:22" x14ac:dyDescent="0.25">
      <c r="B32" s="40" t="s">
        <v>276</v>
      </c>
      <c r="F32" s="43">
        <f>F31/F25</f>
        <v>0.44616569361366809</v>
      </c>
      <c r="G32" s="43">
        <f>G31/G25</f>
        <v>0.33927889443682191</v>
      </c>
      <c r="H32" s="43">
        <f t="shared" ref="H32:L32" si="4">H31/H25</f>
        <v>0.3800500203571221</v>
      </c>
      <c r="I32" s="43">
        <f t="shared" si="4"/>
        <v>0.39645040660058173</v>
      </c>
      <c r="J32" s="43">
        <f t="shared" si="4"/>
        <v>0.24821411726367604</v>
      </c>
      <c r="K32" s="43">
        <f t="shared" si="4"/>
        <v>0.34655527716416362</v>
      </c>
      <c r="L32" s="43">
        <f t="shared" si="4"/>
        <v>0.42176035404040096</v>
      </c>
      <c r="M32" s="43" cm="1">
        <f t="array" aca="1" ref="M32" ca="1">OFFSET(M32,$E$12,,)</f>
        <v>0.42</v>
      </c>
      <c r="N32" s="43" cm="1">
        <f t="array" aca="1" ref="N32" ca="1">OFFSET(N32,$E$12,,)</f>
        <v>0.42499999999999999</v>
      </c>
      <c r="O32" s="43" cm="1">
        <f t="array" aca="1" ref="O32" ca="1">OFFSET(O32,$E$12,,)</f>
        <v>0.43</v>
      </c>
      <c r="P32" s="43" cm="1">
        <f t="array" aca="1" ref="P32" ca="1">OFFSET(P32,$E$12,,)</f>
        <v>0.44</v>
      </c>
      <c r="Q32" s="43" cm="1">
        <f t="array" aca="1" ref="Q32" ca="1">OFFSET(Q32,$E$12,,)</f>
        <v>0.45</v>
      </c>
      <c r="R32" s="43" cm="1">
        <f t="array" aca="1" ref="R32" ca="1">OFFSET(R32,$E$12,,)</f>
        <v>0.45</v>
      </c>
      <c r="S32" s="43" cm="1">
        <f t="array" aca="1" ref="S32" ca="1">OFFSET(S32,$E$12,,)</f>
        <v>0.45</v>
      </c>
      <c r="T32" s="43" cm="1">
        <f t="array" aca="1" ref="T32" ca="1">OFFSET(T32,$E$12,,)</f>
        <v>0.45</v>
      </c>
      <c r="U32" s="43" cm="1">
        <f t="array" aca="1" ref="U32" ca="1">OFFSET(U32,$E$12,,)</f>
        <v>0.45</v>
      </c>
      <c r="V32" s="43" cm="1">
        <f t="array" aca="1" ref="V32" ca="1">OFFSET(V32,$E$12,,)</f>
        <v>0.45</v>
      </c>
    </row>
    <row r="33" spans="2:22" x14ac:dyDescent="0.25">
      <c r="B33" s="40" t="s">
        <v>257</v>
      </c>
      <c r="M33" s="44"/>
      <c r="N33" s="44"/>
      <c r="O33" s="44"/>
      <c r="P33" s="44"/>
      <c r="Q33" s="44"/>
      <c r="R33" s="44"/>
      <c r="S33" s="44"/>
      <c r="T33" s="44"/>
      <c r="U33" s="44"/>
      <c r="V33" s="44"/>
    </row>
    <row r="34" spans="2:22" x14ac:dyDescent="0.25">
      <c r="B34" s="40" t="s">
        <v>274</v>
      </c>
      <c r="M34" s="44">
        <v>0.42</v>
      </c>
      <c r="N34" s="44">
        <v>0.42499999999999999</v>
      </c>
      <c r="O34" s="44">
        <v>0.43</v>
      </c>
      <c r="P34" s="44">
        <v>0.44</v>
      </c>
      <c r="Q34" s="44">
        <v>0.45</v>
      </c>
      <c r="R34" s="44">
        <v>0.45</v>
      </c>
      <c r="S34" s="44">
        <v>0.45</v>
      </c>
      <c r="T34" s="44">
        <v>0.45</v>
      </c>
      <c r="U34" s="44">
        <v>0.45</v>
      </c>
      <c r="V34" s="44">
        <v>0.45</v>
      </c>
    </row>
    <row r="35" spans="2:22" x14ac:dyDescent="0.25">
      <c r="B35" s="40" t="s">
        <v>275</v>
      </c>
      <c r="M35" s="44"/>
      <c r="N35" s="44"/>
      <c r="O35" s="44"/>
      <c r="P35" s="44"/>
      <c r="Q35" s="44"/>
      <c r="R35" s="44"/>
      <c r="S35" s="44"/>
      <c r="T35" s="44"/>
      <c r="U35" s="44"/>
      <c r="V35" s="44"/>
    </row>
    <row r="37" spans="2:22" x14ac:dyDescent="0.25">
      <c r="B37" t="s">
        <v>277</v>
      </c>
      <c r="F37" s="4">
        <f>+Model!L21</f>
        <v>3250</v>
      </c>
      <c r="G37" s="4">
        <f>+Model!M21</f>
        <v>6327</v>
      </c>
      <c r="H37" s="4">
        <f>+Model!N21</f>
        <v>4034</v>
      </c>
      <c r="I37" s="4">
        <f>+Model!O21</f>
        <v>7914</v>
      </c>
      <c r="J37" s="4">
        <f>+Model!P21</f>
        <v>5619</v>
      </c>
      <c r="K37" s="4">
        <f>+Model!Q21</f>
        <v>8330</v>
      </c>
      <c r="L37" s="4">
        <f>+Model!R21</f>
        <v>8303</v>
      </c>
      <c r="M37" s="4">
        <f ca="1">M38*M31</f>
        <v>11854.08</v>
      </c>
      <c r="N37" s="4">
        <f t="shared" ref="N37:V37" ca="1" si="5">N38*N31</f>
        <v>13611.9</v>
      </c>
      <c r="O37" s="4">
        <f t="shared" ca="1" si="5"/>
        <v>15442.602505102041</v>
      </c>
      <c r="P37" s="4">
        <f t="shared" ca="1" si="5"/>
        <v>17526.822477044196</v>
      </c>
      <c r="Q37" s="4">
        <f t="shared" ca="1" si="5"/>
        <v>19686.374848980548</v>
      </c>
      <c r="R37" s="4">
        <f t="shared" ca="1" si="5"/>
        <v>21427.21034246606</v>
      </c>
      <c r="S37" s="4">
        <f t="shared" ca="1" si="5"/>
        <v>23132.507722965172</v>
      </c>
      <c r="T37" s="4">
        <f t="shared" ca="1" si="5"/>
        <v>24789.420768316239</v>
      </c>
      <c r="U37" s="4">
        <f t="shared" ca="1" si="5"/>
        <v>26387.454307725748</v>
      </c>
      <c r="V37" s="4">
        <f t="shared" ca="1" si="5"/>
        <v>27918.399046521321</v>
      </c>
    </row>
    <row r="38" spans="2:22" x14ac:dyDescent="0.25">
      <c r="B38" s="41" t="s">
        <v>278</v>
      </c>
      <c r="F38" s="43">
        <f t="shared" ref="F38:L38" si="6">F37/F31</f>
        <v>0.13045397984987758</v>
      </c>
      <c r="G38" s="43">
        <f t="shared" si="6"/>
        <v>0.26377887100808806</v>
      </c>
      <c r="H38" s="43">
        <f t="shared" si="6"/>
        <v>0.12347341679165008</v>
      </c>
      <c r="I38" s="43">
        <f t="shared" si="6"/>
        <v>0.16927256004962249</v>
      </c>
      <c r="J38" s="43">
        <f t="shared" si="6"/>
        <v>0.1941334991708126</v>
      </c>
      <c r="K38" s="43">
        <f t="shared" si="6"/>
        <v>0.1781780068875532</v>
      </c>
      <c r="L38" s="43">
        <f t="shared" si="6"/>
        <v>0.11967425771115595</v>
      </c>
      <c r="M38" s="43">
        <v>0.15</v>
      </c>
      <c r="N38" s="43">
        <v>0.15</v>
      </c>
      <c r="O38" s="43">
        <v>0.15</v>
      </c>
      <c r="P38" s="43">
        <v>0.15</v>
      </c>
      <c r="Q38" s="43">
        <v>0.15</v>
      </c>
      <c r="R38" s="43">
        <v>0.15</v>
      </c>
      <c r="S38" s="43">
        <v>0.15</v>
      </c>
      <c r="T38" s="43">
        <v>0.15</v>
      </c>
      <c r="U38" s="43">
        <v>0.15</v>
      </c>
      <c r="V38" s="43">
        <v>0.15</v>
      </c>
    </row>
    <row r="39" spans="2:22" x14ac:dyDescent="0.25">
      <c r="B39" s="41"/>
    </row>
    <row r="40" spans="2:22" x14ac:dyDescent="0.25">
      <c r="B40" s="45" t="s">
        <v>279</v>
      </c>
      <c r="C40" s="46"/>
      <c r="D40" s="46"/>
      <c r="E40" s="46"/>
      <c r="F40" s="47">
        <f t="shared" ref="F40:V40" si="7">F31-F37</f>
        <v>21663</v>
      </c>
      <c r="G40" s="47">
        <f t="shared" si="7"/>
        <v>17659</v>
      </c>
      <c r="H40" s="47">
        <f t="shared" si="7"/>
        <v>28637</v>
      </c>
      <c r="I40" s="47">
        <f t="shared" si="7"/>
        <v>38839</v>
      </c>
      <c r="J40" s="47">
        <f t="shared" si="7"/>
        <v>23325</v>
      </c>
      <c r="K40" s="47">
        <f t="shared" si="7"/>
        <v>38421</v>
      </c>
      <c r="L40" s="47">
        <f t="shared" si="7"/>
        <v>61077</v>
      </c>
      <c r="M40" s="47">
        <f t="shared" ca="1" si="7"/>
        <v>67173.119999999995</v>
      </c>
      <c r="N40" s="47">
        <f t="shared" ca="1" si="7"/>
        <v>77134.100000000006</v>
      </c>
      <c r="O40" s="47">
        <f t="shared" ca="1" si="7"/>
        <v>87508.080862244897</v>
      </c>
      <c r="P40" s="47">
        <f t="shared" ca="1" si="7"/>
        <v>99318.66070325044</v>
      </c>
      <c r="Q40" s="47">
        <f t="shared" ca="1" si="7"/>
        <v>111556.12414422311</v>
      </c>
      <c r="R40" s="47">
        <f t="shared" ca="1" si="7"/>
        <v>121420.85860730767</v>
      </c>
      <c r="S40" s="47">
        <f t="shared" ca="1" si="7"/>
        <v>131084.21043013598</v>
      </c>
      <c r="T40" s="47">
        <f t="shared" ca="1" si="7"/>
        <v>140473.384353792</v>
      </c>
      <c r="U40" s="47">
        <f t="shared" ca="1" si="7"/>
        <v>149528.90774377924</v>
      </c>
      <c r="V40" s="48">
        <f t="shared" ca="1" si="7"/>
        <v>158204.26126362084</v>
      </c>
    </row>
    <row r="42" spans="2:22" x14ac:dyDescent="0.25">
      <c r="B42" t="s">
        <v>280</v>
      </c>
      <c r="F42" s="4">
        <f>+Model!L59+Model!L60</f>
        <v>8467</v>
      </c>
      <c r="G42" s="4">
        <f>+Model!M59+Model!M60</f>
        <v>10577</v>
      </c>
      <c r="H42" s="4">
        <f>+Model!N59+Model!N60</f>
        <v>13398</v>
      </c>
      <c r="I42" s="4">
        <f>+Model!O59+Model!O60</f>
        <v>17131</v>
      </c>
      <c r="J42" s="4">
        <f>+Model!P59+Model!P60</f>
        <v>20678</v>
      </c>
      <c r="K42" s="4">
        <f>+Model!Q59+Model!Q60</f>
        <v>25205</v>
      </c>
      <c r="L42" s="4">
        <f>+Model!R59+Model!R60</f>
        <v>32188</v>
      </c>
      <c r="M42" s="4">
        <f ca="1">M43*M25</f>
        <v>35750.400000000001</v>
      </c>
      <c r="N42" s="4">
        <f t="shared" ref="N42:V42" ca="1" si="8">N43*N25</f>
        <v>40568.800000000003</v>
      </c>
      <c r="O42" s="4">
        <f t="shared" ca="1" si="8"/>
        <v>45489.836836734692</v>
      </c>
      <c r="P42" s="4">
        <f t="shared" ca="1" si="8"/>
        <v>50456.004100581777</v>
      </c>
      <c r="Q42" s="4">
        <f t="shared" ca="1" si="8"/>
        <v>55413.499574908201</v>
      </c>
      <c r="R42" s="4">
        <f t="shared" ca="1" si="8"/>
        <v>60313.629112126684</v>
      </c>
      <c r="S42" s="4">
        <f t="shared" ca="1" si="8"/>
        <v>65113.725442420488</v>
      </c>
      <c r="T42" s="4">
        <f t="shared" ca="1" si="8"/>
        <v>69777.628829334586</v>
      </c>
      <c r="U42" s="4">
        <f t="shared" ca="1" si="8"/>
        <v>74275.797310635433</v>
      </c>
      <c r="V42" s="4">
        <f t="shared" ca="1" si="8"/>
        <v>78585.123242060028</v>
      </c>
    </row>
    <row r="43" spans="2:22" x14ac:dyDescent="0.25">
      <c r="B43" s="40" t="s">
        <v>276</v>
      </c>
      <c r="C43" s="42"/>
      <c r="D43" s="42"/>
      <c r="E43" s="42"/>
      <c r="F43" s="49">
        <f>F42/F25</f>
        <v>0.15163508721659086</v>
      </c>
      <c r="G43" s="49">
        <f>G42/G25</f>
        <v>0.14961030878255088</v>
      </c>
      <c r="H43" s="49">
        <f t="shared" ref="H43:L43" si="9">H42/H25</f>
        <v>0.15585412667946258</v>
      </c>
      <c r="I43" s="49">
        <f t="shared" si="9"/>
        <v>0.1452653715371113</v>
      </c>
      <c r="J43" s="49">
        <f t="shared" si="9"/>
        <v>0.17732765052440205</v>
      </c>
      <c r="K43" s="49">
        <f t="shared" si="9"/>
        <v>0.18683933522112348</v>
      </c>
      <c r="L43" s="49">
        <f t="shared" si="9"/>
        <v>0.19567054303621254</v>
      </c>
      <c r="M43" s="50">
        <v>0.19</v>
      </c>
      <c r="N43" s="50">
        <v>0.19</v>
      </c>
      <c r="O43" s="50">
        <v>0.19</v>
      </c>
      <c r="P43" s="50">
        <v>0.19</v>
      </c>
      <c r="Q43" s="50">
        <v>0.19</v>
      </c>
      <c r="R43" s="50">
        <v>0.19</v>
      </c>
      <c r="S43" s="50">
        <v>0.19</v>
      </c>
      <c r="T43" s="50">
        <v>0.19</v>
      </c>
      <c r="U43" s="50">
        <v>0.19</v>
      </c>
      <c r="V43" s="50">
        <v>0.19</v>
      </c>
    </row>
    <row r="45" spans="2:22" x14ac:dyDescent="0.25">
      <c r="B45" t="s">
        <v>95</v>
      </c>
      <c r="F45" s="4">
        <f>+Model!L73</f>
        <v>-13915</v>
      </c>
      <c r="G45" s="4">
        <f>+Model!M73</f>
        <v>-15102</v>
      </c>
      <c r="H45" s="4">
        <f>+Model!N73</f>
        <v>-15115</v>
      </c>
      <c r="I45" s="4">
        <f>+Model!O73</f>
        <v>-18567</v>
      </c>
      <c r="J45" s="4">
        <f>+Model!P73</f>
        <v>-31186</v>
      </c>
      <c r="K45" s="4">
        <f>+Model!Q73</f>
        <v>-27045</v>
      </c>
      <c r="L45" s="4">
        <f>+Model!R73</f>
        <v>-37256</v>
      </c>
      <c r="M45" s="4">
        <f ca="1">M46*M25</f>
        <v>-43276.800000000003</v>
      </c>
      <c r="N45" s="4">
        <f t="shared" ref="N45:V45" ca="1" si="10">N46*N25</f>
        <v>-49109.599999999999</v>
      </c>
      <c r="O45" s="4">
        <f t="shared" ca="1" si="10"/>
        <v>-55066.644591836732</v>
      </c>
      <c r="P45" s="4">
        <f t="shared" ca="1" si="10"/>
        <v>-61078.320753335836</v>
      </c>
      <c r="Q45" s="4">
        <f t="shared" ca="1" si="10"/>
        <v>-67079.499485415203</v>
      </c>
      <c r="R45" s="4">
        <f t="shared" ca="1" si="10"/>
        <v>-73011.235240995462</v>
      </c>
      <c r="S45" s="4">
        <f t="shared" ca="1" si="10"/>
        <v>-78821.878167140589</v>
      </c>
      <c r="T45" s="4">
        <f t="shared" ca="1" si="10"/>
        <v>-84467.655951299777</v>
      </c>
      <c r="U45" s="4">
        <f t="shared" ca="1" si="10"/>
        <v>-89912.807270769219</v>
      </c>
      <c r="V45" s="4">
        <f t="shared" ca="1" si="10"/>
        <v>-95129.359714072663</v>
      </c>
    </row>
    <row r="46" spans="2:22" x14ac:dyDescent="0.25">
      <c r="B46" s="40" t="s">
        <v>276</v>
      </c>
      <c r="F46" s="49">
        <f>F45/F25</f>
        <v>-0.24920305168523227</v>
      </c>
      <c r="G46" s="49">
        <f>G45/G25</f>
        <v>-0.21361585357228738</v>
      </c>
      <c r="H46" s="49">
        <f t="shared" ref="H46:L46" si="11">H45/H25</f>
        <v>-0.17582737160472287</v>
      </c>
      <c r="I46" s="49">
        <f t="shared" si="11"/>
        <v>-0.15744218979216307</v>
      </c>
      <c r="J46" s="49">
        <f t="shared" si="11"/>
        <v>-0.26744076357742541</v>
      </c>
      <c r="K46" s="49">
        <f t="shared" si="11"/>
        <v>-0.20047886613986449</v>
      </c>
      <c r="L46" s="49">
        <f t="shared" si="11"/>
        <v>-0.22647886638986997</v>
      </c>
      <c r="M46" s="50">
        <v>-0.23</v>
      </c>
      <c r="N46" s="50">
        <v>-0.23</v>
      </c>
      <c r="O46" s="50">
        <v>-0.23</v>
      </c>
      <c r="P46" s="50">
        <v>-0.23</v>
      </c>
      <c r="Q46" s="50">
        <v>-0.23</v>
      </c>
      <c r="R46" s="50">
        <v>-0.23</v>
      </c>
      <c r="S46" s="50">
        <v>-0.23</v>
      </c>
      <c r="T46" s="50">
        <v>-0.23</v>
      </c>
      <c r="U46" s="50">
        <v>-0.23</v>
      </c>
      <c r="V46" s="50">
        <v>-0.23</v>
      </c>
    </row>
    <row r="48" spans="2:22" x14ac:dyDescent="0.25">
      <c r="B48" t="s">
        <v>92</v>
      </c>
      <c r="F48" s="4">
        <f>+Model!L71</f>
        <v>-1527</v>
      </c>
      <c r="G48" s="4">
        <f>+Model!M71</f>
        <v>7250</v>
      </c>
      <c r="H48" s="4">
        <f>+Model!N71</f>
        <v>-2723</v>
      </c>
      <c r="I48" s="4">
        <f>+Model!O71</f>
        <v>700</v>
      </c>
      <c r="J48" s="4">
        <f>+Model!P71</f>
        <v>5683</v>
      </c>
      <c r="K48" s="4">
        <f>+Model!Q71</f>
        <v>3836</v>
      </c>
      <c r="L48" s="4">
        <f>+Model!R71</f>
        <v>1048</v>
      </c>
      <c r="M48" s="4">
        <f ca="1">M49*M25</f>
        <v>1881.6000000000001</v>
      </c>
      <c r="N48" s="4">
        <f t="shared" ref="N48:V48" ca="1" si="12">N49*N25</f>
        <v>2135.1999999999998</v>
      </c>
      <c r="O48" s="4">
        <f t="shared" ca="1" si="12"/>
        <v>2394.2019387755099</v>
      </c>
      <c r="P48" s="4">
        <f t="shared" ca="1" si="12"/>
        <v>2655.5791631885145</v>
      </c>
      <c r="Q48" s="4">
        <f t="shared" ca="1" si="12"/>
        <v>2916.4999776267478</v>
      </c>
      <c r="R48" s="4">
        <f t="shared" ca="1" si="12"/>
        <v>3174.401532217194</v>
      </c>
      <c r="S48" s="4">
        <f t="shared" ca="1" si="12"/>
        <v>3427.0381811800257</v>
      </c>
      <c r="T48" s="4">
        <f t="shared" ca="1" si="12"/>
        <v>3672.5067804912942</v>
      </c>
      <c r="U48" s="4">
        <f t="shared" ca="1" si="12"/>
        <v>3909.2524900334438</v>
      </c>
      <c r="V48" s="4">
        <f t="shared" ca="1" si="12"/>
        <v>4136.0591180031588</v>
      </c>
    </row>
    <row r="49" spans="2:24" x14ac:dyDescent="0.25">
      <c r="B49" s="40" t="s">
        <v>276</v>
      </c>
      <c r="F49" s="49">
        <f>F48/F25</f>
        <v>-2.7346968014613705E-2</v>
      </c>
      <c r="G49" s="49">
        <f>G48/G25</f>
        <v>0.10255032038134575</v>
      </c>
      <c r="H49" s="49">
        <f t="shared" ref="H49:L49" si="13">H48/H25</f>
        <v>-3.167568196358983E-2</v>
      </c>
      <c r="I49" s="49">
        <f t="shared" si="13"/>
        <v>5.9357749154152076E-3</v>
      </c>
      <c r="J49" s="49">
        <f t="shared" si="13"/>
        <v>4.8735517841676027E-2</v>
      </c>
      <c r="K49" s="49">
        <f t="shared" si="13"/>
        <v>2.8435456850157893E-2</v>
      </c>
      <c r="L49" s="49">
        <f t="shared" si="13"/>
        <v>6.3707819405353161E-3</v>
      </c>
      <c r="M49" s="50">
        <v>0.01</v>
      </c>
      <c r="N49" s="50">
        <v>0.01</v>
      </c>
      <c r="O49" s="50">
        <v>0.01</v>
      </c>
      <c r="P49" s="50">
        <v>0.01</v>
      </c>
      <c r="Q49" s="50">
        <v>0.01</v>
      </c>
      <c r="R49" s="50">
        <v>0.01</v>
      </c>
      <c r="S49" s="50">
        <v>0.01</v>
      </c>
      <c r="T49" s="50">
        <v>0.01</v>
      </c>
      <c r="U49" s="50">
        <v>0.01</v>
      </c>
      <c r="V49" s="50">
        <v>0.01</v>
      </c>
    </row>
    <row r="51" spans="2:24" x14ac:dyDescent="0.25">
      <c r="B51" s="51" t="s">
        <v>281</v>
      </c>
      <c r="C51" s="52"/>
      <c r="D51" s="52"/>
      <c r="E51" s="52"/>
      <c r="F51" s="53">
        <f>F40+F42+F45+F48</f>
        <v>14688</v>
      </c>
      <c r="G51" s="53">
        <f>G40+G42+G45+G48</f>
        <v>20384</v>
      </c>
      <c r="H51" s="53">
        <f t="shared" ref="H51:U51" si="14">H40+H42+H45+H48</f>
        <v>24197</v>
      </c>
      <c r="I51" s="53">
        <f t="shared" si="14"/>
        <v>38103</v>
      </c>
      <c r="J51" s="53">
        <f t="shared" si="14"/>
        <v>18500</v>
      </c>
      <c r="K51" s="53">
        <f t="shared" si="14"/>
        <v>40417</v>
      </c>
      <c r="L51" s="53">
        <f t="shared" si="14"/>
        <v>57057</v>
      </c>
      <c r="M51" s="53">
        <f ca="1">M40+M42+M45+M48</f>
        <v>61528.319999999985</v>
      </c>
      <c r="N51" s="53">
        <f t="shared" ca="1" si="14"/>
        <v>70728.500000000015</v>
      </c>
      <c r="O51" s="53">
        <f t="shared" ca="1" si="14"/>
        <v>80325.475045918371</v>
      </c>
      <c r="P51" s="53">
        <f t="shared" ca="1" si="14"/>
        <v>91351.923213684888</v>
      </c>
      <c r="Q51" s="53">
        <f t="shared" ca="1" si="14"/>
        <v>102806.62421134286</v>
      </c>
      <c r="R51" s="53">
        <f t="shared" ca="1" si="14"/>
        <v>111897.6540106561</v>
      </c>
      <c r="S51" s="53">
        <f t="shared" ca="1" si="14"/>
        <v>120803.09588659591</v>
      </c>
      <c r="T51" s="53">
        <f t="shared" ca="1" si="14"/>
        <v>129455.8640123181</v>
      </c>
      <c r="U51" s="53">
        <f t="shared" ca="1" si="14"/>
        <v>137801.15027367894</v>
      </c>
      <c r="V51" s="54">
        <f ca="1">V40+V42+V45+V48</f>
        <v>145796.08390961136</v>
      </c>
    </row>
    <row r="52" spans="2:24" x14ac:dyDescent="0.25">
      <c r="B52" s="55" t="s">
        <v>282</v>
      </c>
      <c r="C52" s="56"/>
      <c r="D52" s="56"/>
      <c r="E52" s="56"/>
      <c r="F52" s="56"/>
      <c r="G52" s="57"/>
      <c r="H52" s="57"/>
      <c r="I52" s="57"/>
      <c r="J52" s="57"/>
      <c r="K52" s="57"/>
      <c r="L52" s="57"/>
      <c r="M52" s="57">
        <f ca="1">(M51/(1+$E$18)^M53)*M53</f>
        <v>38943.839564397938</v>
      </c>
      <c r="N52" s="57">
        <f ca="1">N51/(1+$E$18)^N53</f>
        <v>60292.278989457547</v>
      </c>
      <c r="O52" s="57">
        <f t="shared" ref="O52:U52" ca="1" si="15">O51/(1+$E$18)^O53</f>
        <v>62248.353678043117</v>
      </c>
      <c r="P52" s="57">
        <f t="shared" ca="1" si="15"/>
        <v>64357.560991410588</v>
      </c>
      <c r="Q52" s="57">
        <f t="shared" ca="1" si="15"/>
        <v>65843.103892204992</v>
      </c>
      <c r="R52" s="57">
        <f t="shared" ca="1" si="15"/>
        <v>65150.46100860057</v>
      </c>
      <c r="S52" s="57">
        <f t="shared" ca="1" si="15"/>
        <v>63941.363186369636</v>
      </c>
      <c r="T52" s="57">
        <f t="shared" ca="1" si="15"/>
        <v>62292.085214193998</v>
      </c>
      <c r="U52" s="57">
        <f t="shared" ca="1" si="15"/>
        <v>60279.730090763005</v>
      </c>
      <c r="V52" s="58">
        <f ca="1">V51/(1+$E$18)^V53</f>
        <v>57979.121423133496</v>
      </c>
    </row>
    <row r="53" spans="2:24" x14ac:dyDescent="0.25">
      <c r="B53" t="s">
        <v>283</v>
      </c>
      <c r="M53" s="9">
        <f ca="1">YEARFRAC(E4,E5)</f>
        <v>0.67500000000000004</v>
      </c>
      <c r="N53" s="9">
        <f ca="1">M53+1</f>
        <v>1.675</v>
      </c>
      <c r="O53" s="9">
        <f ca="1">N53+1</f>
        <v>2.6749999999999998</v>
      </c>
      <c r="P53" s="9">
        <f t="shared" ref="P53:V53" ca="1" si="16">O53+1</f>
        <v>3.6749999999999998</v>
      </c>
      <c r="Q53" s="9">
        <f t="shared" ca="1" si="16"/>
        <v>4.6749999999999998</v>
      </c>
      <c r="R53" s="9">
        <f t="shared" ca="1" si="16"/>
        <v>5.6749999999999998</v>
      </c>
      <c r="S53" s="9">
        <f t="shared" ca="1" si="16"/>
        <v>6.6749999999999998</v>
      </c>
      <c r="T53" s="9">
        <f t="shared" ca="1" si="16"/>
        <v>7.6749999999999998</v>
      </c>
      <c r="U53" s="9">
        <f t="shared" ca="1" si="16"/>
        <v>8.6750000000000007</v>
      </c>
      <c r="V53" s="9">
        <f t="shared" ca="1" si="16"/>
        <v>9.6750000000000007</v>
      </c>
    </row>
    <row r="54" spans="2:24" x14ac:dyDescent="0.25">
      <c r="B54" t="s">
        <v>284</v>
      </c>
      <c r="N54" s="25"/>
      <c r="O54" s="25"/>
      <c r="P54" s="25"/>
      <c r="Q54" s="25"/>
      <c r="V54" s="4">
        <f ca="1">SUM(M52:V52)</f>
        <v>601327.89803857496</v>
      </c>
    </row>
    <row r="55" spans="2:24" x14ac:dyDescent="0.25">
      <c r="B55" t="s">
        <v>285</v>
      </c>
      <c r="N55" s="25"/>
      <c r="O55" s="25"/>
      <c r="P55" s="25"/>
      <c r="Q55" s="25"/>
      <c r="V55" s="4">
        <f ca="1">+(V40*(1+E19))*(1-(E19/E20))/(E18-E19)</f>
        <v>1862290.1611603366</v>
      </c>
      <c r="X55" s="16" t="s">
        <v>286</v>
      </c>
    </row>
    <row r="56" spans="2:24" x14ac:dyDescent="0.25">
      <c r="B56" s="28" t="s">
        <v>287</v>
      </c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59"/>
      <c r="O56" s="59"/>
      <c r="P56" s="59"/>
      <c r="Q56" s="59"/>
      <c r="R56" s="59"/>
      <c r="S56" s="59"/>
      <c r="T56" s="59"/>
      <c r="U56" s="59"/>
      <c r="V56" s="60">
        <f ca="1">V55/(1+E18)^V53</f>
        <v>740581.94488928933</v>
      </c>
    </row>
    <row r="57" spans="2:24" x14ac:dyDescent="0.25">
      <c r="B57" s="18" t="s">
        <v>288</v>
      </c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61"/>
      <c r="O57" s="61"/>
      <c r="P57" s="61"/>
      <c r="Q57" s="61"/>
      <c r="R57" s="61"/>
      <c r="S57" s="61"/>
      <c r="T57" s="61"/>
      <c r="U57" s="61"/>
      <c r="V57" s="62">
        <f ca="1">V54+V56</f>
        <v>1341909.8429278643</v>
      </c>
    </row>
    <row r="58" spans="2:24" x14ac:dyDescent="0.25">
      <c r="B58" t="s">
        <v>289</v>
      </c>
      <c r="N58" s="25"/>
      <c r="O58" s="25"/>
      <c r="P58" s="25"/>
      <c r="Q58" s="25"/>
      <c r="V58" s="63">
        <f>+Main!I5</f>
        <v>77815</v>
      </c>
    </row>
    <row r="59" spans="2:24" x14ac:dyDescent="0.25">
      <c r="B59" s="28" t="s">
        <v>290</v>
      </c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59"/>
      <c r="O59" s="59"/>
      <c r="P59" s="59"/>
      <c r="Q59" s="59"/>
      <c r="R59" s="59"/>
      <c r="S59" s="59"/>
      <c r="T59" s="59"/>
      <c r="U59" s="59"/>
      <c r="V59" s="60">
        <f>+Main!I6</f>
        <v>28826</v>
      </c>
    </row>
    <row r="60" spans="2:24" x14ac:dyDescent="0.25">
      <c r="B60" t="s">
        <v>291</v>
      </c>
      <c r="N60" s="25"/>
      <c r="O60" s="25"/>
      <c r="P60" s="25"/>
      <c r="Q60" s="25"/>
      <c r="V60" s="63">
        <f ca="1">V57+V58-V59</f>
        <v>1390898.8429278643</v>
      </c>
    </row>
    <row r="61" spans="2:24" x14ac:dyDescent="0.25">
      <c r="B61" s="28" t="s">
        <v>292</v>
      </c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59"/>
      <c r="O61" s="59"/>
      <c r="P61" s="59"/>
      <c r="Q61" s="59"/>
      <c r="R61" s="59"/>
      <c r="S61" s="59"/>
      <c r="T61" s="59"/>
      <c r="U61" s="59"/>
      <c r="V61" s="60">
        <f>+Main!I3</f>
        <v>2533.6592650000002</v>
      </c>
    </row>
    <row r="62" spans="2:24" x14ac:dyDescent="0.25">
      <c r="B62" t="s">
        <v>249</v>
      </c>
      <c r="V62" s="63">
        <f ca="1">V60/V61</f>
        <v>548.96838818927142</v>
      </c>
    </row>
    <row r="66" spans="1:22" x14ac:dyDescent="0.25">
      <c r="A66" s="35" t="s">
        <v>2</v>
      </c>
      <c r="B66" s="14" t="s">
        <v>293</v>
      </c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</row>
    <row r="68" spans="1:22" x14ac:dyDescent="0.25">
      <c r="B68" s="64"/>
      <c r="C68" s="72" t="s">
        <v>266</v>
      </c>
      <c r="D68" s="72"/>
      <c r="E68" s="72"/>
      <c r="F68" s="72"/>
      <c r="G68" s="72"/>
      <c r="H68" s="72"/>
      <c r="I68" s="72"/>
      <c r="J68" s="73"/>
      <c r="M68" s="64"/>
      <c r="N68" s="74" t="s">
        <v>294</v>
      </c>
      <c r="O68" s="74"/>
      <c r="P68" s="74"/>
      <c r="Q68" s="74"/>
      <c r="R68" s="74"/>
      <c r="S68" s="74"/>
      <c r="T68" s="74"/>
      <c r="U68" s="75"/>
    </row>
    <row r="69" spans="1:22" x14ac:dyDescent="0.25">
      <c r="B69" s="76" t="s">
        <v>156</v>
      </c>
      <c r="C69" s="65">
        <f ca="1">+J4</f>
        <v>548.96838818927142</v>
      </c>
      <c r="D69" s="66"/>
      <c r="E69" s="66"/>
      <c r="F69" s="66"/>
      <c r="G69" s="66"/>
      <c r="H69" s="66"/>
      <c r="I69" s="66"/>
      <c r="J69" s="66"/>
      <c r="M69" s="76" t="s">
        <v>156</v>
      </c>
      <c r="N69" s="65">
        <f ca="1">+J4</f>
        <v>548.96838818927142</v>
      </c>
      <c r="O69" s="66"/>
      <c r="P69" s="66"/>
      <c r="Q69" s="66"/>
      <c r="R69" s="66"/>
      <c r="S69" s="66"/>
      <c r="T69" s="66"/>
      <c r="U69" s="66"/>
    </row>
    <row r="70" spans="1:22" x14ac:dyDescent="0.25">
      <c r="B70" s="76"/>
      <c r="C70" s="67"/>
      <c r="D70" s="68"/>
      <c r="E70" s="68"/>
      <c r="F70" s="68"/>
      <c r="G70" s="69"/>
      <c r="H70" s="68"/>
      <c r="I70" s="68"/>
      <c r="J70" s="68"/>
      <c r="M70" s="76"/>
      <c r="N70" s="67"/>
      <c r="O70" s="68"/>
      <c r="P70" s="68"/>
      <c r="Q70" s="68"/>
      <c r="R70" s="69"/>
      <c r="S70" s="68"/>
      <c r="T70" s="68"/>
      <c r="U70" s="68"/>
    </row>
    <row r="71" spans="1:22" x14ac:dyDescent="0.25">
      <c r="B71" s="76"/>
      <c r="C71" s="67"/>
      <c r="D71" s="68"/>
      <c r="E71" s="68"/>
      <c r="F71" s="68"/>
      <c r="G71" s="69"/>
      <c r="H71" s="68"/>
      <c r="I71" s="68"/>
      <c r="J71" s="68"/>
      <c r="M71" s="76"/>
      <c r="N71" s="67"/>
      <c r="O71" s="68"/>
      <c r="P71" s="68"/>
      <c r="Q71" s="68"/>
      <c r="R71" s="69"/>
      <c r="S71" s="68"/>
      <c r="T71" s="68"/>
      <c r="U71" s="68"/>
    </row>
    <row r="72" spans="1:22" x14ac:dyDescent="0.25">
      <c r="B72" s="76"/>
      <c r="C72" s="67"/>
      <c r="D72" s="69"/>
      <c r="E72" s="69"/>
      <c r="F72" s="69"/>
      <c r="G72" s="69"/>
      <c r="H72" s="69"/>
      <c r="I72" s="69"/>
      <c r="J72" s="69"/>
      <c r="M72" s="76"/>
      <c r="N72" s="67"/>
      <c r="O72" s="69"/>
      <c r="P72" s="69"/>
      <c r="Q72" s="69"/>
      <c r="R72" s="69"/>
      <c r="S72" s="69"/>
      <c r="T72" s="69"/>
      <c r="U72" s="69"/>
    </row>
    <row r="73" spans="1:22" x14ac:dyDescent="0.25">
      <c r="B73" s="76"/>
      <c r="C73" s="67"/>
      <c r="D73" s="68"/>
      <c r="E73" s="68"/>
      <c r="F73" s="68"/>
      <c r="G73" s="69"/>
      <c r="H73" s="68"/>
      <c r="I73" s="68"/>
      <c r="J73" s="68"/>
      <c r="M73" s="76"/>
      <c r="N73" s="67"/>
      <c r="O73" s="68"/>
      <c r="P73" s="68"/>
      <c r="Q73" s="68"/>
      <c r="R73" s="69"/>
      <c r="S73" s="68"/>
      <c r="T73" s="68"/>
      <c r="U73" s="68"/>
    </row>
    <row r="74" spans="1:22" x14ac:dyDescent="0.25">
      <c r="B74" s="76"/>
      <c r="C74" s="67"/>
      <c r="D74" s="68"/>
      <c r="E74" s="68"/>
      <c r="F74" s="68"/>
      <c r="G74" s="69"/>
      <c r="H74" s="68"/>
      <c r="I74" s="68"/>
      <c r="J74" s="68"/>
      <c r="M74" s="76"/>
      <c r="N74" s="67"/>
      <c r="O74" s="68"/>
      <c r="P74" s="68"/>
      <c r="Q74" s="68"/>
      <c r="R74" s="69"/>
      <c r="S74" s="68"/>
      <c r="T74" s="68"/>
      <c r="U74" s="68"/>
    </row>
    <row r="75" spans="1:22" x14ac:dyDescent="0.25">
      <c r="B75" s="76"/>
      <c r="C75" s="67"/>
      <c r="D75" s="68"/>
      <c r="E75" s="68"/>
      <c r="F75" s="68"/>
      <c r="G75" s="69"/>
      <c r="H75" s="68"/>
      <c r="I75" s="68"/>
      <c r="J75" s="68"/>
      <c r="M75" s="76"/>
      <c r="N75" s="67"/>
      <c r="O75" s="68"/>
      <c r="P75" s="68"/>
      <c r="Q75" s="68"/>
      <c r="R75" s="69"/>
      <c r="S75" s="68"/>
      <c r="T75" s="68"/>
      <c r="U75" s="68"/>
    </row>
    <row r="76" spans="1:22" x14ac:dyDescent="0.25">
      <c r="B76" s="77"/>
      <c r="C76" s="67"/>
      <c r="D76" s="68"/>
      <c r="E76" s="68"/>
      <c r="F76" s="68"/>
      <c r="G76" s="69"/>
      <c r="H76" s="68"/>
      <c r="I76" s="68"/>
      <c r="J76" s="68"/>
      <c r="M76" s="77"/>
      <c r="N76" s="67"/>
      <c r="O76" s="68"/>
      <c r="P76" s="68"/>
      <c r="Q76" s="68"/>
      <c r="R76" s="69"/>
      <c r="S76" s="68"/>
      <c r="T76" s="68"/>
      <c r="U76" s="68"/>
    </row>
  </sheetData>
  <mergeCells count="4">
    <mergeCell ref="C68:J68"/>
    <mergeCell ref="N68:U68"/>
    <mergeCell ref="B69:B76"/>
    <mergeCell ref="M69:M76"/>
  </mergeCells>
  <conditionalFormatting sqref="D70:J76">
    <cfRule type="cellIs" dxfId="3" priority="3" operator="lessThan">
      <formula>$J$3</formula>
    </cfRule>
    <cfRule type="cellIs" dxfId="2" priority="4" operator="greaterThan">
      <formula>$J$3</formula>
    </cfRule>
  </conditionalFormatting>
  <conditionalFormatting sqref="O70:U76">
    <cfRule type="cellIs" dxfId="1" priority="1" operator="lessThan">
      <formula>$J$3</formula>
    </cfRule>
    <cfRule type="cellIs" dxfId="0" priority="2" operator="greaterThan">
      <formula>$J$3</formula>
    </cfRule>
  </conditionalFormatting>
  <dataValidations count="1">
    <dataValidation type="list" allowBlank="1" showInputMessage="1" showErrorMessage="1" sqref="E11:E15" xr:uid="{1B9ED51E-0982-40E1-9A0B-1A26D11C4C07}">
      <formula1>"1,2,3"</formula1>
    </dataValidation>
  </dataValidations>
  <hyperlinks>
    <hyperlink ref="A1" location="Main!A1" display="Main" xr:uid="{21AEC6B8-3F1F-425F-B61A-50CACC0788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Model</vt:lpstr>
      <vt:lpstr>KPIs</vt:lpstr>
      <vt:lpstr>Coc</vt:lpstr>
      <vt:lpstr>DCF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2024-09-27T08:32:50Z</dcterms:created>
  <dcterms:modified xsi:type="dcterms:W3CDTF">2025-04-28T11:32:05Z</dcterms:modified>
</cp:coreProperties>
</file>