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0BCAE169-DDFC-477D-BEAC-5F95323CAF01}" xr6:coauthVersionLast="47" xr6:coauthVersionMax="47" xr10:uidLastSave="{00000000-0000-0000-0000-000000000000}"/>
  <bookViews>
    <workbookView xWindow="225" yWindow="4680" windowWidth="38175" windowHeight="15240" xr2:uid="{B690896D-DF4D-4BA1-A25A-CD8C19559281}"/>
  </bookViews>
  <sheets>
    <sheet name="Main" sheetId="1" r:id="rId1"/>
    <sheet name="Model" sheetId="2" r:id="rId2"/>
    <sheet name="KPIs" sheetId="5" r:id="rId3"/>
    <sheet name="CoC" sheetId="4" r:id="rId4"/>
    <sheet name="DCF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1" i="3" l="1"/>
  <c r="V59" i="3"/>
  <c r="V58" i="3"/>
  <c r="P34" i="3"/>
  <c r="O34" i="3"/>
  <c r="N34" i="3"/>
  <c r="J3" i="3"/>
  <c r="O3" i="3" s="1"/>
  <c r="O28" i="3"/>
  <c r="O26" i="3" s="1" a="1"/>
  <c r="O26" i="3" s="1"/>
  <c r="N28" i="3"/>
  <c r="L48" i="3"/>
  <c r="K48" i="3"/>
  <c r="J48" i="3"/>
  <c r="J49" i="3" s="1"/>
  <c r="I48" i="3"/>
  <c r="I49" i="3" s="1"/>
  <c r="H48" i="3"/>
  <c r="G48" i="3"/>
  <c r="L45" i="3"/>
  <c r="K45" i="3"/>
  <c r="J45" i="3"/>
  <c r="I45" i="3"/>
  <c r="I46" i="3" s="1"/>
  <c r="H45" i="3"/>
  <c r="G45" i="3"/>
  <c r="H46" i="3"/>
  <c r="L42" i="3"/>
  <c r="K42" i="3"/>
  <c r="J42" i="3"/>
  <c r="I42" i="3"/>
  <c r="H42" i="3"/>
  <c r="G42" i="3"/>
  <c r="G43" i="3"/>
  <c r="L37" i="3"/>
  <c r="L38" i="3" s="1"/>
  <c r="K37" i="3"/>
  <c r="K40" i="3" s="1"/>
  <c r="K51" i="3" s="1"/>
  <c r="J37" i="3"/>
  <c r="I37" i="3"/>
  <c r="H37" i="3"/>
  <c r="G37" i="3"/>
  <c r="L31" i="3"/>
  <c r="K31" i="3"/>
  <c r="J31" i="3"/>
  <c r="I31" i="3"/>
  <c r="H31" i="3"/>
  <c r="G31" i="3"/>
  <c r="L25" i="3"/>
  <c r="K25" i="3"/>
  <c r="J25" i="3"/>
  <c r="I25" i="3"/>
  <c r="H25" i="3"/>
  <c r="G25" i="3"/>
  <c r="D2" i="5"/>
  <c r="E2" i="5" s="1"/>
  <c r="F2" i="5" s="1"/>
  <c r="G2" i="5" s="1"/>
  <c r="H2" i="5" s="1"/>
  <c r="I2" i="5" s="1"/>
  <c r="J2" i="5" s="1"/>
  <c r="I47" i="4"/>
  <c r="F41" i="4"/>
  <c r="F37" i="4"/>
  <c r="F32" i="4"/>
  <c r="F22" i="4"/>
  <c r="F20" i="4"/>
  <c r="F8" i="4"/>
  <c r="L49" i="3"/>
  <c r="K49" i="3"/>
  <c r="G49" i="3"/>
  <c r="L46" i="3"/>
  <c r="K46" i="3"/>
  <c r="J46" i="3"/>
  <c r="L43" i="3"/>
  <c r="K43" i="3"/>
  <c r="J43" i="3"/>
  <c r="I43" i="3"/>
  <c r="H43" i="3"/>
  <c r="J40" i="3"/>
  <c r="I40" i="3"/>
  <c r="H40" i="3"/>
  <c r="G40" i="3"/>
  <c r="J38" i="3"/>
  <c r="I38" i="3"/>
  <c r="H38" i="3"/>
  <c r="G38" i="3"/>
  <c r="P32" i="3" a="1"/>
  <c r="P32" i="3" s="1"/>
  <c r="O32" i="3" a="1"/>
  <c r="O32" i="3" s="1"/>
  <c r="N32" i="3" a="1"/>
  <c r="N32" i="3" s="1"/>
  <c r="M32" i="3" a="1"/>
  <c r="M32" i="3" s="1"/>
  <c r="K32" i="3"/>
  <c r="J32" i="3"/>
  <c r="I32" i="3"/>
  <c r="H32" i="3"/>
  <c r="G32" i="3"/>
  <c r="N26" i="3" a="1"/>
  <c r="N26" i="3" s="1"/>
  <c r="M26" i="3" a="1"/>
  <c r="M26" i="3" s="1"/>
  <c r="M25" i="3" s="1"/>
  <c r="L26" i="3"/>
  <c r="K26" i="3"/>
  <c r="J26" i="3"/>
  <c r="I26" i="3"/>
  <c r="H26" i="3"/>
  <c r="H24" i="3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E20" i="3"/>
  <c r="E19" i="3"/>
  <c r="E18" i="3"/>
  <c r="O4" i="3"/>
  <c r="E4" i="3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O5" i="3" l="1"/>
  <c r="Q32" i="3" a="1"/>
  <c r="Q32" i="3" s="1"/>
  <c r="P28" i="3"/>
  <c r="H49" i="3"/>
  <c r="G46" i="3"/>
  <c r="J51" i="3"/>
  <c r="H51" i="3"/>
  <c r="I51" i="3"/>
  <c r="G51" i="3"/>
  <c r="K38" i="3"/>
  <c r="L40" i="3"/>
  <c r="L51" i="3" s="1"/>
  <c r="L32" i="3"/>
  <c r="M31" i="3"/>
  <c r="M37" i="3" s="1"/>
  <c r="M40" i="3" s="1"/>
  <c r="N25" i="3"/>
  <c r="M48" i="3"/>
  <c r="M42" i="3"/>
  <c r="M45" i="3"/>
  <c r="R32" i="3" l="1" a="1"/>
  <c r="R32" i="3" s="1"/>
  <c r="Q28" i="3"/>
  <c r="P26" i="3" a="1"/>
  <c r="P26" i="3" s="1"/>
  <c r="O25" i="3"/>
  <c r="N45" i="3"/>
  <c r="N48" i="3"/>
  <c r="N42" i="3"/>
  <c r="N31" i="3"/>
  <c r="M51" i="3"/>
  <c r="M52" i="3" s="1"/>
  <c r="S32" i="3" l="1" a="1"/>
  <c r="S32" i="3" s="1"/>
  <c r="Q26" i="3" a="1"/>
  <c r="Q26" i="3" s="1"/>
  <c r="R28" i="3"/>
  <c r="N37" i="3"/>
  <c r="N40" i="3" s="1"/>
  <c r="N51" i="3" s="1"/>
  <c r="N52" i="3" s="1"/>
  <c r="O42" i="3"/>
  <c r="P25" i="3"/>
  <c r="O45" i="3"/>
  <c r="O48" i="3"/>
  <c r="O31" i="3"/>
  <c r="T32" i="3" l="1" a="1"/>
  <c r="T32" i="3" s="1"/>
  <c r="S28" i="3"/>
  <c r="R26" i="3" a="1"/>
  <c r="R26" i="3" s="1"/>
  <c r="O37" i="3"/>
  <c r="O40" i="3" s="1"/>
  <c r="O51" i="3" s="1"/>
  <c r="O52" i="3" s="1"/>
  <c r="P45" i="3"/>
  <c r="Q25" i="3"/>
  <c r="P48" i="3"/>
  <c r="P42" i="3"/>
  <c r="P31" i="3"/>
  <c r="U32" i="3" l="1" a="1"/>
  <c r="U32" i="3" s="1"/>
  <c r="V32" i="3" a="1"/>
  <c r="V32" i="3" s="1"/>
  <c r="T28" i="3"/>
  <c r="S26" i="3" a="1"/>
  <c r="S26" i="3" s="1"/>
  <c r="P37" i="3"/>
  <c r="P40" i="3" s="1"/>
  <c r="P51" i="3" s="1"/>
  <c r="P52" i="3" s="1"/>
  <c r="Q48" i="3"/>
  <c r="R25" i="3"/>
  <c r="Q45" i="3"/>
  <c r="Q42" i="3"/>
  <c r="Q31" i="3"/>
  <c r="U28" i="3" l="1"/>
  <c r="T26" i="3" a="1"/>
  <c r="T26" i="3" s="1"/>
  <c r="Q37" i="3"/>
  <c r="Q40" i="3" s="1"/>
  <c r="Q51" i="3" s="1"/>
  <c r="Q52" i="3" s="1"/>
  <c r="R45" i="3"/>
  <c r="R48" i="3"/>
  <c r="R42" i="3"/>
  <c r="S25" i="3"/>
  <c r="R31" i="3"/>
  <c r="V28" i="3" l="1"/>
  <c r="V26" i="3" s="1" a="1"/>
  <c r="V26" i="3" s="1"/>
  <c r="U26" i="3" a="1"/>
  <c r="U26" i="3" s="1"/>
  <c r="R37" i="3"/>
  <c r="R40" i="3" s="1"/>
  <c r="R51" i="3" s="1"/>
  <c r="R52" i="3" s="1"/>
  <c r="S45" i="3"/>
  <c r="S48" i="3"/>
  <c r="T25" i="3"/>
  <c r="S42" i="3"/>
  <c r="S31" i="3"/>
  <c r="S37" i="3" l="1"/>
  <c r="S40" i="3" s="1"/>
  <c r="S51" i="3" s="1"/>
  <c r="S52" i="3" s="1"/>
  <c r="T42" i="3"/>
  <c r="T48" i="3"/>
  <c r="U25" i="3"/>
  <c r="T45" i="3"/>
  <c r="T31" i="3"/>
  <c r="T37" i="3" l="1"/>
  <c r="T40" i="3" s="1"/>
  <c r="T51" i="3" s="1"/>
  <c r="T52" i="3" s="1"/>
  <c r="U48" i="3"/>
  <c r="U42" i="3"/>
  <c r="V25" i="3"/>
  <c r="U45" i="3"/>
  <c r="U31" i="3"/>
  <c r="V48" i="3" l="1"/>
  <c r="V42" i="3"/>
  <c r="V45" i="3"/>
  <c r="V31" i="3"/>
  <c r="U37" i="3"/>
  <c r="U40" i="3" s="1"/>
  <c r="U51" i="3" s="1"/>
  <c r="U52" i="3" s="1"/>
  <c r="V37" i="3" l="1"/>
  <c r="V40" i="3" s="1"/>
  <c r="V51" i="3" l="1"/>
  <c r="V52" i="3" s="1"/>
  <c r="V54" i="3" s="1"/>
  <c r="V55" i="3"/>
  <c r="V56" i="3" s="1"/>
  <c r="V57" i="3" l="1"/>
  <c r="V60" i="3" s="1"/>
  <c r="V62" i="3" s="1"/>
  <c r="J4" i="3" s="1"/>
  <c r="N69" i="3" s="1"/>
  <c r="J5" i="3" l="1"/>
  <c r="C69" i="3"/>
  <c r="S5" i="2"/>
  <c r="R5" i="2"/>
  <c r="Q5" i="2"/>
  <c r="P5" i="2"/>
  <c r="O5" i="2"/>
  <c r="N5" i="2"/>
  <c r="M5" i="2"/>
  <c r="L5" i="2"/>
  <c r="T5" i="2"/>
  <c r="T3" i="2"/>
  <c r="G20" i="2"/>
  <c r="G26" i="2" s="1"/>
  <c r="G28" i="2" s="1"/>
  <c r="I11" i="2"/>
  <c r="H11" i="2"/>
  <c r="G11" i="2"/>
  <c r="F11" i="2"/>
  <c r="E11" i="2"/>
  <c r="D11" i="2"/>
  <c r="C11" i="2"/>
  <c r="I10" i="2"/>
  <c r="H10" i="2"/>
  <c r="G10" i="2"/>
  <c r="F10" i="2"/>
  <c r="E10" i="2"/>
  <c r="D10" i="2"/>
  <c r="C10" i="2"/>
  <c r="I9" i="2"/>
  <c r="H9" i="2"/>
  <c r="G9" i="2"/>
  <c r="F9" i="2"/>
  <c r="E9" i="2"/>
  <c r="D9" i="2"/>
  <c r="C9" i="2"/>
  <c r="J11" i="2"/>
  <c r="J10" i="2"/>
  <c r="J9" i="2"/>
  <c r="N13" i="2"/>
  <c r="M13" i="2"/>
  <c r="L13" i="2"/>
  <c r="L11" i="2"/>
  <c r="N10" i="2"/>
  <c r="M10" i="2"/>
  <c r="L10" i="2"/>
  <c r="N9" i="2"/>
  <c r="M9" i="2"/>
  <c r="L9" i="2"/>
  <c r="M109" i="2"/>
  <c r="L103" i="2"/>
  <c r="L109" i="2" s="1"/>
  <c r="M100" i="2"/>
  <c r="L100" i="2"/>
  <c r="N100" i="2"/>
  <c r="L87" i="2"/>
  <c r="L85" i="2"/>
  <c r="L80" i="2"/>
  <c r="M87" i="2"/>
  <c r="M85" i="2"/>
  <c r="M88" i="2" s="1"/>
  <c r="N85" i="2"/>
  <c r="N87" i="2"/>
  <c r="L88" i="2"/>
  <c r="M63" i="2"/>
  <c r="M64" i="2" s="1"/>
  <c r="M67" i="2"/>
  <c r="N67" i="2"/>
  <c r="N63" i="2"/>
  <c r="N64" i="2" s="1"/>
  <c r="T64" i="2"/>
  <c r="S64" i="2"/>
  <c r="O40" i="2"/>
  <c r="N40" i="2"/>
  <c r="M40" i="2"/>
  <c r="O39" i="2"/>
  <c r="N39" i="2"/>
  <c r="M39" i="2"/>
  <c r="O38" i="2"/>
  <c r="N38" i="2"/>
  <c r="M38" i="2"/>
  <c r="O37" i="2"/>
  <c r="N37" i="2"/>
  <c r="M37" i="2"/>
  <c r="O36" i="2"/>
  <c r="N36" i="2"/>
  <c r="M36" i="2"/>
  <c r="O35" i="2"/>
  <c r="N35" i="2"/>
  <c r="M35" i="2"/>
  <c r="M58" i="2"/>
  <c r="N58" i="2"/>
  <c r="M49" i="2"/>
  <c r="M52" i="2" s="1"/>
  <c r="L18" i="2"/>
  <c r="L20" i="2" s="1"/>
  <c r="M18" i="2"/>
  <c r="N18" i="2"/>
  <c r="N20" i="2" s="1"/>
  <c r="N26" i="2" s="1"/>
  <c r="N28" i="2" s="1"/>
  <c r="N43" i="2" s="1"/>
  <c r="J20" i="2"/>
  <c r="J26" i="2" s="1"/>
  <c r="I20" i="2"/>
  <c r="I26" i="2" s="1"/>
  <c r="H20" i="2"/>
  <c r="H26" i="2" s="1"/>
  <c r="F20" i="2"/>
  <c r="F26" i="2" s="1"/>
  <c r="E20" i="2"/>
  <c r="E26" i="2" s="1"/>
  <c r="D20" i="2"/>
  <c r="D26" i="2" s="1"/>
  <c r="C20" i="2"/>
  <c r="C26" i="2" s="1"/>
  <c r="M20" i="2"/>
  <c r="M41" i="2" s="1"/>
  <c r="S20" i="2"/>
  <c r="S26" i="2" s="1"/>
  <c r="S28" i="2" s="1"/>
  <c r="S30" i="2" s="1"/>
  <c r="S32" i="2" s="1"/>
  <c r="R20" i="2"/>
  <c r="R26" i="2" s="1"/>
  <c r="R28" i="2" s="1"/>
  <c r="R30" i="2" s="1"/>
  <c r="R32" i="2" s="1"/>
  <c r="Q20" i="2"/>
  <c r="Q26" i="2" s="1"/>
  <c r="Q28" i="2" s="1"/>
  <c r="Q30" i="2" s="1"/>
  <c r="Q32" i="2" s="1"/>
  <c r="P20" i="2"/>
  <c r="P26" i="2" s="1"/>
  <c r="P28" i="2" s="1"/>
  <c r="P30" i="2" s="1"/>
  <c r="P32" i="2" s="1"/>
  <c r="O20" i="2"/>
  <c r="O41" i="2" s="1"/>
  <c r="T20" i="2"/>
  <c r="T26" i="2" s="1"/>
  <c r="T28" i="2" s="1"/>
  <c r="T30" i="2" s="1"/>
  <c r="T32" i="2" s="1"/>
  <c r="O63" i="2"/>
  <c r="O64" i="2" s="1"/>
  <c r="R63" i="2"/>
  <c r="R64" i="2" s="1"/>
  <c r="M11" i="2"/>
  <c r="O87" i="2"/>
  <c r="O88" i="2" s="1"/>
  <c r="P87" i="2"/>
  <c r="P88" i="2" s="1"/>
  <c r="Q87" i="2"/>
  <c r="Q88" i="2"/>
  <c r="R67" i="2"/>
  <c r="Q67" i="2"/>
  <c r="P67" i="2"/>
  <c r="O67" i="2"/>
  <c r="P63" i="2"/>
  <c r="P64" i="2" s="1"/>
  <c r="Q63" i="2"/>
  <c r="Q64" i="2" s="1"/>
  <c r="Q40" i="2"/>
  <c r="P40" i="2"/>
  <c r="Q39" i="2"/>
  <c r="P39" i="2"/>
  <c r="Q38" i="2"/>
  <c r="P38" i="2"/>
  <c r="Q37" i="2"/>
  <c r="P37" i="2"/>
  <c r="Q36" i="2"/>
  <c r="P36" i="2"/>
  <c r="Q35" i="2"/>
  <c r="P35" i="2"/>
  <c r="T13" i="2"/>
  <c r="S13" i="2"/>
  <c r="R13" i="2"/>
  <c r="Q13" i="2"/>
  <c r="P13" i="2"/>
  <c r="O13" i="2"/>
  <c r="Q11" i="2"/>
  <c r="P11" i="2"/>
  <c r="O11" i="2"/>
  <c r="N11" i="2"/>
  <c r="P10" i="2"/>
  <c r="Q10" i="2"/>
  <c r="O10" i="2"/>
  <c r="Q9" i="2"/>
  <c r="P9" i="2"/>
  <c r="O9" i="2"/>
  <c r="S113" i="2"/>
  <c r="S109" i="2"/>
  <c r="R109" i="2"/>
  <c r="Q109" i="2"/>
  <c r="P109" i="2"/>
  <c r="O109" i="2"/>
  <c r="N109" i="2"/>
  <c r="T108" i="2"/>
  <c r="T109" i="2" s="1"/>
  <c r="S100" i="2"/>
  <c r="R100" i="2"/>
  <c r="Q100" i="2"/>
  <c r="P100" i="2"/>
  <c r="O100" i="2"/>
  <c r="T99" i="2"/>
  <c r="T100" i="2"/>
  <c r="S80" i="2"/>
  <c r="S77" i="2"/>
  <c r="S88" i="2"/>
  <c r="R88" i="2"/>
  <c r="T88" i="2"/>
  <c r="S67" i="2"/>
  <c r="T67" i="2"/>
  <c r="S49" i="2"/>
  <c r="S52" i="2" s="1"/>
  <c r="R52" i="2"/>
  <c r="Q52" i="2"/>
  <c r="P52" i="2"/>
  <c r="O52" i="2"/>
  <c r="N52" i="2"/>
  <c r="S58" i="2"/>
  <c r="R58" i="2"/>
  <c r="Q58" i="2"/>
  <c r="P58" i="2"/>
  <c r="O58" i="2"/>
  <c r="T58" i="2"/>
  <c r="T49" i="2"/>
  <c r="T52" i="2" s="1"/>
  <c r="S40" i="2"/>
  <c r="R40" i="2"/>
  <c r="S39" i="2"/>
  <c r="R39" i="2"/>
  <c r="S38" i="2"/>
  <c r="R38" i="2"/>
  <c r="T40" i="2"/>
  <c r="T39" i="2"/>
  <c r="T38" i="2"/>
  <c r="S37" i="2"/>
  <c r="R37" i="2"/>
  <c r="T37" i="2"/>
  <c r="S36" i="2"/>
  <c r="R36" i="2"/>
  <c r="T36" i="2"/>
  <c r="S35" i="2"/>
  <c r="R35" i="2"/>
  <c r="T35" i="2"/>
  <c r="I5" i="1"/>
  <c r="S11" i="2"/>
  <c r="R11" i="2"/>
  <c r="T11" i="2"/>
  <c r="S10" i="2"/>
  <c r="R10" i="2"/>
  <c r="T10" i="2"/>
  <c r="S9" i="2"/>
  <c r="R9" i="2"/>
  <c r="T9" i="2"/>
  <c r="I37" i="2"/>
  <c r="H37" i="2"/>
  <c r="G37" i="2"/>
  <c r="J37" i="2"/>
  <c r="I40" i="2"/>
  <c r="H40" i="2"/>
  <c r="G40" i="2"/>
  <c r="I39" i="2"/>
  <c r="H39" i="2"/>
  <c r="G39" i="2"/>
  <c r="I38" i="2"/>
  <c r="H38" i="2"/>
  <c r="G38" i="2"/>
  <c r="J39" i="2"/>
  <c r="J38" i="2"/>
  <c r="J13" i="2"/>
  <c r="I13" i="2"/>
  <c r="H13" i="2"/>
  <c r="G13" i="2"/>
  <c r="F13" i="2"/>
  <c r="D13" i="2"/>
  <c r="C13" i="2"/>
  <c r="E13" i="2"/>
  <c r="J40" i="2"/>
  <c r="I4" i="1"/>
  <c r="N88" i="2" l="1"/>
  <c r="N68" i="2"/>
  <c r="N70" i="2" s="1"/>
  <c r="Q68" i="2"/>
  <c r="Q70" i="2" s="1"/>
  <c r="P68" i="2"/>
  <c r="P70" i="2" s="1"/>
  <c r="E41" i="2"/>
  <c r="M68" i="2"/>
  <c r="M70" i="2" s="1"/>
  <c r="L26" i="2"/>
  <c r="L41" i="2"/>
  <c r="M26" i="2"/>
  <c r="M42" i="2" s="1"/>
  <c r="N59" i="2"/>
  <c r="N41" i="2"/>
  <c r="O26" i="2"/>
  <c r="O28" i="2" s="1"/>
  <c r="O30" i="2" s="1"/>
  <c r="O32" i="2" s="1"/>
  <c r="N42" i="2"/>
  <c r="M59" i="2"/>
  <c r="N30" i="2"/>
  <c r="M28" i="2"/>
  <c r="T41" i="2"/>
  <c r="S68" i="2"/>
  <c r="S70" i="2" s="1"/>
  <c r="Q43" i="2"/>
  <c r="T43" i="2"/>
  <c r="Q42" i="2"/>
  <c r="P43" i="2"/>
  <c r="O68" i="2"/>
  <c r="O70" i="2" s="1"/>
  <c r="O59" i="2"/>
  <c r="T72" i="2"/>
  <c r="T89" i="2" s="1"/>
  <c r="T111" i="2" s="1"/>
  <c r="T113" i="2" s="1"/>
  <c r="R59" i="2"/>
  <c r="P41" i="2"/>
  <c r="T68" i="2"/>
  <c r="T70" i="2" s="1"/>
  <c r="R68" i="2"/>
  <c r="R70" i="2" s="1"/>
  <c r="Q41" i="2"/>
  <c r="P42" i="2"/>
  <c r="P59" i="2"/>
  <c r="Q59" i="2"/>
  <c r="T59" i="2"/>
  <c r="S43" i="2"/>
  <c r="R72" i="2"/>
  <c r="R89" i="2" s="1"/>
  <c r="R111" i="2" s="1"/>
  <c r="R43" i="2"/>
  <c r="S72" i="2"/>
  <c r="S89" i="2" s="1"/>
  <c r="S111" i="2" s="1"/>
  <c r="S112" i="2" s="1"/>
  <c r="R113" i="2" s="1"/>
  <c r="R41" i="2"/>
  <c r="S41" i="2"/>
  <c r="R42" i="2"/>
  <c r="S42" i="2"/>
  <c r="T42" i="2"/>
  <c r="O43" i="2"/>
  <c r="O72" i="2"/>
  <c r="O89" i="2" s="1"/>
  <c r="O111" i="2" s="1"/>
  <c r="P72" i="2"/>
  <c r="P89" i="2" s="1"/>
  <c r="P111" i="2" s="1"/>
  <c r="Q72" i="2"/>
  <c r="Q89" i="2" s="1"/>
  <c r="Q111" i="2" s="1"/>
  <c r="S59" i="2"/>
  <c r="E28" i="2"/>
  <c r="E43" i="2" s="1"/>
  <c r="I7" i="1"/>
  <c r="I41" i="2"/>
  <c r="C41" i="2"/>
  <c r="D41" i="2"/>
  <c r="F41" i="2"/>
  <c r="G41" i="2"/>
  <c r="H41" i="2"/>
  <c r="J41" i="2"/>
  <c r="I28" i="2"/>
  <c r="I42" i="2"/>
  <c r="C28" i="2"/>
  <c r="C42" i="2"/>
  <c r="D28" i="2"/>
  <c r="D42" i="2"/>
  <c r="F42" i="2"/>
  <c r="F28" i="2"/>
  <c r="G42" i="2"/>
  <c r="H42" i="2"/>
  <c r="H28" i="2"/>
  <c r="J42" i="2"/>
  <c r="J28" i="2"/>
  <c r="M30" i="2" l="1"/>
  <c r="M43" i="2"/>
  <c r="O42" i="2"/>
  <c r="L28" i="2"/>
  <c r="L42" i="2"/>
  <c r="N32" i="2"/>
  <c r="N72" i="2"/>
  <c r="N89" i="2" s="1"/>
  <c r="N111" i="2" s="1"/>
  <c r="R112" i="2"/>
  <c r="Q113" i="2" s="1"/>
  <c r="Q112" i="2" s="1"/>
  <c r="P113" i="2" s="1"/>
  <c r="P112" i="2" s="1"/>
  <c r="O113" i="2" s="1"/>
  <c r="O112" i="2" s="1"/>
  <c r="N113" i="2" s="1"/>
  <c r="E30" i="2"/>
  <c r="E32" i="2" s="1"/>
  <c r="E42" i="2"/>
  <c r="J43" i="2"/>
  <c r="J30" i="2"/>
  <c r="J32" i="2" s="1"/>
  <c r="H43" i="2"/>
  <c r="H30" i="2"/>
  <c r="H32" i="2" s="1"/>
  <c r="G43" i="2"/>
  <c r="G30" i="2"/>
  <c r="G32" i="2" s="1"/>
  <c r="F43" i="2"/>
  <c r="F30" i="2"/>
  <c r="F32" i="2" s="1"/>
  <c r="D43" i="2"/>
  <c r="D30" i="2"/>
  <c r="D32" i="2" s="1"/>
  <c r="C43" i="2"/>
  <c r="C30" i="2"/>
  <c r="C32" i="2" s="1"/>
  <c r="I43" i="2"/>
  <c r="I30" i="2"/>
  <c r="I32" i="2" s="1"/>
  <c r="N112" i="2" l="1"/>
  <c r="M113" i="2" s="1"/>
  <c r="M32" i="2"/>
  <c r="M72" i="2"/>
  <c r="M89" i="2" s="1"/>
  <c r="M111" i="2" s="1"/>
  <c r="L30" i="2"/>
  <c r="L43" i="2"/>
  <c r="L32" i="2" l="1"/>
  <c r="L72" i="2"/>
  <c r="L89" i="2" s="1"/>
  <c r="L111" i="2" s="1"/>
  <c r="M112" i="2"/>
  <c r="L113" i="2" s="1"/>
  <c r="L1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<sst xmlns="http://schemas.openxmlformats.org/spreadsheetml/2006/main" count="412" uniqueCount="329">
  <si>
    <t>PYPL</t>
  </si>
  <si>
    <t>IR</t>
  </si>
  <si>
    <t>numbers in mio USD</t>
  </si>
  <si>
    <t>Price</t>
  </si>
  <si>
    <t>Shares</t>
  </si>
  <si>
    <t>MC</t>
  </si>
  <si>
    <t>Cash</t>
  </si>
  <si>
    <t>Debt</t>
  </si>
  <si>
    <t>EV</t>
  </si>
  <si>
    <t>Paypal Holding Inc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</si>
  <si>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</si>
  <si>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</si>
  <si>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</si>
  <si>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</si>
  <si>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</si>
  <si>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</si>
  <si>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</si>
  <si>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</si>
  <si>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</si>
  <si>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</si>
  <si>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</si>
  <si>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</si>
  <si>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</si>
  <si>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</si>
  <si>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</si>
  <si>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</si>
  <si>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</si>
  <si>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Transaction Expense</t>
  </si>
  <si>
    <t>Gross Profit</t>
  </si>
  <si>
    <t>Transaction &amp; Credit losses</t>
  </si>
  <si>
    <t>Customer Support</t>
  </si>
  <si>
    <t>S&amp;M</t>
  </si>
  <si>
    <t>Technology &amp; Development</t>
  </si>
  <si>
    <t>G&amp;A</t>
  </si>
  <si>
    <t>Restructuring</t>
  </si>
  <si>
    <t>Operating Income</t>
  </si>
  <si>
    <t>Other Income</t>
  </si>
  <si>
    <t>Pretax Income</t>
  </si>
  <si>
    <t>Tax Expense</t>
  </si>
  <si>
    <t>Net Income</t>
  </si>
  <si>
    <t>EPS</t>
  </si>
  <si>
    <t>Revenue Growth</t>
  </si>
  <si>
    <t xml:space="preserve">Gross Margin </t>
  </si>
  <si>
    <t xml:space="preserve">Operating Margin </t>
  </si>
  <si>
    <t>Tax Rate</t>
  </si>
  <si>
    <t>Transaction Revenue</t>
  </si>
  <si>
    <t>Other Services</t>
  </si>
  <si>
    <t>Total Payment Volume</t>
  </si>
  <si>
    <t>Fee in %</t>
  </si>
  <si>
    <t>Payment Volume Growth</t>
  </si>
  <si>
    <t>Transaction Rev Growth</t>
  </si>
  <si>
    <t>Other Services Growth</t>
  </si>
  <si>
    <t>Active Accounts</t>
  </si>
  <si>
    <t xml:space="preserve">Number of transaction </t>
  </si>
  <si>
    <t>ATPU</t>
  </si>
  <si>
    <t>Average Transaction Amount</t>
  </si>
  <si>
    <t>Transaction Amount per User</t>
  </si>
  <si>
    <t>User Growth</t>
  </si>
  <si>
    <t>Transaction Growth</t>
  </si>
  <si>
    <t>Cash &amp; Cash Equivalents</t>
  </si>
  <si>
    <t>Short-term investments</t>
  </si>
  <si>
    <t>Accounts Receivables</t>
  </si>
  <si>
    <t>Loans and interest reveivables</t>
  </si>
  <si>
    <t>Funds receivable and costumer accounts</t>
  </si>
  <si>
    <t>Prepaid Expenses</t>
  </si>
  <si>
    <t>Current Assets</t>
  </si>
  <si>
    <t>Long-term investments</t>
  </si>
  <si>
    <t>PP&amp;E</t>
  </si>
  <si>
    <t>Goodwill</t>
  </si>
  <si>
    <t>Intangibles</t>
  </si>
  <si>
    <t>Other</t>
  </si>
  <si>
    <t>Non-Current Assets</t>
  </si>
  <si>
    <t>Total Assets</t>
  </si>
  <si>
    <t>Accounts Payables</t>
  </si>
  <si>
    <t>Funds payables</t>
  </si>
  <si>
    <t>Accrued Expenses</t>
  </si>
  <si>
    <t>Current Liabilities</t>
  </si>
  <si>
    <t>Non-Current Liabilities</t>
  </si>
  <si>
    <t>Total Liabilties</t>
  </si>
  <si>
    <t>Equity</t>
  </si>
  <si>
    <t>Liabilties &amp; Equity</t>
  </si>
  <si>
    <t>Transaction and credit losses</t>
  </si>
  <si>
    <t>D&amp;A</t>
  </si>
  <si>
    <t>SBCs</t>
  </si>
  <si>
    <t>Deferred Income Taxes</t>
  </si>
  <si>
    <t>Gains on strategic investments</t>
  </si>
  <si>
    <t>Accretion of discounts</t>
  </si>
  <si>
    <t>Adjustments to loans</t>
  </si>
  <si>
    <t>Originations of loans receivables</t>
  </si>
  <si>
    <t>Proceeds from repayments</t>
  </si>
  <si>
    <t>Change in Account Receivables</t>
  </si>
  <si>
    <t>Change in Transaction loss allowance</t>
  </si>
  <si>
    <t>Change in other assets</t>
  </si>
  <si>
    <t>Change in Accounts Payables</t>
  </si>
  <si>
    <t>Change in other liabilities</t>
  </si>
  <si>
    <t>Change in WC</t>
  </si>
  <si>
    <t>CFFO</t>
  </si>
  <si>
    <t>CapEx</t>
  </si>
  <si>
    <t>Disposal of PP&amp;E</t>
  </si>
  <si>
    <t>Purchase of loans receivables</t>
  </si>
  <si>
    <t>Disposal of loans receivables</t>
  </si>
  <si>
    <t>Purchase of Investments</t>
  </si>
  <si>
    <t>Maturities and sales of investments</t>
  </si>
  <si>
    <t>Proceeds from divestitures</t>
  </si>
  <si>
    <t>Funds receivables</t>
  </si>
  <si>
    <t>Colleteral posted</t>
  </si>
  <si>
    <t>CFFI</t>
  </si>
  <si>
    <t>Issuance of Stock</t>
  </si>
  <si>
    <t>Purchase of treassury stock</t>
  </si>
  <si>
    <t>Tax withholdings related to settlement</t>
  </si>
  <si>
    <t>Borrowings</t>
  </si>
  <si>
    <t>Repayment of Borrowings</t>
  </si>
  <si>
    <t>Funds payables and due to costumers</t>
  </si>
  <si>
    <t>Colleteral received</t>
  </si>
  <si>
    <t>CFFF</t>
  </si>
  <si>
    <t>FX Effect</t>
  </si>
  <si>
    <t>Change in Cash</t>
  </si>
  <si>
    <t>Cash &amp; Cashequivalents BoP</t>
  </si>
  <si>
    <t>Cash &amp; Cashequivalents EoP</t>
  </si>
  <si>
    <t xml:space="preserve">CEO: </t>
  </si>
  <si>
    <t>Isable Cruz</t>
  </si>
  <si>
    <t>CPO:</t>
  </si>
  <si>
    <t>CFO:</t>
  </si>
  <si>
    <t>Jamie Miller</t>
  </si>
  <si>
    <t>CTO:</t>
  </si>
  <si>
    <t>Srini Venkatesan</t>
  </si>
  <si>
    <t>FY17</t>
  </si>
  <si>
    <t>FY16</t>
  </si>
  <si>
    <t>Short-term debt</t>
  </si>
  <si>
    <t xml:space="preserve">Contribution Margin </t>
  </si>
  <si>
    <t>Management</t>
  </si>
  <si>
    <t>Founded:</t>
  </si>
  <si>
    <t>Founders: Peter Thiel, Max Levchin, Ken Howery, Luke Nosek, Yu Pan</t>
  </si>
  <si>
    <t>Alex Chriss (since 2023)</t>
  </si>
  <si>
    <t>Notes</t>
  </si>
  <si>
    <t>PayPal Everywhere</t>
  </si>
  <si>
    <t>Enhanced checkout</t>
  </si>
  <si>
    <t>Fastlane</t>
  </si>
  <si>
    <t>Partnerships: adyen, prime, fiserv, global payment, shopify</t>
  </si>
  <si>
    <t>Businessmodel:</t>
  </si>
  <si>
    <t>payment solutions</t>
  </si>
  <si>
    <t>Paypal, Venmo</t>
  </si>
  <si>
    <t>Revenue -&gt; primarily: charging fees for completing transactions,</t>
  </si>
  <si>
    <t xml:space="preserve">currency conversion fees, instant transfer; </t>
  </si>
  <si>
    <t>value added services: partnerships, interest &amp; fees credit products etc.</t>
  </si>
  <si>
    <t>2000: merger with X.com by Elon Musk, 2002 aquired by Ebay for 1,5 billion USD, 2015 spin-off</t>
  </si>
  <si>
    <t>Competitors:</t>
  </si>
  <si>
    <t>Global GDP</t>
  </si>
  <si>
    <t>Service GDP</t>
  </si>
  <si>
    <t>% of PayPal Payment Volume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</si>
  <si>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</si>
  <si>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</si>
  <si>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</si>
  <si>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</si>
  <si>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</si>
  <si>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</si>
  <si>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</si>
  <si>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x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</si>
  <si>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</si>
  <si>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</si>
  <si>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</si>
  <si>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</si>
  <si>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</si>
  <si>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</si>
  <si>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</si>
  <si>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</si>
  <si>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</si>
  <si>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</si>
  <si>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</si>
  <si>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</si>
  <si>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</si>
  <si>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</si>
  <si>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</si>
  <si>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</si>
  <si>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</si>
  <si>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</si>
  <si>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</si>
  <si>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</si>
  <si>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</si>
  <si>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</si>
  <si>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</si>
  <si>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</si>
  <si>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</si>
  <si>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</si>
  <si>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</si>
  <si>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</si>
  <si>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</si>
  <si>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</si>
  <si>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</si>
  <si>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</si>
  <si>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</si>
  <si>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</si>
  <si>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</si>
  <si>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</si>
  <si>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</si>
  <si>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</si>
  <si>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</si>
  <si>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</si>
  <si>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</si>
  <si>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</si>
  <si>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</si>
  <si>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</si>
  <si>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</si>
  <si>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</si>
  <si>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</si>
  <si>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</si>
  <si>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</si>
  <si>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</si>
  <si>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</si>
  <si>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</si>
  <si>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</si>
  <si>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</si>
  <si>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</si>
  <si>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</si>
  <si>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</si>
  <si>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</si>
  <si>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</si>
  <si>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</si>
  <si>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</si>
  <si>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</si>
  <si>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</si>
  <si>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</si>
  <si>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</si>
  <si>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</si>
  <si>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</si>
  <si>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</si>
  <si>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</si>
  <si>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</si>
  <si>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</si>
  <si>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</si>
  <si>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</si>
  <si>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</si>
  <si>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</si>
  <si>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</si>
  <si>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</si>
  <si>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</si>
  <si>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</si>
  <si>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</si>
  <si>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</si>
  <si>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</si>
  <si>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</si>
  <si>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</si>
  <si>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</si>
  <si>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</si>
  <si>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</si>
  <si>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</si>
  <si>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</si>
  <si>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</si>
  <si>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</si>
  <si>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</si>
  <si>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</si>
  <si>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</si>
  <si>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</si>
  <si>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</si>
  <si>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</si>
  <si>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</si>
  <si>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</si>
  <si>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</si>
  <si>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</si>
  <si>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</si>
  <si>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</si>
  <si>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</si>
  <si>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</si>
  <si>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</si>
  <si>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</si>
  <si>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</si>
  <si>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</si>
  <si>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</si>
  <si>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</si>
  <si>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</si>
  <si>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</si>
  <si>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</si>
  <si>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</si>
  <si>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</si>
  <si>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</si>
  <si>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</si>
  <si>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</si>
  <si>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</si>
  <si>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</si>
  <si>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</si>
  <si>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</si>
  <si>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</si>
  <si>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</si>
  <si>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</si>
  <si>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</si>
  <si>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</si>
  <si>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</si>
  <si>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</si>
  <si>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</si>
  <si>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</si>
  <si>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</si>
  <si>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</si>
  <si>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</si>
  <si>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</si>
  <si>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</si>
  <si>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</si>
  <si>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</si>
  <si>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</si>
  <si>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</si>
  <si>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</si>
  <si>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</si>
  <si>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</si>
  <si>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</si>
  <si>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</si>
  <si>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</si>
  <si>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</si>
  <si>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</si>
  <si>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</si>
  <si>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</si>
  <si>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</si>
  <si>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</si>
  <si>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</si>
  <si>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</si>
  <si>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</si>
  <si>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</si>
  <si>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</si>
  <si>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</si>
  <si>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</si>
  <si>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</si>
  <si>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</si>
  <si>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</si>
  <si>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</si>
  <si>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</si>
  <si>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</si>
  <si>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</si>
  <si>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PayPal DCF</t>
  </si>
  <si>
    <t xml:space="preserve">Paypal stable coin PYUSD = 1 USD -&gt; aims to yield 3.7% </t>
  </si>
  <si>
    <t xml:space="preserve">MarketCap PYUSD: </t>
  </si>
  <si>
    <t>MarketCap Thether: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</si>
</sst>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0.0%"/>
    <numFmt numFmtId="166" formatCode="&quot;FY&quot;0&quot;A&quot;"/>
    <numFmt numFmtId="167" formatCode="#,##0;\(#,##0\)"/>
    <numFmt numFmtId="168" formatCode="#,##0.0;[Red]#,##0.0"/>
    <numFmt numFmtId="169" formatCode="0.0"/>
    <numFmt numFmtId="170" formatCode="\F\Y#,##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9" fontId="0" fillId="0" borderId="0" xfId="1" applyFont="1"/>
    <xf numFmtId="3" fontId="2" fillId="0" borderId="0" xfId="0" applyNumberFormat="1" applyFont="1"/>
    <xf numFmtId="164" fontId="0" fillId="0" borderId="0" xfId="0" applyNumberFormat="1"/>
    <xf numFmtId="9" fontId="2" fillId="0" borderId="0" xfId="1" applyFont="1"/>
    <xf numFmtId="0" fontId="4" fillId="0" borderId="0" xfId="0" applyFont="1"/>
    <xf numFmtId="9" fontId="0" fillId="0" borderId="0" xfId="1" applyFont="1" applyAlignment="1">
      <alignment horizontal="right"/>
    </xf>
    <xf numFmtId="0" fontId="3" fillId="0" borderId="1" xfId="2" applyBorder="1"/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64" fontId="0" fillId="2" borderId="4" xfId="1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9" fontId="0" fillId="2" borderId="4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/>
    <xf numFmtId="0" fontId="5" fillId="4" borderId="0" xfId="0" applyFont="1" applyFill="1"/>
    <xf numFmtId="0" fontId="6" fillId="4" borderId="0" xfId="0" applyFont="1" applyFill="1"/>
    <xf numFmtId="165" fontId="0" fillId="2" borderId="4" xfId="1" applyNumberFormat="1" applyFont="1" applyFill="1" applyBorder="1" applyAlignment="1">
      <alignment horizontal="center"/>
    </xf>
    <xf numFmtId="166" fontId="5" fillId="3" borderId="0" xfId="0" applyNumberFormat="1" applyFont="1" applyFill="1"/>
    <xf numFmtId="167" fontId="0" fillId="0" borderId="0" xfId="0" applyNumberFormat="1"/>
    <xf numFmtId="0" fontId="8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8" fillId="0" borderId="0" xfId="0" applyFont="1"/>
    <xf numFmtId="9" fontId="8" fillId="0" borderId="0" xfId="1" applyFont="1"/>
    <xf numFmtId="165" fontId="0" fillId="2" borderId="4" xfId="1" applyNumberFormat="1" applyFont="1" applyFill="1" applyBorder="1" applyAlignment="1">
      <alignment horizontal="right"/>
    </xf>
    <xf numFmtId="0" fontId="2" fillId="5" borderId="5" xfId="0" applyFont="1" applyFill="1" applyBorder="1"/>
    <xf numFmtId="0" fontId="2" fillId="5" borderId="6" xfId="0" applyFont="1" applyFill="1" applyBorder="1"/>
    <xf numFmtId="167" fontId="2" fillId="5" borderId="6" xfId="0" applyNumberFormat="1" applyFont="1" applyFill="1" applyBorder="1"/>
    <xf numFmtId="167" fontId="2" fillId="5" borderId="7" xfId="0" applyNumberFormat="1" applyFont="1" applyFill="1" applyBorder="1"/>
    <xf numFmtId="165" fontId="8" fillId="0" borderId="0" xfId="1" applyNumberFormat="1" applyFont="1"/>
    <xf numFmtId="165" fontId="8" fillId="0" borderId="0" xfId="0" applyNumberFormat="1" applyFont="1"/>
    <xf numFmtId="168" fontId="2" fillId="5" borderId="8" xfId="0" applyNumberFormat="1" applyFont="1" applyFill="1" applyBorder="1"/>
    <xf numFmtId="168" fontId="2" fillId="5" borderId="9" xfId="0" applyNumberFormat="1" applyFont="1" applyFill="1" applyBorder="1"/>
    <xf numFmtId="167" fontId="2" fillId="5" borderId="9" xfId="0" applyNumberFormat="1" applyFont="1" applyFill="1" applyBorder="1"/>
    <xf numFmtId="167" fontId="2" fillId="5" borderId="10" xfId="0" applyNumberFormat="1" applyFont="1" applyFill="1" applyBorder="1"/>
    <xf numFmtId="168" fontId="2" fillId="5" borderId="11" xfId="0" applyNumberFormat="1" applyFont="1" applyFill="1" applyBorder="1"/>
    <xf numFmtId="168" fontId="2" fillId="5" borderId="1" xfId="0" applyNumberFormat="1" applyFont="1" applyFill="1" applyBorder="1"/>
    <xf numFmtId="167" fontId="2" fillId="5" borderId="1" xfId="0" applyNumberFormat="1" applyFont="1" applyFill="1" applyBorder="1"/>
    <xf numFmtId="167" fontId="2" fillId="5" borderId="12" xfId="0" applyNumberFormat="1" applyFont="1" applyFill="1" applyBorder="1"/>
    <xf numFmtId="168" fontId="0" fillId="0" borderId="0" xfId="0" applyNumberFormat="1"/>
    <xf numFmtId="0" fontId="0" fillId="0" borderId="0" xfId="0" quotePrefix="1"/>
    <xf numFmtId="168" fontId="0" fillId="0" borderId="1" xfId="0" applyNumberFormat="1" applyBorder="1"/>
    <xf numFmtId="168" fontId="0" fillId="0" borderId="1" xfId="0" applyNumberFormat="1" applyBorder="1" applyAlignment="1">
      <alignment horizontal="right"/>
    </xf>
    <xf numFmtId="0" fontId="0" fillId="0" borderId="6" xfId="0" applyBorder="1"/>
    <xf numFmtId="168" fontId="0" fillId="0" borderId="6" xfId="0" applyNumberFormat="1" applyBorder="1"/>
    <xf numFmtId="168" fontId="0" fillId="0" borderId="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6" borderId="8" xfId="0" applyFill="1" applyBorder="1"/>
    <xf numFmtId="2" fontId="9" fillId="6" borderId="9" xfId="0" applyNumberFormat="1" applyFont="1" applyFill="1" applyBorder="1"/>
    <xf numFmtId="165" fontId="5" fillId="6" borderId="9" xfId="0" applyNumberFormat="1" applyFont="1" applyFill="1" applyBorder="1"/>
    <xf numFmtId="165" fontId="5" fillId="6" borderId="0" xfId="0" applyNumberFormat="1" applyFont="1" applyFill="1"/>
    <xf numFmtId="169" fontId="0" fillId="0" borderId="0" xfId="0" applyNumberFormat="1"/>
    <xf numFmtId="169" fontId="2" fillId="0" borderId="0" xfId="0" applyNumberFormat="1" applyFont="1"/>
    <xf numFmtId="0" fontId="0" fillId="0" borderId="0" xfId="0" applyAlignment="1">
      <alignment horizontal="center"/>
    </xf>
    <xf numFmtId="0" fontId="10" fillId="0" borderId="0" xfId="0" applyFont="1"/>
    <xf numFmtId="0" fontId="0" fillId="0" borderId="5" xfId="0" applyBorder="1"/>
    <xf numFmtId="0" fontId="0" fillId="0" borderId="7" xfId="0" applyBorder="1"/>
    <xf numFmtId="0" fontId="11" fillId="0" borderId="0" xfId="0" applyFont="1"/>
    <xf numFmtId="170" fontId="12" fillId="0" borderId="0" xfId="0" applyNumberFormat="1" applyFont="1" applyAlignment="1">
      <alignment horizontal="right"/>
    </xf>
    <xf numFmtId="0" fontId="12" fillId="0" borderId="0" xfId="0" applyFont="1"/>
    <xf numFmtId="9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" fontId="0" fillId="2" borderId="4" xfId="0" applyNumberForma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 vertical="center" textRotation="90"/>
    </xf>
    <xf numFmtId="0" fontId="2" fillId="6" borderId="14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2D1C92A-EBDD-4F31-A8EC-7FAC56049C15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.pypl.com/hom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AC37-A5A9-4DE4-95F6-ABC9256F2DCD}">
  <dimension ref="A1:K23"/>
  <sheetViews>
    <sheetView tabSelected="1" zoomScale="200" zoomScaleNormal="200" workbookViewId="0">
      <selection activeCell="D1" sqref="D1"/>
    </sheetView>
  </sheetViews>
  <sheetFormatPr defaultRowHeight="15" x14ac:dyDescent="0.25"/>
  <cols>
    <col min="1" max="1" width="4.5703125" customWidth="1"/>
  </cols>
  <sheetData>
    <row r="1" spans="1:11" x14ac:dyDescent="0.25">
      <c r="A1" s="1" t="s">
        <v>9</v>
      </c>
    </row>
    <row r="2" spans="1:11" x14ac:dyDescent="0.25">
      <c r="A2" t="s">
        <v>2</v>
      </c>
      <c r="H2" t="s">
        <v>3</v>
      </c>
      <c r="I2">
        <v>57.62</v>
      </c>
    </row>
    <row r="3" spans="1:11" x14ac:dyDescent="0.25">
      <c r="H3" t="s">
        <v>4</v>
      </c>
      <c r="I3" s="3">
        <v>989.24245199999996</v>
      </c>
      <c r="J3" s="4" t="s">
        <v>18</v>
      </c>
    </row>
    <row r="4" spans="1:11" x14ac:dyDescent="0.25">
      <c r="B4" t="s">
        <v>0</v>
      </c>
      <c r="H4" t="s">
        <v>5</v>
      </c>
      <c r="I4" s="3">
        <f>+I3*I2</f>
        <v>57000.150084239998</v>
      </c>
    </row>
    <row r="5" spans="1:11" x14ac:dyDescent="0.25">
      <c r="B5" s="5" t="s">
        <v>1</v>
      </c>
      <c r="H5" t="s">
        <v>6</v>
      </c>
      <c r="I5" s="3">
        <f>6561+4262</f>
        <v>10823</v>
      </c>
      <c r="J5" s="4" t="s">
        <v>18</v>
      </c>
    </row>
    <row r="6" spans="1:11" x14ac:dyDescent="0.25">
      <c r="H6" t="s">
        <v>7</v>
      </c>
      <c r="I6" s="3">
        <v>9879</v>
      </c>
      <c r="J6" s="4" t="s">
        <v>18</v>
      </c>
    </row>
    <row r="7" spans="1:11" x14ac:dyDescent="0.25">
      <c r="B7" s="10" t="s">
        <v>134</v>
      </c>
      <c r="H7" t="s">
        <v>8</v>
      </c>
      <c r="I7" s="3">
        <f>+I4-I5+I6</f>
        <v>56056.150084239998</v>
      </c>
    </row>
    <row r="8" spans="1:11" x14ac:dyDescent="0.25">
      <c r="B8" t="s">
        <v>135</v>
      </c>
    </row>
    <row r="9" spans="1:11" x14ac:dyDescent="0.25">
      <c r="B9" t="s">
        <v>136</v>
      </c>
      <c r="H9" t="s">
        <v>131</v>
      </c>
      <c r="I9">
        <v>1998</v>
      </c>
      <c r="J9" t="s">
        <v>132</v>
      </c>
    </row>
    <row r="10" spans="1:11" x14ac:dyDescent="0.25">
      <c r="B10" t="s">
        <v>137</v>
      </c>
      <c r="K10" t="s">
        <v>145</v>
      </c>
    </row>
    <row r="12" spans="1:11" x14ac:dyDescent="0.25">
      <c r="B12" t="s">
        <v>138</v>
      </c>
      <c r="H12" s="1" t="s">
        <v>130</v>
      </c>
    </row>
    <row r="13" spans="1:11" x14ac:dyDescent="0.25">
      <c r="B13" t="s">
        <v>141</v>
      </c>
      <c r="H13" t="s">
        <v>119</v>
      </c>
      <c r="I13" t="s">
        <v>133</v>
      </c>
    </row>
    <row r="14" spans="1:11" x14ac:dyDescent="0.25">
      <c r="B14" t="s">
        <v>139</v>
      </c>
      <c r="H14" t="s">
        <v>121</v>
      </c>
      <c r="I14" t="s">
        <v>120</v>
      </c>
    </row>
    <row r="15" spans="1:11" x14ac:dyDescent="0.25">
      <c r="B15" t="s">
        <v>140</v>
      </c>
      <c r="H15" t="s">
        <v>122</v>
      </c>
      <c r="I15" t="s">
        <v>123</v>
      </c>
    </row>
    <row r="16" spans="1:11" x14ac:dyDescent="0.25">
      <c r="B16" t="s">
        <v>142</v>
      </c>
      <c r="H16" t="s">
        <v>124</v>
      </c>
      <c r="I16" t="s">
        <v>125</v>
      </c>
    </row>
    <row r="17" spans="2:4" x14ac:dyDescent="0.25">
      <c r="B17" t="s">
        <v>143</v>
      </c>
    </row>
    <row r="18" spans="2:4" x14ac:dyDescent="0.25">
      <c r="B18" t="s">
        <v>144</v>
      </c>
    </row>
    <row r="19" spans="2:4" x14ac:dyDescent="0.25">
      <c r="B19" t="s">
        <v>326</v>
      </c>
    </row>
    <row r="20" spans="2:4" x14ac:dyDescent="0.25">
      <c r="B20" t="s">
        <v>327</v>
      </c>
      <c r="D20">
        <v>770</v>
      </c>
    </row>
    <row r="21" spans="2:4" x14ac:dyDescent="0.25">
      <c r="B21" t="s">
        <v>328</v>
      </c>
      <c r="D21" s="3">
        <v>128000</v>
      </c>
    </row>
    <row r="23" spans="2:4" x14ac:dyDescent="0.25">
      <c r="B23" t="s">
        <v>146</v>
      </c>
    </row>
  </sheetData>
  <hyperlinks>
    <hyperlink ref="B5" r:id="rId1" xr:uid="{F2133DCE-B451-4551-8614-CD3340F659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573E-9756-42F4-98C2-02394799BD8E}">
  <dimension ref="A1:AN234"/>
  <sheetViews>
    <sheetView zoomScale="200" zoomScaleNormal="200" workbookViewId="0">
      <pane xSplit="2" ySplit="2" topLeftCell="C84" activePane="bottomRight" state="frozen"/>
      <selection pane="topRight" activeCell="C1" sqref="C1"/>
      <selection pane="bottomLeft" activeCell="A3" sqref="A3"/>
      <selection pane="bottomRight" activeCell="L90" sqref="L90"/>
    </sheetView>
  </sheetViews>
  <sheetFormatPr defaultRowHeight="15" x14ac:dyDescent="0.25"/>
  <cols>
    <col min="1" max="1" width="5.42578125" bestFit="1" customWidth="1"/>
    <col min="2" max="2" width="38" bestFit="1" customWidth="1"/>
  </cols>
  <sheetData>
    <row r="1" spans="1:40" x14ac:dyDescent="0.25">
      <c r="A1" s="5" t="s">
        <v>11</v>
      </c>
    </row>
    <row r="2" spans="1:40" x14ac:dyDescent="0.25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10</v>
      </c>
      <c r="J2" s="4" t="s">
        <v>18</v>
      </c>
      <c r="K2" s="4"/>
      <c r="L2" s="4" t="s">
        <v>127</v>
      </c>
      <c r="M2" s="4" t="s">
        <v>126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40" x14ac:dyDescent="0.25">
      <c r="B3" t="s">
        <v>147</v>
      </c>
      <c r="C3" s="4"/>
      <c r="D3" s="4"/>
      <c r="E3" s="4"/>
      <c r="F3" s="4"/>
      <c r="G3" s="4"/>
      <c r="H3" s="4"/>
      <c r="I3" s="4"/>
      <c r="J3" s="4"/>
      <c r="K3" s="4"/>
      <c r="L3" s="4">
        <v>62542662.63460286</v>
      </c>
      <c r="M3" s="4">
        <v>62542662.63460286</v>
      </c>
      <c r="N3" s="4">
        <v>62542662.63460286</v>
      </c>
      <c r="O3" s="4">
        <v>62542662.63460286</v>
      </c>
      <c r="P3" s="4">
        <v>62542662.63460286</v>
      </c>
      <c r="Q3" s="4">
        <v>62542662.63460286</v>
      </c>
      <c r="R3" s="4">
        <v>62542662.63460286</v>
      </c>
      <c r="S3" s="4">
        <v>62542662.63460286</v>
      </c>
      <c r="T3" s="4">
        <f>+S3*(1+2%)</f>
        <v>63793515.887294918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40" x14ac:dyDescent="0.25">
      <c r="B4" t="s">
        <v>148</v>
      </c>
      <c r="C4" s="4"/>
      <c r="D4" s="4"/>
      <c r="E4" s="4"/>
      <c r="F4" s="4"/>
      <c r="G4" s="4"/>
      <c r="H4" s="4"/>
      <c r="I4" s="4"/>
      <c r="J4" s="4"/>
      <c r="K4" s="4"/>
      <c r="L4" s="4">
        <v>40027304.086145833</v>
      </c>
      <c r="M4" s="4">
        <v>40027304.086145833</v>
      </c>
      <c r="N4" s="4">
        <v>40027304.086145833</v>
      </c>
      <c r="O4" s="4">
        <v>40027304.086145833</v>
      </c>
      <c r="P4" s="4">
        <v>40421322.860743828</v>
      </c>
      <c r="Q4" s="4">
        <v>40965444.025664873</v>
      </c>
      <c r="R4" s="4">
        <v>39777133.435607418</v>
      </c>
      <c r="S4" s="4">
        <v>38526280.18291536</v>
      </c>
      <c r="T4" s="4">
        <v>39296805.786573671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40" x14ac:dyDescent="0.25">
      <c r="B5" t="s">
        <v>149</v>
      </c>
      <c r="C5" s="4"/>
      <c r="D5" s="4"/>
      <c r="E5" s="4"/>
      <c r="F5" s="4"/>
      <c r="G5" s="4"/>
      <c r="H5" s="4"/>
      <c r="I5" s="4"/>
      <c r="J5" s="4"/>
      <c r="K5" s="4"/>
      <c r="L5" s="11">
        <f t="shared" ref="L5:S5" si="0">+L12/L4</f>
        <v>8.9920619991136885E-3</v>
      </c>
      <c r="M5" s="11">
        <f t="shared" si="0"/>
        <v>1.1396695591045107E-2</v>
      </c>
      <c r="N5" s="11">
        <f t="shared" si="0"/>
        <v>1.445061098182231E-2</v>
      </c>
      <c r="O5" s="11">
        <f t="shared" si="0"/>
        <v>1.7785984248847028E-2</v>
      </c>
      <c r="P5" s="11">
        <f t="shared" si="0"/>
        <v>2.3157629037150584E-2</v>
      </c>
      <c r="Q5" s="11">
        <f t="shared" si="0"/>
        <v>3.0412925567692033E-2</v>
      </c>
      <c r="R5" s="11">
        <f t="shared" si="0"/>
        <v>3.4117893442395471E-2</v>
      </c>
      <c r="S5" s="11">
        <f t="shared" si="0"/>
        <v>3.9676267543676709E-2</v>
      </c>
      <c r="T5" s="11">
        <f>+T12/T4</f>
        <v>4.278083081690038E-2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40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40" x14ac:dyDescent="0.25">
      <c r="B7" t="s">
        <v>52</v>
      </c>
      <c r="C7" s="3">
        <v>433</v>
      </c>
      <c r="D7" s="3">
        <v>431</v>
      </c>
      <c r="E7" s="3">
        <v>428</v>
      </c>
      <c r="F7" s="3">
        <v>426</v>
      </c>
      <c r="G7" s="3">
        <v>427</v>
      </c>
      <c r="H7" s="3">
        <v>429</v>
      </c>
      <c r="I7" s="3">
        <v>432</v>
      </c>
      <c r="J7" s="3">
        <v>434</v>
      </c>
      <c r="K7" s="3"/>
      <c r="L7" s="3">
        <v>199</v>
      </c>
      <c r="M7" s="3">
        <v>229</v>
      </c>
      <c r="N7" s="3">
        <v>267</v>
      </c>
      <c r="O7" s="3">
        <v>305</v>
      </c>
      <c r="P7" s="3">
        <v>377</v>
      </c>
      <c r="Q7" s="3">
        <v>426</v>
      </c>
      <c r="R7" s="3">
        <v>435</v>
      </c>
      <c r="S7" s="3">
        <v>426</v>
      </c>
      <c r="T7" s="3">
        <v>434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40" x14ac:dyDescent="0.25">
      <c r="B8" t="s">
        <v>53</v>
      </c>
      <c r="C8" s="3">
        <v>5835</v>
      </c>
      <c r="D8" s="3">
        <v>6074</v>
      </c>
      <c r="E8" s="3">
        <v>6275</v>
      </c>
      <c r="F8" s="3">
        <v>6798</v>
      </c>
      <c r="G8" s="3">
        <v>6505</v>
      </c>
      <c r="H8" s="3">
        <v>6580</v>
      </c>
      <c r="I8" s="3">
        <v>6631</v>
      </c>
      <c r="J8" s="3">
        <v>6619</v>
      </c>
      <c r="K8" s="3"/>
      <c r="L8" s="3">
        <v>6295</v>
      </c>
      <c r="M8" s="3">
        <v>7769</v>
      </c>
      <c r="N8" s="3">
        <v>9871</v>
      </c>
      <c r="O8" s="3">
        <v>12361</v>
      </c>
      <c r="P8" s="3">
        <v>15423</v>
      </c>
      <c r="Q8" s="3">
        <v>19348</v>
      </c>
      <c r="R8" s="3">
        <v>22349</v>
      </c>
      <c r="S8" s="3">
        <v>24981</v>
      </c>
      <c r="T8" s="3">
        <v>26334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40" x14ac:dyDescent="0.25">
      <c r="B9" t="s">
        <v>55</v>
      </c>
      <c r="C9" s="8">
        <f t="shared" ref="C9:I9" si="1">+C12/C8</f>
        <v>60.755441302485004</v>
      </c>
      <c r="D9" s="8">
        <f t="shared" si="1"/>
        <v>61.991768192295027</v>
      </c>
      <c r="E9" s="8">
        <f t="shared" si="1"/>
        <v>61.785019920318724</v>
      </c>
      <c r="F9" s="8">
        <f t="shared" si="1"/>
        <v>60.287143277434538</v>
      </c>
      <c r="G9" s="8">
        <f t="shared" si="1"/>
        <v>62.084550345887777</v>
      </c>
      <c r="H9" s="8">
        <f t="shared" si="1"/>
        <v>63.345592705167171</v>
      </c>
      <c r="I9" s="8">
        <f t="shared" si="1"/>
        <v>63.737143718896093</v>
      </c>
      <c r="J9" s="8">
        <f t="shared" ref="J9" si="2">+J12/J8</f>
        <v>66.148360779573949</v>
      </c>
      <c r="K9" s="3"/>
      <c r="L9" s="8">
        <f t="shared" ref="L9:N9" si="3">+L12/L8</f>
        <v>57.176806989674347</v>
      </c>
      <c r="M9" s="8">
        <f t="shared" si="3"/>
        <v>58.71785300553482</v>
      </c>
      <c r="N9" s="8">
        <f t="shared" si="3"/>
        <v>58.597811771856954</v>
      </c>
      <c r="O9" s="8">
        <f t="shared" ref="O9:Q9" si="4">+O12/O8</f>
        <v>57.594450287193595</v>
      </c>
      <c r="P9" s="8">
        <f t="shared" si="4"/>
        <v>60.692601958114501</v>
      </c>
      <c r="Q9" s="8">
        <f t="shared" si="4"/>
        <v>64.393167252429194</v>
      </c>
      <c r="R9" s="8">
        <f t="shared" ref="R9:S9" si="5">+R12/R8</f>
        <v>60.723611794711175</v>
      </c>
      <c r="S9" s="8">
        <f t="shared" si="5"/>
        <v>61.189664144750012</v>
      </c>
      <c r="T9" s="8">
        <f>+T12/T8</f>
        <v>63.839523050049365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40" x14ac:dyDescent="0.25">
      <c r="B10" t="s">
        <v>56</v>
      </c>
      <c r="C10" s="3">
        <f t="shared" ref="C10:I10" si="6">+C12/C7</f>
        <v>818.72517321016164</v>
      </c>
      <c r="D10" s="3">
        <f t="shared" si="6"/>
        <v>873.63805104408357</v>
      </c>
      <c r="E10" s="3">
        <f t="shared" si="6"/>
        <v>905.84345794392527</v>
      </c>
      <c r="F10" s="3">
        <f t="shared" si="6"/>
        <v>962.04694835680755</v>
      </c>
      <c r="G10" s="3">
        <f t="shared" si="6"/>
        <v>945.80796252927405</v>
      </c>
      <c r="H10" s="3">
        <f t="shared" si="6"/>
        <v>971.59440559440554</v>
      </c>
      <c r="I10" s="3">
        <f t="shared" si="6"/>
        <v>978.33564814814815</v>
      </c>
      <c r="J10" s="3">
        <f t="shared" ref="J10" si="7">+J12/J7</f>
        <v>1008.8387096774194</v>
      </c>
      <c r="K10" s="3"/>
      <c r="L10" s="3">
        <f t="shared" ref="L10:N10" si="8">+L12/L7</f>
        <v>1808.6834170854272</v>
      </c>
      <c r="M10" s="3">
        <f t="shared" si="8"/>
        <v>1992.0480349344978</v>
      </c>
      <c r="N10" s="3">
        <f t="shared" si="8"/>
        <v>2166.36329588015</v>
      </c>
      <c r="O10" s="3">
        <f t="shared" ref="O10:Q10" si="9">+O12/O7</f>
        <v>2334.1803278688526</v>
      </c>
      <c r="P10" s="3">
        <f>+P12/P7</f>
        <v>2482.9230769230771</v>
      </c>
      <c r="Q10" s="3">
        <f t="shared" si="9"/>
        <v>2924.5985915492956</v>
      </c>
      <c r="R10" s="3">
        <f t="shared" ref="R10:S10" si="10">+R12/R7</f>
        <v>3119.7977011494254</v>
      </c>
      <c r="S10" s="3">
        <f t="shared" si="10"/>
        <v>3588.2136150234742</v>
      </c>
      <c r="T10" s="3">
        <f>+T12/T7</f>
        <v>3873.6175115207375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40" x14ac:dyDescent="0.25">
      <c r="B11" t="s">
        <v>54</v>
      </c>
      <c r="C11" s="3">
        <f t="shared" ref="C11:I11" si="11">+C8/C7</f>
        <v>13.475750577367206</v>
      </c>
      <c r="D11" s="3">
        <f t="shared" si="11"/>
        <v>14.092807424593968</v>
      </c>
      <c r="E11" s="3">
        <f t="shared" si="11"/>
        <v>14.661214953271028</v>
      </c>
      <c r="F11" s="3">
        <f t="shared" si="11"/>
        <v>15.95774647887324</v>
      </c>
      <c r="G11" s="3">
        <f t="shared" si="11"/>
        <v>15.234192037470725</v>
      </c>
      <c r="H11" s="3">
        <f t="shared" si="11"/>
        <v>15.337995337995338</v>
      </c>
      <c r="I11" s="3">
        <f t="shared" si="11"/>
        <v>15.349537037037036</v>
      </c>
      <c r="J11" s="3">
        <f t="shared" ref="J11" si="12">+J8/J7</f>
        <v>15.251152073732719</v>
      </c>
      <c r="K11" s="3"/>
      <c r="L11" s="3">
        <f t="shared" ref="L11:Q11" si="13">+L8/L7</f>
        <v>31.633165829145728</v>
      </c>
      <c r="M11" s="3">
        <f t="shared" si="13"/>
        <v>33.925764192139738</v>
      </c>
      <c r="N11" s="3">
        <f t="shared" si="13"/>
        <v>36.970037453183522</v>
      </c>
      <c r="O11" s="3">
        <f t="shared" si="13"/>
        <v>40.527868852459015</v>
      </c>
      <c r="P11" s="3">
        <f t="shared" si="13"/>
        <v>40.909814323607428</v>
      </c>
      <c r="Q11" s="3">
        <f t="shared" si="13"/>
        <v>45.417840375586856</v>
      </c>
      <c r="R11" s="3">
        <f t="shared" ref="R11:S11" si="14">+R8/R7</f>
        <v>51.377011494252876</v>
      </c>
      <c r="S11" s="3">
        <f t="shared" si="14"/>
        <v>58.640845070422536</v>
      </c>
      <c r="T11" s="3">
        <f>+T8/T7</f>
        <v>60.677419354838712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40" x14ac:dyDescent="0.25">
      <c r="B12" s="1" t="s">
        <v>47</v>
      </c>
      <c r="C12" s="7">
        <v>354508</v>
      </c>
      <c r="D12" s="7">
        <v>376538</v>
      </c>
      <c r="E12" s="7">
        <v>387701</v>
      </c>
      <c r="F12" s="7">
        <v>409832</v>
      </c>
      <c r="G12" s="7">
        <v>403860</v>
      </c>
      <c r="H12" s="7">
        <v>416814</v>
      </c>
      <c r="I12" s="7">
        <v>422641</v>
      </c>
      <c r="J12" s="7">
        <v>437836</v>
      </c>
      <c r="K12" s="7"/>
      <c r="L12" s="1">
        <v>359928</v>
      </c>
      <c r="M12" s="1">
        <v>456179</v>
      </c>
      <c r="N12" s="1">
        <v>578419</v>
      </c>
      <c r="O12" s="1">
        <v>711925</v>
      </c>
      <c r="P12" s="1">
        <v>936062</v>
      </c>
      <c r="Q12" s="1">
        <v>1245879</v>
      </c>
      <c r="R12" s="1">
        <v>1357112</v>
      </c>
      <c r="S12" s="1">
        <v>1528579</v>
      </c>
      <c r="T12" s="1">
        <v>1681150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3"/>
    </row>
    <row r="13" spans="1:40" x14ac:dyDescent="0.25">
      <c r="B13" t="s">
        <v>48</v>
      </c>
      <c r="C13" s="6">
        <f t="shared" ref="C13:D13" si="15">+C17/C12</f>
        <v>1.9858508129576766E-2</v>
      </c>
      <c r="D13" s="6">
        <f t="shared" si="15"/>
        <v>1.9352628419973549E-2</v>
      </c>
      <c r="E13" s="6">
        <f>+E17/E12</f>
        <v>1.913330117796962E-2</v>
      </c>
      <c r="F13" s="6">
        <f t="shared" ref="F13:I13" si="16">+F17/F12</f>
        <v>1.9583634269651956E-2</v>
      </c>
      <c r="G13" s="6">
        <f t="shared" si="16"/>
        <v>1.9063536869212104E-2</v>
      </c>
      <c r="H13" s="6">
        <f t="shared" si="16"/>
        <v>1.8917310838887369E-2</v>
      </c>
      <c r="I13" s="6">
        <f t="shared" si="16"/>
        <v>1.8566584879365702E-2</v>
      </c>
      <c r="J13" s="6">
        <f>+J17/J12</f>
        <v>1.9107611068984735E-2</v>
      </c>
      <c r="K13" s="6"/>
      <c r="L13" s="6">
        <f t="shared" ref="L13:N13" si="17">+L17/L12</f>
        <v>3.012269120490765E-2</v>
      </c>
      <c r="M13" s="6">
        <f t="shared" si="17"/>
        <v>2.8703644841169804E-2</v>
      </c>
      <c r="N13" s="6">
        <f t="shared" si="17"/>
        <v>2.6712469680283669E-2</v>
      </c>
      <c r="O13" s="6">
        <f t="shared" ref="O13:T13" si="18">+O17/O12</f>
        <v>2.4963303718790603E-2</v>
      </c>
      <c r="P13" s="6">
        <f t="shared" si="18"/>
        <v>2.2919422004098019E-2</v>
      </c>
      <c r="Q13" s="6">
        <f t="shared" si="18"/>
        <v>2.0363935823623322E-2</v>
      </c>
      <c r="R13" s="6">
        <f t="shared" si="18"/>
        <v>2.0276882084897932E-2</v>
      </c>
      <c r="S13" s="6">
        <f t="shared" si="18"/>
        <v>1.9476258668999116E-2</v>
      </c>
      <c r="T13" s="6">
        <f t="shared" si="18"/>
        <v>1.8913838741337775E-2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3"/>
    </row>
    <row r="14" spans="1:40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40" x14ac:dyDescent="0.25">
      <c r="B15" t="s">
        <v>45</v>
      </c>
      <c r="C15" s="3">
        <v>6364</v>
      </c>
      <c r="D15" s="3">
        <v>7034</v>
      </c>
      <c r="E15" s="3">
        <v>6654</v>
      </c>
      <c r="F15" s="3">
        <v>7283</v>
      </c>
      <c r="G15" s="3">
        <v>7034</v>
      </c>
      <c r="H15" s="3">
        <v>7153</v>
      </c>
      <c r="I15" s="3">
        <v>7067</v>
      </c>
      <c r="J15" s="3">
        <v>7588</v>
      </c>
      <c r="K15" s="3"/>
      <c r="L15" s="3">
        <v>9585</v>
      </c>
      <c r="M15" s="3">
        <v>11501</v>
      </c>
      <c r="N15" s="3">
        <v>13709</v>
      </c>
      <c r="O15" s="3">
        <v>16099</v>
      </c>
      <c r="P15" s="3">
        <v>19918</v>
      </c>
      <c r="Q15" s="3">
        <v>23402</v>
      </c>
      <c r="R15" s="3">
        <v>25206</v>
      </c>
      <c r="S15" s="3">
        <v>26857</v>
      </c>
      <c r="T15" s="3">
        <v>28842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40" x14ac:dyDescent="0.25">
      <c r="B16" t="s">
        <v>46</v>
      </c>
      <c r="C16" s="3">
        <v>676</v>
      </c>
      <c r="D16" s="3">
        <v>665</v>
      </c>
      <c r="E16" s="3">
        <v>764</v>
      </c>
      <c r="F16" s="3">
        <v>743</v>
      </c>
      <c r="G16" s="3">
        <v>665</v>
      </c>
      <c r="H16" s="3">
        <v>732</v>
      </c>
      <c r="I16" s="3">
        <v>780</v>
      </c>
      <c r="J16" s="3">
        <v>778</v>
      </c>
      <c r="K16" s="3"/>
      <c r="L16" s="3">
        <v>1257</v>
      </c>
      <c r="M16" s="3">
        <v>1593</v>
      </c>
      <c r="N16" s="3">
        <v>1742</v>
      </c>
      <c r="O16" s="3">
        <v>1673</v>
      </c>
      <c r="P16" s="3">
        <v>1536</v>
      </c>
      <c r="Q16" s="3">
        <v>1969</v>
      </c>
      <c r="R16" s="3">
        <v>2312</v>
      </c>
      <c r="S16" s="3">
        <v>2914</v>
      </c>
      <c r="T16" s="3">
        <v>2955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2:40" x14ac:dyDescent="0.25">
      <c r="B17" s="1" t="s">
        <v>26</v>
      </c>
      <c r="C17" s="7">
        <v>7040</v>
      </c>
      <c r="D17" s="7">
        <v>7287</v>
      </c>
      <c r="E17" s="7">
        <v>7418</v>
      </c>
      <c r="F17" s="7">
        <v>8026</v>
      </c>
      <c r="G17" s="7">
        <v>7699</v>
      </c>
      <c r="H17" s="7">
        <v>7885</v>
      </c>
      <c r="I17" s="7">
        <v>7847</v>
      </c>
      <c r="J17" s="7">
        <v>8366</v>
      </c>
      <c r="K17" s="7"/>
      <c r="L17" s="7">
        <v>10842</v>
      </c>
      <c r="M17" s="7">
        <v>13094</v>
      </c>
      <c r="N17" s="7">
        <v>15451</v>
      </c>
      <c r="O17" s="7">
        <v>17772</v>
      </c>
      <c r="P17" s="7">
        <v>21454</v>
      </c>
      <c r="Q17" s="7">
        <v>25371</v>
      </c>
      <c r="R17" s="7">
        <v>27518</v>
      </c>
      <c r="S17" s="7">
        <v>29771</v>
      </c>
      <c r="T17" s="7">
        <v>31797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3"/>
      <c r="AG17" s="3"/>
      <c r="AH17" s="3"/>
      <c r="AI17" s="3"/>
      <c r="AJ17" s="3"/>
      <c r="AK17" s="3"/>
      <c r="AL17" s="3"/>
      <c r="AM17" s="3"/>
      <c r="AN17" s="3"/>
    </row>
    <row r="18" spans="2:40" x14ac:dyDescent="0.25">
      <c r="B18" t="s">
        <v>27</v>
      </c>
      <c r="C18" s="3">
        <v>3283</v>
      </c>
      <c r="D18" s="3">
        <v>3541</v>
      </c>
      <c r="E18" s="3">
        <v>3603</v>
      </c>
      <c r="F18" s="3">
        <v>3958</v>
      </c>
      <c r="G18" s="3">
        <v>3917</v>
      </c>
      <c r="H18" s="3">
        <v>3942</v>
      </c>
      <c r="I18" s="3">
        <v>3841</v>
      </c>
      <c r="J18" s="3">
        <v>3997</v>
      </c>
      <c r="K18" s="3"/>
      <c r="L18" s="3">
        <f>3346+724</f>
        <v>4070</v>
      </c>
      <c r="M18" s="3">
        <f>4419+805</f>
        <v>5224</v>
      </c>
      <c r="N18" s="3">
        <f>5581+776</f>
        <v>6357</v>
      </c>
      <c r="O18" s="3">
        <v>6790</v>
      </c>
      <c r="P18" s="3">
        <v>7934</v>
      </c>
      <c r="Q18" s="3">
        <v>10315</v>
      </c>
      <c r="R18" s="3">
        <v>12173</v>
      </c>
      <c r="S18" s="3">
        <v>14385</v>
      </c>
      <c r="T18" s="3">
        <v>15697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2:40" x14ac:dyDescent="0.25">
      <c r="B19" t="s">
        <v>29</v>
      </c>
      <c r="C19" s="3">
        <v>442</v>
      </c>
      <c r="D19" s="3">
        <v>398</v>
      </c>
      <c r="E19" s="3">
        <v>446</v>
      </c>
      <c r="F19" s="3">
        <v>396</v>
      </c>
      <c r="G19" s="3">
        <v>321</v>
      </c>
      <c r="H19" s="3">
        <v>335</v>
      </c>
      <c r="I19" s="3">
        <v>352</v>
      </c>
      <c r="J19" s="3">
        <v>434</v>
      </c>
      <c r="K19" s="3"/>
      <c r="L19" s="3">
        <v>1088</v>
      </c>
      <c r="M19" s="3">
        <v>1011</v>
      </c>
      <c r="N19" s="3">
        <v>1274</v>
      </c>
      <c r="O19" s="3">
        <v>1380</v>
      </c>
      <c r="P19" s="3">
        <v>1741</v>
      </c>
      <c r="Q19" s="3">
        <v>1060</v>
      </c>
      <c r="R19" s="3">
        <v>1572</v>
      </c>
      <c r="S19" s="3">
        <v>1682</v>
      </c>
      <c r="T19" s="3">
        <v>1442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2:40" x14ac:dyDescent="0.25">
      <c r="B20" t="s">
        <v>28</v>
      </c>
      <c r="C20" s="3">
        <f t="shared" ref="C20" si="19">+C17-SUM(C18:C19)</f>
        <v>3315</v>
      </c>
      <c r="D20" s="3">
        <f t="shared" ref="D20" si="20">+D17-SUM(D18:D19)</f>
        <v>3348</v>
      </c>
      <c r="E20" s="3">
        <f t="shared" ref="E20" si="21">+E17-SUM(E18:E19)</f>
        <v>3369</v>
      </c>
      <c r="F20" s="3">
        <f t="shared" ref="F20" si="22">+F17-SUM(F18:F19)</f>
        <v>3672</v>
      </c>
      <c r="G20" s="3">
        <f t="shared" ref="G20" si="23">+G17-SUM(G18:G19)</f>
        <v>3461</v>
      </c>
      <c r="H20" s="3">
        <f t="shared" ref="H20" si="24">+H17-SUM(H18:H19)</f>
        <v>3608</v>
      </c>
      <c r="I20" s="3">
        <f t="shared" ref="I20" si="25">+I17-SUM(I18:I19)</f>
        <v>3654</v>
      </c>
      <c r="J20" s="3">
        <f t="shared" ref="J20" si="26">+J17-SUM(J18:J19)</f>
        <v>3935</v>
      </c>
      <c r="K20" s="3"/>
      <c r="L20" s="3">
        <f t="shared" ref="L20:M20" si="27">+L17-SUM(L18:L19)</f>
        <v>5684</v>
      </c>
      <c r="M20" s="3">
        <f t="shared" si="27"/>
        <v>6859</v>
      </c>
      <c r="N20" s="3">
        <f t="shared" ref="N20:S20" si="28">+N17-SUM(N18:N19)</f>
        <v>7820</v>
      </c>
      <c r="O20" s="3">
        <f t="shared" si="28"/>
        <v>9602</v>
      </c>
      <c r="P20" s="3">
        <f t="shared" si="28"/>
        <v>11779</v>
      </c>
      <c r="Q20" s="3">
        <f t="shared" si="28"/>
        <v>13996</v>
      </c>
      <c r="R20" s="3">
        <f t="shared" si="28"/>
        <v>13773</v>
      </c>
      <c r="S20" s="3">
        <f t="shared" si="28"/>
        <v>13704</v>
      </c>
      <c r="T20" s="3">
        <f>+T17-SUM(T18:T19)</f>
        <v>14658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2:40" x14ac:dyDescent="0.25">
      <c r="B21" t="s">
        <v>30</v>
      </c>
      <c r="C21" s="3">
        <v>488</v>
      </c>
      <c r="D21" s="3">
        <v>492</v>
      </c>
      <c r="E21" s="3">
        <v>474</v>
      </c>
      <c r="F21" s="3">
        <v>465</v>
      </c>
      <c r="G21" s="3">
        <v>454</v>
      </c>
      <c r="H21" s="3">
        <v>436</v>
      </c>
      <c r="I21" s="3">
        <v>427</v>
      </c>
      <c r="J21" s="3">
        <v>451</v>
      </c>
      <c r="K21" s="3"/>
      <c r="L21" s="3">
        <v>1267</v>
      </c>
      <c r="M21" s="3">
        <v>1364</v>
      </c>
      <c r="N21" s="3">
        <v>1482</v>
      </c>
      <c r="O21" s="3">
        <v>1615</v>
      </c>
      <c r="P21" s="3">
        <v>1778</v>
      </c>
      <c r="Q21" s="3">
        <v>2075</v>
      </c>
      <c r="R21" s="3">
        <v>2120</v>
      </c>
      <c r="S21" s="3">
        <v>1919</v>
      </c>
      <c r="T21" s="3">
        <v>1768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2:40" x14ac:dyDescent="0.25">
      <c r="B22" t="s">
        <v>31</v>
      </c>
      <c r="C22" s="3">
        <v>436</v>
      </c>
      <c r="D22" s="3">
        <v>465</v>
      </c>
      <c r="E22" s="3">
        <v>442</v>
      </c>
      <c r="F22" s="3">
        <v>466</v>
      </c>
      <c r="G22" s="3">
        <v>421</v>
      </c>
      <c r="H22" s="3">
        <v>446</v>
      </c>
      <c r="I22" s="3">
        <v>508</v>
      </c>
      <c r="J22" s="3">
        <v>626</v>
      </c>
      <c r="K22" s="3"/>
      <c r="L22" s="3">
        <v>969</v>
      </c>
      <c r="M22" s="3">
        <v>1128</v>
      </c>
      <c r="N22" s="3">
        <v>1313</v>
      </c>
      <c r="O22" s="3">
        <v>1401</v>
      </c>
      <c r="P22" s="3">
        <v>1861</v>
      </c>
      <c r="Q22" s="3">
        <v>2445</v>
      </c>
      <c r="R22" s="3">
        <v>2257</v>
      </c>
      <c r="S22" s="3">
        <v>1809</v>
      </c>
      <c r="T22" s="3">
        <v>2001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2:40" x14ac:dyDescent="0.25">
      <c r="B23" t="s">
        <v>32</v>
      </c>
      <c r="C23" s="3">
        <v>721</v>
      </c>
      <c r="D23" s="3">
        <v>743</v>
      </c>
      <c r="E23" s="3">
        <v>739</v>
      </c>
      <c r="F23" s="3">
        <v>770</v>
      </c>
      <c r="G23" s="3">
        <v>742</v>
      </c>
      <c r="H23" s="3">
        <v>718</v>
      </c>
      <c r="I23" s="3">
        <v>746</v>
      </c>
      <c r="J23" s="3">
        <v>773</v>
      </c>
      <c r="K23" s="3"/>
      <c r="L23" s="3">
        <v>834</v>
      </c>
      <c r="M23" s="3">
        <v>953</v>
      </c>
      <c r="N23" s="3">
        <v>1071</v>
      </c>
      <c r="O23" s="3">
        <v>2085</v>
      </c>
      <c r="P23" s="3">
        <v>2642</v>
      </c>
      <c r="Q23" s="3">
        <v>3038</v>
      </c>
      <c r="R23" s="3">
        <v>3253</v>
      </c>
      <c r="S23" s="3">
        <v>2973</v>
      </c>
      <c r="T23" s="3">
        <v>2979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2:40" x14ac:dyDescent="0.25">
      <c r="B24" t="s">
        <v>33</v>
      </c>
      <c r="C24" s="3">
        <v>507</v>
      </c>
      <c r="D24" s="3">
        <v>491</v>
      </c>
      <c r="E24" s="3">
        <v>507</v>
      </c>
      <c r="F24" s="3">
        <v>554</v>
      </c>
      <c r="G24" s="3">
        <v>464</v>
      </c>
      <c r="H24" s="3">
        <v>570</v>
      </c>
      <c r="I24" s="3">
        <v>519</v>
      </c>
      <c r="J24" s="3">
        <v>594</v>
      </c>
      <c r="K24" s="3"/>
      <c r="L24" s="3">
        <v>1028</v>
      </c>
      <c r="M24" s="3">
        <v>1155</v>
      </c>
      <c r="N24" s="3">
        <v>1451</v>
      </c>
      <c r="O24" s="3">
        <v>1711</v>
      </c>
      <c r="P24" s="3">
        <v>2070</v>
      </c>
      <c r="Q24" s="3">
        <v>2114</v>
      </c>
      <c r="R24" s="3">
        <v>2099</v>
      </c>
      <c r="S24" s="3">
        <v>2059</v>
      </c>
      <c r="T24" s="3">
        <v>2147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2:40" x14ac:dyDescent="0.25">
      <c r="B25" t="s">
        <v>34</v>
      </c>
      <c r="C25" s="3">
        <v>164</v>
      </c>
      <c r="D25" s="3">
        <v>24</v>
      </c>
      <c r="E25" s="3">
        <v>39</v>
      </c>
      <c r="F25" s="3">
        <v>-311</v>
      </c>
      <c r="G25" s="3">
        <v>212</v>
      </c>
      <c r="H25" s="3">
        <v>113</v>
      </c>
      <c r="I25" s="3">
        <v>63</v>
      </c>
      <c r="J25" s="3">
        <v>50</v>
      </c>
      <c r="K25" s="3"/>
      <c r="L25" s="3">
        <v>0</v>
      </c>
      <c r="M25" s="3">
        <v>132</v>
      </c>
      <c r="N25" s="3">
        <v>309</v>
      </c>
      <c r="O25" s="3">
        <v>71</v>
      </c>
      <c r="P25" s="3">
        <v>139</v>
      </c>
      <c r="Q25" s="3">
        <v>62</v>
      </c>
      <c r="R25" s="3">
        <v>207</v>
      </c>
      <c r="S25" s="3">
        <v>-84</v>
      </c>
      <c r="T25" s="3">
        <v>438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2:40" x14ac:dyDescent="0.25">
      <c r="B26" t="s">
        <v>35</v>
      </c>
      <c r="C26" s="3">
        <f t="shared" ref="C26" si="29">+C20-SUM(C21:C25)</f>
        <v>999</v>
      </c>
      <c r="D26" s="3">
        <f t="shared" ref="D26" si="30">+D20-SUM(D21:D25)</f>
        <v>1133</v>
      </c>
      <c r="E26" s="3">
        <f t="shared" ref="E26" si="31">+E20-SUM(E21:E25)</f>
        <v>1168</v>
      </c>
      <c r="F26" s="3">
        <f t="shared" ref="F26" si="32">+F20-SUM(F21:F25)</f>
        <v>1728</v>
      </c>
      <c r="G26" s="3">
        <f t="shared" ref="G26" si="33">+G20-SUM(G21:G25)</f>
        <v>1168</v>
      </c>
      <c r="H26" s="3">
        <f t="shared" ref="H26" si="34">+H20-SUM(H21:H25)</f>
        <v>1325</v>
      </c>
      <c r="I26" s="3">
        <f t="shared" ref="I26" si="35">+I20-SUM(I21:I25)</f>
        <v>1391</v>
      </c>
      <c r="J26" s="3">
        <f t="shared" ref="J26" si="36">+J20-SUM(J21:J25)</f>
        <v>1441</v>
      </c>
      <c r="K26" s="3"/>
      <c r="L26" s="3">
        <f t="shared" ref="L26:S26" si="37">+L20-SUM(L21:L25)</f>
        <v>1586</v>
      </c>
      <c r="M26" s="3">
        <f>+M20-SUM(M21:M25)</f>
        <v>2127</v>
      </c>
      <c r="N26" s="3">
        <f t="shared" si="37"/>
        <v>2194</v>
      </c>
      <c r="O26" s="3">
        <f t="shared" si="37"/>
        <v>2719</v>
      </c>
      <c r="P26" s="3">
        <f t="shared" si="37"/>
        <v>3289</v>
      </c>
      <c r="Q26" s="3">
        <f t="shared" si="37"/>
        <v>4262</v>
      </c>
      <c r="R26" s="3">
        <f t="shared" si="37"/>
        <v>3837</v>
      </c>
      <c r="S26" s="3">
        <f t="shared" si="37"/>
        <v>5028</v>
      </c>
      <c r="T26" s="3">
        <f>+T20-SUM(T21:T25)</f>
        <v>5325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2:40" x14ac:dyDescent="0.25">
      <c r="B27" t="s">
        <v>36</v>
      </c>
      <c r="C27" s="3">
        <v>75</v>
      </c>
      <c r="D27" s="3">
        <v>170</v>
      </c>
      <c r="E27" s="3">
        <v>73</v>
      </c>
      <c r="F27" s="3">
        <v>65</v>
      </c>
      <c r="G27" s="3">
        <v>41</v>
      </c>
      <c r="H27" s="3">
        <v>74</v>
      </c>
      <c r="I27" s="3">
        <v>-80</v>
      </c>
      <c r="J27" s="3">
        <v>-31</v>
      </c>
      <c r="K27" s="3"/>
      <c r="L27" s="3">
        <v>45</v>
      </c>
      <c r="M27" s="3">
        <v>73</v>
      </c>
      <c r="N27" s="3">
        <v>182</v>
      </c>
      <c r="O27" s="3">
        <v>279</v>
      </c>
      <c r="P27" s="3">
        <v>1776</v>
      </c>
      <c r="Q27" s="3">
        <v>-163</v>
      </c>
      <c r="R27" s="3">
        <v>-471</v>
      </c>
      <c r="S27" s="3">
        <v>383</v>
      </c>
      <c r="T27" s="3">
        <v>4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2:40" x14ac:dyDescent="0.25">
      <c r="B28" t="s">
        <v>37</v>
      </c>
      <c r="C28" s="3">
        <f t="shared" ref="C28:H28" si="38">+C26+C27</f>
        <v>1074</v>
      </c>
      <c r="D28" s="3">
        <f t="shared" si="38"/>
        <v>1303</v>
      </c>
      <c r="E28" s="3">
        <f t="shared" si="38"/>
        <v>1241</v>
      </c>
      <c r="F28" s="3">
        <f t="shared" si="38"/>
        <v>1793</v>
      </c>
      <c r="G28" s="3">
        <f t="shared" si="38"/>
        <v>1209</v>
      </c>
      <c r="H28" s="3">
        <f t="shared" si="38"/>
        <v>1399</v>
      </c>
      <c r="I28" s="3">
        <f>+I26+I27</f>
        <v>1311</v>
      </c>
      <c r="J28" s="3">
        <f t="shared" ref="J28:T28" si="39">+J26+J27</f>
        <v>1410</v>
      </c>
      <c r="K28" s="3"/>
      <c r="L28" s="3">
        <f t="shared" si="39"/>
        <v>1631</v>
      </c>
      <c r="M28" s="3">
        <f t="shared" si="39"/>
        <v>2200</v>
      </c>
      <c r="N28" s="3">
        <f t="shared" si="39"/>
        <v>2376</v>
      </c>
      <c r="O28" s="3">
        <f t="shared" si="39"/>
        <v>2998</v>
      </c>
      <c r="P28" s="3">
        <f t="shared" si="39"/>
        <v>5065</v>
      </c>
      <c r="Q28" s="3">
        <f t="shared" si="39"/>
        <v>4099</v>
      </c>
      <c r="R28" s="3">
        <f t="shared" si="39"/>
        <v>3366</v>
      </c>
      <c r="S28" s="3">
        <f t="shared" si="39"/>
        <v>5411</v>
      </c>
      <c r="T28" s="3">
        <f t="shared" si="39"/>
        <v>5329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2:40" x14ac:dyDescent="0.25">
      <c r="B29" t="s">
        <v>38</v>
      </c>
      <c r="C29" s="3">
        <v>279</v>
      </c>
      <c r="D29" s="3">
        <v>274</v>
      </c>
      <c r="E29" s="3">
        <v>221</v>
      </c>
      <c r="F29" s="3">
        <v>391</v>
      </c>
      <c r="G29" s="3">
        <v>321</v>
      </c>
      <c r="H29" s="3">
        <v>271</v>
      </c>
      <c r="I29" s="3">
        <v>301</v>
      </c>
      <c r="J29" s="3">
        <v>289</v>
      </c>
      <c r="K29" s="3"/>
      <c r="L29" s="3">
        <v>230</v>
      </c>
      <c r="M29" s="3">
        <v>405</v>
      </c>
      <c r="N29" s="3">
        <v>319</v>
      </c>
      <c r="O29" s="3">
        <v>539</v>
      </c>
      <c r="P29" s="3">
        <v>863</v>
      </c>
      <c r="Q29" s="3">
        <v>-70</v>
      </c>
      <c r="R29" s="3">
        <v>947</v>
      </c>
      <c r="S29" s="3">
        <v>1165</v>
      </c>
      <c r="T29" s="3">
        <v>1182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2:40" x14ac:dyDescent="0.25">
      <c r="B30" t="s">
        <v>39</v>
      </c>
      <c r="C30" s="3">
        <f t="shared" ref="C30:H30" si="40">+C28-C29</f>
        <v>795</v>
      </c>
      <c r="D30" s="3">
        <f t="shared" si="40"/>
        <v>1029</v>
      </c>
      <c r="E30" s="3">
        <f t="shared" si="40"/>
        <v>1020</v>
      </c>
      <c r="F30" s="3">
        <f t="shared" si="40"/>
        <v>1402</v>
      </c>
      <c r="G30" s="3">
        <f t="shared" si="40"/>
        <v>888</v>
      </c>
      <c r="H30" s="3">
        <f t="shared" si="40"/>
        <v>1128</v>
      </c>
      <c r="I30" s="3">
        <f>+I28-I29</f>
        <v>1010</v>
      </c>
      <c r="J30" s="3">
        <f t="shared" ref="J30" si="41">+J28-J29</f>
        <v>1121</v>
      </c>
      <c r="K30" s="3"/>
      <c r="L30" s="3">
        <f t="shared" ref="L30:Q30" si="42">+L28-L29</f>
        <v>1401</v>
      </c>
      <c r="M30" s="3">
        <f t="shared" si="42"/>
        <v>1795</v>
      </c>
      <c r="N30" s="3">
        <f t="shared" si="42"/>
        <v>2057</v>
      </c>
      <c r="O30" s="3">
        <f t="shared" si="42"/>
        <v>2459</v>
      </c>
      <c r="P30" s="3">
        <f t="shared" si="42"/>
        <v>4202</v>
      </c>
      <c r="Q30" s="3">
        <f t="shared" si="42"/>
        <v>4169</v>
      </c>
      <c r="R30" s="3">
        <f>+R28-R29</f>
        <v>2419</v>
      </c>
      <c r="S30" s="3">
        <f t="shared" ref="S30:T30" si="43">+S28-S29</f>
        <v>4246</v>
      </c>
      <c r="T30" s="3">
        <f t="shared" si="43"/>
        <v>4147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2:40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2:40" x14ac:dyDescent="0.25">
      <c r="B32" t="s">
        <v>40</v>
      </c>
      <c r="C32" s="2">
        <f t="shared" ref="C32:D32" si="44">+C30/C33</f>
        <v>0.70416297608503098</v>
      </c>
      <c r="D32" s="2">
        <f t="shared" si="44"/>
        <v>0.9261926192619262</v>
      </c>
      <c r="E32" s="2">
        <f>+E30/E33</f>
        <v>0.93235831809872027</v>
      </c>
      <c r="F32" s="2">
        <f>+F30/F33</f>
        <v>1.3017641597028784</v>
      </c>
      <c r="G32" s="2">
        <f t="shared" ref="G32:J32" si="45">+G30/G33</f>
        <v>0.83458646616541354</v>
      </c>
      <c r="H32" s="2">
        <f t="shared" si="45"/>
        <v>1</v>
      </c>
      <c r="I32" s="2">
        <f t="shared" si="45"/>
        <v>0.99507389162561577</v>
      </c>
      <c r="J32" s="2">
        <f t="shared" si="45"/>
        <v>1.1243731193580742</v>
      </c>
      <c r="K32" s="2"/>
      <c r="L32" s="2">
        <f t="shared" ref="L32:S32" si="46">+L30/L33</f>
        <v>1.1578512396694214</v>
      </c>
      <c r="M32" s="2">
        <f t="shared" si="46"/>
        <v>1.4921030756442228</v>
      </c>
      <c r="N32" s="2">
        <f t="shared" si="46"/>
        <v>1.7373310810810811</v>
      </c>
      <c r="O32" s="2">
        <f t="shared" si="46"/>
        <v>2.094548551959114</v>
      </c>
      <c r="P32" s="2">
        <f t="shared" si="46"/>
        <v>3.5822676896845693</v>
      </c>
      <c r="Q32" s="2">
        <f t="shared" si="46"/>
        <v>3.5511073253833048</v>
      </c>
      <c r="R32" s="2">
        <f t="shared" si="46"/>
        <v>2.0889464594127807</v>
      </c>
      <c r="S32" s="2">
        <f t="shared" si="46"/>
        <v>3.8355916892502258</v>
      </c>
      <c r="T32" s="2">
        <f>+T30/T33</f>
        <v>4.0301263362487854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3"/>
      <c r="AH32" s="3"/>
      <c r="AI32" s="3"/>
      <c r="AJ32" s="3"/>
      <c r="AK32" s="3"/>
      <c r="AL32" s="3"/>
      <c r="AM32" s="3"/>
      <c r="AN32" s="3"/>
    </row>
    <row r="33" spans="2:40" x14ac:dyDescent="0.25">
      <c r="B33" t="s">
        <v>4</v>
      </c>
      <c r="C33" s="3">
        <v>1129</v>
      </c>
      <c r="D33" s="3">
        <v>1111</v>
      </c>
      <c r="E33" s="3">
        <v>1094</v>
      </c>
      <c r="F33" s="3">
        <v>1077</v>
      </c>
      <c r="G33" s="3">
        <v>1064</v>
      </c>
      <c r="H33" s="3">
        <v>1128</v>
      </c>
      <c r="I33" s="3">
        <v>1015</v>
      </c>
      <c r="J33" s="3">
        <v>997</v>
      </c>
      <c r="K33" s="3"/>
      <c r="L33" s="3">
        <v>1210</v>
      </c>
      <c r="M33" s="3">
        <v>1203</v>
      </c>
      <c r="N33" s="3">
        <v>1184</v>
      </c>
      <c r="O33" s="3">
        <v>1174</v>
      </c>
      <c r="P33" s="3">
        <v>1173</v>
      </c>
      <c r="Q33" s="3">
        <v>1174</v>
      </c>
      <c r="R33" s="3">
        <v>1158</v>
      </c>
      <c r="S33" s="3">
        <v>1107</v>
      </c>
      <c r="T33" s="3">
        <v>1029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2:40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2:40" x14ac:dyDescent="0.25">
      <c r="B35" t="s">
        <v>57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f t="shared" ref="M35:O35" si="47">+M7/L7-1</f>
        <v>0.15075376884422109</v>
      </c>
      <c r="N35" s="3">
        <f t="shared" si="47"/>
        <v>0.1659388646288209</v>
      </c>
      <c r="O35" s="3">
        <f t="shared" si="47"/>
        <v>0.14232209737827706</v>
      </c>
      <c r="P35" s="3">
        <f t="shared" ref="P35:T36" si="48">+P7/O7-1</f>
        <v>0.23606557377049175</v>
      </c>
      <c r="Q35" s="3">
        <f t="shared" si="48"/>
        <v>0.12997347480106103</v>
      </c>
      <c r="R35" s="3">
        <f t="shared" si="48"/>
        <v>2.1126760563380254E-2</v>
      </c>
      <c r="S35" s="3">
        <f t="shared" si="48"/>
        <v>-2.0689655172413834E-2</v>
      </c>
      <c r="T35" s="3">
        <f t="shared" si="48"/>
        <v>1.8779342723004744E-2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2:40" x14ac:dyDescent="0.25">
      <c r="B36" t="s">
        <v>58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>
        <f t="shared" ref="M36:O36" si="49">+M8/L8-1</f>
        <v>0.23415409054805392</v>
      </c>
      <c r="N36" s="3">
        <f t="shared" si="49"/>
        <v>0.27056249195520654</v>
      </c>
      <c r="O36" s="3">
        <f t="shared" si="49"/>
        <v>0.25225407760105356</v>
      </c>
      <c r="P36" s="3">
        <f t="shared" si="48"/>
        <v>0.24771458619852771</v>
      </c>
      <c r="Q36" s="3">
        <f t="shared" si="48"/>
        <v>0.25449004733190694</v>
      </c>
      <c r="R36" s="3">
        <f t="shared" si="48"/>
        <v>0.15510647095307006</v>
      </c>
      <c r="S36" s="3">
        <f t="shared" si="48"/>
        <v>0.11776813280236254</v>
      </c>
      <c r="T36" s="3">
        <f t="shared" si="48"/>
        <v>5.4161162483487457E-2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2:40" x14ac:dyDescent="0.25">
      <c r="B37" t="s">
        <v>49</v>
      </c>
      <c r="C37" s="3"/>
      <c r="D37" s="3"/>
      <c r="E37" s="3"/>
      <c r="F37" s="3"/>
      <c r="G37" s="6">
        <f>+G12/C12-1</f>
        <v>0.1392126552856352</v>
      </c>
      <c r="H37" s="6">
        <f>+H12/D12-1</f>
        <v>0.10696397176380601</v>
      </c>
      <c r="I37" s="6">
        <f>+I12/E12-1</f>
        <v>9.0120995303081486E-2</v>
      </c>
      <c r="J37" s="6">
        <f>+J12/F12-1</f>
        <v>6.8330437837943458E-2</v>
      </c>
      <c r="K37" s="6"/>
      <c r="L37" s="6"/>
      <c r="M37" s="6">
        <f t="shared" ref="M37:O37" si="50">+M12/L12-1</f>
        <v>0.26741737236336149</v>
      </c>
      <c r="N37" s="6">
        <f t="shared" si="50"/>
        <v>0.26796498742818065</v>
      </c>
      <c r="O37" s="6">
        <f t="shared" si="50"/>
        <v>0.23081192007869733</v>
      </c>
      <c r="P37" s="6">
        <f>+P12/O12-1</f>
        <v>0.31483232082031121</v>
      </c>
      <c r="Q37" s="6">
        <f>+Q12/P12-1</f>
        <v>0.33097914454384436</v>
      </c>
      <c r="R37" s="6">
        <f>+R12/Q12-1</f>
        <v>8.9280740746091825E-2</v>
      </c>
      <c r="S37" s="6">
        <f>+S12/R12-1</f>
        <v>0.12634697799444705</v>
      </c>
      <c r="T37" s="6">
        <f>+T12/S12-1</f>
        <v>9.9812309340897576E-2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3"/>
      <c r="AG37" s="3"/>
      <c r="AH37" s="3"/>
      <c r="AI37" s="3"/>
      <c r="AJ37" s="3"/>
      <c r="AK37" s="3"/>
      <c r="AL37" s="3"/>
      <c r="AM37" s="3"/>
      <c r="AN37" s="3"/>
    </row>
    <row r="38" spans="2:40" x14ac:dyDescent="0.25">
      <c r="B38" t="s">
        <v>50</v>
      </c>
      <c r="C38" s="3"/>
      <c r="D38" s="3"/>
      <c r="E38" s="3"/>
      <c r="F38" s="3"/>
      <c r="G38" s="6">
        <f t="shared" ref="G38:J40" si="51">+G15/C15-1</f>
        <v>0.10527969830295403</v>
      </c>
      <c r="H38" s="6">
        <f t="shared" si="51"/>
        <v>1.6917827694057364E-2</v>
      </c>
      <c r="I38" s="6">
        <f t="shared" si="51"/>
        <v>6.2067929065223959E-2</v>
      </c>
      <c r="J38" s="6">
        <f t="shared" si="51"/>
        <v>4.1878346835095392E-2</v>
      </c>
      <c r="K38" s="6"/>
      <c r="L38" s="6"/>
      <c r="M38" s="6">
        <f t="shared" ref="M38:O38" si="52">+M15/L15-1</f>
        <v>0.19989567031820554</v>
      </c>
      <c r="N38" s="6">
        <f t="shared" si="52"/>
        <v>0.19198330579949574</v>
      </c>
      <c r="O38" s="6">
        <f t="shared" si="52"/>
        <v>0.17433802611423155</v>
      </c>
      <c r="P38" s="6">
        <f t="shared" ref="P38:T40" si="53">+P15/O15-1</f>
        <v>0.23721970308714835</v>
      </c>
      <c r="Q38" s="6">
        <f t="shared" si="53"/>
        <v>0.17491716035746552</v>
      </c>
      <c r="R38" s="6">
        <f t="shared" si="53"/>
        <v>7.7087428424921001E-2</v>
      </c>
      <c r="S38" s="6">
        <f t="shared" si="53"/>
        <v>6.5500277711656008E-2</v>
      </c>
      <c r="T38" s="6">
        <f t="shared" si="53"/>
        <v>7.3909967606210714E-2</v>
      </c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3"/>
      <c r="AG38" s="3"/>
      <c r="AH38" s="3"/>
      <c r="AI38" s="3"/>
      <c r="AJ38" s="3"/>
      <c r="AK38" s="3"/>
      <c r="AL38" s="3"/>
      <c r="AM38" s="3"/>
      <c r="AN38" s="3"/>
    </row>
    <row r="39" spans="2:40" x14ac:dyDescent="0.25">
      <c r="B39" t="s">
        <v>51</v>
      </c>
      <c r="C39" s="3"/>
      <c r="D39" s="3"/>
      <c r="E39" s="3"/>
      <c r="F39" s="3"/>
      <c r="G39" s="6">
        <f t="shared" si="51"/>
        <v>-1.6272189349112454E-2</v>
      </c>
      <c r="H39" s="6">
        <f t="shared" si="51"/>
        <v>0.10075187969924815</v>
      </c>
      <c r="I39" s="6">
        <f t="shared" si="51"/>
        <v>2.0942408376963373E-2</v>
      </c>
      <c r="J39" s="6">
        <f t="shared" si="51"/>
        <v>4.7106325706594898E-2</v>
      </c>
      <c r="K39" s="6"/>
      <c r="L39" s="6"/>
      <c r="M39" s="6">
        <f t="shared" ref="M39:O39" si="54">+M16/L16-1</f>
        <v>0.26730310262529833</v>
      </c>
      <c r="N39" s="6">
        <f t="shared" si="54"/>
        <v>9.3534212178280063E-2</v>
      </c>
      <c r="O39" s="6">
        <f t="shared" si="54"/>
        <v>-3.960964408725598E-2</v>
      </c>
      <c r="P39" s="6">
        <f t="shared" si="53"/>
        <v>-8.1888822474596501E-2</v>
      </c>
      <c r="Q39" s="6">
        <f t="shared" si="53"/>
        <v>0.28190104166666674</v>
      </c>
      <c r="R39" s="6">
        <f t="shared" si="53"/>
        <v>0.17420010157440324</v>
      </c>
      <c r="S39" s="6">
        <f t="shared" si="53"/>
        <v>0.26038062283737018</v>
      </c>
      <c r="T39" s="6">
        <f t="shared" si="53"/>
        <v>1.4070006863418083E-2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5">
      <c r="B40" s="1" t="s">
        <v>41</v>
      </c>
      <c r="C40" s="7"/>
      <c r="D40" s="7"/>
      <c r="E40" s="7"/>
      <c r="F40" s="7"/>
      <c r="G40" s="9">
        <f t="shared" si="51"/>
        <v>9.3607954545454453E-2</v>
      </c>
      <c r="H40" s="9">
        <f t="shared" si="51"/>
        <v>8.2063949499108002E-2</v>
      </c>
      <c r="I40" s="9">
        <f t="shared" si="51"/>
        <v>5.7832299811269916E-2</v>
      </c>
      <c r="J40" s="9">
        <f t="shared" si="51"/>
        <v>4.2362322452030865E-2</v>
      </c>
      <c r="K40" s="6"/>
      <c r="L40" s="9"/>
      <c r="M40" s="9">
        <f t="shared" ref="M40:O40" si="55">+M17/L17-1</f>
        <v>0.20771075447334431</v>
      </c>
      <c r="N40" s="9">
        <f t="shared" si="55"/>
        <v>0.18000610966855057</v>
      </c>
      <c r="O40" s="9">
        <f t="shared" si="55"/>
        <v>0.15021681444566704</v>
      </c>
      <c r="P40" s="9">
        <f t="shared" si="53"/>
        <v>0.20717983344586988</v>
      </c>
      <c r="Q40" s="9">
        <f t="shared" si="53"/>
        <v>0.18257667567819524</v>
      </c>
      <c r="R40" s="9">
        <f t="shared" si="53"/>
        <v>8.4624177210200546E-2</v>
      </c>
      <c r="S40" s="9">
        <f t="shared" si="53"/>
        <v>8.1873682680427384E-2</v>
      </c>
      <c r="T40" s="9">
        <f t="shared" si="53"/>
        <v>6.8052803063383793E-2</v>
      </c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5">
      <c r="B41" t="s">
        <v>42</v>
      </c>
      <c r="C41" s="6">
        <f t="shared" ref="C41:J41" si="56">+C20/C17</f>
        <v>0.47088068181818182</v>
      </c>
      <c r="D41" s="6">
        <f t="shared" si="56"/>
        <v>0.45944833264717994</v>
      </c>
      <c r="E41" s="6">
        <f t="shared" si="56"/>
        <v>0.45416554327311942</v>
      </c>
      <c r="F41" s="6">
        <f t="shared" si="56"/>
        <v>0.45751308248193373</v>
      </c>
      <c r="G41" s="6">
        <f t="shared" si="56"/>
        <v>0.44953890115599426</v>
      </c>
      <c r="H41" s="6">
        <f t="shared" si="56"/>
        <v>0.45757767913760306</v>
      </c>
      <c r="I41" s="6">
        <f t="shared" si="56"/>
        <v>0.46565566458519181</v>
      </c>
      <c r="J41" s="6">
        <f t="shared" si="56"/>
        <v>0.47035620368156827</v>
      </c>
      <c r="K41" s="6"/>
      <c r="L41" s="6">
        <f t="shared" ref="L41:O41" si="57">+L20/L17</f>
        <v>0.5242575170632725</v>
      </c>
      <c r="M41" s="6">
        <f t="shared" si="57"/>
        <v>0.52382770734687645</v>
      </c>
      <c r="N41" s="6">
        <f t="shared" si="57"/>
        <v>0.50611610898970938</v>
      </c>
      <c r="O41" s="6">
        <f t="shared" si="57"/>
        <v>0.54028809363042984</v>
      </c>
      <c r="P41" s="6">
        <f>+P20/P17</f>
        <v>0.54903514496131256</v>
      </c>
      <c r="Q41" s="6">
        <f>+Q20/Q17</f>
        <v>0.55165346261479642</v>
      </c>
      <c r="R41" s="6">
        <f>+R20/R17</f>
        <v>0.50050875790391747</v>
      </c>
      <c r="S41" s="6">
        <f>+S20/S17</f>
        <v>0.46031372812468507</v>
      </c>
      <c r="T41" s="6">
        <f>+T20/T17</f>
        <v>0.46098688555524103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3"/>
      <c r="AG41" s="3"/>
      <c r="AH41" s="3"/>
      <c r="AI41" s="3"/>
      <c r="AJ41" s="3"/>
      <c r="AK41" s="3"/>
      <c r="AL41" s="3"/>
      <c r="AM41" s="3"/>
      <c r="AN41" s="3"/>
    </row>
    <row r="42" spans="2:40" x14ac:dyDescent="0.25">
      <c r="B42" t="s">
        <v>43</v>
      </c>
      <c r="C42" s="6">
        <f t="shared" ref="C42:J42" si="58">+C26/C17</f>
        <v>0.14190340909090909</v>
      </c>
      <c r="D42" s="6">
        <f t="shared" si="58"/>
        <v>0.15548236585700562</v>
      </c>
      <c r="E42" s="6">
        <f t="shared" si="58"/>
        <v>0.15745483957940146</v>
      </c>
      <c r="F42" s="6">
        <f t="shared" si="58"/>
        <v>0.21530027410914529</v>
      </c>
      <c r="G42" s="6">
        <f t="shared" si="58"/>
        <v>0.15170801402779582</v>
      </c>
      <c r="H42" s="6">
        <f t="shared" si="58"/>
        <v>0.16804058338617628</v>
      </c>
      <c r="I42" s="6">
        <f t="shared" si="58"/>
        <v>0.17726519689053141</v>
      </c>
      <c r="J42" s="6">
        <f t="shared" si="58"/>
        <v>0.17224480038250059</v>
      </c>
      <c r="K42" s="6"/>
      <c r="L42" s="6">
        <f t="shared" ref="L42:N42" si="59">+L26/L17</f>
        <v>0.14628297362110312</v>
      </c>
      <c r="M42" s="6">
        <f t="shared" si="59"/>
        <v>0.16244081258591722</v>
      </c>
      <c r="N42" s="6">
        <f t="shared" si="59"/>
        <v>0.1419972817293379</v>
      </c>
      <c r="O42" s="6">
        <f t="shared" ref="O42:T42" si="60">+O26/O17</f>
        <v>0.15299347287868556</v>
      </c>
      <c r="P42" s="6">
        <f t="shared" si="60"/>
        <v>0.15330474503589075</v>
      </c>
      <c r="Q42" s="6">
        <f t="shared" si="60"/>
        <v>0.16798707185369122</v>
      </c>
      <c r="R42" s="6">
        <f t="shared" si="60"/>
        <v>0.13943600552365723</v>
      </c>
      <c r="S42" s="6">
        <f t="shared" si="60"/>
        <v>0.16888918746431092</v>
      </c>
      <c r="T42" s="6">
        <f t="shared" si="60"/>
        <v>0.16746862911595434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3"/>
      <c r="AG42" s="3"/>
      <c r="AH42" s="3"/>
      <c r="AI42" s="3"/>
      <c r="AJ42" s="3"/>
      <c r="AK42" s="3"/>
      <c r="AL42" s="3"/>
      <c r="AM42" s="3"/>
      <c r="AN42" s="3"/>
    </row>
    <row r="43" spans="2:40" x14ac:dyDescent="0.25">
      <c r="B43" t="s">
        <v>44</v>
      </c>
      <c r="C43" s="6">
        <f t="shared" ref="C43:H43" si="61">+C29/C28</f>
        <v>0.25977653631284914</v>
      </c>
      <c r="D43" s="6">
        <f t="shared" si="61"/>
        <v>0.21028396009209516</v>
      </c>
      <c r="E43" s="6">
        <f t="shared" si="61"/>
        <v>0.17808219178082191</v>
      </c>
      <c r="F43" s="6">
        <f t="shared" si="61"/>
        <v>0.2180702732849972</v>
      </c>
      <c r="G43" s="6">
        <f t="shared" si="61"/>
        <v>0.26550868486352358</v>
      </c>
      <c r="H43" s="6">
        <f t="shared" si="61"/>
        <v>0.1937097927090779</v>
      </c>
      <c r="I43" s="6">
        <f>+I29/I28</f>
        <v>0.2295957284515637</v>
      </c>
      <c r="J43" s="6">
        <f t="shared" ref="J43:T43" si="62">+J29/J28</f>
        <v>0.20496453900709219</v>
      </c>
      <c r="K43" s="6"/>
      <c r="L43" s="6">
        <f t="shared" ref="L43:N43" si="63">+L29/L28</f>
        <v>0.14101778050275904</v>
      </c>
      <c r="M43" s="6">
        <f t="shared" si="63"/>
        <v>0.18409090909090908</v>
      </c>
      <c r="N43" s="6">
        <f t="shared" si="63"/>
        <v>0.13425925925925927</v>
      </c>
      <c r="O43" s="6">
        <f t="shared" si="62"/>
        <v>0.17978652434956638</v>
      </c>
      <c r="P43" s="6">
        <f t="shared" ref="P43:Q43" si="64">+P29/P28</f>
        <v>0.17038499506416585</v>
      </c>
      <c r="Q43" s="6">
        <f t="shared" si="64"/>
        <v>-1.7077335935594046E-2</v>
      </c>
      <c r="R43" s="6">
        <f t="shared" si="62"/>
        <v>0.28134284016636957</v>
      </c>
      <c r="S43" s="6">
        <f t="shared" si="62"/>
        <v>0.21530216226205878</v>
      </c>
      <c r="T43" s="6">
        <f t="shared" si="62"/>
        <v>0.22180521673860012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3"/>
      <c r="AG43" s="3"/>
      <c r="AH43" s="3"/>
      <c r="AI43" s="3"/>
      <c r="AJ43" s="3"/>
      <c r="AK43" s="3"/>
      <c r="AL43" s="3"/>
      <c r="AM43" s="3"/>
      <c r="AN43" s="3"/>
    </row>
    <row r="44" spans="2:40" x14ac:dyDescent="0.25">
      <c r="B44" t="s">
        <v>129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3"/>
      <c r="AG44" s="3"/>
      <c r="AH44" s="3"/>
      <c r="AI44" s="3"/>
      <c r="AJ44" s="3"/>
      <c r="AK44" s="3"/>
      <c r="AL44" s="3"/>
      <c r="AM44" s="3"/>
      <c r="AN44" s="3"/>
    </row>
    <row r="45" spans="2:40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2:40" x14ac:dyDescent="0.25">
      <c r="B46" t="s">
        <v>59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v>2883</v>
      </c>
      <c r="N46" s="3">
        <v>7575</v>
      </c>
      <c r="O46" s="3">
        <v>7349</v>
      </c>
      <c r="P46" s="3">
        <v>4794</v>
      </c>
      <c r="Q46" s="3">
        <v>5197</v>
      </c>
      <c r="R46" s="3">
        <v>7776</v>
      </c>
      <c r="S46" s="3">
        <v>9081</v>
      </c>
      <c r="T46" s="3">
        <v>6561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2:40" x14ac:dyDescent="0.25">
      <c r="B47" t="s">
        <v>60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2812</v>
      </c>
      <c r="N47" s="3">
        <v>1534</v>
      </c>
      <c r="O47" s="3">
        <v>3412</v>
      </c>
      <c r="P47" s="3">
        <v>8289</v>
      </c>
      <c r="Q47" s="3">
        <v>4303</v>
      </c>
      <c r="R47" s="3">
        <v>3092</v>
      </c>
      <c r="S47" s="3">
        <v>4979</v>
      </c>
      <c r="T47" s="3">
        <v>4262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2:40" x14ac:dyDescent="0.25">
      <c r="B48" t="s">
        <v>61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283</v>
      </c>
      <c r="N48" s="3">
        <v>313</v>
      </c>
      <c r="O48" s="3">
        <v>435</v>
      </c>
      <c r="P48" s="3">
        <v>577</v>
      </c>
      <c r="Q48" s="3">
        <v>800</v>
      </c>
      <c r="R48" s="3">
        <v>963</v>
      </c>
      <c r="S48" s="3">
        <v>1069</v>
      </c>
      <c r="T48" s="3">
        <v>984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2:40" x14ac:dyDescent="0.25">
      <c r="B49" t="s">
        <v>62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f>1314+6398</f>
        <v>7712</v>
      </c>
      <c r="N49" s="3">
        <v>2532</v>
      </c>
      <c r="O49" s="3">
        <v>3972</v>
      </c>
      <c r="P49" s="3">
        <v>2769</v>
      </c>
      <c r="Q49" s="3">
        <v>4846</v>
      </c>
      <c r="R49" s="3">
        <v>7431</v>
      </c>
      <c r="S49" s="3">
        <f>563+5433</f>
        <v>5996</v>
      </c>
      <c r="T49" s="3">
        <f>541+6422</f>
        <v>6963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2:40" x14ac:dyDescent="0.25">
      <c r="B50" t="s">
        <v>63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>
        <v>18242</v>
      </c>
      <c r="N50" s="3">
        <v>20062</v>
      </c>
      <c r="O50" s="3">
        <v>22527</v>
      </c>
      <c r="P50" s="3">
        <v>33418</v>
      </c>
      <c r="Q50" s="3">
        <v>36141</v>
      </c>
      <c r="R50" s="3">
        <v>36357</v>
      </c>
      <c r="S50" s="3">
        <v>38935</v>
      </c>
      <c r="T50" s="3">
        <v>37671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2:40" x14ac:dyDescent="0.25">
      <c r="B51" t="s">
        <v>64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>
        <v>713</v>
      </c>
      <c r="N51" s="3">
        <v>947</v>
      </c>
      <c r="O51" s="3">
        <v>800</v>
      </c>
      <c r="P51" s="3">
        <v>1148</v>
      </c>
      <c r="Q51" s="3">
        <v>1287</v>
      </c>
      <c r="R51" s="3">
        <v>1898</v>
      </c>
      <c r="S51" s="3">
        <v>2509</v>
      </c>
      <c r="T51" s="3">
        <v>4651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2:40" x14ac:dyDescent="0.25">
      <c r="B52" t="s">
        <v>65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>
        <f t="shared" ref="M52:S52" si="65">+SUM(M46:M51)</f>
        <v>32645</v>
      </c>
      <c r="N52" s="3">
        <f t="shared" si="65"/>
        <v>32963</v>
      </c>
      <c r="O52" s="3">
        <f t="shared" si="65"/>
        <v>38495</v>
      </c>
      <c r="P52" s="3">
        <f t="shared" si="65"/>
        <v>50995</v>
      </c>
      <c r="Q52" s="3">
        <f t="shared" si="65"/>
        <v>52574</v>
      </c>
      <c r="R52" s="3">
        <f t="shared" si="65"/>
        <v>57517</v>
      </c>
      <c r="S52" s="3">
        <f t="shared" si="65"/>
        <v>62569</v>
      </c>
      <c r="T52" s="3">
        <f>+SUM(T46:T51)</f>
        <v>61092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2:40" x14ac:dyDescent="0.25">
      <c r="B53" t="s">
        <v>66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>
        <v>1961</v>
      </c>
      <c r="N53" s="3">
        <v>971</v>
      </c>
      <c r="O53" s="3">
        <v>2863</v>
      </c>
      <c r="P53" s="3">
        <v>6089</v>
      </c>
      <c r="Q53" s="3">
        <v>6797</v>
      </c>
      <c r="R53" s="3">
        <v>5018</v>
      </c>
      <c r="S53" s="3">
        <v>3273</v>
      </c>
      <c r="T53" s="3">
        <v>4583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2:40" x14ac:dyDescent="0.25">
      <c r="B54" t="s">
        <v>67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v>1528</v>
      </c>
      <c r="N54" s="3">
        <v>1724</v>
      </c>
      <c r="O54" s="3">
        <v>1693</v>
      </c>
      <c r="P54" s="3">
        <v>1807</v>
      </c>
      <c r="Q54" s="3">
        <v>1909</v>
      </c>
      <c r="R54" s="3">
        <v>1730</v>
      </c>
      <c r="S54" s="3">
        <v>1488</v>
      </c>
      <c r="T54" s="3">
        <v>1508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2:40" x14ac:dyDescent="0.25">
      <c r="B55" t="s">
        <v>68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>
        <v>4339</v>
      </c>
      <c r="N55" s="3">
        <v>6284</v>
      </c>
      <c r="O55" s="3">
        <v>6212</v>
      </c>
      <c r="P55" s="3">
        <v>9135</v>
      </c>
      <c r="Q55" s="3">
        <v>11454</v>
      </c>
      <c r="R55" s="3">
        <v>11209</v>
      </c>
      <c r="S55" s="3">
        <v>11026</v>
      </c>
      <c r="T55" s="3">
        <v>10837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2:40" x14ac:dyDescent="0.25">
      <c r="B56" t="s">
        <v>69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>
        <v>168</v>
      </c>
      <c r="N56" s="3">
        <v>825</v>
      </c>
      <c r="O56" s="3">
        <v>778</v>
      </c>
      <c r="P56" s="3">
        <v>1048</v>
      </c>
      <c r="Q56" s="3">
        <v>1332</v>
      </c>
      <c r="R56" s="3">
        <v>788</v>
      </c>
      <c r="S56" s="3">
        <v>537</v>
      </c>
      <c r="T56" s="3">
        <v>326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2:40" x14ac:dyDescent="0.25">
      <c r="B57" t="s">
        <v>70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>
        <v>133</v>
      </c>
      <c r="N57" s="3">
        <v>565</v>
      </c>
      <c r="O57" s="3">
        <v>1292</v>
      </c>
      <c r="P57" s="3">
        <v>1305</v>
      </c>
      <c r="Q57" s="3">
        <v>1737</v>
      </c>
      <c r="R57" s="3">
        <v>2455</v>
      </c>
      <c r="S57" s="3">
        <v>3273</v>
      </c>
      <c r="T57" s="3">
        <v>3265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2:40" x14ac:dyDescent="0.25">
      <c r="B58" t="s">
        <v>71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>
        <f>+SUM(M53:M57)</f>
        <v>8129</v>
      </c>
      <c r="N58" s="3">
        <f>+SUM(N53:N57)</f>
        <v>10369</v>
      </c>
      <c r="O58" s="3">
        <f t="shared" ref="O58:S58" si="66">+SUM(O53:O57)</f>
        <v>12838</v>
      </c>
      <c r="P58" s="3">
        <f t="shared" si="66"/>
        <v>19384</v>
      </c>
      <c r="Q58" s="3">
        <f t="shared" si="66"/>
        <v>23229</v>
      </c>
      <c r="R58" s="3">
        <f t="shared" si="66"/>
        <v>21200</v>
      </c>
      <c r="S58" s="3">
        <f t="shared" si="66"/>
        <v>19597</v>
      </c>
      <c r="T58" s="3">
        <f>+SUM(T53:T57)</f>
        <v>20519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2:40" x14ac:dyDescent="0.25">
      <c r="B59" s="1" t="s">
        <v>72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>
        <f>+M58+M52</f>
        <v>40774</v>
      </c>
      <c r="N59" s="3">
        <f>+N58+N52</f>
        <v>43332</v>
      </c>
      <c r="O59" s="3">
        <f t="shared" ref="O59:S59" si="67">+O58+O52</f>
        <v>51333</v>
      </c>
      <c r="P59" s="3">
        <f t="shared" si="67"/>
        <v>70379</v>
      </c>
      <c r="Q59" s="3">
        <f t="shared" si="67"/>
        <v>75803</v>
      </c>
      <c r="R59" s="3">
        <f t="shared" si="67"/>
        <v>78717</v>
      </c>
      <c r="S59" s="3">
        <f t="shared" si="67"/>
        <v>82166</v>
      </c>
      <c r="T59" s="3">
        <f>+T58+T52</f>
        <v>81611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2:40" x14ac:dyDescent="0.25">
      <c r="B60" t="s">
        <v>73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>
        <v>257</v>
      </c>
      <c r="N60" s="3">
        <v>281</v>
      </c>
      <c r="O60" s="3">
        <v>232</v>
      </c>
      <c r="P60" s="3">
        <v>252</v>
      </c>
      <c r="Q60" s="3">
        <v>197</v>
      </c>
      <c r="R60" s="3">
        <v>126</v>
      </c>
      <c r="S60" s="3">
        <v>139</v>
      </c>
      <c r="T60" s="3">
        <v>227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2:40" x14ac:dyDescent="0.25">
      <c r="B61" t="s">
        <v>128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>
        <v>1000</v>
      </c>
      <c r="N61" s="3">
        <v>1998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2:40" x14ac:dyDescent="0.25">
      <c r="B62" t="s">
        <v>74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>
        <v>19742</v>
      </c>
      <c r="N62" s="3">
        <v>21562</v>
      </c>
      <c r="O62" s="3">
        <v>24527</v>
      </c>
      <c r="P62" s="3">
        <v>35418</v>
      </c>
      <c r="Q62" s="3">
        <v>38841</v>
      </c>
      <c r="R62" s="3">
        <v>40107</v>
      </c>
      <c r="S62" s="3">
        <v>41935</v>
      </c>
      <c r="T62" s="3">
        <v>39671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2:40" x14ac:dyDescent="0.25">
      <c r="B63" t="s">
        <v>75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>
        <f>1781+83</f>
        <v>1864</v>
      </c>
      <c r="N63" s="3">
        <f>2002+61</f>
        <v>2063</v>
      </c>
      <c r="O63" s="3">
        <f>2087+73</f>
        <v>2160</v>
      </c>
      <c r="P63" s="3">
        <f>2648+129</f>
        <v>2777</v>
      </c>
      <c r="Q63" s="3">
        <f>3755+236</f>
        <v>3991</v>
      </c>
      <c r="R63" s="3">
        <f>4055+813</f>
        <v>4868</v>
      </c>
      <c r="S63" s="3">
        <v>6392</v>
      </c>
      <c r="T63" s="3">
        <v>8478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2:40" x14ac:dyDescent="0.25">
      <c r="B64" t="s">
        <v>76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>
        <f>+SUM(M60:M63)</f>
        <v>22863</v>
      </c>
      <c r="N64" s="3">
        <f t="shared" ref="N64:T64" si="68">+SUM(N60:N63)</f>
        <v>25904</v>
      </c>
      <c r="O64" s="3">
        <f t="shared" si="68"/>
        <v>26919</v>
      </c>
      <c r="P64" s="3">
        <f t="shared" si="68"/>
        <v>38447</v>
      </c>
      <c r="Q64" s="3">
        <f t="shared" si="68"/>
        <v>43029</v>
      </c>
      <c r="R64" s="3">
        <f t="shared" si="68"/>
        <v>45101</v>
      </c>
      <c r="S64" s="3">
        <f t="shared" si="68"/>
        <v>48466</v>
      </c>
      <c r="T64" s="3">
        <f t="shared" si="68"/>
        <v>48376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2:40" x14ac:dyDescent="0.25">
      <c r="B65" t="s">
        <v>70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>
        <v>1917</v>
      </c>
      <c r="N65" s="3">
        <v>2042</v>
      </c>
      <c r="O65" s="3">
        <v>2520</v>
      </c>
      <c r="P65" s="3">
        <v>2930</v>
      </c>
      <c r="Q65" s="3">
        <v>2998</v>
      </c>
      <c r="R65" s="3">
        <v>2925</v>
      </c>
      <c r="S65" s="3">
        <v>2973</v>
      </c>
      <c r="T65" s="3">
        <v>2939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2:40" x14ac:dyDescent="0.25">
      <c r="B66" t="s">
        <v>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>
        <v>0</v>
      </c>
      <c r="N66" s="3">
        <v>0</v>
      </c>
      <c r="O66" s="3">
        <v>4965</v>
      </c>
      <c r="P66" s="3">
        <v>8939</v>
      </c>
      <c r="Q66" s="3">
        <v>8049</v>
      </c>
      <c r="R66" s="3">
        <v>10417</v>
      </c>
      <c r="S66" s="3">
        <v>9676</v>
      </c>
      <c r="T66" s="3">
        <v>9879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2:40" x14ac:dyDescent="0.25">
      <c r="B67" t="s">
        <v>77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>
        <f t="shared" ref="M67:R67" si="69">+SUM(M65:M66)</f>
        <v>1917</v>
      </c>
      <c r="N67" s="3">
        <f t="shared" si="69"/>
        <v>2042</v>
      </c>
      <c r="O67" s="3">
        <f t="shared" si="69"/>
        <v>7485</v>
      </c>
      <c r="P67" s="3">
        <f t="shared" si="69"/>
        <v>11869</v>
      </c>
      <c r="Q67" s="3">
        <f t="shared" si="69"/>
        <v>11047</v>
      </c>
      <c r="R67" s="3">
        <f t="shared" si="69"/>
        <v>13342</v>
      </c>
      <c r="S67" s="3">
        <f>+SUM(S65:S66)</f>
        <v>12649</v>
      </c>
      <c r="T67" s="3">
        <f>+SUM(T65:T66)</f>
        <v>12818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5">
      <c r="B68" s="1" t="s">
        <v>78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>
        <f t="shared" ref="M68:S68" si="70">+M67+M64</f>
        <v>24780</v>
      </c>
      <c r="N68" s="3">
        <f t="shared" si="70"/>
        <v>27946</v>
      </c>
      <c r="O68" s="3">
        <f t="shared" si="70"/>
        <v>34404</v>
      </c>
      <c r="P68" s="3">
        <f t="shared" si="70"/>
        <v>50316</v>
      </c>
      <c r="Q68" s="3">
        <f t="shared" si="70"/>
        <v>54076</v>
      </c>
      <c r="R68" s="3">
        <f t="shared" si="70"/>
        <v>58443</v>
      </c>
      <c r="S68" s="3">
        <f t="shared" si="70"/>
        <v>61115</v>
      </c>
      <c r="T68" s="3">
        <f>+T67+T64</f>
        <v>61194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2:40" x14ac:dyDescent="0.25">
      <c r="B69" t="s">
        <v>79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>
        <v>15994</v>
      </c>
      <c r="N69" s="3">
        <v>15386</v>
      </c>
      <c r="O69" s="3">
        <v>16929</v>
      </c>
      <c r="P69" s="3">
        <v>20063</v>
      </c>
      <c r="Q69" s="3">
        <v>21727</v>
      </c>
      <c r="R69" s="3">
        <v>20274</v>
      </c>
      <c r="S69" s="3">
        <v>21051</v>
      </c>
      <c r="T69" s="3">
        <v>20417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2:40" x14ac:dyDescent="0.25">
      <c r="B70" t="s">
        <v>80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>
        <f t="shared" ref="M70:S70" si="71">+M68+M69</f>
        <v>40774</v>
      </c>
      <c r="N70" s="3">
        <f t="shared" si="71"/>
        <v>43332</v>
      </c>
      <c r="O70" s="3">
        <f t="shared" si="71"/>
        <v>51333</v>
      </c>
      <c r="P70" s="3">
        <f t="shared" si="71"/>
        <v>70379</v>
      </c>
      <c r="Q70" s="3">
        <f t="shared" si="71"/>
        <v>75803</v>
      </c>
      <c r="R70" s="3">
        <f t="shared" si="71"/>
        <v>78717</v>
      </c>
      <c r="S70" s="3">
        <f t="shared" si="71"/>
        <v>82166</v>
      </c>
      <c r="T70" s="3">
        <f>+T68+T69</f>
        <v>81611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2:40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2:40" x14ac:dyDescent="0.25">
      <c r="B72" t="s">
        <v>39</v>
      </c>
      <c r="C72" s="3"/>
      <c r="D72" s="3"/>
      <c r="E72" s="3"/>
      <c r="F72" s="3"/>
      <c r="G72" s="3"/>
      <c r="H72" s="3"/>
      <c r="I72" s="3"/>
      <c r="J72" s="3"/>
      <c r="K72" s="3"/>
      <c r="L72" s="3">
        <f t="shared" ref="L72:S72" si="72">+L30</f>
        <v>1401</v>
      </c>
      <c r="M72" s="3">
        <f t="shared" si="72"/>
        <v>1795</v>
      </c>
      <c r="N72" s="3">
        <f t="shared" si="72"/>
        <v>2057</v>
      </c>
      <c r="O72" s="3">
        <f t="shared" si="72"/>
        <v>2459</v>
      </c>
      <c r="P72" s="3">
        <f t="shared" si="72"/>
        <v>4202</v>
      </c>
      <c r="Q72" s="3">
        <f t="shared" si="72"/>
        <v>4169</v>
      </c>
      <c r="R72" s="3">
        <f t="shared" si="72"/>
        <v>2419</v>
      </c>
      <c r="S72" s="3">
        <f t="shared" si="72"/>
        <v>4246</v>
      </c>
      <c r="T72" s="3">
        <f>+T30</f>
        <v>4147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2:40" x14ac:dyDescent="0.25">
      <c r="B73" t="s">
        <v>81</v>
      </c>
      <c r="C73" s="3"/>
      <c r="D73" s="3"/>
      <c r="E73" s="3"/>
      <c r="F73" s="3"/>
      <c r="G73" s="3"/>
      <c r="H73" s="3"/>
      <c r="I73" s="3"/>
      <c r="J73" s="3"/>
      <c r="K73" s="3"/>
      <c r="L73" s="3">
        <v>1088</v>
      </c>
      <c r="M73" s="3">
        <v>1011</v>
      </c>
      <c r="N73" s="3">
        <v>1274</v>
      </c>
      <c r="O73" s="3">
        <v>1380</v>
      </c>
      <c r="P73" s="3">
        <v>1741</v>
      </c>
      <c r="Q73" s="3">
        <v>1060</v>
      </c>
      <c r="R73" s="3">
        <v>1572</v>
      </c>
      <c r="S73" s="3">
        <v>1682</v>
      </c>
      <c r="T73" s="3">
        <v>1442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2:40" x14ac:dyDescent="0.25">
      <c r="B74" t="s">
        <v>82</v>
      </c>
      <c r="C74" s="3"/>
      <c r="D74" s="3"/>
      <c r="E74" s="3"/>
      <c r="F74" s="3"/>
      <c r="G74" s="3"/>
      <c r="H74" s="3"/>
      <c r="I74" s="3"/>
      <c r="J74" s="3"/>
      <c r="K74" s="3"/>
      <c r="L74" s="3">
        <v>724</v>
      </c>
      <c r="M74" s="3">
        <v>805</v>
      </c>
      <c r="N74" s="3">
        <v>776</v>
      </c>
      <c r="O74" s="3">
        <v>912</v>
      </c>
      <c r="P74" s="3">
        <v>1189</v>
      </c>
      <c r="Q74" s="3">
        <v>1265</v>
      </c>
      <c r="R74" s="3">
        <v>1317</v>
      </c>
      <c r="S74" s="3">
        <v>1072</v>
      </c>
      <c r="T74" s="3">
        <v>1032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2:40" x14ac:dyDescent="0.25">
      <c r="B75" t="s">
        <v>83</v>
      </c>
      <c r="C75" s="3"/>
      <c r="D75" s="3"/>
      <c r="E75" s="3"/>
      <c r="F75" s="3"/>
      <c r="G75" s="3"/>
      <c r="H75" s="3"/>
      <c r="I75" s="3"/>
      <c r="J75" s="3"/>
      <c r="K75" s="3"/>
      <c r="L75" s="3">
        <v>438</v>
      </c>
      <c r="M75" s="3">
        <v>733</v>
      </c>
      <c r="N75" s="3">
        <v>853</v>
      </c>
      <c r="O75" s="3">
        <v>1021</v>
      </c>
      <c r="P75" s="3">
        <v>1376</v>
      </c>
      <c r="Q75" s="3">
        <v>1376</v>
      </c>
      <c r="R75" s="3">
        <v>1261</v>
      </c>
      <c r="S75" s="3">
        <v>1475</v>
      </c>
      <c r="T75" s="3">
        <v>1230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2:40" x14ac:dyDescent="0.25">
      <c r="B76" t="s">
        <v>84</v>
      </c>
      <c r="C76" s="3"/>
      <c r="D76" s="3"/>
      <c r="E76" s="3"/>
      <c r="F76" s="3"/>
      <c r="G76" s="3"/>
      <c r="H76" s="3"/>
      <c r="I76" s="3"/>
      <c r="J76" s="3"/>
      <c r="K76" s="3"/>
      <c r="L76" s="3">
        <v>52</v>
      </c>
      <c r="M76" s="3">
        <v>-1299</v>
      </c>
      <c r="N76" s="3">
        <v>-171</v>
      </c>
      <c r="O76" s="3">
        <v>-269</v>
      </c>
      <c r="P76" s="3">
        <v>165</v>
      </c>
      <c r="Q76" s="3">
        <v>-482</v>
      </c>
      <c r="R76" s="3">
        <v>-811</v>
      </c>
      <c r="S76" s="3">
        <v>-668</v>
      </c>
      <c r="T76" s="3">
        <v>231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2:40" x14ac:dyDescent="0.25">
      <c r="B77" t="s">
        <v>85</v>
      </c>
      <c r="C77" s="3"/>
      <c r="D77" s="3"/>
      <c r="E77" s="3"/>
      <c r="F77" s="3"/>
      <c r="G77" s="3"/>
      <c r="H77" s="3"/>
      <c r="I77" s="3"/>
      <c r="J77" s="3"/>
      <c r="K77" s="3"/>
      <c r="L77" s="3">
        <v>0</v>
      </c>
      <c r="M77" s="3">
        <v>0</v>
      </c>
      <c r="N77" s="3">
        <v>0</v>
      </c>
      <c r="O77" s="3">
        <v>-208</v>
      </c>
      <c r="P77" s="3">
        <v>-1914</v>
      </c>
      <c r="Q77" s="3">
        <v>-46</v>
      </c>
      <c r="R77" s="3">
        <v>304</v>
      </c>
      <c r="S77" s="3">
        <f>-201</f>
        <v>-201</v>
      </c>
      <c r="T77" s="3">
        <v>285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2:40" x14ac:dyDescent="0.25">
      <c r="B78" t="s">
        <v>86</v>
      </c>
      <c r="C78" s="3"/>
      <c r="D78" s="3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-70</v>
      </c>
      <c r="S78" s="3">
        <v>-367</v>
      </c>
      <c r="T78" s="3">
        <v>-335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2:40" x14ac:dyDescent="0.25">
      <c r="B79" t="s">
        <v>87</v>
      </c>
      <c r="C79" s="3"/>
      <c r="D79" s="3"/>
      <c r="E79" s="3"/>
      <c r="F79" s="3"/>
      <c r="G79" s="3"/>
      <c r="H79" s="3"/>
      <c r="I79" s="3"/>
      <c r="J79" s="3"/>
      <c r="K79" s="3"/>
      <c r="L79" s="3">
        <v>0</v>
      </c>
      <c r="M79" s="3">
        <v>92</v>
      </c>
      <c r="N79" s="3">
        <v>244</v>
      </c>
      <c r="O79" s="3">
        <v>0</v>
      </c>
      <c r="P79" s="3">
        <v>0</v>
      </c>
      <c r="Q79" s="3">
        <v>0</v>
      </c>
      <c r="R79" s="3">
        <v>0</v>
      </c>
      <c r="S79" s="3">
        <v>53</v>
      </c>
      <c r="T79" s="3">
        <v>125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2:40" x14ac:dyDescent="0.25">
      <c r="B80" t="s">
        <v>70</v>
      </c>
      <c r="C80" s="3"/>
      <c r="D80" s="3"/>
      <c r="E80" s="3"/>
      <c r="F80" s="3"/>
      <c r="G80" s="3"/>
      <c r="H80" s="3"/>
      <c r="I80" s="3"/>
      <c r="J80" s="3"/>
      <c r="K80" s="3"/>
      <c r="L80" s="3">
        <f>-24-40</f>
        <v>-64</v>
      </c>
      <c r="M80" s="3">
        <v>-25</v>
      </c>
      <c r="N80" s="3">
        <v>-172</v>
      </c>
      <c r="O80" s="3">
        <v>-149</v>
      </c>
      <c r="P80" s="3">
        <v>47</v>
      </c>
      <c r="Q80" s="3">
        <v>100</v>
      </c>
      <c r="R80" s="3">
        <v>275</v>
      </c>
      <c r="S80" s="3">
        <f>-104-356</f>
        <v>-460</v>
      </c>
      <c r="T80" s="3">
        <v>-3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2:40" x14ac:dyDescent="0.25">
      <c r="B81" t="s">
        <v>88</v>
      </c>
      <c r="C81" s="3"/>
      <c r="D81" s="3"/>
      <c r="E81" s="3"/>
      <c r="F81" s="3"/>
      <c r="G81" s="3"/>
      <c r="H81" s="3"/>
      <c r="I81" s="3"/>
      <c r="J81" s="3"/>
      <c r="K81" s="3"/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-11470</v>
      </c>
      <c r="T81" s="3">
        <v>-24498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2:40" x14ac:dyDescent="0.25">
      <c r="B82" t="s">
        <v>89</v>
      </c>
      <c r="C82" s="3"/>
      <c r="D82" s="3"/>
      <c r="E82" s="3"/>
      <c r="F82" s="3"/>
      <c r="G82" s="3"/>
      <c r="H82" s="3"/>
      <c r="I82" s="3"/>
      <c r="J82" s="3"/>
      <c r="K82" s="3"/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10795</v>
      </c>
      <c r="T82" s="3">
        <v>24352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2:40" x14ac:dyDescent="0.25">
      <c r="B83" t="s">
        <v>90</v>
      </c>
      <c r="C83" s="3"/>
      <c r="D83" s="3"/>
      <c r="E83" s="3"/>
      <c r="F83" s="3"/>
      <c r="G83" s="3"/>
      <c r="H83" s="3"/>
      <c r="I83" s="3"/>
      <c r="J83" s="3"/>
      <c r="K83" s="3"/>
      <c r="L83" s="3">
        <v>-77</v>
      </c>
      <c r="M83" s="3">
        <v>12</v>
      </c>
      <c r="N83" s="3">
        <v>-59</v>
      </c>
      <c r="O83" s="3">
        <v>-120</v>
      </c>
      <c r="P83" s="3">
        <v>-100</v>
      </c>
      <c r="Q83" s="3">
        <v>-222</v>
      </c>
      <c r="R83" s="3">
        <v>-163</v>
      </c>
      <c r="S83" s="3">
        <v>-114</v>
      </c>
      <c r="T83" s="3">
        <v>85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2:40" x14ac:dyDescent="0.25">
      <c r="B84" t="s">
        <v>91</v>
      </c>
      <c r="C84" s="3"/>
      <c r="D84" s="3"/>
      <c r="E84" s="3"/>
      <c r="F84" s="3"/>
      <c r="G84" s="3"/>
      <c r="H84" s="3"/>
      <c r="I84" s="3"/>
      <c r="J84" s="3"/>
      <c r="K84" s="3"/>
      <c r="L84" s="3">
        <v>-643</v>
      </c>
      <c r="M84" s="3">
        <v>-817</v>
      </c>
      <c r="N84" s="3">
        <v>-1046</v>
      </c>
      <c r="O84" s="3">
        <v>4</v>
      </c>
      <c r="P84" s="3">
        <v>0</v>
      </c>
      <c r="Q84" s="3">
        <v>0</v>
      </c>
      <c r="R84" s="3">
        <v>-1230</v>
      </c>
      <c r="S84" s="3">
        <v>-1188</v>
      </c>
      <c r="T84" s="3">
        <v>-1131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2:40" x14ac:dyDescent="0.25">
      <c r="B85" t="s">
        <v>92</v>
      </c>
      <c r="C85" s="3"/>
      <c r="D85" s="3"/>
      <c r="E85" s="3"/>
      <c r="F85" s="3"/>
      <c r="G85" s="3"/>
      <c r="H85" s="3"/>
      <c r="I85" s="3"/>
      <c r="J85" s="3"/>
      <c r="K85" s="3"/>
      <c r="L85" s="3">
        <f>24-145</f>
        <v>-121</v>
      </c>
      <c r="M85" s="3">
        <f>-1308-188</f>
        <v>-1496</v>
      </c>
      <c r="N85" s="3">
        <f>1407-112</f>
        <v>1295</v>
      </c>
      <c r="O85" s="3">
        <v>-1079</v>
      </c>
      <c r="P85" s="3">
        <v>-1120</v>
      </c>
      <c r="Q85" s="3">
        <v>-1178</v>
      </c>
      <c r="R85" s="3">
        <v>118</v>
      </c>
      <c r="S85" s="3">
        <v>203</v>
      </c>
      <c r="T85" s="3">
        <v>-8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2:40" x14ac:dyDescent="0.25">
      <c r="B86" t="s">
        <v>93</v>
      </c>
      <c r="C86" s="3"/>
      <c r="D86" s="3"/>
      <c r="E86" s="3"/>
      <c r="F86" s="3"/>
      <c r="G86" s="3"/>
      <c r="H86" s="3"/>
      <c r="I86" s="3"/>
      <c r="J86" s="3"/>
      <c r="K86" s="3"/>
      <c r="L86" s="3">
        <v>11</v>
      </c>
      <c r="M86" s="3">
        <v>62</v>
      </c>
      <c r="N86" s="3">
        <v>26</v>
      </c>
      <c r="O86" s="3">
        <v>-566</v>
      </c>
      <c r="P86" s="3">
        <v>-498</v>
      </c>
      <c r="Q86" s="3">
        <v>-150</v>
      </c>
      <c r="R86" s="3">
        <v>-35</v>
      </c>
      <c r="S86" s="3">
        <v>7</v>
      </c>
      <c r="T86" s="3">
        <v>83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2:40" x14ac:dyDescent="0.25">
      <c r="B87" t="s">
        <v>94</v>
      </c>
      <c r="C87" s="3"/>
      <c r="D87" s="3"/>
      <c r="E87" s="3"/>
      <c r="F87" s="3"/>
      <c r="G87" s="3"/>
      <c r="H87" s="3"/>
      <c r="I87" s="3"/>
      <c r="J87" s="3"/>
      <c r="K87" s="3"/>
      <c r="L87" s="3">
        <f>69+280</f>
        <v>349</v>
      </c>
      <c r="M87" s="3">
        <f>19+1639</f>
        <v>1658</v>
      </c>
      <c r="N87" s="3">
        <f>450-44</f>
        <v>406</v>
      </c>
      <c r="O87" s="3">
        <f>4-40+722</f>
        <v>686</v>
      </c>
      <c r="P87" s="3">
        <f>-4-230+1000</f>
        <v>766</v>
      </c>
      <c r="Q87" s="3">
        <f>-31+73+406</f>
        <v>448</v>
      </c>
      <c r="R87" s="3">
        <v>856</v>
      </c>
      <c r="S87" s="3">
        <v>-222</v>
      </c>
      <c r="T87" s="3">
        <v>413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2:40" x14ac:dyDescent="0.25">
      <c r="B88" t="s">
        <v>95</v>
      </c>
      <c r="C88" s="3"/>
      <c r="D88" s="3"/>
      <c r="E88" s="3"/>
      <c r="F88" s="3"/>
      <c r="G88" s="3"/>
      <c r="H88" s="3"/>
      <c r="I88" s="3"/>
      <c r="J88" s="3"/>
      <c r="K88" s="3"/>
      <c r="L88" s="3">
        <f t="shared" ref="L88:O88" si="73">+SUM(L83:L87)</f>
        <v>-481</v>
      </c>
      <c r="M88" s="3">
        <f t="shared" si="73"/>
        <v>-581</v>
      </c>
      <c r="N88" s="3">
        <f t="shared" si="73"/>
        <v>622</v>
      </c>
      <c r="O88" s="3">
        <f t="shared" si="73"/>
        <v>-1075</v>
      </c>
      <c r="P88" s="3">
        <f t="shared" ref="P88" si="74">+SUM(P83:P87)</f>
        <v>-952</v>
      </c>
      <c r="Q88" s="3">
        <f t="shared" ref="Q88:S88" si="75">+SUM(Q83:Q87)</f>
        <v>-1102</v>
      </c>
      <c r="R88" s="3">
        <f t="shared" si="75"/>
        <v>-454</v>
      </c>
      <c r="S88" s="3">
        <f t="shared" si="75"/>
        <v>-1314</v>
      </c>
      <c r="T88" s="3">
        <f>+SUM(T83:T87)</f>
        <v>-558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2:40" x14ac:dyDescent="0.25">
      <c r="B89" s="1" t="s">
        <v>96</v>
      </c>
      <c r="C89" s="3"/>
      <c r="D89" s="3"/>
      <c r="E89" s="3"/>
      <c r="F89" s="3"/>
      <c r="G89" s="3"/>
      <c r="H89" s="3"/>
      <c r="I89" s="3"/>
      <c r="J89" s="3"/>
      <c r="K89" s="3"/>
      <c r="L89" s="3">
        <f t="shared" ref="L89:S89" si="76">+SUM(L72:L82)+L88</f>
        <v>3158</v>
      </c>
      <c r="M89" s="3">
        <f t="shared" si="76"/>
        <v>2531</v>
      </c>
      <c r="N89" s="3">
        <f t="shared" si="76"/>
        <v>5483</v>
      </c>
      <c r="O89" s="3">
        <f t="shared" si="76"/>
        <v>4071</v>
      </c>
      <c r="P89" s="3">
        <f t="shared" si="76"/>
        <v>5854</v>
      </c>
      <c r="Q89" s="3">
        <f t="shared" si="76"/>
        <v>6340</v>
      </c>
      <c r="R89" s="3">
        <f t="shared" si="76"/>
        <v>5813</v>
      </c>
      <c r="S89" s="3">
        <f t="shared" si="76"/>
        <v>4843</v>
      </c>
      <c r="T89" s="3">
        <f>+SUM(T72:T82)+T88</f>
        <v>7450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2:40" x14ac:dyDescent="0.25">
      <c r="B90" t="s">
        <v>97</v>
      </c>
      <c r="C90" s="3"/>
      <c r="D90" s="3"/>
      <c r="E90" s="3"/>
      <c r="F90" s="3"/>
      <c r="G90" s="3"/>
      <c r="H90" s="3"/>
      <c r="I90" s="3"/>
      <c r="J90" s="3"/>
      <c r="K90" s="3"/>
      <c r="L90" s="3">
        <v>-669</v>
      </c>
      <c r="M90" s="3">
        <v>-667</v>
      </c>
      <c r="N90" s="3">
        <v>-823</v>
      </c>
      <c r="O90" s="3">
        <v>-704</v>
      </c>
      <c r="P90" s="3">
        <v>-866</v>
      </c>
      <c r="Q90" s="3">
        <v>-908</v>
      </c>
      <c r="R90" s="3">
        <v>-706</v>
      </c>
      <c r="S90" s="3">
        <v>-623</v>
      </c>
      <c r="T90" s="3">
        <v>-683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2:40" x14ac:dyDescent="0.25">
      <c r="B91" t="s">
        <v>98</v>
      </c>
      <c r="C91" s="3"/>
      <c r="D91" s="3"/>
      <c r="E91" s="3"/>
      <c r="F91" s="3"/>
      <c r="G91" s="3"/>
      <c r="H91" s="3"/>
      <c r="I91" s="3"/>
      <c r="J91" s="3"/>
      <c r="K91" s="3"/>
      <c r="L91" s="3">
        <v>0</v>
      </c>
      <c r="M91" s="3">
        <v>0</v>
      </c>
      <c r="N91" s="3">
        <v>3</v>
      </c>
      <c r="O91" s="3">
        <v>17</v>
      </c>
      <c r="P91" s="3">
        <v>120</v>
      </c>
      <c r="Q91" s="3">
        <v>5</v>
      </c>
      <c r="R91" s="3">
        <v>5</v>
      </c>
      <c r="S91" s="3">
        <v>45</v>
      </c>
      <c r="T91" s="3">
        <v>1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2:40" x14ac:dyDescent="0.25">
      <c r="B92" t="s">
        <v>99</v>
      </c>
      <c r="C92" s="3"/>
      <c r="D92" s="3"/>
      <c r="E92" s="3"/>
      <c r="F92" s="3"/>
      <c r="G92" s="3"/>
      <c r="H92" s="3"/>
      <c r="I92" s="3"/>
      <c r="J92" s="3"/>
      <c r="K92" s="3"/>
      <c r="L92" s="3">
        <v>-1523</v>
      </c>
      <c r="M92" s="3">
        <v>-920</v>
      </c>
      <c r="N92" s="3">
        <v>3121</v>
      </c>
      <c r="O92" s="3">
        <v>-1631</v>
      </c>
      <c r="P92" s="3">
        <v>294</v>
      </c>
      <c r="Q92" s="3">
        <v>-1594</v>
      </c>
      <c r="R92" s="3">
        <v>-28170</v>
      </c>
      <c r="S92" s="3">
        <v>-25198</v>
      </c>
      <c r="T92" s="3">
        <v>-21807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2:40" x14ac:dyDescent="0.25">
      <c r="B93" t="s">
        <v>100</v>
      </c>
      <c r="C93" s="3"/>
      <c r="D93" s="3"/>
      <c r="E93" s="3"/>
      <c r="F93" s="3"/>
      <c r="G93" s="3"/>
      <c r="H93" s="3"/>
      <c r="I93" s="3"/>
      <c r="J93" s="3"/>
      <c r="K93" s="3"/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24903</v>
      </c>
      <c r="S93" s="3">
        <v>26660</v>
      </c>
      <c r="T93" s="3">
        <v>20272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2:40" x14ac:dyDescent="0.25">
      <c r="B94" t="s">
        <v>101</v>
      </c>
      <c r="C94" s="3"/>
      <c r="D94" s="3"/>
      <c r="E94" s="3"/>
      <c r="F94" s="3"/>
      <c r="G94" s="3"/>
      <c r="H94" s="3"/>
      <c r="I94" s="3"/>
      <c r="J94" s="3"/>
      <c r="K94" s="3"/>
      <c r="L94" s="3">
        <v>-21041</v>
      </c>
      <c r="M94" s="3">
        <v>-19418</v>
      </c>
      <c r="N94" s="3">
        <v>-22381</v>
      </c>
      <c r="O94" s="3">
        <v>-27881</v>
      </c>
      <c r="P94" s="3">
        <v>-41513</v>
      </c>
      <c r="Q94" s="3">
        <v>-40116</v>
      </c>
      <c r="R94" s="3">
        <v>-20219</v>
      </c>
      <c r="S94" s="3">
        <v>-21980</v>
      </c>
      <c r="T94" s="3">
        <v>-26209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2:40" x14ac:dyDescent="0.25">
      <c r="B95" t="s">
        <v>102</v>
      </c>
      <c r="C95" s="3"/>
      <c r="D95" s="3"/>
      <c r="E95" s="3"/>
      <c r="F95" s="3"/>
      <c r="G95" s="3"/>
      <c r="H95" s="3"/>
      <c r="I95" s="3"/>
      <c r="J95" s="3"/>
      <c r="K95" s="3"/>
      <c r="L95" s="3">
        <v>18429</v>
      </c>
      <c r="M95" s="3">
        <v>18448</v>
      </c>
      <c r="N95" s="3">
        <v>21898</v>
      </c>
      <c r="O95" s="3">
        <v>24878</v>
      </c>
      <c r="P95" s="3">
        <v>30908</v>
      </c>
      <c r="Q95" s="3">
        <v>39698</v>
      </c>
      <c r="R95" s="3">
        <v>23411</v>
      </c>
      <c r="S95" s="3">
        <v>24295</v>
      </c>
      <c r="T95" s="3">
        <v>26962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2:40" x14ac:dyDescent="0.25">
      <c r="B96" t="s">
        <v>103</v>
      </c>
      <c r="C96" s="3"/>
      <c r="D96" s="3"/>
      <c r="E96" s="3"/>
      <c r="F96" s="3"/>
      <c r="G96" s="3"/>
      <c r="H96" s="3"/>
      <c r="I96" s="3"/>
      <c r="J96" s="3"/>
      <c r="K96" s="3"/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466</v>
      </c>
      <c r="T96" s="3">
        <v>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2:40" x14ac:dyDescent="0.25">
      <c r="B97" t="s">
        <v>104</v>
      </c>
      <c r="C97" s="3"/>
      <c r="D97" s="3"/>
      <c r="E97" s="3"/>
      <c r="F97" s="3"/>
      <c r="G97" s="3"/>
      <c r="H97" s="3"/>
      <c r="I97" s="3"/>
      <c r="J97" s="3"/>
      <c r="K97" s="3"/>
      <c r="L97" s="3">
        <v>-1081</v>
      </c>
      <c r="M97" s="3">
        <v>-1605</v>
      </c>
      <c r="N97" s="3">
        <v>1146</v>
      </c>
      <c r="O97" s="3">
        <v>-351</v>
      </c>
      <c r="P97" s="3">
        <v>-1552</v>
      </c>
      <c r="Q97" s="3">
        <v>193</v>
      </c>
      <c r="R97" s="3">
        <v>-2720</v>
      </c>
      <c r="S97" s="3">
        <v>-2943</v>
      </c>
      <c r="T97" s="3">
        <v>2908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2:40" x14ac:dyDescent="0.25">
      <c r="B98" t="s">
        <v>105</v>
      </c>
      <c r="C98" s="3"/>
      <c r="D98" s="3"/>
      <c r="E98" s="3"/>
      <c r="F98" s="3"/>
      <c r="G98" s="3"/>
      <c r="H98" s="3"/>
      <c r="I98" s="3"/>
      <c r="J98" s="3"/>
      <c r="K98" s="3"/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-19</v>
      </c>
      <c r="S98" s="3">
        <v>-56</v>
      </c>
      <c r="T98" s="3">
        <v>73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2:40" x14ac:dyDescent="0.25">
      <c r="B99" t="s">
        <v>70</v>
      </c>
      <c r="C99" s="3"/>
      <c r="D99" s="3"/>
      <c r="E99" s="3"/>
      <c r="F99" s="3"/>
      <c r="G99" s="3"/>
      <c r="H99" s="3"/>
      <c r="I99" s="3"/>
      <c r="J99" s="3"/>
      <c r="K99" s="3"/>
      <c r="L99" s="3">
        <v>-19</v>
      </c>
      <c r="M99" s="3">
        <v>-323</v>
      </c>
      <c r="N99" s="3">
        <v>-2124</v>
      </c>
      <c r="O99" s="3">
        <v>-70</v>
      </c>
      <c r="P99" s="3">
        <v>-3609</v>
      </c>
      <c r="Q99" s="3">
        <v>-2763</v>
      </c>
      <c r="R99" s="3">
        <v>187</v>
      </c>
      <c r="S99" s="3">
        <v>86</v>
      </c>
      <c r="T99" s="3">
        <f>159+337-424</f>
        <v>72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2:40" x14ac:dyDescent="0.25">
      <c r="B100" s="1" t="s">
        <v>106</v>
      </c>
      <c r="C100" s="3"/>
      <c r="D100" s="3"/>
      <c r="E100" s="3"/>
      <c r="F100" s="3"/>
      <c r="G100" s="3"/>
      <c r="H100" s="3"/>
      <c r="I100" s="3"/>
      <c r="J100" s="3"/>
      <c r="K100" s="3"/>
      <c r="L100" s="3">
        <f t="shared" ref="L100:S100" si="77">+SUM(L90:L99)</f>
        <v>-5904</v>
      </c>
      <c r="M100" s="3">
        <f t="shared" si="77"/>
        <v>-4485</v>
      </c>
      <c r="N100" s="3">
        <f t="shared" si="77"/>
        <v>840</v>
      </c>
      <c r="O100" s="3">
        <f t="shared" si="77"/>
        <v>-5742</v>
      </c>
      <c r="P100" s="3">
        <f t="shared" si="77"/>
        <v>-16218</v>
      </c>
      <c r="Q100" s="3">
        <f t="shared" si="77"/>
        <v>-5485</v>
      </c>
      <c r="R100" s="3">
        <f t="shared" si="77"/>
        <v>-3328</v>
      </c>
      <c r="S100" s="3">
        <f t="shared" si="77"/>
        <v>752</v>
      </c>
      <c r="T100" s="3">
        <f>+SUM(T90:T99)</f>
        <v>1589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2:40" x14ac:dyDescent="0.25">
      <c r="B101" t="s">
        <v>107</v>
      </c>
      <c r="C101" s="3"/>
      <c r="D101" s="3"/>
      <c r="E101" s="3"/>
      <c r="F101" s="3"/>
      <c r="G101" s="3"/>
      <c r="H101" s="3"/>
      <c r="I101" s="3"/>
      <c r="J101" s="3"/>
      <c r="K101" s="3"/>
      <c r="L101" s="3">
        <v>109</v>
      </c>
      <c r="M101" s="3">
        <v>144</v>
      </c>
      <c r="N101" s="3">
        <v>144</v>
      </c>
      <c r="O101" s="3">
        <v>138</v>
      </c>
      <c r="P101" s="3">
        <v>137</v>
      </c>
      <c r="Q101" s="3">
        <v>162</v>
      </c>
      <c r="R101" s="3">
        <v>143</v>
      </c>
      <c r="S101" s="3">
        <v>127</v>
      </c>
      <c r="T101" s="3">
        <v>95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2:40" x14ac:dyDescent="0.25">
      <c r="B102" t="s">
        <v>108</v>
      </c>
      <c r="C102" s="3"/>
      <c r="D102" s="3"/>
      <c r="E102" s="3"/>
      <c r="F102" s="3"/>
      <c r="G102" s="3"/>
      <c r="H102" s="3"/>
      <c r="I102" s="3"/>
      <c r="J102" s="3"/>
      <c r="K102" s="3"/>
      <c r="L102" s="3">
        <v>-995</v>
      </c>
      <c r="M102" s="3">
        <v>-1006</v>
      </c>
      <c r="N102" s="3">
        <v>-3520</v>
      </c>
      <c r="O102" s="3">
        <v>-1411</v>
      </c>
      <c r="P102" s="3">
        <v>-1635</v>
      </c>
      <c r="Q102" s="3">
        <v>-3373</v>
      </c>
      <c r="R102" s="3">
        <v>-4199</v>
      </c>
      <c r="S102" s="3">
        <v>-5002</v>
      </c>
      <c r="T102" s="3">
        <v>-6047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2:40" x14ac:dyDescent="0.25">
      <c r="B103" t="s">
        <v>109</v>
      </c>
      <c r="C103" s="3"/>
      <c r="D103" s="3"/>
      <c r="E103" s="3"/>
      <c r="F103" s="3"/>
      <c r="G103" s="3"/>
      <c r="H103" s="3"/>
      <c r="I103" s="3"/>
      <c r="J103" s="3"/>
      <c r="K103" s="3"/>
      <c r="L103" s="3">
        <f>-118+40</f>
        <v>-78</v>
      </c>
      <c r="M103" s="3">
        <v>-166</v>
      </c>
      <c r="N103" s="3">
        <v>-419</v>
      </c>
      <c r="O103" s="3">
        <v>-504</v>
      </c>
      <c r="P103" s="3">
        <v>-521</v>
      </c>
      <c r="Q103" s="3">
        <v>-1036</v>
      </c>
      <c r="R103" s="3">
        <v>-336</v>
      </c>
      <c r="S103" s="3">
        <v>-257</v>
      </c>
      <c r="T103" s="3">
        <v>-351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2:40" x14ac:dyDescent="0.25">
      <c r="B104" t="s">
        <v>110</v>
      </c>
      <c r="C104" s="3"/>
      <c r="D104" s="3"/>
      <c r="E104" s="3"/>
      <c r="F104" s="3"/>
      <c r="G104" s="3"/>
      <c r="H104" s="3"/>
      <c r="I104" s="3"/>
      <c r="J104" s="3"/>
      <c r="K104" s="3"/>
      <c r="L104" s="3">
        <v>0</v>
      </c>
      <c r="M104" s="3">
        <v>1800</v>
      </c>
      <c r="N104" s="3">
        <v>2075</v>
      </c>
      <c r="O104" s="3">
        <v>5471</v>
      </c>
      <c r="P104" s="3">
        <v>6966</v>
      </c>
      <c r="Q104" s="3">
        <v>272</v>
      </c>
      <c r="R104" s="3">
        <v>3475</v>
      </c>
      <c r="S104" s="3">
        <v>1528</v>
      </c>
      <c r="T104" s="3">
        <v>1546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2:40" x14ac:dyDescent="0.25">
      <c r="B105" t="s">
        <v>111</v>
      </c>
      <c r="C105" s="3"/>
      <c r="D105" s="3"/>
      <c r="E105" s="3"/>
      <c r="F105" s="3"/>
      <c r="G105" s="3"/>
      <c r="H105" s="3"/>
      <c r="I105" s="3"/>
      <c r="J105" s="3"/>
      <c r="K105" s="3"/>
      <c r="L105" s="3">
        <v>-21</v>
      </c>
      <c r="M105" s="3">
        <v>-980</v>
      </c>
      <c r="N105" s="3">
        <v>-1115</v>
      </c>
      <c r="O105" s="3">
        <v>-2516</v>
      </c>
      <c r="P105" s="3">
        <v>-3000</v>
      </c>
      <c r="Q105" s="3">
        <v>-361</v>
      </c>
      <c r="R105" s="3">
        <v>-1686</v>
      </c>
      <c r="S105" s="3">
        <v>-1053</v>
      </c>
      <c r="T105" s="3">
        <v>-1661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2:40" x14ac:dyDescent="0.25">
      <c r="B106" t="s">
        <v>112</v>
      </c>
      <c r="C106" s="3"/>
      <c r="D106" s="3"/>
      <c r="E106" s="3"/>
      <c r="F106" s="3"/>
      <c r="G106" s="3"/>
      <c r="H106" s="3"/>
      <c r="I106" s="3"/>
      <c r="J106" s="3"/>
      <c r="K106" s="3"/>
      <c r="L106" s="3">
        <v>3023</v>
      </c>
      <c r="M106" s="3">
        <v>4292</v>
      </c>
      <c r="N106" s="3">
        <v>1573</v>
      </c>
      <c r="O106" s="3">
        <v>3009</v>
      </c>
      <c r="P106" s="3">
        <v>10597</v>
      </c>
      <c r="Q106" s="3">
        <v>3572</v>
      </c>
      <c r="R106" s="3">
        <v>1405</v>
      </c>
      <c r="S106" s="3">
        <v>1861</v>
      </c>
      <c r="T106" s="3">
        <v>-1954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2:40" x14ac:dyDescent="0.25">
      <c r="B107" t="s">
        <v>113</v>
      </c>
      <c r="C107" s="3"/>
      <c r="D107" s="3"/>
      <c r="E107" s="3"/>
      <c r="F107" s="3"/>
      <c r="G107" s="3"/>
      <c r="H107" s="3"/>
      <c r="I107" s="3"/>
      <c r="J107" s="3"/>
      <c r="K107" s="3"/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-6</v>
      </c>
      <c r="S107" s="3">
        <v>-197</v>
      </c>
      <c r="T107" s="3">
        <v>156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2:40" x14ac:dyDescent="0.25">
      <c r="B108" t="s">
        <v>70</v>
      </c>
      <c r="C108" s="3"/>
      <c r="D108" s="3"/>
      <c r="E108" s="3"/>
      <c r="F108" s="3"/>
      <c r="G108" s="3"/>
      <c r="H108" s="3"/>
      <c r="I108" s="3"/>
      <c r="J108" s="3"/>
      <c r="K108" s="3"/>
      <c r="L108" s="3">
        <v>0</v>
      </c>
      <c r="M108" s="3">
        <v>0</v>
      </c>
      <c r="N108" s="3">
        <v>0</v>
      </c>
      <c r="O108" s="3">
        <v>0</v>
      </c>
      <c r="P108" s="3">
        <v>-52</v>
      </c>
      <c r="Q108" s="3">
        <v>0</v>
      </c>
      <c r="R108" s="3">
        <v>1</v>
      </c>
      <c r="S108" s="3">
        <v>0</v>
      </c>
      <c r="T108" s="3">
        <f>-60+656-656</f>
        <v>-60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2:40" x14ac:dyDescent="0.25">
      <c r="B109" s="1" t="s">
        <v>114</v>
      </c>
      <c r="C109" s="3"/>
      <c r="D109" s="3"/>
      <c r="E109" s="3"/>
      <c r="F109" s="3"/>
      <c r="G109" s="3"/>
      <c r="H109" s="3"/>
      <c r="I109" s="3"/>
      <c r="J109" s="3"/>
      <c r="K109" s="3"/>
      <c r="L109" s="3">
        <f t="shared" ref="L109:S109" si="78">+SUM(L101:L108)</f>
        <v>2038</v>
      </c>
      <c r="M109" s="3">
        <f t="shared" si="78"/>
        <v>4084</v>
      </c>
      <c r="N109" s="3">
        <f t="shared" si="78"/>
        <v>-1262</v>
      </c>
      <c r="O109" s="3">
        <f t="shared" si="78"/>
        <v>4187</v>
      </c>
      <c r="P109" s="3">
        <f t="shared" si="78"/>
        <v>12492</v>
      </c>
      <c r="Q109" s="3">
        <f t="shared" si="78"/>
        <v>-764</v>
      </c>
      <c r="R109" s="3">
        <f t="shared" si="78"/>
        <v>-1203</v>
      </c>
      <c r="S109" s="3">
        <f t="shared" si="78"/>
        <v>-2993</v>
      </c>
      <c r="T109" s="3">
        <f>+SUM(T101:T108)</f>
        <v>-8276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2:40" x14ac:dyDescent="0.25">
      <c r="B110" t="s">
        <v>115</v>
      </c>
      <c r="C110" s="3"/>
      <c r="D110" s="3"/>
      <c r="E110" s="3"/>
      <c r="F110" s="3"/>
      <c r="G110" s="3"/>
      <c r="H110" s="3"/>
      <c r="I110" s="3"/>
      <c r="J110" s="3"/>
      <c r="K110" s="3"/>
      <c r="L110" s="3">
        <v>0</v>
      </c>
      <c r="M110" s="3">
        <v>36</v>
      </c>
      <c r="N110" s="3">
        <v>-113</v>
      </c>
      <c r="O110" s="3">
        <v>-6</v>
      </c>
      <c r="P110" s="3">
        <v>169</v>
      </c>
      <c r="Q110" s="3">
        <v>-102</v>
      </c>
      <c r="R110" s="3">
        <v>-155</v>
      </c>
      <c r="S110" s="3">
        <v>76</v>
      </c>
      <c r="T110" s="3">
        <v>-207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2:40" x14ac:dyDescent="0.25">
      <c r="B111" s="1" t="s">
        <v>116</v>
      </c>
      <c r="C111" s="3"/>
      <c r="D111" s="3"/>
      <c r="E111" s="3"/>
      <c r="F111" s="3"/>
      <c r="G111" s="3"/>
      <c r="H111" s="3"/>
      <c r="I111" s="3"/>
      <c r="J111" s="3"/>
      <c r="K111" s="3"/>
      <c r="L111" s="3">
        <f t="shared" ref="L111" si="79">+SUM(L110,L109,L100,L89)</f>
        <v>-708</v>
      </c>
      <c r="M111" s="3">
        <f t="shared" ref="M111" si="80">+SUM(M110,M109,M100,M89)</f>
        <v>2166</v>
      </c>
      <c r="N111" s="3">
        <f t="shared" ref="N111" si="81">+SUM(N110,N109,N100,N89)</f>
        <v>4948</v>
      </c>
      <c r="O111" s="3">
        <f t="shared" ref="O111:T111" si="82">+SUM(O110,O109,O100,O89)</f>
        <v>2510</v>
      </c>
      <c r="P111" s="3">
        <f t="shared" si="82"/>
        <v>2297</v>
      </c>
      <c r="Q111" s="3">
        <f t="shared" si="82"/>
        <v>-11</v>
      </c>
      <c r="R111" s="3">
        <f t="shared" si="82"/>
        <v>1127</v>
      </c>
      <c r="S111" s="3">
        <f t="shared" si="82"/>
        <v>2678</v>
      </c>
      <c r="T111" s="3">
        <f t="shared" si="82"/>
        <v>556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2:40" x14ac:dyDescent="0.25">
      <c r="B112" t="s">
        <v>117</v>
      </c>
      <c r="C112" s="3"/>
      <c r="D112" s="3"/>
      <c r="E112" s="3"/>
      <c r="F112" s="3"/>
      <c r="G112" s="3"/>
      <c r="H112" s="3"/>
      <c r="I112" s="3"/>
      <c r="J112" s="3"/>
      <c r="K112" s="3"/>
      <c r="L112" s="3">
        <f t="shared" ref="L112:S112" si="83">+L113-L111</f>
        <v>6827</v>
      </c>
      <c r="M112" s="3">
        <f t="shared" si="83"/>
        <v>6119</v>
      </c>
      <c r="N112" s="3">
        <f t="shared" si="83"/>
        <v>8285</v>
      </c>
      <c r="O112" s="3">
        <f t="shared" si="83"/>
        <v>13233</v>
      </c>
      <c r="P112" s="3">
        <f t="shared" si="83"/>
        <v>15743</v>
      </c>
      <c r="Q112" s="3">
        <f t="shared" si="83"/>
        <v>18040</v>
      </c>
      <c r="R112" s="3">
        <f t="shared" si="83"/>
        <v>18029</v>
      </c>
      <c r="S112" s="3">
        <f t="shared" si="83"/>
        <v>19156</v>
      </c>
      <c r="T112" s="3">
        <v>21834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2:40" x14ac:dyDescent="0.25">
      <c r="B113" s="1" t="s">
        <v>118</v>
      </c>
      <c r="C113" s="3"/>
      <c r="D113" s="3"/>
      <c r="E113" s="3"/>
      <c r="F113" s="3"/>
      <c r="G113" s="3"/>
      <c r="H113" s="3"/>
      <c r="I113" s="3"/>
      <c r="J113" s="3"/>
      <c r="K113" s="3"/>
      <c r="L113" s="3">
        <f t="shared" ref="L113:S113" si="84">+M112</f>
        <v>6119</v>
      </c>
      <c r="M113" s="3">
        <f t="shared" si="84"/>
        <v>8285</v>
      </c>
      <c r="N113" s="3">
        <f t="shared" si="84"/>
        <v>13233</v>
      </c>
      <c r="O113" s="3">
        <f t="shared" si="84"/>
        <v>15743</v>
      </c>
      <c r="P113" s="3">
        <f t="shared" si="84"/>
        <v>18040</v>
      </c>
      <c r="Q113" s="3">
        <f t="shared" si="84"/>
        <v>18029</v>
      </c>
      <c r="R113" s="3">
        <f t="shared" si="84"/>
        <v>19156</v>
      </c>
      <c r="S113" s="3">
        <f t="shared" si="84"/>
        <v>21834</v>
      </c>
      <c r="T113" s="3">
        <f>+T111+T112</f>
        <v>22390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2:40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2:40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2:40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2:40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2:40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2:40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2:40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2:40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2:40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2:40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2:40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2:40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2:40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2:40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2:40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3:40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3:40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3:40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3:40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3:40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3:40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3:40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3:40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3:40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3:40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3:40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3:40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3:40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3:40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3:40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3:40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3:40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3:40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3:40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3:40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3:40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3:40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3:40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3:40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3:40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3:40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3:40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3:40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3:40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3:40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3:40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3:40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3:40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3:40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3:40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3:40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3:40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3:40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3:40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3:40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3:40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3:40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3:40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3:40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3:40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3:40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3:40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3:40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3:40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3:40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3:40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3:40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3:40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3:40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3:40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3:40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3:40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3:40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3:40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3:40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3:40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3:40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3:40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3:40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3:40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3:40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3:40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3:40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3:40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3:40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3:40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3:40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3:40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3:40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3:40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3:40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3:40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3:40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3:40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3:40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3:40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3:40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3:40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3:40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3:40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3:40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3:40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3:40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3:40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3:40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3:40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3:40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3:40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3:40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3:40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3:40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3:40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3:40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3:40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3:40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3:40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3:40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3:40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3:40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3:40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3:40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</sheetData>
  <hyperlinks>
    <hyperlink ref="A1" location="Main!A1" display="Main" xr:uid="{CA44E9E1-3CA1-452F-AF24-49FEDDA865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14F9-641F-47BD-94C1-73C2B4B90278}">
  <dimension ref="A1:L6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4.42578125" customWidth="1"/>
    <col min="2" max="2" width="32.42578125" bestFit="1" customWidth="1"/>
  </cols>
  <sheetData>
    <row r="1" spans="1:12" x14ac:dyDescent="0.25">
      <c r="A1" s="5" t="s">
        <v>11</v>
      </c>
    </row>
    <row r="2" spans="1:12" x14ac:dyDescent="0.25">
      <c r="B2" s="65" t="s">
        <v>235</v>
      </c>
      <c r="C2" s="66">
        <v>18</v>
      </c>
      <c r="D2" s="66">
        <f>+C2+1</f>
        <v>19</v>
      </c>
      <c r="E2" s="66">
        <f t="shared" ref="E2:J2" si="0">+D2+1</f>
        <v>20</v>
      </c>
      <c r="F2" s="66">
        <f t="shared" si="0"/>
        <v>21</v>
      </c>
      <c r="G2" s="66">
        <f t="shared" si="0"/>
        <v>22</v>
      </c>
      <c r="H2" s="66">
        <f t="shared" si="0"/>
        <v>23</v>
      </c>
      <c r="I2" s="66">
        <f t="shared" si="0"/>
        <v>24</v>
      </c>
      <c r="J2" s="66">
        <f t="shared" si="0"/>
        <v>25</v>
      </c>
      <c r="K2" s="67"/>
    </row>
    <row r="3" spans="1:12" x14ac:dyDescent="0.25">
      <c r="B3" t="s">
        <v>3</v>
      </c>
      <c r="C3" s="27"/>
      <c r="D3" s="27"/>
      <c r="E3" s="27"/>
      <c r="F3" s="27"/>
      <c r="G3" s="27"/>
      <c r="H3" s="27"/>
      <c r="I3" s="27"/>
      <c r="J3" s="27"/>
      <c r="K3" s="27"/>
    </row>
    <row r="4" spans="1:12" x14ac:dyDescent="0.25">
      <c r="B4" t="s">
        <v>236</v>
      </c>
      <c r="C4" s="27"/>
      <c r="D4" s="27"/>
      <c r="E4" s="27"/>
      <c r="F4" s="27"/>
      <c r="G4" s="27"/>
      <c r="H4" s="27"/>
      <c r="I4" s="27"/>
      <c r="J4" s="27"/>
      <c r="K4" s="27"/>
    </row>
    <row r="5" spans="1:12" x14ac:dyDescent="0.25">
      <c r="B5" t="s">
        <v>237</v>
      </c>
      <c r="C5" s="27"/>
      <c r="D5" s="27"/>
      <c r="E5" s="27"/>
      <c r="F5" s="27"/>
      <c r="G5" s="27"/>
      <c r="H5" s="27"/>
      <c r="I5" s="27"/>
      <c r="J5" s="27"/>
      <c r="K5" s="27"/>
    </row>
    <row r="6" spans="1:12" x14ac:dyDescent="0.25">
      <c r="B6" t="s">
        <v>238</v>
      </c>
      <c r="C6" s="27"/>
      <c r="D6" s="27"/>
      <c r="E6" s="27"/>
      <c r="F6" s="27"/>
      <c r="G6" s="27"/>
      <c r="H6" s="27"/>
      <c r="I6" s="27"/>
      <c r="J6" s="27"/>
      <c r="K6" s="27"/>
    </row>
    <row r="7" spans="1:12" x14ac:dyDescent="0.25">
      <c r="B7" t="s">
        <v>8</v>
      </c>
      <c r="C7" s="27"/>
      <c r="D7" s="27"/>
      <c r="E7" s="27"/>
      <c r="F7" s="27"/>
      <c r="G7" s="27"/>
      <c r="H7" s="27"/>
      <c r="I7" s="27"/>
      <c r="J7" s="27"/>
      <c r="K7" s="27"/>
    </row>
    <row r="8" spans="1:12" x14ac:dyDescent="0.25">
      <c r="C8" s="27"/>
      <c r="D8" s="27"/>
      <c r="E8" s="27"/>
      <c r="F8" s="27"/>
      <c r="G8" s="27"/>
      <c r="H8" s="27"/>
      <c r="I8" s="27"/>
      <c r="J8" s="27"/>
      <c r="K8" s="27"/>
    </row>
    <row r="9" spans="1:12" x14ac:dyDescent="0.25">
      <c r="A9" s="61" t="s">
        <v>157</v>
      </c>
      <c r="B9" s="62" t="s">
        <v>239</v>
      </c>
      <c r="C9" s="27"/>
      <c r="D9" s="27"/>
      <c r="E9" s="27"/>
      <c r="F9" s="27"/>
      <c r="G9" s="27"/>
      <c r="H9" s="27"/>
      <c r="I9" s="27"/>
      <c r="J9" s="27"/>
      <c r="K9" s="27"/>
    </row>
    <row r="10" spans="1:12" x14ac:dyDescent="0.25">
      <c r="B10" t="s">
        <v>240</v>
      </c>
      <c r="L10" s="48" t="s">
        <v>241</v>
      </c>
    </row>
    <row r="11" spans="1:12" x14ac:dyDescent="0.25">
      <c r="B11" t="s">
        <v>242</v>
      </c>
      <c r="L11" s="48" t="s">
        <v>243</v>
      </c>
    </row>
    <row r="12" spans="1:12" x14ac:dyDescent="0.25">
      <c r="B12" t="s">
        <v>244</v>
      </c>
      <c r="L12" s="48"/>
    </row>
    <row r="13" spans="1:12" x14ac:dyDescent="0.25">
      <c r="B13" t="s">
        <v>245</v>
      </c>
      <c r="L13" s="48" t="s">
        <v>246</v>
      </c>
    </row>
    <row r="14" spans="1:12" x14ac:dyDescent="0.25">
      <c r="B14" t="s">
        <v>247</v>
      </c>
      <c r="L14" t="s">
        <v>248</v>
      </c>
    </row>
    <row r="15" spans="1:12" x14ac:dyDescent="0.25">
      <c r="B15" t="s">
        <v>249</v>
      </c>
      <c r="L15" s="48" t="s">
        <v>250</v>
      </c>
    </row>
    <row r="16" spans="1:12" x14ac:dyDescent="0.25">
      <c r="B16" t="s">
        <v>251</v>
      </c>
      <c r="L16" s="48" t="s">
        <v>252</v>
      </c>
    </row>
    <row r="17" spans="1:12" x14ac:dyDescent="0.25">
      <c r="B17" t="s">
        <v>253</v>
      </c>
      <c r="L17" s="48" t="s">
        <v>254</v>
      </c>
    </row>
    <row r="18" spans="1:12" x14ac:dyDescent="0.25">
      <c r="B18" t="s">
        <v>255</v>
      </c>
      <c r="L18" s="48" t="s">
        <v>256</v>
      </c>
    </row>
    <row r="20" spans="1:12" x14ac:dyDescent="0.25">
      <c r="A20" s="61" t="s">
        <v>157</v>
      </c>
      <c r="B20" s="62" t="s">
        <v>257</v>
      </c>
    </row>
    <row r="21" spans="1:12" x14ac:dyDescent="0.25">
      <c r="B21" t="s">
        <v>258</v>
      </c>
      <c r="L21" s="48" t="s">
        <v>259</v>
      </c>
    </row>
    <row r="22" spans="1:12" x14ac:dyDescent="0.25">
      <c r="B22" t="s">
        <v>260</v>
      </c>
      <c r="L22" s="48" t="s">
        <v>261</v>
      </c>
    </row>
    <row r="23" spans="1:12" x14ac:dyDescent="0.25">
      <c r="B23" t="s">
        <v>262</v>
      </c>
      <c r="L23" s="48" t="s">
        <v>263</v>
      </c>
    </row>
    <row r="24" spans="1:12" x14ac:dyDescent="0.25">
      <c r="B24" t="s">
        <v>264</v>
      </c>
      <c r="L24" s="48" t="s">
        <v>265</v>
      </c>
    </row>
    <row r="25" spans="1:12" x14ac:dyDescent="0.25">
      <c r="B25" t="s">
        <v>266</v>
      </c>
      <c r="L25" s="48" t="s">
        <v>267</v>
      </c>
    </row>
    <row r="26" spans="1:12" x14ac:dyDescent="0.25">
      <c r="B26" t="s">
        <v>268</v>
      </c>
      <c r="L26" s="48" t="s">
        <v>269</v>
      </c>
    </row>
    <row r="28" spans="1:12" x14ac:dyDescent="0.25">
      <c r="B28" t="s">
        <v>270</v>
      </c>
      <c r="L28" s="48" t="s">
        <v>271</v>
      </c>
    </row>
    <row r="29" spans="1:12" x14ac:dyDescent="0.25">
      <c r="B29" t="s">
        <v>272</v>
      </c>
      <c r="L29" s="48" t="s">
        <v>273</v>
      </c>
    </row>
    <row r="30" spans="1:12" x14ac:dyDescent="0.25">
      <c r="B30" t="s">
        <v>274</v>
      </c>
      <c r="L30" s="48" t="s">
        <v>275</v>
      </c>
    </row>
    <row r="31" spans="1:12" x14ac:dyDescent="0.25">
      <c r="B31" t="s">
        <v>276</v>
      </c>
      <c r="L31" s="48" t="s">
        <v>277</v>
      </c>
    </row>
    <row r="33" spans="1:12" x14ac:dyDescent="0.25">
      <c r="A33" s="61" t="s">
        <v>157</v>
      </c>
      <c r="B33" s="62" t="s">
        <v>278</v>
      </c>
    </row>
    <row r="34" spans="1:12" x14ac:dyDescent="0.25">
      <c r="B34" t="s">
        <v>279</v>
      </c>
      <c r="L34" s="48" t="s">
        <v>280</v>
      </c>
    </row>
    <row r="35" spans="1:12" x14ac:dyDescent="0.25">
      <c r="B35" t="s">
        <v>281</v>
      </c>
      <c r="L35" s="48" t="s">
        <v>282</v>
      </c>
    </row>
    <row r="36" spans="1:12" x14ac:dyDescent="0.25">
      <c r="B36" t="s">
        <v>283</v>
      </c>
      <c r="L36" s="48" t="s">
        <v>284</v>
      </c>
    </row>
    <row r="37" spans="1:12" x14ac:dyDescent="0.25">
      <c r="B37" t="s">
        <v>285</v>
      </c>
      <c r="C37" s="6"/>
      <c r="D37" s="6"/>
      <c r="E37" s="6"/>
      <c r="F37" s="6"/>
      <c r="G37" s="6"/>
      <c r="I37" s="68"/>
      <c r="J37" s="68"/>
      <c r="L37" s="48" t="s">
        <v>286</v>
      </c>
    </row>
    <row r="38" spans="1:12" x14ac:dyDescent="0.25">
      <c r="B38" t="s">
        <v>287</v>
      </c>
      <c r="C38" s="4"/>
      <c r="D38" s="69"/>
      <c r="E38" s="4"/>
      <c r="F38" s="4"/>
      <c r="G38" s="4"/>
      <c r="I38" s="68"/>
      <c r="J38" s="68"/>
      <c r="L38" s="48" t="s">
        <v>288</v>
      </c>
    </row>
    <row r="40" spans="1:12" x14ac:dyDescent="0.25">
      <c r="A40" s="61" t="s">
        <v>157</v>
      </c>
      <c r="B40" s="62" t="s">
        <v>289</v>
      </c>
    </row>
    <row r="41" spans="1:12" x14ac:dyDescent="0.25">
      <c r="B41" t="s">
        <v>290</v>
      </c>
      <c r="C41" s="70"/>
      <c r="D41" s="70"/>
      <c r="E41" s="70"/>
      <c r="F41" s="70"/>
      <c r="G41" s="70"/>
      <c r="I41" s="70"/>
      <c r="J41" s="70"/>
      <c r="L41" s="48" t="s">
        <v>291</v>
      </c>
    </row>
    <row r="42" spans="1:12" x14ac:dyDescent="0.25">
      <c r="B42" t="s">
        <v>292</v>
      </c>
      <c r="C42" s="70"/>
      <c r="D42" s="70"/>
      <c r="E42" s="70"/>
      <c r="F42" s="70"/>
      <c r="G42" s="70"/>
      <c r="I42" s="70"/>
      <c r="J42" s="70"/>
      <c r="L42" s="48" t="s">
        <v>293</v>
      </c>
    </row>
    <row r="43" spans="1:12" x14ac:dyDescent="0.25">
      <c r="B43" t="s">
        <v>294</v>
      </c>
      <c r="L43" s="48" t="s">
        <v>295</v>
      </c>
    </row>
    <row r="44" spans="1:12" x14ac:dyDescent="0.25">
      <c r="B44" t="s">
        <v>296</v>
      </c>
      <c r="L44" s="48" t="s">
        <v>297</v>
      </c>
    </row>
    <row r="45" spans="1:12" x14ac:dyDescent="0.25">
      <c r="B45" t="s">
        <v>298</v>
      </c>
      <c r="L45" s="48" t="s">
        <v>299</v>
      </c>
    </row>
    <row r="46" spans="1:12" x14ac:dyDescent="0.25">
      <c r="B46" t="s">
        <v>300</v>
      </c>
      <c r="L46" s="48" t="s">
        <v>301</v>
      </c>
    </row>
    <row r="48" spans="1:12" x14ac:dyDescent="0.25">
      <c r="A48" s="61" t="s">
        <v>157</v>
      </c>
      <c r="B48" s="62" t="s">
        <v>302</v>
      </c>
    </row>
    <row r="49" spans="2:12" x14ac:dyDescent="0.25">
      <c r="B49" s="62" t="s">
        <v>303</v>
      </c>
      <c r="C49" s="47"/>
      <c r="D49" s="47"/>
      <c r="E49" s="47"/>
      <c r="F49" s="47"/>
      <c r="G49" s="47"/>
    </row>
    <row r="50" spans="2:12" x14ac:dyDescent="0.25">
      <c r="B50" t="s">
        <v>304</v>
      </c>
      <c r="C50" s="70"/>
      <c r="D50" s="70"/>
      <c r="E50" s="70"/>
      <c r="F50" s="70"/>
      <c r="G50" s="70"/>
      <c r="I50" s="70"/>
      <c r="J50" s="70"/>
      <c r="L50" s="48" t="s">
        <v>305</v>
      </c>
    </row>
    <row r="51" spans="2:12" x14ac:dyDescent="0.25">
      <c r="B51" t="s">
        <v>306</v>
      </c>
      <c r="C51" s="70"/>
      <c r="D51" s="70"/>
      <c r="E51" s="70"/>
      <c r="F51" s="70"/>
      <c r="G51" s="70"/>
      <c r="I51" s="70"/>
      <c r="J51" s="70"/>
      <c r="L51" s="48" t="s">
        <v>307</v>
      </c>
    </row>
    <row r="52" spans="2:12" x14ac:dyDescent="0.25">
      <c r="B52" t="s">
        <v>308</v>
      </c>
      <c r="C52" s="70"/>
      <c r="D52" s="70"/>
      <c r="E52" s="70"/>
      <c r="F52" s="70"/>
      <c r="G52" s="70"/>
      <c r="I52" s="70"/>
      <c r="J52" s="70"/>
      <c r="L52" s="48" t="s">
        <v>309</v>
      </c>
    </row>
    <row r="53" spans="2:12" x14ac:dyDescent="0.25">
      <c r="B53" t="s">
        <v>310</v>
      </c>
      <c r="C53" s="70"/>
      <c r="D53" s="70"/>
      <c r="E53" s="70"/>
      <c r="F53" s="70"/>
      <c r="G53" s="70"/>
      <c r="I53" s="70"/>
      <c r="J53" s="70"/>
      <c r="L53" s="48" t="s">
        <v>311</v>
      </c>
    </row>
    <row r="54" spans="2:12" x14ac:dyDescent="0.25">
      <c r="B54" t="s">
        <v>312</v>
      </c>
      <c r="C54" s="70"/>
      <c r="D54" s="70"/>
      <c r="E54" s="70"/>
      <c r="F54" s="70"/>
      <c r="G54" s="70"/>
      <c r="I54" s="70"/>
      <c r="J54" s="70"/>
      <c r="L54" s="48" t="s">
        <v>313</v>
      </c>
    </row>
    <row r="55" spans="2:12" x14ac:dyDescent="0.25">
      <c r="B55" t="s">
        <v>314</v>
      </c>
      <c r="C55" s="70"/>
      <c r="D55" s="70"/>
      <c r="E55" s="70"/>
      <c r="F55" s="70"/>
      <c r="G55" s="70"/>
      <c r="I55" s="70"/>
      <c r="J55" s="70"/>
      <c r="L55" s="48" t="s">
        <v>315</v>
      </c>
    </row>
    <row r="56" spans="2:12" x14ac:dyDescent="0.25">
      <c r="B56" s="62" t="s">
        <v>316</v>
      </c>
      <c r="I56" s="70"/>
      <c r="J56" s="70"/>
    </row>
    <row r="57" spans="2:12" x14ac:dyDescent="0.25">
      <c r="B57" t="s">
        <v>317</v>
      </c>
      <c r="C57" s="70"/>
      <c r="D57" s="70"/>
      <c r="E57" s="70"/>
      <c r="F57" s="70"/>
      <c r="G57" s="70"/>
      <c r="I57" s="70"/>
      <c r="J57" s="70"/>
      <c r="L57" s="48" t="s">
        <v>318</v>
      </c>
    </row>
    <row r="58" spans="2:12" x14ac:dyDescent="0.25">
      <c r="B58" t="s">
        <v>319</v>
      </c>
      <c r="C58" s="70"/>
      <c r="D58" s="70"/>
      <c r="E58" s="70"/>
      <c r="F58" s="70"/>
      <c r="G58" s="70"/>
      <c r="I58" s="70"/>
      <c r="J58" s="70"/>
      <c r="L58" s="48" t="s">
        <v>320</v>
      </c>
    </row>
    <row r="59" spans="2:12" x14ac:dyDescent="0.25">
      <c r="B59" t="s">
        <v>321</v>
      </c>
      <c r="C59" s="70"/>
      <c r="D59" s="70"/>
      <c r="E59" s="70"/>
      <c r="F59" s="70"/>
      <c r="G59" s="70"/>
      <c r="I59" s="70"/>
      <c r="J59" s="70"/>
      <c r="L59" s="48" t="s">
        <v>322</v>
      </c>
    </row>
    <row r="60" spans="2:12" x14ac:dyDescent="0.25">
      <c r="B60" t="s">
        <v>323</v>
      </c>
      <c r="C60" s="70"/>
      <c r="D60" s="70"/>
      <c r="E60" s="70"/>
      <c r="F60" s="70"/>
      <c r="G60" s="70"/>
      <c r="I60" s="70"/>
      <c r="J60" s="70"/>
      <c r="L60" s="48" t="s">
        <v>324</v>
      </c>
    </row>
  </sheetData>
  <hyperlinks>
    <hyperlink ref="A1" location="Main!A1" display="Main" xr:uid="{E12458A1-52FC-424F-998C-A36A789CBC15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D299-C064-4DF4-9D81-D723CC708295}">
  <dimension ref="A1:I48"/>
  <sheetViews>
    <sheetView showGridLines="0" zoomScale="200" zoomScaleNormal="200" workbookViewId="0">
      <selection activeCell="C3" sqref="C3"/>
    </sheetView>
  </sheetViews>
  <sheetFormatPr defaultRowHeight="15" x14ac:dyDescent="0.25"/>
  <cols>
    <col min="1" max="1" width="4.5703125" customWidth="1"/>
  </cols>
  <sheetData>
    <row r="1" spans="1:8" x14ac:dyDescent="0.25">
      <c r="A1" s="5" t="s">
        <v>11</v>
      </c>
    </row>
    <row r="3" spans="1:8" x14ac:dyDescent="0.25">
      <c r="B3" s="22" t="s">
        <v>199</v>
      </c>
      <c r="C3" s="22"/>
      <c r="D3" s="22"/>
      <c r="E3" s="22"/>
      <c r="F3" s="22"/>
    </row>
    <row r="4" spans="1:8" x14ac:dyDescent="0.25">
      <c r="A4" s="61" t="s">
        <v>157</v>
      </c>
      <c r="B4" s="62" t="s">
        <v>200</v>
      </c>
    </row>
    <row r="5" spans="1:8" x14ac:dyDescent="0.25">
      <c r="B5" s="62" t="s">
        <v>201</v>
      </c>
    </row>
    <row r="6" spans="1:8" x14ac:dyDescent="0.25">
      <c r="B6" t="s">
        <v>202</v>
      </c>
      <c r="H6" s="48" t="s">
        <v>203</v>
      </c>
    </row>
    <row r="7" spans="1:8" x14ac:dyDescent="0.25">
      <c r="B7" t="s">
        <v>204</v>
      </c>
      <c r="H7" s="48" t="s">
        <v>205</v>
      </c>
    </row>
    <row r="8" spans="1:8" x14ac:dyDescent="0.25">
      <c r="B8" t="s">
        <v>201</v>
      </c>
      <c r="F8">
        <f>F6+F7</f>
        <v>0</v>
      </c>
      <c r="H8" s="48" t="s">
        <v>206</v>
      </c>
    </row>
    <row r="10" spans="1:8" x14ac:dyDescent="0.25">
      <c r="A10" s="61" t="s">
        <v>157</v>
      </c>
      <c r="B10" s="62" t="s">
        <v>207</v>
      </c>
    </row>
    <row r="11" spans="1:8" x14ac:dyDescent="0.25">
      <c r="B11" t="s">
        <v>208</v>
      </c>
      <c r="H11" s="48" t="s">
        <v>209</v>
      </c>
    </row>
    <row r="12" spans="1:8" x14ac:dyDescent="0.25">
      <c r="B12" t="s">
        <v>210</v>
      </c>
      <c r="H12" s="48" t="s">
        <v>211</v>
      </c>
    </row>
    <row r="13" spans="1:8" x14ac:dyDescent="0.25">
      <c r="B13" t="s">
        <v>212</v>
      </c>
      <c r="H13" s="48" t="s">
        <v>213</v>
      </c>
    </row>
    <row r="14" spans="1:8" x14ac:dyDescent="0.25">
      <c r="B14" t="s">
        <v>214</v>
      </c>
      <c r="H14" s="48" t="s">
        <v>215</v>
      </c>
    </row>
    <row r="15" spans="1:8" x14ac:dyDescent="0.25">
      <c r="B15" t="s">
        <v>216</v>
      </c>
      <c r="H15" s="48" t="s">
        <v>217</v>
      </c>
    </row>
    <row r="17" spans="1:8" x14ac:dyDescent="0.25">
      <c r="A17" s="61" t="s">
        <v>157</v>
      </c>
      <c r="B17" s="62" t="s">
        <v>218</v>
      </c>
    </row>
    <row r="18" spans="1:8" x14ac:dyDescent="0.25">
      <c r="B18" t="s">
        <v>219</v>
      </c>
      <c r="H18" s="48" t="s">
        <v>220</v>
      </c>
    </row>
    <row r="19" spans="1:8" x14ac:dyDescent="0.25">
      <c r="B19" t="s">
        <v>201</v>
      </c>
    </row>
    <row r="20" spans="1:8" x14ac:dyDescent="0.25">
      <c r="B20" t="s">
        <v>218</v>
      </c>
      <c r="F20">
        <f>F18-F19</f>
        <v>0</v>
      </c>
    </row>
    <row r="22" spans="1:8" x14ac:dyDescent="0.25">
      <c r="A22" s="61" t="s">
        <v>157</v>
      </c>
      <c r="B22" s="63" t="s">
        <v>200</v>
      </c>
      <c r="C22" s="51"/>
      <c r="D22" s="51"/>
      <c r="E22" s="51"/>
      <c r="F22" s="64">
        <f>F8+F15*F20</f>
        <v>0</v>
      </c>
      <c r="H22" s="48" t="s">
        <v>221</v>
      </c>
    </row>
    <row r="25" spans="1:8" x14ac:dyDescent="0.25">
      <c r="A25" s="61" t="s">
        <v>157</v>
      </c>
      <c r="B25" s="62" t="s">
        <v>222</v>
      </c>
    </row>
    <row r="26" spans="1:8" x14ac:dyDescent="0.25">
      <c r="B26" t="s">
        <v>223</v>
      </c>
      <c r="H26" s="48" t="s">
        <v>224</v>
      </c>
    </row>
    <row r="27" spans="1:8" x14ac:dyDescent="0.25">
      <c r="B27" t="s">
        <v>225</v>
      </c>
    </row>
    <row r="28" spans="1:8" x14ac:dyDescent="0.25">
      <c r="B28" t="s">
        <v>201</v>
      </c>
    </row>
    <row r="29" spans="1:8" x14ac:dyDescent="0.25">
      <c r="B29" t="s">
        <v>226</v>
      </c>
    </row>
    <row r="30" spans="1:8" x14ac:dyDescent="0.25">
      <c r="B30" t="s">
        <v>227</v>
      </c>
    </row>
    <row r="32" spans="1:8" x14ac:dyDescent="0.25">
      <c r="A32" s="61" t="s">
        <v>157</v>
      </c>
      <c r="B32" s="63" t="s">
        <v>222</v>
      </c>
      <c r="C32" s="51"/>
      <c r="D32" s="51"/>
      <c r="E32" s="51"/>
      <c r="F32" s="64">
        <f>F28+F29+F30</f>
        <v>0</v>
      </c>
    </row>
    <row r="34" spans="1:9" x14ac:dyDescent="0.25">
      <c r="A34" s="61" t="s">
        <v>157</v>
      </c>
      <c r="B34" s="62" t="s">
        <v>228</v>
      </c>
    </row>
    <row r="35" spans="1:9" x14ac:dyDescent="0.25">
      <c r="B35" t="s">
        <v>229</v>
      </c>
    </row>
    <row r="36" spans="1:9" x14ac:dyDescent="0.25">
      <c r="B36" t="s">
        <v>230</v>
      </c>
    </row>
    <row r="37" spans="1:9" x14ac:dyDescent="0.25">
      <c r="B37" t="s">
        <v>231</v>
      </c>
      <c r="F37">
        <f>F35+F36</f>
        <v>0</v>
      </c>
    </row>
    <row r="39" spans="1:9" x14ac:dyDescent="0.25">
      <c r="B39" t="s">
        <v>232</v>
      </c>
    </row>
    <row r="41" spans="1:9" x14ac:dyDescent="0.25">
      <c r="A41" s="61" t="s">
        <v>157</v>
      </c>
      <c r="B41" s="63" t="s">
        <v>168</v>
      </c>
      <c r="C41" s="51"/>
      <c r="D41" s="51"/>
      <c r="E41" s="51"/>
      <c r="F41" s="64" t="e">
        <f>(F32*(F35/F37)*(1-F39))+((F36/F38)*F22)</f>
        <v>#DIV/0!</v>
      </c>
      <c r="H41" s="48" t="s">
        <v>233</v>
      </c>
    </row>
    <row r="47" spans="1:9" x14ac:dyDescent="0.25">
      <c r="I47" t="e">
        <f>SLOPE(H48:H52,K48:K52)</f>
        <v>#DIV/0!</v>
      </c>
    </row>
    <row r="48" spans="1:9" x14ac:dyDescent="0.25">
      <c r="H48" t="s">
        <v>234</v>
      </c>
    </row>
  </sheetData>
  <hyperlinks>
    <hyperlink ref="A1" location="Main!A1" display="Main" xr:uid="{7F17A37F-8B78-4095-9F08-E45728F8A5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7FC4-14A4-4CF0-A935-78EC686188C2}">
  <dimension ref="A1:AA76"/>
  <sheetViews>
    <sheetView showGridLines="0" zoomScaleNormal="100" workbookViewId="0">
      <selection activeCell="K1" sqref="K1"/>
    </sheetView>
  </sheetViews>
  <sheetFormatPr defaultRowHeight="15" x14ac:dyDescent="0.25"/>
  <cols>
    <col min="1" max="1" width="4.7109375" customWidth="1"/>
  </cols>
  <sheetData>
    <row r="1" spans="1:27" ht="19.5" x14ac:dyDescent="0.3">
      <c r="A1" s="12" t="s">
        <v>11</v>
      </c>
      <c r="B1" s="13" t="s">
        <v>325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x14ac:dyDescent="0.25">
      <c r="E2" s="15"/>
    </row>
    <row r="3" spans="1:27" x14ac:dyDescent="0.25">
      <c r="B3" t="s">
        <v>150</v>
      </c>
      <c r="E3" s="16" t="s">
        <v>0</v>
      </c>
      <c r="G3" t="s">
        <v>151</v>
      </c>
      <c r="J3" s="16">
        <f>+Main!I2</f>
        <v>57.62</v>
      </c>
      <c r="L3" t="s">
        <v>151</v>
      </c>
      <c r="O3" s="16">
        <f>+J3</f>
        <v>57.62</v>
      </c>
    </row>
    <row r="4" spans="1:27" x14ac:dyDescent="0.25">
      <c r="B4" t="s">
        <v>152</v>
      </c>
      <c r="E4" s="71">
        <f ca="1">+TODAY()</f>
        <v>45772</v>
      </c>
      <c r="G4" t="s">
        <v>153</v>
      </c>
      <c r="J4" s="17">
        <f ca="1">V62</f>
        <v>84.841990627586384</v>
      </c>
      <c r="L4" t="s">
        <v>154</v>
      </c>
      <c r="O4" s="18">
        <f>+J15+O15+T15</f>
        <v>0</v>
      </c>
    </row>
    <row r="5" spans="1:27" x14ac:dyDescent="0.25">
      <c r="B5" t="s">
        <v>155</v>
      </c>
      <c r="E5" s="71">
        <v>46022</v>
      </c>
      <c r="G5" t="s">
        <v>156</v>
      </c>
      <c r="J5" s="20">
        <f ca="1">J4/J3-1</f>
        <v>0.47243996229757701</v>
      </c>
      <c r="L5" t="s">
        <v>156</v>
      </c>
      <c r="O5" s="20">
        <f>O4/O3-1</f>
        <v>-1</v>
      </c>
    </row>
    <row r="7" spans="1:27" x14ac:dyDescent="0.25">
      <c r="A7" s="21" t="s">
        <v>157</v>
      </c>
      <c r="B7" s="22" t="s">
        <v>158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7" x14ac:dyDescent="0.25">
      <c r="A8" s="21"/>
    </row>
    <row r="9" spans="1:27" x14ac:dyDescent="0.25">
      <c r="A9" s="21"/>
      <c r="B9" s="23" t="s">
        <v>159</v>
      </c>
      <c r="C9" s="24"/>
      <c r="D9" s="24"/>
      <c r="E9" s="24"/>
      <c r="G9" s="23" t="s">
        <v>160</v>
      </c>
      <c r="H9" s="23"/>
      <c r="I9" s="24"/>
      <c r="J9" s="24"/>
      <c r="L9" s="23" t="s">
        <v>161</v>
      </c>
      <c r="M9" s="24"/>
      <c r="N9" s="24"/>
      <c r="O9" s="24"/>
      <c r="Q9" s="23" t="s">
        <v>162</v>
      </c>
      <c r="R9" s="24"/>
      <c r="S9" s="24"/>
      <c r="T9" s="24"/>
    </row>
    <row r="10" spans="1:27" x14ac:dyDescent="0.25">
      <c r="A10" s="21"/>
      <c r="B10" s="10" t="s">
        <v>163</v>
      </c>
      <c r="G10" s="10" t="s">
        <v>163</v>
      </c>
      <c r="H10" s="10"/>
      <c r="I10" s="10" t="s">
        <v>164</v>
      </c>
      <c r="J10" s="10" t="s">
        <v>165</v>
      </c>
      <c r="L10" s="10" t="s">
        <v>163</v>
      </c>
      <c r="N10" s="10" t="s">
        <v>164</v>
      </c>
      <c r="O10" s="10" t="s">
        <v>165</v>
      </c>
      <c r="Q10" s="10" t="s">
        <v>163</v>
      </c>
      <c r="S10" s="10" t="s">
        <v>164</v>
      </c>
      <c r="T10" s="10" t="s">
        <v>165</v>
      </c>
    </row>
    <row r="11" spans="1:27" x14ac:dyDescent="0.25">
      <c r="B11" t="s">
        <v>26</v>
      </c>
      <c r="E11" s="19">
        <v>2</v>
      </c>
      <c r="G11" t="s">
        <v>166</v>
      </c>
      <c r="K11" s="1"/>
      <c r="L11" t="s">
        <v>166</v>
      </c>
      <c r="Q11" t="s">
        <v>166</v>
      </c>
    </row>
    <row r="12" spans="1:27" x14ac:dyDescent="0.25">
      <c r="B12" t="s">
        <v>167</v>
      </c>
      <c r="E12" s="19">
        <v>2</v>
      </c>
      <c r="G12" t="s">
        <v>167</v>
      </c>
      <c r="L12" t="s">
        <v>167</v>
      </c>
      <c r="Q12" t="s">
        <v>167</v>
      </c>
    </row>
    <row r="13" spans="1:27" x14ac:dyDescent="0.25">
      <c r="B13" t="s">
        <v>168</v>
      </c>
      <c r="E13" s="19">
        <v>2</v>
      </c>
      <c r="G13" t="s">
        <v>169</v>
      </c>
      <c r="J13" s="25"/>
      <c r="O13" s="25"/>
      <c r="T13" s="25"/>
    </row>
    <row r="14" spans="1:27" x14ac:dyDescent="0.25">
      <c r="B14" t="s">
        <v>170</v>
      </c>
      <c r="E14" s="19">
        <v>2</v>
      </c>
      <c r="G14" t="s">
        <v>171</v>
      </c>
      <c r="J14" s="25"/>
      <c r="L14" t="s">
        <v>171</v>
      </c>
      <c r="O14" s="25"/>
      <c r="Q14" t="s">
        <v>171</v>
      </c>
      <c r="T14" s="25"/>
    </row>
    <row r="15" spans="1:27" x14ac:dyDescent="0.25">
      <c r="B15" t="s">
        <v>172</v>
      </c>
      <c r="E15" s="19">
        <v>2</v>
      </c>
      <c r="G15" t="s">
        <v>173</v>
      </c>
      <c r="J15" s="25"/>
      <c r="L15" t="s">
        <v>173</v>
      </c>
      <c r="O15" s="25"/>
      <c r="Q15" t="s">
        <v>173</v>
      </c>
      <c r="T15" s="25"/>
    </row>
    <row r="17" spans="1:22" x14ac:dyDescent="0.25">
      <c r="B17" s="10" t="s">
        <v>174</v>
      </c>
    </row>
    <row r="18" spans="1:22" x14ac:dyDescent="0.25">
      <c r="B18" t="s">
        <v>168</v>
      </c>
      <c r="E18" s="25">
        <f>CHOOSE(E13,J18,O18,T18)</f>
        <v>0.09</v>
      </c>
      <c r="G18" t="s">
        <v>168</v>
      </c>
      <c r="J18" s="25"/>
      <c r="L18" t="s">
        <v>168</v>
      </c>
      <c r="O18" s="25">
        <v>0.09</v>
      </c>
      <c r="Q18" t="s">
        <v>168</v>
      </c>
      <c r="T18" s="25"/>
    </row>
    <row r="19" spans="1:22" x14ac:dyDescent="0.25">
      <c r="B19" t="s">
        <v>170</v>
      </c>
      <c r="E19" s="25">
        <f>CHOOSE(E14,J19,O19,T19)</f>
        <v>0.03</v>
      </c>
      <c r="G19" t="s">
        <v>170</v>
      </c>
      <c r="J19" s="25"/>
      <c r="L19" t="s">
        <v>170</v>
      </c>
      <c r="O19" s="25">
        <v>0.03</v>
      </c>
      <c r="Q19" t="s">
        <v>170</v>
      </c>
      <c r="T19" s="25"/>
    </row>
    <row r="20" spans="1:22" x14ac:dyDescent="0.25">
      <c r="B20" t="s">
        <v>175</v>
      </c>
      <c r="E20" s="25">
        <f>CHOOSE(E15,J20,O20,T20)</f>
        <v>0.1</v>
      </c>
      <c r="G20" t="s">
        <v>175</v>
      </c>
      <c r="J20" s="25"/>
      <c r="L20" t="s">
        <v>175</v>
      </c>
      <c r="O20" s="25">
        <v>0.1</v>
      </c>
      <c r="Q20" t="s">
        <v>175</v>
      </c>
      <c r="T20" s="25"/>
    </row>
    <row r="24" spans="1:22" x14ac:dyDescent="0.25">
      <c r="A24" s="21" t="s">
        <v>157</v>
      </c>
      <c r="B24" s="22" t="s">
        <v>176</v>
      </c>
      <c r="C24" s="22"/>
      <c r="D24" s="22"/>
      <c r="E24" s="22"/>
      <c r="F24" s="22"/>
      <c r="G24" s="26">
        <v>19</v>
      </c>
      <c r="H24" s="26">
        <f>G24+1</f>
        <v>20</v>
      </c>
      <c r="I24" s="26">
        <f t="shared" ref="I24:V24" si="0">H24+1</f>
        <v>21</v>
      </c>
      <c r="J24" s="26">
        <f t="shared" si="0"/>
        <v>22</v>
      </c>
      <c r="K24" s="26">
        <f t="shared" si="0"/>
        <v>23</v>
      </c>
      <c r="L24" s="26">
        <f t="shared" si="0"/>
        <v>24</v>
      </c>
      <c r="M24" s="26">
        <f t="shared" si="0"/>
        <v>25</v>
      </c>
      <c r="N24" s="26">
        <f t="shared" si="0"/>
        <v>26</v>
      </c>
      <c r="O24" s="26">
        <f t="shared" si="0"/>
        <v>27</v>
      </c>
      <c r="P24" s="26">
        <f t="shared" si="0"/>
        <v>28</v>
      </c>
      <c r="Q24" s="26">
        <f t="shared" si="0"/>
        <v>29</v>
      </c>
      <c r="R24" s="26">
        <f t="shared" si="0"/>
        <v>30</v>
      </c>
      <c r="S24" s="26">
        <f t="shared" si="0"/>
        <v>31</v>
      </c>
      <c r="T24" s="26">
        <f t="shared" si="0"/>
        <v>32</v>
      </c>
      <c r="U24" s="26">
        <f t="shared" si="0"/>
        <v>33</v>
      </c>
      <c r="V24" s="26">
        <f t="shared" si="0"/>
        <v>34</v>
      </c>
    </row>
    <row r="25" spans="1:22" x14ac:dyDescent="0.25">
      <c r="B25" t="s">
        <v>166</v>
      </c>
      <c r="G25" s="27">
        <f>+Model!O17</f>
        <v>17772</v>
      </c>
      <c r="H25" s="27">
        <f>+Model!P17</f>
        <v>21454</v>
      </c>
      <c r="I25" s="27">
        <f>+Model!Q17</f>
        <v>25371</v>
      </c>
      <c r="J25" s="27">
        <f>+Model!R17</f>
        <v>27518</v>
      </c>
      <c r="K25" s="27">
        <f>+Model!S17</f>
        <v>29771</v>
      </c>
      <c r="L25" s="27">
        <f>+Model!T17</f>
        <v>31797</v>
      </c>
      <c r="M25" s="27">
        <f ca="1">L25*(1+M26)</f>
        <v>34022.79</v>
      </c>
      <c r="N25" s="27">
        <f t="shared" ref="N25:V25" ca="1" si="1">M25*(1+N26)</f>
        <v>36285.305535</v>
      </c>
      <c r="O25" s="27">
        <f t="shared" ca="1" si="1"/>
        <v>38577.629712173621</v>
      </c>
      <c r="P25" s="27">
        <f t="shared" ca="1" si="1"/>
        <v>40892.914381386858</v>
      </c>
      <c r="Q25" s="27">
        <f t="shared" ca="1" si="1"/>
        <v>43224.441785491676</v>
      </c>
      <c r="R25" s="27">
        <f t="shared" ca="1" si="1"/>
        <v>45565.679221630104</v>
      </c>
      <c r="S25" s="27">
        <f t="shared" ca="1" si="1"/>
        <v>47910.326511694933</v>
      </c>
      <c r="T25" s="27">
        <f t="shared" ca="1" si="1"/>
        <v>50252.35626267513</v>
      </c>
      <c r="U25" s="27">
        <f t="shared" ca="1" si="1"/>
        <v>52586.047053230424</v>
      </c>
      <c r="V25" s="27">
        <f t="shared" ca="1" si="1"/>
        <v>54906.00981128386</v>
      </c>
    </row>
    <row r="26" spans="1:22" x14ac:dyDescent="0.25">
      <c r="B26" s="28" t="s">
        <v>177</v>
      </c>
      <c r="C26" s="29"/>
      <c r="G26" s="30"/>
      <c r="H26" s="31">
        <f t="shared" ref="H26:L26" si="2">H25/G25-1</f>
        <v>0.20717983344586988</v>
      </c>
      <c r="I26" s="31">
        <f t="shared" si="2"/>
        <v>0.18257667567819524</v>
      </c>
      <c r="J26" s="31">
        <f t="shared" si="2"/>
        <v>8.4624177210200546E-2</v>
      </c>
      <c r="K26" s="31">
        <f t="shared" si="2"/>
        <v>8.1873682680427384E-2</v>
      </c>
      <c r="L26" s="31">
        <f t="shared" si="2"/>
        <v>6.8052803063383793E-2</v>
      </c>
      <c r="M26" s="31" cm="1">
        <f t="array" aca="1" ref="M26" ca="1">OFFSET(M26,$E$11,,)</f>
        <v>7.0000000000000007E-2</v>
      </c>
      <c r="N26" s="31" cm="1">
        <f t="array" aca="1" ref="N26" ca="1">OFFSET(N26,$E$11,,)</f>
        <v>6.6500000000000004E-2</v>
      </c>
      <c r="O26" s="31" cm="1">
        <f t="array" aca="1" ref="O26" ca="1">OFFSET(O26,$E$11,,)</f>
        <v>6.3174999999999995E-2</v>
      </c>
      <c r="P26" s="31" cm="1">
        <f t="array" aca="1" ref="P26" ca="1">OFFSET(P26,$E$11,,)</f>
        <v>6.0016249999999993E-2</v>
      </c>
      <c r="Q26" s="31" cm="1">
        <f t="array" aca="1" ref="Q26" ca="1">OFFSET(Q26,$E$11,,)</f>
        <v>5.7015437499999988E-2</v>
      </c>
      <c r="R26" s="31" cm="1">
        <f t="array" aca="1" ref="R26" ca="1">OFFSET(R26,$E$11,,)</f>
        <v>5.4164665624999983E-2</v>
      </c>
      <c r="S26" s="31" cm="1">
        <f t="array" aca="1" ref="S26" ca="1">OFFSET(S26,$E$11,,)</f>
        <v>5.1456432343749983E-2</v>
      </c>
      <c r="T26" s="31" cm="1">
        <f t="array" aca="1" ref="T26" ca="1">OFFSET(T26,$E$11,,)</f>
        <v>4.8883610726562485E-2</v>
      </c>
      <c r="U26" s="31" cm="1">
        <f t="array" aca="1" ref="U26" ca="1">OFFSET(U26,$E$11,,)</f>
        <v>4.643943019023436E-2</v>
      </c>
      <c r="V26" s="31" cm="1">
        <f t="array" aca="1" ref="V26" ca="1">OFFSET(V26,$E$11,,)</f>
        <v>4.4117458680722643E-2</v>
      </c>
    </row>
    <row r="27" spans="1:22" x14ac:dyDescent="0.25">
      <c r="B27" s="28" t="s">
        <v>160</v>
      </c>
      <c r="C27" s="29"/>
      <c r="I27" s="6"/>
      <c r="J27" s="6"/>
      <c r="K27" s="6"/>
      <c r="L27" s="6"/>
      <c r="M27" s="32"/>
      <c r="N27" s="32"/>
      <c r="O27" s="32"/>
      <c r="P27" s="32"/>
      <c r="Q27" s="32"/>
      <c r="R27" s="32"/>
      <c r="S27" s="32"/>
      <c r="T27" s="32"/>
      <c r="U27" s="32"/>
      <c r="V27" s="32"/>
    </row>
    <row r="28" spans="1:22" x14ac:dyDescent="0.25">
      <c r="B28" s="28" t="s">
        <v>178</v>
      </c>
      <c r="C28" s="29"/>
      <c r="I28" s="6"/>
      <c r="J28" s="6"/>
      <c r="K28" s="6"/>
      <c r="L28" s="6"/>
      <c r="M28" s="32">
        <v>7.0000000000000007E-2</v>
      </c>
      <c r="N28" s="32">
        <f>+M28*(1-5%)</f>
        <v>6.6500000000000004E-2</v>
      </c>
      <c r="O28" s="32">
        <f t="shared" ref="O28:V28" si="3">+N28*(1-5%)</f>
        <v>6.3174999999999995E-2</v>
      </c>
      <c r="P28" s="32">
        <f t="shared" si="3"/>
        <v>6.0016249999999993E-2</v>
      </c>
      <c r="Q28" s="32">
        <f t="shared" si="3"/>
        <v>5.7015437499999988E-2</v>
      </c>
      <c r="R28" s="32">
        <f t="shared" si="3"/>
        <v>5.4164665624999983E-2</v>
      </c>
      <c r="S28" s="32">
        <f t="shared" si="3"/>
        <v>5.1456432343749983E-2</v>
      </c>
      <c r="T28" s="32">
        <f t="shared" si="3"/>
        <v>4.8883610726562485E-2</v>
      </c>
      <c r="U28" s="32">
        <f t="shared" si="3"/>
        <v>4.643943019023436E-2</v>
      </c>
      <c r="V28" s="32">
        <f t="shared" si="3"/>
        <v>4.4117458680722643E-2</v>
      </c>
    </row>
    <row r="29" spans="1:22" x14ac:dyDescent="0.25">
      <c r="B29" s="28" t="s">
        <v>179</v>
      </c>
      <c r="C29" s="29"/>
      <c r="I29" s="6"/>
      <c r="J29" s="6"/>
      <c r="K29" s="6"/>
      <c r="L29" s="6"/>
      <c r="M29" s="32"/>
      <c r="N29" s="32"/>
      <c r="O29" s="32"/>
      <c r="P29" s="32"/>
      <c r="Q29" s="32"/>
      <c r="R29" s="32"/>
      <c r="S29" s="32"/>
      <c r="T29" s="32"/>
      <c r="U29" s="32"/>
      <c r="V29" s="32"/>
    </row>
    <row r="31" spans="1:22" x14ac:dyDescent="0.25">
      <c r="B31" t="s">
        <v>167</v>
      </c>
      <c r="G31" s="27">
        <f>+Model!O26</f>
        <v>2719</v>
      </c>
      <c r="H31" s="27">
        <f>+Model!P26</f>
        <v>3289</v>
      </c>
      <c r="I31" s="27">
        <f>+Model!Q26</f>
        <v>4262</v>
      </c>
      <c r="J31" s="27">
        <f>+Model!R26</f>
        <v>3837</v>
      </c>
      <c r="K31" s="27">
        <f>+Model!S26</f>
        <v>5028</v>
      </c>
      <c r="L31" s="27">
        <f>+Model!T26</f>
        <v>5325</v>
      </c>
      <c r="M31" s="27">
        <f ca="1">M32*M25</f>
        <v>5783.8743000000004</v>
      </c>
      <c r="N31" s="27">
        <f t="shared" ref="N31:V31" ca="1" si="4">N32*N25</f>
        <v>6476.9270379975005</v>
      </c>
      <c r="O31" s="27">
        <f t="shared" ca="1" si="4"/>
        <v>7230.4122488041421</v>
      </c>
      <c r="P31" s="27">
        <f t="shared" ca="1" si="4"/>
        <v>8047.5722018280048</v>
      </c>
      <c r="Q31" s="27">
        <f t="shared" ca="1" si="4"/>
        <v>8644.8883570983362</v>
      </c>
      <c r="R31" s="27">
        <f t="shared" ca="1" si="4"/>
        <v>9113.1358443260215</v>
      </c>
      <c r="S31" s="27">
        <f t="shared" ca="1" si="4"/>
        <v>9582.0653023389877</v>
      </c>
      <c r="T31" s="27">
        <f t="shared" ca="1" si="4"/>
        <v>10050.471252535026</v>
      </c>
      <c r="U31" s="27">
        <f t="shared" ca="1" si="4"/>
        <v>10517.209410646086</v>
      </c>
      <c r="V31" s="27">
        <f t="shared" ca="1" si="4"/>
        <v>10981.201962256773</v>
      </c>
    </row>
    <row r="32" spans="1:22" x14ac:dyDescent="0.25">
      <c r="B32" s="28" t="s">
        <v>180</v>
      </c>
      <c r="G32" s="31">
        <f>G31/G25</f>
        <v>0.15299347287868556</v>
      </c>
      <c r="H32" s="31">
        <f t="shared" ref="H32:L32" si="5">H31/H25</f>
        <v>0.15330474503589075</v>
      </c>
      <c r="I32" s="31">
        <f t="shared" si="5"/>
        <v>0.16798707185369122</v>
      </c>
      <c r="J32" s="31">
        <f t="shared" si="5"/>
        <v>0.13943600552365723</v>
      </c>
      <c r="K32" s="31">
        <f t="shared" si="5"/>
        <v>0.16888918746431092</v>
      </c>
      <c r="L32" s="31">
        <f t="shared" si="5"/>
        <v>0.16746862911595434</v>
      </c>
      <c r="M32" s="31" cm="1">
        <f t="array" aca="1" ref="M32" ca="1">OFFSET(M32,$E$12,,)</f>
        <v>0.17</v>
      </c>
      <c r="N32" s="31" cm="1">
        <f t="array" aca="1" ref="N32" ca="1">OFFSET(N32,$E$12,,)</f>
        <v>0.17850000000000002</v>
      </c>
      <c r="O32" s="31" cm="1">
        <f t="array" aca="1" ref="O32" ca="1">OFFSET(O32,$E$12,,)</f>
        <v>0.18742500000000004</v>
      </c>
      <c r="P32" s="31" cm="1">
        <f t="array" aca="1" ref="P32" ca="1">OFFSET(P32,$E$12,,)</f>
        <v>0.19679625000000003</v>
      </c>
      <c r="Q32" s="31" cm="1">
        <f t="array" aca="1" ref="Q32" ca="1">OFFSET(Q32,$E$12,,)</f>
        <v>0.2</v>
      </c>
      <c r="R32" s="31" cm="1">
        <f t="array" aca="1" ref="R32" ca="1">OFFSET(R32,$E$12,,)</f>
        <v>0.2</v>
      </c>
      <c r="S32" s="31" cm="1">
        <f t="array" aca="1" ref="S32" ca="1">OFFSET(S32,$E$12,,)</f>
        <v>0.2</v>
      </c>
      <c r="T32" s="31" cm="1">
        <f t="array" aca="1" ref="T32" ca="1">OFFSET(T32,$E$12,,)</f>
        <v>0.2</v>
      </c>
      <c r="U32" s="31" cm="1">
        <f t="array" aca="1" ref="U32" ca="1">OFFSET(U32,$E$12,,)</f>
        <v>0.2</v>
      </c>
      <c r="V32" s="31" cm="1">
        <f t="array" aca="1" ref="V32" ca="1">OFFSET(V32,$E$12,,)</f>
        <v>0.2</v>
      </c>
    </row>
    <row r="33" spans="2:22" x14ac:dyDescent="0.25">
      <c r="B33" s="28" t="s">
        <v>160</v>
      </c>
      <c r="M33" s="32"/>
      <c r="N33" s="32"/>
      <c r="O33" s="32"/>
      <c r="P33" s="32"/>
      <c r="Q33" s="32"/>
      <c r="R33" s="32"/>
      <c r="S33" s="32"/>
      <c r="T33" s="32"/>
      <c r="U33" s="32"/>
      <c r="V33" s="32"/>
    </row>
    <row r="34" spans="2:22" x14ac:dyDescent="0.25">
      <c r="B34" s="28" t="s">
        <v>178</v>
      </c>
      <c r="M34" s="32">
        <v>0.17</v>
      </c>
      <c r="N34" s="32">
        <f>+M34*(1+5%)</f>
        <v>0.17850000000000002</v>
      </c>
      <c r="O34" s="32">
        <f t="shared" ref="O34:P34" si="6">+N34*(1+5%)</f>
        <v>0.18742500000000004</v>
      </c>
      <c r="P34" s="32">
        <f t="shared" si="6"/>
        <v>0.19679625000000003</v>
      </c>
      <c r="Q34" s="32">
        <v>0.2</v>
      </c>
      <c r="R34" s="32">
        <v>0.2</v>
      </c>
      <c r="S34" s="32">
        <v>0.2</v>
      </c>
      <c r="T34" s="32">
        <v>0.2</v>
      </c>
      <c r="U34" s="32">
        <v>0.2</v>
      </c>
      <c r="V34" s="32">
        <v>0.2</v>
      </c>
    </row>
    <row r="35" spans="2:22" x14ac:dyDescent="0.25">
      <c r="B35" s="28" t="s">
        <v>179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7" spans="2:22" x14ac:dyDescent="0.25">
      <c r="B37" t="s">
        <v>181</v>
      </c>
      <c r="G37" s="27">
        <f>+Model!O29</f>
        <v>539</v>
      </c>
      <c r="H37" s="27">
        <f>+Model!P29</f>
        <v>863</v>
      </c>
      <c r="I37" s="27">
        <f>+Model!Q29</f>
        <v>-70</v>
      </c>
      <c r="J37" s="27">
        <f>+Model!R29</f>
        <v>947</v>
      </c>
      <c r="K37" s="27">
        <f>+Model!S29</f>
        <v>1165</v>
      </c>
      <c r="L37" s="27">
        <f>+Model!T29</f>
        <v>1182</v>
      </c>
      <c r="M37" s="27">
        <f ca="1">M38*M31</f>
        <v>1272.452346</v>
      </c>
      <c r="N37" s="27">
        <f t="shared" ref="N37:V37" ca="1" si="7">N38*N31</f>
        <v>1424.9239483594502</v>
      </c>
      <c r="O37" s="27">
        <f t="shared" ca="1" si="7"/>
        <v>1590.6906947369114</v>
      </c>
      <c r="P37" s="27">
        <f t="shared" ca="1" si="7"/>
        <v>1770.465884402161</v>
      </c>
      <c r="Q37" s="27">
        <f t="shared" ca="1" si="7"/>
        <v>1901.8754385616339</v>
      </c>
      <c r="R37" s="27">
        <f t="shared" ca="1" si="7"/>
        <v>2004.8898857517247</v>
      </c>
      <c r="S37" s="27">
        <f t="shared" ca="1" si="7"/>
        <v>2108.0543665145774</v>
      </c>
      <c r="T37" s="27">
        <f t="shared" ca="1" si="7"/>
        <v>2211.1036755577056</v>
      </c>
      <c r="U37" s="27">
        <f t="shared" ca="1" si="7"/>
        <v>2313.7860703421388</v>
      </c>
      <c r="V37" s="27">
        <f t="shared" ca="1" si="7"/>
        <v>2415.8644316964901</v>
      </c>
    </row>
    <row r="38" spans="2:22" x14ac:dyDescent="0.25">
      <c r="B38" s="29" t="s">
        <v>182</v>
      </c>
      <c r="G38" s="31">
        <f t="shared" ref="G38:L38" si="8">G37/G31</f>
        <v>0.19823464509010666</v>
      </c>
      <c r="H38" s="31">
        <f t="shared" si="8"/>
        <v>0.26238978412891456</v>
      </c>
      <c r="I38" s="31">
        <f t="shared" si="8"/>
        <v>-1.642421398404505E-2</v>
      </c>
      <c r="J38" s="31">
        <f t="shared" si="8"/>
        <v>0.24680740161584572</v>
      </c>
      <c r="K38" s="31">
        <f t="shared" si="8"/>
        <v>0.23170246618933971</v>
      </c>
      <c r="L38" s="31">
        <f t="shared" si="8"/>
        <v>0.2219718309859155</v>
      </c>
      <c r="M38" s="31">
        <v>0.22</v>
      </c>
      <c r="N38" s="31">
        <v>0.22</v>
      </c>
      <c r="O38" s="31">
        <v>0.22</v>
      </c>
      <c r="P38" s="31">
        <v>0.22</v>
      </c>
      <c r="Q38" s="31">
        <v>0.22</v>
      </c>
      <c r="R38" s="31">
        <v>0.22</v>
      </c>
      <c r="S38" s="31">
        <v>0.22</v>
      </c>
      <c r="T38" s="31">
        <v>0.22</v>
      </c>
      <c r="U38" s="31">
        <v>0.22</v>
      </c>
      <c r="V38" s="31">
        <v>0.22</v>
      </c>
    </row>
    <row r="39" spans="2:22" x14ac:dyDescent="0.25">
      <c r="B39" s="29"/>
    </row>
    <row r="40" spans="2:22" x14ac:dyDescent="0.25">
      <c r="B40" s="33" t="s">
        <v>183</v>
      </c>
      <c r="C40" s="34"/>
      <c r="D40" s="34"/>
      <c r="E40" s="34"/>
      <c r="F40" s="34"/>
      <c r="G40" s="35">
        <f t="shared" ref="G40:V40" si="9">G31-G37</f>
        <v>2180</v>
      </c>
      <c r="H40" s="35">
        <f t="shared" si="9"/>
        <v>2426</v>
      </c>
      <c r="I40" s="35">
        <f t="shared" si="9"/>
        <v>4332</v>
      </c>
      <c r="J40" s="35">
        <f t="shared" si="9"/>
        <v>2890</v>
      </c>
      <c r="K40" s="35">
        <f t="shared" si="9"/>
        <v>3863</v>
      </c>
      <c r="L40" s="35">
        <f t="shared" si="9"/>
        <v>4143</v>
      </c>
      <c r="M40" s="35">
        <f t="shared" ca="1" si="9"/>
        <v>4511.4219540000004</v>
      </c>
      <c r="N40" s="35">
        <f t="shared" ca="1" si="9"/>
        <v>5052.0030896380504</v>
      </c>
      <c r="O40" s="35">
        <f t="shared" ca="1" si="9"/>
        <v>5639.7215540672305</v>
      </c>
      <c r="P40" s="35">
        <f t="shared" ca="1" si="9"/>
        <v>6277.1063174258434</v>
      </c>
      <c r="Q40" s="35">
        <f t="shared" ca="1" si="9"/>
        <v>6743.0129185367023</v>
      </c>
      <c r="R40" s="35">
        <f t="shared" ca="1" si="9"/>
        <v>7108.2459585742963</v>
      </c>
      <c r="S40" s="35">
        <f t="shared" ca="1" si="9"/>
        <v>7474.0109358244099</v>
      </c>
      <c r="T40" s="35">
        <f t="shared" ca="1" si="9"/>
        <v>7839.3675769773199</v>
      </c>
      <c r="U40" s="35">
        <f t="shared" ca="1" si="9"/>
        <v>8203.423340303947</v>
      </c>
      <c r="V40" s="36">
        <f t="shared" ca="1" si="9"/>
        <v>8565.3375305602822</v>
      </c>
    </row>
    <row r="42" spans="2:22" x14ac:dyDescent="0.25">
      <c r="B42" t="s">
        <v>184</v>
      </c>
      <c r="G42" s="27">
        <f>+Model!O74</f>
        <v>912</v>
      </c>
      <c r="H42" s="27">
        <f>+Model!P74</f>
        <v>1189</v>
      </c>
      <c r="I42" s="27">
        <f>+Model!Q74</f>
        <v>1265</v>
      </c>
      <c r="J42" s="27">
        <f>+Model!R74</f>
        <v>1317</v>
      </c>
      <c r="K42" s="27">
        <f>+Model!S74</f>
        <v>1072</v>
      </c>
      <c r="L42" s="27">
        <f>+Model!T74</f>
        <v>1032</v>
      </c>
      <c r="M42" s="27">
        <f ca="1">M43*M25</f>
        <v>1360.9116000000001</v>
      </c>
      <c r="N42" s="27">
        <f t="shared" ref="N42:V42" ca="1" si="10">N43*N25</f>
        <v>1451.4122213999999</v>
      </c>
      <c r="O42" s="27">
        <f t="shared" ca="1" si="10"/>
        <v>1543.1051884869448</v>
      </c>
      <c r="P42" s="27">
        <f t="shared" ca="1" si="10"/>
        <v>1635.7165752554743</v>
      </c>
      <c r="Q42" s="27">
        <f t="shared" ca="1" si="10"/>
        <v>1728.9776714196671</v>
      </c>
      <c r="R42" s="27">
        <f t="shared" ca="1" si="10"/>
        <v>1822.6271688652041</v>
      </c>
      <c r="S42" s="27">
        <f t="shared" ca="1" si="10"/>
        <v>1916.4130604677973</v>
      </c>
      <c r="T42" s="27">
        <f t="shared" ca="1" si="10"/>
        <v>2010.0942505070052</v>
      </c>
      <c r="U42" s="27">
        <f t="shared" ca="1" si="10"/>
        <v>2103.441882129217</v>
      </c>
      <c r="V42" s="27">
        <f t="shared" ca="1" si="10"/>
        <v>2196.2403924513546</v>
      </c>
    </row>
    <row r="43" spans="2:22" x14ac:dyDescent="0.25">
      <c r="B43" s="28" t="s">
        <v>180</v>
      </c>
      <c r="C43" s="30"/>
      <c r="D43" s="30"/>
      <c r="E43" s="30"/>
      <c r="F43" s="30"/>
      <c r="G43" s="37">
        <f t="shared" ref="G43:L43" si="11">G42/G25</f>
        <v>5.1316677920324107E-2</v>
      </c>
      <c r="H43" s="37">
        <f t="shared" si="11"/>
        <v>5.5420900531369444E-2</v>
      </c>
      <c r="I43" s="37">
        <f t="shared" si="11"/>
        <v>4.9860076465255608E-2</v>
      </c>
      <c r="J43" s="37">
        <f t="shared" si="11"/>
        <v>4.7859582818518785E-2</v>
      </c>
      <c r="K43" s="37">
        <f t="shared" si="11"/>
        <v>3.6008195895334383E-2</v>
      </c>
      <c r="L43" s="37">
        <f t="shared" si="11"/>
        <v>3.2455892065289177E-2</v>
      </c>
      <c r="M43" s="38">
        <v>0.04</v>
      </c>
      <c r="N43" s="38">
        <v>0.04</v>
      </c>
      <c r="O43" s="38">
        <v>0.04</v>
      </c>
      <c r="P43" s="38">
        <v>0.04</v>
      </c>
      <c r="Q43" s="38">
        <v>0.04</v>
      </c>
      <c r="R43" s="38">
        <v>0.04</v>
      </c>
      <c r="S43" s="38">
        <v>0.04</v>
      </c>
      <c r="T43" s="38">
        <v>0.04</v>
      </c>
      <c r="U43" s="38">
        <v>0.04</v>
      </c>
      <c r="V43" s="38">
        <v>0.04</v>
      </c>
    </row>
    <row r="45" spans="2:22" x14ac:dyDescent="0.25">
      <c r="B45" t="s">
        <v>97</v>
      </c>
      <c r="G45" s="27">
        <f>+Model!O90</f>
        <v>-704</v>
      </c>
      <c r="H45" s="27">
        <f>+Model!P90</f>
        <v>-866</v>
      </c>
      <c r="I45" s="27">
        <f>+Model!Q90</f>
        <v>-908</v>
      </c>
      <c r="J45" s="27">
        <f>+Model!R90</f>
        <v>-706</v>
      </c>
      <c r="K45" s="27">
        <f>+Model!S90</f>
        <v>-623</v>
      </c>
      <c r="L45" s="27">
        <f>+Model!T90</f>
        <v>-683</v>
      </c>
      <c r="M45" s="27">
        <f ca="1">M46*M25</f>
        <v>-1020.6837</v>
      </c>
      <c r="N45" s="27">
        <f t="shared" ref="N45:V45" ca="1" si="12">N46*N25</f>
        <v>-1088.5591660499999</v>
      </c>
      <c r="O45" s="27">
        <f t="shared" ca="1" si="12"/>
        <v>-1157.3288913652086</v>
      </c>
      <c r="P45" s="27">
        <f t="shared" ca="1" si="12"/>
        <v>-1226.7874314416056</v>
      </c>
      <c r="Q45" s="27">
        <f t="shared" ca="1" si="12"/>
        <v>-1296.7332535647502</v>
      </c>
      <c r="R45" s="27">
        <f t="shared" ca="1" si="12"/>
        <v>-1366.9703766489031</v>
      </c>
      <c r="S45" s="27">
        <f t="shared" ca="1" si="12"/>
        <v>-1437.3097953508479</v>
      </c>
      <c r="T45" s="27">
        <f t="shared" ca="1" si="12"/>
        <v>-1507.5706878802539</v>
      </c>
      <c r="U45" s="27">
        <f t="shared" ca="1" si="12"/>
        <v>-1577.5814115969126</v>
      </c>
      <c r="V45" s="27">
        <f t="shared" ca="1" si="12"/>
        <v>-1647.1802943385158</v>
      </c>
    </row>
    <row r="46" spans="2:22" x14ac:dyDescent="0.25">
      <c r="B46" s="28" t="s">
        <v>180</v>
      </c>
      <c r="G46" s="37">
        <f t="shared" ref="G46:L46" si="13">G45/G25</f>
        <v>-3.9612874184109838E-2</v>
      </c>
      <c r="H46" s="37">
        <f t="shared" si="13"/>
        <v>-4.0365433019483546E-2</v>
      </c>
      <c r="I46" s="37">
        <f t="shared" si="13"/>
        <v>-3.5788892830396907E-2</v>
      </c>
      <c r="J46" s="37">
        <f t="shared" si="13"/>
        <v>-2.5655934297550694E-2</v>
      </c>
      <c r="K46" s="37">
        <f t="shared" si="13"/>
        <v>-2.0926404890665412E-2</v>
      </c>
      <c r="L46" s="37">
        <f t="shared" si="13"/>
        <v>-2.1480013837783439E-2</v>
      </c>
      <c r="M46" s="38">
        <v>-0.03</v>
      </c>
      <c r="N46" s="38">
        <v>-0.03</v>
      </c>
      <c r="O46" s="38">
        <v>-0.03</v>
      </c>
      <c r="P46" s="38">
        <v>-0.03</v>
      </c>
      <c r="Q46" s="38">
        <v>-0.03</v>
      </c>
      <c r="R46" s="38">
        <v>-0.03</v>
      </c>
      <c r="S46" s="38">
        <v>-0.03</v>
      </c>
      <c r="T46" s="38">
        <v>-0.03</v>
      </c>
      <c r="U46" s="38">
        <v>-0.03</v>
      </c>
      <c r="V46" s="38">
        <v>-0.03</v>
      </c>
    </row>
    <row r="48" spans="2:22" x14ac:dyDescent="0.25">
      <c r="B48" t="s">
        <v>95</v>
      </c>
      <c r="G48" s="27">
        <f>+Model!O88</f>
        <v>-1075</v>
      </c>
      <c r="H48" s="27">
        <f>+Model!P88</f>
        <v>-952</v>
      </c>
      <c r="I48" s="27">
        <f>+Model!Q88</f>
        <v>-1102</v>
      </c>
      <c r="J48" s="27">
        <f>+Model!R88</f>
        <v>-454</v>
      </c>
      <c r="K48" s="27">
        <f>+Model!S88</f>
        <v>-1314</v>
      </c>
      <c r="L48" s="27">
        <f>+Model!T88</f>
        <v>-558</v>
      </c>
      <c r="M48" s="27">
        <f ca="1">M49*M25</f>
        <v>-680.45580000000007</v>
      </c>
      <c r="N48" s="27">
        <f t="shared" ref="N48:V48" ca="1" si="14">N49*N25</f>
        <v>-725.70611069999995</v>
      </c>
      <c r="O48" s="27">
        <f t="shared" ca="1" si="14"/>
        <v>-771.55259424347241</v>
      </c>
      <c r="P48" s="27">
        <f t="shared" ca="1" si="14"/>
        <v>-817.85828762773713</v>
      </c>
      <c r="Q48" s="27">
        <f t="shared" ca="1" si="14"/>
        <v>-864.48883570983355</v>
      </c>
      <c r="R48" s="27">
        <f t="shared" ca="1" si="14"/>
        <v>-911.31358443260206</v>
      </c>
      <c r="S48" s="27">
        <f t="shared" ca="1" si="14"/>
        <v>-958.20653023389866</v>
      </c>
      <c r="T48" s="27">
        <f t="shared" ca="1" si="14"/>
        <v>-1005.0471252535026</v>
      </c>
      <c r="U48" s="27">
        <f t="shared" ca="1" si="14"/>
        <v>-1051.7209410646085</v>
      </c>
      <c r="V48" s="27">
        <f t="shared" ca="1" si="14"/>
        <v>-1098.1201962256773</v>
      </c>
    </row>
    <row r="49" spans="2:24" x14ac:dyDescent="0.25">
      <c r="B49" s="28" t="s">
        <v>180</v>
      </c>
      <c r="G49" s="37">
        <f t="shared" ref="G49:L49" si="15">G48/G25</f>
        <v>-6.0488408732838173E-2</v>
      </c>
      <c r="H49" s="37">
        <f t="shared" si="15"/>
        <v>-4.4374009508716325E-2</v>
      </c>
      <c r="I49" s="37">
        <f t="shared" si="15"/>
        <v>-4.3435418391076425E-2</v>
      </c>
      <c r="J49" s="37">
        <f t="shared" si="15"/>
        <v>-1.649829202703685E-2</v>
      </c>
      <c r="K49" s="37">
        <f t="shared" si="15"/>
        <v>-4.4136911759766216E-2</v>
      </c>
      <c r="L49" s="37">
        <f t="shared" si="15"/>
        <v>-1.7548825360883102E-2</v>
      </c>
      <c r="M49" s="38">
        <v>-0.02</v>
      </c>
      <c r="N49" s="38">
        <v>-0.02</v>
      </c>
      <c r="O49" s="38">
        <v>-0.02</v>
      </c>
      <c r="P49" s="38">
        <v>-0.02</v>
      </c>
      <c r="Q49" s="38">
        <v>-0.02</v>
      </c>
      <c r="R49" s="38">
        <v>-0.02</v>
      </c>
      <c r="S49" s="38">
        <v>-0.02</v>
      </c>
      <c r="T49" s="38">
        <v>-0.02</v>
      </c>
      <c r="U49" s="38">
        <v>-0.02</v>
      </c>
      <c r="V49" s="38">
        <v>-0.02</v>
      </c>
    </row>
    <row r="51" spans="2:24" x14ac:dyDescent="0.25">
      <c r="B51" s="39" t="s">
        <v>185</v>
      </c>
      <c r="C51" s="40"/>
      <c r="D51" s="40"/>
      <c r="E51" s="40"/>
      <c r="F51" s="40"/>
      <c r="G51" s="41">
        <f>G40+G42+G45+G48</f>
        <v>1313</v>
      </c>
      <c r="H51" s="41">
        <f t="shared" ref="H51:U51" si="16">H40+H42+H45+H48</f>
        <v>1797</v>
      </c>
      <c r="I51" s="41">
        <f t="shared" si="16"/>
        <v>3587</v>
      </c>
      <c r="J51" s="41">
        <f t="shared" si="16"/>
        <v>3047</v>
      </c>
      <c r="K51" s="41">
        <f t="shared" si="16"/>
        <v>2998</v>
      </c>
      <c r="L51" s="41">
        <f t="shared" si="16"/>
        <v>3934</v>
      </c>
      <c r="M51" s="41">
        <f ca="1">M40+M42+M45+M48</f>
        <v>4171.1940540000014</v>
      </c>
      <c r="N51" s="41">
        <f t="shared" ca="1" si="16"/>
        <v>4689.1500342880508</v>
      </c>
      <c r="O51" s="41">
        <f t="shared" ca="1" si="16"/>
        <v>5253.9452569454943</v>
      </c>
      <c r="P51" s="41">
        <f t="shared" ca="1" si="16"/>
        <v>5868.1771736119745</v>
      </c>
      <c r="Q51" s="41">
        <f t="shared" ca="1" si="16"/>
        <v>6310.7685006817856</v>
      </c>
      <c r="R51" s="41">
        <f t="shared" ca="1" si="16"/>
        <v>6652.5891663579951</v>
      </c>
      <c r="S51" s="41">
        <f t="shared" ca="1" si="16"/>
        <v>6994.907670707461</v>
      </c>
      <c r="T51" s="41">
        <f t="shared" ca="1" si="16"/>
        <v>7336.8440143505686</v>
      </c>
      <c r="U51" s="41">
        <f t="shared" ca="1" si="16"/>
        <v>7677.562869771642</v>
      </c>
      <c r="V51" s="42">
        <f ca="1">V40+V42+V45+V48</f>
        <v>8016.277432447444</v>
      </c>
    </row>
    <row r="52" spans="2:24" x14ac:dyDescent="0.25">
      <c r="B52" s="43" t="s">
        <v>186</v>
      </c>
      <c r="C52" s="44"/>
      <c r="D52" s="44"/>
      <c r="E52" s="44"/>
      <c r="F52" s="44"/>
      <c r="G52" s="45"/>
      <c r="H52" s="45"/>
      <c r="I52" s="45"/>
      <c r="J52" s="45"/>
      <c r="K52" s="45"/>
      <c r="L52" s="45"/>
      <c r="M52" s="45">
        <f ca="1">(M51/(1+$E$18)^M53)*M53</f>
        <v>2687.3128417718303</v>
      </c>
      <c r="N52" s="45">
        <f ca="1">N51/(1+$E$18)^N53</f>
        <v>4055.9524708940517</v>
      </c>
      <c r="O52" s="45">
        <f t="shared" ref="O52:U52" ca="1" si="17">O51/(1+$E$18)^O53</f>
        <v>4169.2484301362047</v>
      </c>
      <c r="P52" s="45">
        <f t="shared" ca="1" si="17"/>
        <v>4272.1741738359624</v>
      </c>
      <c r="Q52" s="45">
        <f t="shared" ca="1" si="17"/>
        <v>4215.0378980955938</v>
      </c>
      <c r="R52" s="45">
        <f t="shared" ca="1" si="17"/>
        <v>4076.4624004060943</v>
      </c>
      <c r="S52" s="45">
        <f t="shared" ca="1" si="17"/>
        <v>3932.3143230407636</v>
      </c>
      <c r="T52" s="45">
        <f t="shared" ca="1" si="17"/>
        <v>3783.981693268599</v>
      </c>
      <c r="U52" s="45">
        <f t="shared" ca="1" si="17"/>
        <v>3632.7593091323588</v>
      </c>
      <c r="V52" s="46">
        <f ca="1">V51/(1+$E$18)^V53</f>
        <v>3479.8416677523087</v>
      </c>
    </row>
    <row r="53" spans="2:24" x14ac:dyDescent="0.25">
      <c r="B53" t="s">
        <v>187</v>
      </c>
      <c r="M53" s="70">
        <f ca="1">YEARFRAC(E4,E5)</f>
        <v>0.68333333333333335</v>
      </c>
      <c r="N53" s="70">
        <f ca="1">M53+1</f>
        <v>1.6833333333333333</v>
      </c>
      <c r="O53" s="70">
        <f ca="1">N53+1</f>
        <v>2.6833333333333336</v>
      </c>
      <c r="P53" s="70">
        <f t="shared" ref="P53:V53" ca="1" si="18">O53+1</f>
        <v>3.6833333333333336</v>
      </c>
      <c r="Q53" s="70">
        <f t="shared" ca="1" si="18"/>
        <v>4.6833333333333336</v>
      </c>
      <c r="R53" s="70">
        <f t="shared" ca="1" si="18"/>
        <v>5.6833333333333336</v>
      </c>
      <c r="S53" s="70">
        <f t="shared" ca="1" si="18"/>
        <v>6.6833333333333336</v>
      </c>
      <c r="T53" s="70">
        <f t="shared" ca="1" si="18"/>
        <v>7.6833333333333336</v>
      </c>
      <c r="U53" s="70">
        <f t="shared" ca="1" si="18"/>
        <v>8.6833333333333336</v>
      </c>
      <c r="V53" s="70">
        <f t="shared" ca="1" si="18"/>
        <v>9.6833333333333336</v>
      </c>
    </row>
    <row r="54" spans="2:24" x14ac:dyDescent="0.25">
      <c r="B54" t="s">
        <v>188</v>
      </c>
      <c r="N54" s="47"/>
      <c r="O54" s="47"/>
      <c r="P54" s="47"/>
      <c r="Q54" s="47"/>
      <c r="V54" s="27">
        <f ca="1">SUM(M52:V52)</f>
        <v>38305.08520833376</v>
      </c>
    </row>
    <row r="55" spans="2:24" x14ac:dyDescent="0.25">
      <c r="B55" t="s">
        <v>189</v>
      </c>
      <c r="N55" s="47"/>
      <c r="O55" s="47"/>
      <c r="P55" s="47"/>
      <c r="Q55" s="47"/>
      <c r="V55" s="27">
        <f ca="1">+(V40*(1+E19))*(1-(E19/E20))/(E18-E19)</f>
        <v>102926.80599223272</v>
      </c>
      <c r="X55" s="48" t="s">
        <v>190</v>
      </c>
    </row>
    <row r="56" spans="2:24" x14ac:dyDescent="0.25">
      <c r="B56" s="14" t="s">
        <v>191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49"/>
      <c r="O56" s="49"/>
      <c r="P56" s="49"/>
      <c r="Q56" s="49"/>
      <c r="R56" s="49"/>
      <c r="S56" s="49"/>
      <c r="T56" s="49"/>
      <c r="U56" s="49"/>
      <c r="V56" s="50">
        <f ca="1">V55/(1+E18)^V53</f>
        <v>44680.213632660802</v>
      </c>
    </row>
    <row r="57" spans="2:24" x14ac:dyDescent="0.25">
      <c r="B57" s="51" t="s">
        <v>192</v>
      </c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2"/>
      <c r="O57" s="52"/>
      <c r="P57" s="52"/>
      <c r="Q57" s="52"/>
      <c r="R57" s="52"/>
      <c r="S57" s="52"/>
      <c r="T57" s="52"/>
      <c r="U57" s="52"/>
      <c r="V57" s="53">
        <f ca="1">V54+V56</f>
        <v>82985.298840994568</v>
      </c>
    </row>
    <row r="58" spans="2:24" x14ac:dyDescent="0.25">
      <c r="B58" t="s">
        <v>193</v>
      </c>
      <c r="N58" s="47"/>
      <c r="O58" s="47"/>
      <c r="P58" s="47"/>
      <c r="Q58" s="47"/>
      <c r="V58" s="54">
        <f>+Main!I5</f>
        <v>10823</v>
      </c>
    </row>
    <row r="59" spans="2:24" x14ac:dyDescent="0.25">
      <c r="B59" s="14" t="s">
        <v>194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49"/>
      <c r="O59" s="49"/>
      <c r="P59" s="49"/>
      <c r="Q59" s="49"/>
      <c r="R59" s="49"/>
      <c r="S59" s="49"/>
      <c r="T59" s="49"/>
      <c r="U59" s="49"/>
      <c r="V59" s="50">
        <f>+Main!I6</f>
        <v>9879</v>
      </c>
    </row>
    <row r="60" spans="2:24" x14ac:dyDescent="0.25">
      <c r="B60" t="s">
        <v>195</v>
      </c>
      <c r="N60" s="47"/>
      <c r="O60" s="47"/>
      <c r="P60" s="47"/>
      <c r="Q60" s="47"/>
      <c r="V60" s="54">
        <f ca="1">V57+V58-V59</f>
        <v>83929.298840994568</v>
      </c>
    </row>
    <row r="61" spans="2:24" x14ac:dyDescent="0.25">
      <c r="B61" s="14" t="s">
        <v>196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49"/>
      <c r="O61" s="49"/>
      <c r="P61" s="49"/>
      <c r="Q61" s="49"/>
      <c r="R61" s="49"/>
      <c r="S61" s="49"/>
      <c r="T61" s="49"/>
      <c r="U61" s="49"/>
      <c r="V61" s="50">
        <f>+Main!I3</f>
        <v>989.24245199999996</v>
      </c>
    </row>
    <row r="62" spans="2:24" x14ac:dyDescent="0.25">
      <c r="B62" t="s">
        <v>151</v>
      </c>
      <c r="V62" s="54">
        <f ca="1">V60/V61</f>
        <v>84.841990627586384</v>
      </c>
    </row>
    <row r="66" spans="1:22" x14ac:dyDescent="0.25">
      <c r="A66" s="21" t="s">
        <v>157</v>
      </c>
      <c r="B66" s="22" t="s">
        <v>197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</row>
    <row r="68" spans="1:22" x14ac:dyDescent="0.25">
      <c r="B68" s="55"/>
      <c r="C68" s="72" t="s">
        <v>170</v>
      </c>
      <c r="D68" s="72"/>
      <c r="E68" s="72"/>
      <c r="F68" s="72"/>
      <c r="G68" s="72"/>
      <c r="H68" s="72"/>
      <c r="I68" s="72"/>
      <c r="J68" s="73"/>
      <c r="M68" s="55"/>
      <c r="N68" s="74" t="s">
        <v>198</v>
      </c>
      <c r="O68" s="74"/>
      <c r="P68" s="74"/>
      <c r="Q68" s="74"/>
      <c r="R68" s="74"/>
      <c r="S68" s="74"/>
      <c r="T68" s="74"/>
      <c r="U68" s="75"/>
    </row>
    <row r="69" spans="1:22" x14ac:dyDescent="0.25">
      <c r="B69" s="76" t="s">
        <v>168</v>
      </c>
      <c r="C69" s="56">
        <f ca="1">+J4</f>
        <v>84.841990627586384</v>
      </c>
      <c r="D69" s="57"/>
      <c r="E69" s="57"/>
      <c r="F69" s="57"/>
      <c r="G69" s="57"/>
      <c r="H69" s="57"/>
      <c r="I69" s="57"/>
      <c r="J69" s="57"/>
      <c r="M69" s="76" t="s">
        <v>168</v>
      </c>
      <c r="N69" s="56">
        <f ca="1">+J4</f>
        <v>84.841990627586384</v>
      </c>
      <c r="O69" s="57"/>
      <c r="P69" s="57"/>
      <c r="Q69" s="57"/>
      <c r="R69" s="57"/>
      <c r="S69" s="57"/>
      <c r="T69" s="57"/>
      <c r="U69" s="57"/>
    </row>
    <row r="70" spans="1:22" x14ac:dyDescent="0.25">
      <c r="B70" s="76"/>
      <c r="C70" s="58"/>
      <c r="D70" s="59"/>
      <c r="E70" s="59"/>
      <c r="F70" s="59"/>
      <c r="G70" s="60"/>
      <c r="H70" s="59"/>
      <c r="I70" s="59"/>
      <c r="J70" s="59"/>
      <c r="M70" s="76"/>
      <c r="N70" s="58"/>
      <c r="O70" s="59"/>
      <c r="P70" s="59"/>
      <c r="Q70" s="59"/>
      <c r="R70" s="60"/>
      <c r="S70" s="59"/>
      <c r="T70" s="59"/>
      <c r="U70" s="59"/>
    </row>
    <row r="71" spans="1:22" x14ac:dyDescent="0.25">
      <c r="B71" s="76"/>
      <c r="C71" s="58"/>
      <c r="D71" s="59"/>
      <c r="E71" s="59"/>
      <c r="F71" s="59"/>
      <c r="G71" s="60"/>
      <c r="H71" s="59"/>
      <c r="I71" s="59"/>
      <c r="J71" s="59"/>
      <c r="M71" s="76"/>
      <c r="N71" s="58"/>
      <c r="O71" s="59"/>
      <c r="P71" s="59"/>
      <c r="Q71" s="59"/>
      <c r="R71" s="60"/>
      <c r="S71" s="59"/>
      <c r="T71" s="59"/>
      <c r="U71" s="59"/>
    </row>
    <row r="72" spans="1:22" x14ac:dyDescent="0.25">
      <c r="B72" s="76"/>
      <c r="C72" s="58"/>
      <c r="D72" s="60"/>
      <c r="E72" s="60"/>
      <c r="F72" s="60"/>
      <c r="G72" s="60"/>
      <c r="H72" s="60"/>
      <c r="I72" s="60"/>
      <c r="J72" s="60"/>
      <c r="M72" s="76"/>
      <c r="N72" s="58"/>
      <c r="O72" s="60"/>
      <c r="P72" s="60"/>
      <c r="Q72" s="60"/>
      <c r="R72" s="60"/>
      <c r="S72" s="60"/>
      <c r="T72" s="60"/>
      <c r="U72" s="60"/>
    </row>
    <row r="73" spans="1:22" x14ac:dyDescent="0.25">
      <c r="B73" s="76"/>
      <c r="C73" s="58"/>
      <c r="D73" s="59"/>
      <c r="E73" s="59"/>
      <c r="F73" s="59"/>
      <c r="G73" s="60"/>
      <c r="H73" s="59"/>
      <c r="I73" s="59"/>
      <c r="J73" s="59"/>
      <c r="M73" s="76"/>
      <c r="N73" s="58"/>
      <c r="O73" s="59"/>
      <c r="P73" s="59"/>
      <c r="Q73" s="59"/>
      <c r="R73" s="60"/>
      <c r="S73" s="59"/>
      <c r="T73" s="59"/>
      <c r="U73" s="59"/>
    </row>
    <row r="74" spans="1:22" x14ac:dyDescent="0.25">
      <c r="B74" s="76"/>
      <c r="C74" s="58"/>
      <c r="D74" s="59"/>
      <c r="E74" s="59"/>
      <c r="F74" s="59"/>
      <c r="G74" s="60"/>
      <c r="H74" s="59"/>
      <c r="I74" s="59"/>
      <c r="J74" s="59"/>
      <c r="M74" s="76"/>
      <c r="N74" s="58"/>
      <c r="O74" s="59"/>
      <c r="P74" s="59"/>
      <c r="Q74" s="59"/>
      <c r="R74" s="60"/>
      <c r="S74" s="59"/>
      <c r="T74" s="59"/>
      <c r="U74" s="59"/>
    </row>
    <row r="75" spans="1:22" x14ac:dyDescent="0.25">
      <c r="B75" s="76"/>
      <c r="C75" s="58"/>
      <c r="D75" s="59"/>
      <c r="E75" s="59"/>
      <c r="F75" s="59"/>
      <c r="G75" s="60"/>
      <c r="H75" s="59"/>
      <c r="I75" s="59"/>
      <c r="J75" s="59"/>
      <c r="M75" s="76"/>
      <c r="N75" s="58"/>
      <c r="O75" s="59"/>
      <c r="P75" s="59"/>
      <c r="Q75" s="59"/>
      <c r="R75" s="60"/>
      <c r="S75" s="59"/>
      <c r="T75" s="59"/>
      <c r="U75" s="59"/>
    </row>
    <row r="76" spans="1:22" x14ac:dyDescent="0.25">
      <c r="B76" s="77"/>
      <c r="C76" s="58"/>
      <c r="D76" s="59"/>
      <c r="E76" s="59"/>
      <c r="F76" s="59"/>
      <c r="G76" s="60"/>
      <c r="H76" s="59"/>
      <c r="I76" s="59"/>
      <c r="J76" s="59"/>
      <c r="M76" s="77"/>
      <c r="N76" s="58"/>
      <c r="O76" s="59"/>
      <c r="P76" s="59"/>
      <c r="Q76" s="59"/>
      <c r="R76" s="60"/>
      <c r="S76" s="59"/>
      <c r="T76" s="59"/>
      <c r="U76" s="59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FF57D403-FFB8-4E37-ADF1-8DC04D365971}">
      <formula1>"1,2,3"</formula1>
    </dataValidation>
  </dataValidations>
  <hyperlinks>
    <hyperlink ref="A1" location="Main!A1" display="Main" xr:uid="{68978D45-C290-4F80-AC5B-EB369BB87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KPIs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2025-01-15T13:20:32Z</dcterms:created>
  <dcterms:modified xsi:type="dcterms:W3CDTF">2025-04-25T16:49:31Z</dcterms:modified>
</cp:coreProperties>
</file>