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7821B26-A675-45EF-8BD3-261E3708DCF2}" xr6:coauthVersionLast="47" xr6:coauthVersionMax="47" xr10:uidLastSave="{00000000-0000-0000-0000-000000000000}"/>
  <bookViews>
    <workbookView xWindow="225" yWindow="4680" windowWidth="38175" windowHeight="15240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8" i="2" l="1"/>
  <c r="AE66" i="2"/>
  <c r="AE67" i="2" s="1"/>
  <c r="AE64" i="2"/>
  <c r="AE65" i="2"/>
  <c r="AE61" i="2"/>
  <c r="AE62" i="2"/>
  <c r="AE63" i="2" s="1"/>
  <c r="AE59" i="2"/>
  <c r="AE56" i="2"/>
  <c r="AE53" i="2"/>
  <c r="AE75" i="2" s="1"/>
  <c r="AE76" i="2"/>
  <c r="AE74" i="2"/>
  <c r="AE73" i="2"/>
  <c r="AE72" i="2"/>
  <c r="AE71" i="2"/>
  <c r="AE51" i="2"/>
  <c r="AE48" i="2"/>
  <c r="K6" i="1"/>
  <c r="K5" i="1"/>
  <c r="BF76" i="2"/>
  <c r="BE76" i="2"/>
  <c r="BD76" i="2"/>
  <c r="BC76" i="2"/>
  <c r="BB76" i="2"/>
  <c r="BF73" i="2"/>
  <c r="BE73" i="2"/>
  <c r="BD73" i="2"/>
  <c r="BC73" i="2"/>
  <c r="BB73" i="2"/>
  <c r="BF72" i="2"/>
  <c r="BE72" i="2"/>
  <c r="BD72" i="2"/>
  <c r="BC72" i="2"/>
  <c r="BB72" i="2"/>
  <c r="BF71" i="2"/>
  <c r="BE71" i="2"/>
  <c r="BD71" i="2"/>
  <c r="BC71" i="2"/>
  <c r="BB71" i="2"/>
  <c r="BB69" i="2"/>
  <c r="BC69" i="2" s="1"/>
  <c r="BB61" i="2"/>
  <c r="BC61" i="2" s="1"/>
  <c r="BD61" i="2" s="1"/>
  <c r="BE61" i="2" s="1"/>
  <c r="BF61" i="2" s="1"/>
  <c r="BB60" i="2"/>
  <c r="BC60" i="2" s="1"/>
  <c r="BF59" i="2"/>
  <c r="BE59" i="2"/>
  <c r="BD59" i="2"/>
  <c r="BC59" i="2"/>
  <c r="BB59" i="2"/>
  <c r="BA59" i="2"/>
  <c r="AZ59" i="2"/>
  <c r="AY59" i="2"/>
  <c r="AX59" i="2"/>
  <c r="AW59" i="2"/>
  <c r="AV59" i="2"/>
  <c r="BF56" i="2"/>
  <c r="BE56" i="2"/>
  <c r="BD56" i="2"/>
  <c r="BC56" i="2"/>
  <c r="BB56" i="2"/>
  <c r="BA56" i="2"/>
  <c r="AZ56" i="2"/>
  <c r="AY56" i="2"/>
  <c r="AX56" i="2"/>
  <c r="AW56" i="2"/>
  <c r="AV56" i="2"/>
  <c r="BF52" i="2"/>
  <c r="BE52" i="2"/>
  <c r="BD52" i="2"/>
  <c r="BC52" i="2"/>
  <c r="BB52" i="2"/>
  <c r="AV52" i="2"/>
  <c r="AW52" i="2"/>
  <c r="AW51" i="2"/>
  <c r="BF118" i="2"/>
  <c r="BF121" i="2" s="1"/>
  <c r="BE118" i="2"/>
  <c r="BE121" i="2" s="1"/>
  <c r="BD118" i="2"/>
  <c r="BD121" i="2" s="1"/>
  <c r="BC118" i="2"/>
  <c r="BC121" i="2" s="1"/>
  <c r="BB118" i="2"/>
  <c r="BB121" i="2" s="1"/>
  <c r="BF44" i="2"/>
  <c r="BD44" i="2"/>
  <c r="AZ44" i="2"/>
  <c r="AY44" i="2"/>
  <c r="AY51" i="2" s="1"/>
  <c r="AY52" i="2" s="1"/>
  <c r="AX44" i="2"/>
  <c r="AX51" i="2" s="1"/>
  <c r="AX52" i="2" s="1"/>
  <c r="AW44" i="2"/>
  <c r="BF51" i="2"/>
  <c r="BD51" i="2"/>
  <c r="BF45" i="2"/>
  <c r="BE45" i="2"/>
  <c r="BD45" i="2"/>
  <c r="BC45" i="2"/>
  <c r="BB45" i="2"/>
  <c r="BB38" i="2"/>
  <c r="BC38" i="2" s="1"/>
  <c r="BD38" i="2" s="1"/>
  <c r="BE38" i="2" s="1"/>
  <c r="BF38" i="2" s="1"/>
  <c r="BF37" i="2"/>
  <c r="BE37" i="2"/>
  <c r="BD37" i="2"/>
  <c r="BC37" i="2"/>
  <c r="BB37" i="2"/>
  <c r="BF48" i="2"/>
  <c r="BE48" i="2"/>
  <c r="BD48" i="2"/>
  <c r="BC48" i="2"/>
  <c r="BB48" i="2"/>
  <c r="BC42" i="2"/>
  <c r="BD42" i="2" s="1"/>
  <c r="BE42" i="2" s="1"/>
  <c r="BF42" i="2" s="1"/>
  <c r="BB42" i="2"/>
  <c r="BF2" i="2"/>
  <c r="BE2" i="2"/>
  <c r="BD2" i="2"/>
  <c r="BC2" i="2"/>
  <c r="BB2" i="2"/>
  <c r="AV64" i="2"/>
  <c r="AU69" i="2"/>
  <c r="AV62" i="2"/>
  <c r="AX61" i="2"/>
  <c r="AY61" i="2" s="1"/>
  <c r="AZ61" i="2" s="1"/>
  <c r="BA61" i="2" s="1"/>
  <c r="AW61" i="2"/>
  <c r="AW60" i="2"/>
  <c r="AX60" i="2" s="1"/>
  <c r="AY60" i="2" s="1"/>
  <c r="AZ60" i="2" s="1"/>
  <c r="BA60" i="2" s="1"/>
  <c r="AV61" i="2"/>
  <c r="AV60" i="2"/>
  <c r="AV51" i="2"/>
  <c r="AZ121" i="2"/>
  <c r="AY121" i="2"/>
  <c r="AX121" i="2"/>
  <c r="AW121" i="2"/>
  <c r="AV121" i="2"/>
  <c r="AU121" i="2"/>
  <c r="BA118" i="2"/>
  <c r="BA121" i="2" s="1"/>
  <c r="AZ118" i="2"/>
  <c r="AY118" i="2"/>
  <c r="AX118" i="2"/>
  <c r="AW118" i="2"/>
  <c r="AV44" i="2"/>
  <c r="AV118" i="2"/>
  <c r="AU118" i="2"/>
  <c r="AU44" i="2"/>
  <c r="AU51" i="2" s="1"/>
  <c r="AZ51" i="2"/>
  <c r="AZ52" i="2" s="1"/>
  <c r="AU48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C41" i="2"/>
  <c r="AU41" i="2" s="1"/>
  <c r="AC40" i="2"/>
  <c r="AB74" i="2"/>
  <c r="AC50" i="2"/>
  <c r="AC58" i="2" s="1"/>
  <c r="AC49" i="2"/>
  <c r="AC57" i="2" s="1"/>
  <c r="AC47" i="2"/>
  <c r="AC55" i="2" s="1"/>
  <c r="AC46" i="2"/>
  <c r="AC35" i="2"/>
  <c r="AC36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C69" i="2"/>
  <c r="AD69" i="2" s="1"/>
  <c r="AD61" i="2"/>
  <c r="AC61" i="2"/>
  <c r="AD60" i="2"/>
  <c r="AC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D69" i="2" l="1"/>
  <c r="BD60" i="2"/>
  <c r="BC62" i="2"/>
  <c r="BC63" i="2" s="1"/>
  <c r="BB62" i="2"/>
  <c r="BB63" i="2" s="1"/>
  <c r="BE44" i="2"/>
  <c r="BE51" i="2" s="1"/>
  <c r="BA44" i="2"/>
  <c r="BB44" i="2"/>
  <c r="BB51" i="2" s="1"/>
  <c r="BC44" i="2"/>
  <c r="BC51" i="2" s="1"/>
  <c r="Z115" i="2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AU37" i="2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U61" i="2"/>
  <c r="AC37" i="2"/>
  <c r="AC72" i="2" s="1"/>
  <c r="AB73" i="2"/>
  <c r="AB72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AA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D72" i="2" s="1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BE69" i="2" l="1"/>
  <c r="BE60" i="2"/>
  <c r="BD62" i="2"/>
  <c r="BD63" i="2" s="1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F69" i="2" l="1"/>
  <c r="BE62" i="2"/>
  <c r="BE63" i="2" s="1"/>
  <c r="BF60" i="2"/>
  <c r="BF62" i="2" s="1"/>
  <c r="BF63" i="2" s="1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X94" i="2" l="1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71" i="2" l="1"/>
  <c r="AD66" i="2"/>
  <c r="AD67" i="2" s="1"/>
  <c r="AT56" i="2"/>
  <c r="Z59" i="2"/>
  <c r="Y67" i="2"/>
  <c r="Y95" i="2" s="1"/>
  <c r="Z75" i="2"/>
  <c r="AU72" i="2"/>
  <c r="AX62" i="2"/>
  <c r="AV37" i="2"/>
  <c r="AW42" i="2"/>
  <c r="AV73" i="2"/>
  <c r="AS76" i="2"/>
  <c r="AS63" i="2"/>
  <c r="AT71" i="2"/>
  <c r="V76" i="2"/>
  <c r="V63" i="2"/>
  <c r="V65" i="2" s="1"/>
  <c r="V67" i="2" s="1"/>
  <c r="AD79" i="2" l="1"/>
  <c r="AD68" i="2"/>
  <c r="Y79" i="2"/>
  <c r="Y94" i="2"/>
  <c r="Y106" i="2"/>
  <c r="Y68" i="2"/>
  <c r="AV72" i="2"/>
  <c r="AY62" i="2"/>
  <c r="AW37" i="2"/>
  <c r="AW73" i="2"/>
  <c r="AX42" i="2"/>
  <c r="V68" i="2"/>
  <c r="V79" i="2"/>
  <c r="Z76" i="2"/>
  <c r="Z63" i="2"/>
  <c r="Z65" i="2" s="1"/>
  <c r="AT59" i="2"/>
  <c r="AW72" i="2" l="1"/>
  <c r="AT63" i="2"/>
  <c r="AT65" i="2" s="1"/>
  <c r="AT76" i="2"/>
  <c r="AY42" i="2"/>
  <c r="AX73" i="2"/>
  <c r="AX37" i="2"/>
  <c r="BA62" i="2"/>
  <c r="AZ62" i="2"/>
  <c r="Z67" i="2"/>
  <c r="AT66" i="2"/>
  <c r="Z94" i="2" l="1"/>
  <c r="AT94" i="2" s="1"/>
  <c r="Z106" i="2"/>
  <c r="AT67" i="2"/>
  <c r="AT68" i="2" s="1"/>
  <c r="AX72" i="2"/>
  <c r="AZ42" i="2"/>
  <c r="AY37" i="2"/>
  <c r="AY73" i="2"/>
  <c r="Z79" i="2"/>
  <c r="Z68" i="2"/>
  <c r="AY72" i="2" l="1"/>
  <c r="AZ37" i="2"/>
  <c r="BA42" i="2"/>
  <c r="AZ73" i="2"/>
  <c r="AZ72" i="2" l="1"/>
  <c r="BA37" i="2"/>
  <c r="BA73" i="2"/>
  <c r="BA72" i="2" l="1"/>
  <c r="AB48" i="2" l="1"/>
  <c r="AB75" i="2"/>
  <c r="AB38" i="2"/>
  <c r="AC38" i="2" s="1"/>
  <c r="AC45" i="2" s="1"/>
  <c r="AC52" i="2" l="1"/>
  <c r="AU52" i="2" s="1"/>
  <c r="AC48" i="2"/>
  <c r="AU45" i="2"/>
  <c r="AU9" i="2" s="1"/>
  <c r="AC74" i="2"/>
  <c r="AB51" i="2"/>
  <c r="AB71" i="2" s="1"/>
  <c r="AB56" i="2"/>
  <c r="AB59" i="2" s="1"/>
  <c r="AB63" i="2" s="1"/>
  <c r="AB65" i="2" s="1"/>
  <c r="AU38" i="2" l="1"/>
  <c r="AV38" i="2" s="1"/>
  <c r="AC53" i="2"/>
  <c r="AC75" i="2" s="1"/>
  <c r="AC51" i="2"/>
  <c r="AC71" i="2" s="1"/>
  <c r="AC56" i="2"/>
  <c r="AC59" i="2" s="1"/>
  <c r="AU71" i="2"/>
  <c r="AB76" i="2"/>
  <c r="AB67" i="2"/>
  <c r="AV45" i="2" l="1"/>
  <c r="AV48" i="2" s="1"/>
  <c r="AW38" i="2"/>
  <c r="AU53" i="2"/>
  <c r="AU75" i="2" s="1"/>
  <c r="AU56" i="2"/>
  <c r="AU59" i="2"/>
  <c r="AC76" i="2"/>
  <c r="AC63" i="2"/>
  <c r="AC65" i="2" s="1"/>
  <c r="AC66" i="2" s="1"/>
  <c r="AB79" i="2"/>
  <c r="AB68" i="2"/>
  <c r="AX38" i="2" l="1"/>
  <c r="AW45" i="2"/>
  <c r="AW48" i="2" s="1"/>
  <c r="AV71" i="2"/>
  <c r="AC67" i="2"/>
  <c r="AU66" i="2"/>
  <c r="AU76" i="2"/>
  <c r="AU63" i="2"/>
  <c r="AU65" i="2" s="1"/>
  <c r="AV63" i="2" l="1"/>
  <c r="AV65" i="2" s="1"/>
  <c r="AV66" i="2" s="1"/>
  <c r="AV67" i="2" s="1"/>
  <c r="AV68" i="2" s="1"/>
  <c r="AV76" i="2"/>
  <c r="AW71" i="2"/>
  <c r="AY38" i="2"/>
  <c r="AX45" i="2"/>
  <c r="AX48" i="2" s="1"/>
  <c r="AU67" i="2"/>
  <c r="AU68" i="2" s="1"/>
  <c r="AC79" i="2"/>
  <c r="AC68" i="2"/>
  <c r="AW63" i="2" l="1"/>
  <c r="AW76" i="2"/>
  <c r="AX71" i="2"/>
  <c r="AZ38" i="2"/>
  <c r="AY45" i="2"/>
  <c r="AY48" i="2" s="1"/>
  <c r="AU94" i="2"/>
  <c r="AV94" i="2" s="1"/>
  <c r="AW64" i="2" s="1"/>
  <c r="AW65" i="2" s="1"/>
  <c r="AX63" i="2" l="1"/>
  <c r="AX76" i="2"/>
  <c r="AW66" i="2"/>
  <c r="AW67" i="2" s="1"/>
  <c r="AW68" i="2" s="1"/>
  <c r="AY71" i="2"/>
  <c r="BA38" i="2"/>
  <c r="BA45" i="2" s="1"/>
  <c r="BA48" i="2" s="1"/>
  <c r="BA51" i="2" s="1"/>
  <c r="BA52" i="2" s="1"/>
  <c r="AZ45" i="2"/>
  <c r="AZ48" i="2" s="1"/>
  <c r="AY63" i="2" l="1"/>
  <c r="AY76" i="2"/>
  <c r="AZ71" i="2"/>
  <c r="BA71" i="2"/>
  <c r="AW94" i="2"/>
  <c r="AZ76" i="2" l="1"/>
  <c r="AZ63" i="2"/>
  <c r="BA63" i="2"/>
  <c r="BA76" i="2"/>
  <c r="AX64" i="2"/>
  <c r="AX65" i="2" s="1"/>
  <c r="AX66" i="2" l="1"/>
  <c r="AX67" i="2" s="1"/>
  <c r="AX68" i="2" l="1"/>
  <c r="AX94" i="2"/>
  <c r="AY64" i="2" l="1"/>
  <c r="AY65" i="2" s="1"/>
  <c r="AY66" i="2" l="1"/>
  <c r="AY67" i="2" s="1"/>
  <c r="AY68" i="2" l="1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/>
  <c r="BB68" i="2" l="1"/>
  <c r="BB94" i="2"/>
  <c r="BC64" i="2" l="1"/>
  <c r="BC65" i="2" s="1"/>
  <c r="BC66" i="2" l="1"/>
  <c r="BC67" i="2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H80" i="2"/>
  <c r="BH82" i="2" s="1"/>
  <c r="BF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<sst xmlns="http://schemas.openxmlformats.org/spreadsheetml/2006/main" count="186" uniqueCount="170">
  <si>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</si>
  <si>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</si>
  <si>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</si>
  <si>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</si>
  <si>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</si>
  <si>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</si>
  <si>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</si>
  <si>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</si>
  <si>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</si>
  <si>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</si>
  <si>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</si>
  <si>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</si>
  <si>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</si>
  <si>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</si>
  <si>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</si>
  <si>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</si>
  <si>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</si>
  <si>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</si>
  <si>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</si>
  <si>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</si>
  <si>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</si>
  <si>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</si>
  <si>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</si>
  <si>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</si>
  <si>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</si>
  <si>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</si>
  <si>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</si>
  <si>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</si>
  <si>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</si>
  <si>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</si>
  <si>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</si>
  <si>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</si>
  <si>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</si>
  <si>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</si>
  <si>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</si>
  <si>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</si>
  <si>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</si>
  <si>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</si>
  <si>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</si>
  <si>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</si>
  <si>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</si>
  <si>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</si>
  <si>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</si>
  <si>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</si>
  <si>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</si>
  <si>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</si>
  <si>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</si>
  <si>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</si>
  <si>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</si>
  <si>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</si>
  <si>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</si>
  <si>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</si>
  <si>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</si>
  <si>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</si>
  <si>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</si>
  <si>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</si>
  <si>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</si>
  <si>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</si>
  <si>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</si>
  <si>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</si>
  <si>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</si>
  <si>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</si>
  <si>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</si>
  <si>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</si>
  <si>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</si>
  <si>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</si>
  <si>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</si>
  <si>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</si>
  <si>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</si>
  <si>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</si>
  <si>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</si>
  <si>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</si>
  <si>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</si>
  <si>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</si>
  <si>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</si>
  <si>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</si>
  <si>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</si>
  <si>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</si>
  <si>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</si>
  <si>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</si>
  <si>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</si>
  <si>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</si>
  <si>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</si>
  <si>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</si>
  <si>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</si>
  <si>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</si>
  <si>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</si>
  <si>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</si>
  <si>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</si>
  <si>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</si>
  <si>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</si>
  <si>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</si>
  <si>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</si>
  <si>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</si>
  <si>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</si>
  <si>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</si>
  <si>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</si>
  <si>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</si>
  <si>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</si>
  <si>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</si>
  <si>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</si>
  <si>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</si>
  <si>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</si>
  <si>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</si>
  <si>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</si>
  <si>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</si>
  <si>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</si>
  <si>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</si>
  <si>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</si>
  <si>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</si>
  <si>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</si>
  <si>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</si>
  <si>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</si>
  <si>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</si>
  <si>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</si>
  <si>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</si>
  <si>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</si>
  <si>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</si>
  <si>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</si>
  <si>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</si>
  <si>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</si>
  <si>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</si>
  <si>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</si>
  <si>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</si>
  <si>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</si>
  <si>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</si>
  <si>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</si>
  <si>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</si>
  <si>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</si>
  <si>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</si>
  <si>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</si>
  <si>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</si>
  <si>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</si>
  <si>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</si>
  <si>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</si>
  <si>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</si>
  <si>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</si>
  <si>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</si>
  <si>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</si>
  <si>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</si>
  <si>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</si>
  <si>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</si>
  <si>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</si>
  <si>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</si>
  <si>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</si>
  <si>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</si>
  <si>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</si>
  <si>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</si>
  <si>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</si>
  <si>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</si>
  <si>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</si>
  <si>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</si>
  <si>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</si>
  <si>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</si>
  <si>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</si>
  <si>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</si>
  <si>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</si>
  <si>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</si>
  <si>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</si>
  <si>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</si>
  <si>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</si>
  <si>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</si>
  <si>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</si>
  <si>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</si>
  <si>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</si>
  <si>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</si>
  <si>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Interest Income</t>
  </si>
  <si>
    <t>Founded: 2003 by Martin Eberhard and Marc Tarpenning</t>
  </si>
  <si>
    <t>CEO:</t>
  </si>
  <si>
    <t>Elon Musk (since 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</si>
</sst>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9" fillId="0" borderId="0" xfId="0" applyFont="1"/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/>
    <xf numFmtId="3" fontId="8" fillId="0" borderId="0" xfId="0" applyNumberFormat="1" applyFont="1"/>
    <xf numFmtId="2" fontId="8" fillId="0" borderId="0" xfId="0" applyNumberFormat="1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12" fillId="0" borderId="0" xfId="1" applyFont="1"/>
    <xf numFmtId="0" fontId="6" fillId="0" borderId="0" xfId="0" applyFont="1"/>
    <xf numFmtId="0" fontId="6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/>
    <xf numFmtId="4" fontId="9" fillId="0" borderId="0" xfId="0" applyNumberFormat="1" applyFont="1"/>
    <xf numFmtId="0" fontId="4" fillId="0" borderId="0" xfId="0" applyFont="1"/>
    <xf numFmtId="9" fontId="10" fillId="0" borderId="0" xfId="0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9" fontId="9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164" fontId="9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11" fillId="0" borderId="0" xfId="1"/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3" fillId="0" borderId="0" xfId="1" applyFont="1"/>
    <xf numFmtId="3" fontId="9" fillId="2" borderId="0" xfId="0" applyNumberFormat="1" applyFont="1" applyFill="1"/>
    <xf numFmtId="3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10117</xdr:colOff>
      <xdr:row>0</xdr:row>
      <xdr:rowOff>47625</xdr:rowOff>
    </xdr:from>
    <xdr:to>
      <xdr:col>31</xdr:col>
      <xdr:colOff>25572</xdr:colOff>
      <xdr:row>136</xdr:row>
      <xdr:rowOff>117330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9679242" y="47625"/>
          <a:ext cx="15455" cy="2192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zoomScale="220" zoomScaleNormal="220" workbookViewId="0">
      <selection activeCell="C1" sqref="C1"/>
    </sheetView>
  </sheetViews>
  <sheetFormatPr defaultColWidth="9.140625" defaultRowHeight="12.75" x14ac:dyDescent="0.2"/>
  <cols>
    <col min="1" max="1" width="4.85546875" style="9" customWidth="1"/>
    <col min="2" max="16384" width="9.140625" style="9"/>
  </cols>
  <sheetData>
    <row r="2" spans="2:12" x14ac:dyDescent="0.2">
      <c r="B2" s="32" t="s">
        <v>108</v>
      </c>
      <c r="J2" s="9" t="s">
        <v>0</v>
      </c>
      <c r="K2" s="11">
        <v>254.5</v>
      </c>
    </row>
    <row r="3" spans="2:12" x14ac:dyDescent="0.2">
      <c r="C3" s="32" t="s">
        <v>124</v>
      </c>
      <c r="J3" s="9" t="s">
        <v>1</v>
      </c>
      <c r="K3" s="10">
        <v>3220.9562110000002</v>
      </c>
      <c r="L3" s="42" t="s">
        <v>120</v>
      </c>
    </row>
    <row r="4" spans="2:12" x14ac:dyDescent="0.2">
      <c r="B4" s="33" t="s">
        <v>125</v>
      </c>
      <c r="J4" s="9" t="s">
        <v>2</v>
      </c>
      <c r="K4" s="10">
        <f>K2*K3</f>
        <v>819733.35569950007</v>
      </c>
    </row>
    <row r="5" spans="2:12" x14ac:dyDescent="0.2">
      <c r="J5" s="9" t="s">
        <v>3</v>
      </c>
      <c r="K5" s="10">
        <f>16352+20644</f>
        <v>36996</v>
      </c>
      <c r="L5" s="42" t="s">
        <v>120</v>
      </c>
    </row>
    <row r="6" spans="2:12" x14ac:dyDescent="0.2">
      <c r="B6" s="33" t="s">
        <v>156</v>
      </c>
      <c r="J6" s="9" t="s">
        <v>4</v>
      </c>
      <c r="K6" s="18">
        <f>5292+2237</f>
        <v>7529</v>
      </c>
      <c r="L6" s="42" t="s">
        <v>120</v>
      </c>
    </row>
    <row r="7" spans="2:12" x14ac:dyDescent="0.2">
      <c r="B7" s="33" t="s">
        <v>155</v>
      </c>
      <c r="J7" s="9" t="s">
        <v>5</v>
      </c>
      <c r="K7" s="10">
        <f>K4-K5+K6</f>
        <v>790266.35569950007</v>
      </c>
    </row>
    <row r="8" spans="2:12" x14ac:dyDescent="0.2">
      <c r="B8" s="33" t="s">
        <v>106</v>
      </c>
    </row>
    <row r="9" spans="2:12" x14ac:dyDescent="0.2">
      <c r="B9" s="33" t="s">
        <v>159</v>
      </c>
      <c r="J9" s="33" t="s">
        <v>167</v>
      </c>
    </row>
    <row r="10" spans="2:12" x14ac:dyDescent="0.2">
      <c r="B10" s="33" t="s">
        <v>104</v>
      </c>
      <c r="J10" s="33" t="s">
        <v>168</v>
      </c>
      <c r="K10" s="33" t="s">
        <v>169</v>
      </c>
    </row>
    <row r="13" spans="2:12" x14ac:dyDescent="0.2">
      <c r="B13" s="9" t="s">
        <v>7</v>
      </c>
    </row>
    <row r="15" spans="2:12" x14ac:dyDescent="0.2">
      <c r="B15" s="33" t="s">
        <v>126</v>
      </c>
    </row>
    <row r="17" spans="2:2" x14ac:dyDescent="0.2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zoomScale="160" zoomScaleNormal="160" workbookViewId="0">
      <pane xSplit="2" ySplit="2" topLeftCell="AD54" activePane="bottomRight" state="frozen"/>
      <selection pane="topRight" activeCell="C1" sqref="C1"/>
      <selection pane="bottomLeft" activeCell="A3" sqref="A3"/>
      <selection pane="bottomRight" activeCell="AE91" sqref="AE91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6" width="9.140625" style="2"/>
    <col min="27" max="30" width="9.5703125" style="2" customWidth="1"/>
    <col min="31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4" t="s">
        <v>8</v>
      </c>
    </row>
    <row r="2" spans="1:58" x14ac:dyDescent="0.2">
      <c r="A2" s="14"/>
      <c r="C2" s="27" t="s">
        <v>93</v>
      </c>
      <c r="D2" s="27" t="s">
        <v>94</v>
      </c>
      <c r="E2" s="27" t="s">
        <v>95</v>
      </c>
      <c r="F2" s="27" t="s">
        <v>96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84</v>
      </c>
      <c r="X2" s="16" t="s">
        <v>85</v>
      </c>
      <c r="Y2" s="16" t="s">
        <v>86</v>
      </c>
      <c r="Z2" s="16" t="s">
        <v>87</v>
      </c>
      <c r="AA2" s="27" t="s">
        <v>116</v>
      </c>
      <c r="AB2" s="27" t="s">
        <v>117</v>
      </c>
      <c r="AC2" s="27" t="s">
        <v>118</v>
      </c>
      <c r="AD2" s="27" t="s">
        <v>119</v>
      </c>
      <c r="AE2" s="31" t="s">
        <v>120</v>
      </c>
      <c r="AF2" s="31" t="s">
        <v>121</v>
      </c>
      <c r="AG2" s="31" t="s">
        <v>122</v>
      </c>
      <c r="AH2" s="31" t="s">
        <v>123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4"/>
      <c r="B3" s="33" t="s">
        <v>135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">
      <c r="A4" s="14"/>
      <c r="B4" s="33" t="s">
        <v>127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">
      <c r="A5" s="14"/>
      <c r="B5" s="33" t="s">
        <v>141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">
      <c r="A6" s="14"/>
      <c r="B6" s="33" t="s">
        <v>150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">
      <c r="A7" s="14"/>
      <c r="B7" s="33" t="s">
        <v>151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">
      <c r="A8" s="14"/>
      <c r="B8" s="33" t="s">
        <v>137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2">
      <c r="A9" s="38"/>
      <c r="B9" s="23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78862.236850815156</v>
      </c>
    </row>
    <row r="10" spans="1:58" x14ac:dyDescent="0.2">
      <c r="A10" s="14"/>
      <c r="B10" s="33" t="s">
        <v>128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">
      <c r="A11" s="14"/>
      <c r="B11" s="33" t="s">
        <v>131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">
      <c r="A13" s="14"/>
      <c r="B13" s="33" t="s">
        <v>130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">
      <c r="A14" s="14"/>
      <c r="B14" s="33" t="s">
        <v>136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">
      <c r="A15" s="14"/>
      <c r="B15" s="33" t="s">
        <v>152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">
      <c r="A16" s="14"/>
      <c r="B16" s="33" t="s">
        <v>139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">
      <c r="A17" s="14"/>
      <c r="B17" s="33" t="s">
        <v>129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">
      <c r="A18" s="14"/>
      <c r="B18" s="33" t="s">
        <v>140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">
      <c r="A19" s="14"/>
      <c r="B19" s="33" t="s">
        <v>138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2">
      <c r="A20" s="38"/>
      <c r="B20" s="23" t="s">
        <v>134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1848441.7</v>
      </c>
    </row>
    <row r="21" spans="1:47" x14ac:dyDescent="0.2">
      <c r="A21" s="14"/>
      <c r="B21" s="33" t="s">
        <v>133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">
      <c r="A23" s="14"/>
      <c r="B23" s="33" t="s">
        <v>142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">
      <c r="A24" s="14"/>
      <c r="B24" s="33" t="s">
        <v>143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">
      <c r="A25" s="14"/>
      <c r="B25" s="33" t="s">
        <v>144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">
      <c r="A26" s="14"/>
      <c r="B26" s="33" t="s">
        <v>153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">
      <c r="A27" s="14"/>
      <c r="B27" s="33" t="s">
        <v>145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">
      <c r="A28" s="14"/>
      <c r="B28" s="33" t="s">
        <v>146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">
      <c r="A29" s="14"/>
      <c r="B29" s="33" t="s">
        <v>147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">
      <c r="A30" s="14"/>
      <c r="B30" s="33" t="s">
        <v>148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">
      <c r="A31" s="14"/>
      <c r="B31" s="33" t="s">
        <v>149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14787.533599999999</v>
      </c>
    </row>
    <row r="34" spans="1:58" s="4" customFormat="1" x14ac:dyDescent="0.2">
      <c r="B34" s="13" t="s">
        <v>83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f>+X35*1.03</f>
        <v>19801.75</v>
      </c>
      <c r="AD35" s="5">
        <f>+Z35*1.3</f>
        <v>29859.7</v>
      </c>
      <c r="AE35" s="5"/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88239.45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f>+X36*1.03</f>
        <v>460322.45</v>
      </c>
      <c r="AD36" s="5">
        <f>+Z36*1.1</f>
        <v>507691.80000000005</v>
      </c>
      <c r="AE36" s="5"/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1760202.25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480124.2</v>
      </c>
      <c r="AD37" s="7">
        <f t="shared" si="12"/>
        <v>537551.5</v>
      </c>
      <c r="AE37" s="7"/>
      <c r="AF37" s="7"/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1848441.7</v>
      </c>
      <c r="AV37" s="6">
        <f t="shared" ref="AV37:AY37" si="14">AV42</f>
        <v>2229103.3180000004</v>
      </c>
      <c r="AW37" s="6">
        <f t="shared" si="14"/>
        <v>2786379.1475000004</v>
      </c>
      <c r="AX37" s="6">
        <f t="shared" si="14"/>
        <v>3343654.9770000004</v>
      </c>
      <c r="AY37" s="6">
        <f t="shared" si="14"/>
        <v>4012385.9724000003</v>
      </c>
      <c r="AZ37" s="6">
        <f t="shared" ref="AZ37:BA37" si="15">AZ42</f>
        <v>4614243.8682599999</v>
      </c>
      <c r="BA37" s="6">
        <f t="shared" si="15"/>
        <v>5075668.2550860001</v>
      </c>
      <c r="BB37" s="6">
        <f t="shared" ref="BB37:BF37" si="16">BB42</f>
        <v>5329451.6678403001</v>
      </c>
      <c r="BC37" s="6">
        <f t="shared" si="16"/>
        <v>5595924.2512323158</v>
      </c>
      <c r="BD37" s="6">
        <f t="shared" si="16"/>
        <v>5875720.4637939315</v>
      </c>
      <c r="BE37" s="6">
        <f t="shared" si="16"/>
        <v>6169506.486983628</v>
      </c>
      <c r="BF37" s="6">
        <f t="shared" si="16"/>
        <v>6477981.8113328097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/>
      <c r="AF38" s="5"/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42664.173206444735</v>
      </c>
      <c r="AV38" s="4">
        <f>AU38*1.03</f>
        <v>43944.098402638076</v>
      </c>
      <c r="AW38" s="4">
        <f>AV38*1.03</f>
        <v>45262.421354717218</v>
      </c>
      <c r="AX38" s="4">
        <f>AW38*1.03</f>
        <v>46620.293995358734</v>
      </c>
      <c r="AY38" s="4">
        <f>AX38*1.03</f>
        <v>48018.902815219495</v>
      </c>
      <c r="AZ38" s="4">
        <f t="shared" ref="AZ38:BA38" si="19">AY38*1.03</f>
        <v>49459.469899676078</v>
      </c>
      <c r="BA38" s="4">
        <f t="shared" si="19"/>
        <v>50943.253996666361</v>
      </c>
      <c r="BB38" s="4">
        <f t="shared" ref="BB38" si="20">BA38*1.03</f>
        <v>52471.55161656635</v>
      </c>
      <c r="BC38" s="4">
        <f t="shared" ref="BC38" si="21">BB38*1.03</f>
        <v>54045.698165063339</v>
      </c>
      <c r="BD38" s="4">
        <f t="shared" ref="BD38" si="22">BC38*1.03</f>
        <v>55667.06911001524</v>
      </c>
      <c r="BE38" s="4">
        <f t="shared" ref="BE38" si="23">BD38*1.03</f>
        <v>57337.081183315699</v>
      </c>
      <c r="BF38" s="4">
        <f t="shared" ref="BF38" si="24">BE38*1.03</f>
        <v>59057.193618815174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f>+AB40*1.06</f>
        <v>25710.300000000003</v>
      </c>
      <c r="AD40" s="5">
        <f>+Z40</f>
        <v>18212</v>
      </c>
      <c r="AE40" s="5"/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89172.3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f>+AB41*1.06</f>
        <v>409770.56</v>
      </c>
      <c r="AD41" s="5">
        <f>+Y41</f>
        <v>416800</v>
      </c>
      <c r="AE41" s="5"/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1625522.56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435480.86</v>
      </c>
      <c r="AD42" s="7">
        <f>+Z42</f>
        <v>494989</v>
      </c>
      <c r="AE42" s="7"/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1714694.86</v>
      </c>
      <c r="AV42" s="6">
        <f>AU42*1.3</f>
        <v>2229103.3180000004</v>
      </c>
      <c r="AW42" s="6">
        <f>AV42*1.25</f>
        <v>2786379.1475000004</v>
      </c>
      <c r="AX42" s="6">
        <f>AW42*1.2</f>
        <v>3343654.9770000004</v>
      </c>
      <c r="AY42" s="6">
        <f>AX42*1.2</f>
        <v>4012385.9724000003</v>
      </c>
      <c r="AZ42" s="6">
        <f>AY42*1.15</f>
        <v>4614243.8682599999</v>
      </c>
      <c r="BA42" s="6">
        <f>AZ42*1.1</f>
        <v>5075668.2550860001</v>
      </c>
      <c r="BB42" s="6">
        <f>+BA42*1.05</f>
        <v>5329451.6678403001</v>
      </c>
      <c r="BC42" s="6">
        <f t="shared" ref="BC42:BF42" si="29">+BB42*1.05</f>
        <v>5595924.2512323158</v>
      </c>
      <c r="BD42" s="6">
        <f t="shared" si="29"/>
        <v>5875720.4637939315</v>
      </c>
      <c r="BE42" s="6">
        <f t="shared" si="29"/>
        <v>6169506.486983628</v>
      </c>
      <c r="BF42" s="6">
        <f t="shared" si="29"/>
        <v>6477981.8113328097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">
      <c r="B44" s="40" t="s">
        <v>165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573.50403199999982</v>
      </c>
      <c r="AV44" s="4">
        <f>+AV118-$AT$118</f>
        <v>1652.2522470400008</v>
      </c>
      <c r="AW44" s="4">
        <f t="shared" ref="AW44:BF44" si="30">+AW118-$AT$118</f>
        <v>3257.2066360000008</v>
      </c>
      <c r="AX44" s="4">
        <f t="shared" si="30"/>
        <v>5218.8175558400008</v>
      </c>
      <c r="AY44" s="4">
        <f t="shared" si="30"/>
        <v>7786.7445781760016</v>
      </c>
      <c r="AZ44" s="4">
        <f t="shared" si="30"/>
        <v>10611.464302745599</v>
      </c>
      <c r="BA44" s="4">
        <f t="shared" si="30"/>
        <v>13416.924574647679</v>
      </c>
      <c r="BB44" s="4">
        <f t="shared" si="30"/>
        <v>14574.176936807287</v>
      </c>
      <c r="BC44" s="4">
        <f t="shared" si="30"/>
        <v>15810.609723746242</v>
      </c>
      <c r="BD44" s="4">
        <f t="shared" si="30"/>
        <v>17131.247847037066</v>
      </c>
      <c r="BE44" s="4">
        <f t="shared" si="30"/>
        <v>18541.420758347613</v>
      </c>
      <c r="BF44" s="4">
        <f t="shared" si="30"/>
        <v>20046.780341171616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f>+AC38*AC37/1000000</f>
        <v>19839.205713494131</v>
      </c>
      <c r="AD45" s="5">
        <f>+AD38*AD37/1000000</f>
        <v>24033.031137321035</v>
      </c>
      <c r="AE45" s="5">
        <v>12925</v>
      </c>
      <c r="AF45" s="5"/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78862.236850815156</v>
      </c>
      <c r="AV45" s="4">
        <f t="shared" ref="AV45:BA45" si="32">AV38*AV42/1000000</f>
        <v>97955.935555839053</v>
      </c>
      <c r="AW45" s="4">
        <f t="shared" si="32"/>
        <v>126118.26702814277</v>
      </c>
      <c r="AX45" s="4">
        <f t="shared" si="32"/>
        <v>155882.17804678445</v>
      </c>
      <c r="AY45" s="4">
        <f t="shared" si="32"/>
        <v>192670.37206582559</v>
      </c>
      <c r="AZ45" s="4">
        <f t="shared" si="32"/>
        <v>228218.05571197037</v>
      </c>
      <c r="BA45" s="4">
        <f t="shared" si="32"/>
        <v>258571.05712166245</v>
      </c>
      <c r="BB45" s="4">
        <f t="shared" ref="BB45:BF45" si="33">BB38*BB42/1000000</f>
        <v>279644.59827707795</v>
      </c>
      <c r="BC45" s="4">
        <f t="shared" si="33"/>
        <v>302435.6330366598</v>
      </c>
      <c r="BD45" s="4">
        <f t="shared" si="33"/>
        <v>327084.1371291476</v>
      </c>
      <c r="BE45" s="4">
        <f t="shared" si="33"/>
        <v>353741.49430517311</v>
      </c>
      <c r="BF45" s="4">
        <f t="shared" si="33"/>
        <v>382571.42609104479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f>+Y46</f>
        <v>554</v>
      </c>
      <c r="AD46" s="5">
        <f t="shared" ref="AD46:AD47" si="35">+Z46</f>
        <v>433</v>
      </c>
      <c r="AE46" s="5">
        <v>595</v>
      </c>
      <c r="AF46" s="5"/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2319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f>+Y47</f>
        <v>489</v>
      </c>
      <c r="AD47" s="5">
        <f t="shared" si="35"/>
        <v>500</v>
      </c>
      <c r="AE47" s="5">
        <v>447</v>
      </c>
      <c r="AF47" s="5"/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1923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E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20882.205713494131</v>
      </c>
      <c r="AD48" s="7">
        <f t="shared" si="41"/>
        <v>24966.031137321035</v>
      </c>
      <c r="AE48" s="7">
        <f t="shared" si="41"/>
        <v>13967</v>
      </c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83104.236850815156</v>
      </c>
      <c r="AV48" s="6">
        <f>AV45+AV46+AV47</f>
        <v>97955.935555839053</v>
      </c>
      <c r="AW48" s="6">
        <f>AW45+AW46+AW47</f>
        <v>126118.26702814277</v>
      </c>
      <c r="AX48" s="6">
        <f>AX45+AX46+AX47</f>
        <v>155882.17804678445</v>
      </c>
      <c r="AY48" s="6">
        <f>AY45+AY46+AY47</f>
        <v>192670.37206582559</v>
      </c>
      <c r="AZ48" s="6">
        <f t="shared" ref="AZ48:BF48" si="42">AZ45+AZ46+AZ47</f>
        <v>228218.05571197037</v>
      </c>
      <c r="BA48" s="6">
        <f t="shared" si="42"/>
        <v>258571.05712166245</v>
      </c>
      <c r="BB48" s="6">
        <f t="shared" si="42"/>
        <v>279644.59827707795</v>
      </c>
      <c r="BC48" s="6">
        <f t="shared" si="42"/>
        <v>302435.6330366598</v>
      </c>
      <c r="BD48" s="6">
        <f t="shared" si="42"/>
        <v>327084.1371291476</v>
      </c>
      <c r="BE48" s="6">
        <f t="shared" si="42"/>
        <v>353741.49430517311</v>
      </c>
      <c r="BF48" s="6">
        <f t="shared" si="42"/>
        <v>382571.42609104479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f>+Y49*1.4</f>
        <v>2182.6</v>
      </c>
      <c r="AD49" s="5">
        <f t="shared" ref="AD49:AD50" si="44">+Z49</f>
        <v>1438</v>
      </c>
      <c r="AE49" s="5">
        <v>2730</v>
      </c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8269.6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f>+Y50*1.4</f>
        <v>3032.3999999999996</v>
      </c>
      <c r="AD50" s="5">
        <f t="shared" si="44"/>
        <v>2166</v>
      </c>
      <c r="AE50" s="5">
        <v>2638</v>
      </c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10094.4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E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26097.205713494128</v>
      </c>
      <c r="AD51" s="7">
        <f t="shared" si="48"/>
        <v>28570.031137321035</v>
      </c>
      <c r="AE51" s="7">
        <f t="shared" si="48"/>
        <v>19335</v>
      </c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102041.74088281515</v>
      </c>
      <c r="AV51" s="6">
        <f>SUM(AV48:AV50)+AV44</f>
        <v>99608.187802879052</v>
      </c>
      <c r="AW51" s="6">
        <f>SUM(AW48:AW50)+AW44</f>
        <v>129375.47366414277</v>
      </c>
      <c r="AX51" s="6">
        <f t="shared" ref="AX51:BA51" si="50">SUM(AX48:AX50)+AX44</f>
        <v>161100.99560262446</v>
      </c>
      <c r="AY51" s="6">
        <f t="shared" si="50"/>
        <v>200457.11664400159</v>
      </c>
      <c r="AZ51" s="6">
        <f t="shared" si="50"/>
        <v>238829.52001471596</v>
      </c>
      <c r="BA51" s="6">
        <f t="shared" si="50"/>
        <v>271987.9816963101</v>
      </c>
      <c r="BB51" s="6">
        <f t="shared" ref="BB51" si="51">SUM(BB48:BB50)+BB44</f>
        <v>294218.77521388524</v>
      </c>
      <c r="BC51" s="6">
        <f t="shared" ref="BC51" si="52">SUM(BC48:BC50)+BC44</f>
        <v>318246.24276040605</v>
      </c>
      <c r="BD51" s="6">
        <f t="shared" ref="BD51" si="53">SUM(BD48:BD50)+BD44</f>
        <v>344215.38497618464</v>
      </c>
      <c r="BE51" s="6">
        <f t="shared" ref="BE51" si="54">SUM(BE48:BE50)+BE44</f>
        <v>372282.91506352072</v>
      </c>
      <c r="BF51" s="6">
        <f t="shared" ref="BF51" si="55">SUM(BF48:BF50)+BF44</f>
        <v>402618.20643221639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f>+AC45*0.85</f>
        <v>16863.324856470012</v>
      </c>
      <c r="AD52" s="5">
        <f>+AD45*0.85</f>
        <v>20428.07646672288</v>
      </c>
      <c r="AE52" s="5">
        <v>11461</v>
      </c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67150.401323192898</v>
      </c>
      <c r="AV52" s="4">
        <f>AV45*0.8</f>
        <v>78364.748444671248</v>
      </c>
      <c r="AW52" s="4">
        <f>AW45*0.79</f>
        <v>99633.430952232797</v>
      </c>
      <c r="AX52" s="4">
        <f>AX51*0.78</f>
        <v>125658.77657004708</v>
      </c>
      <c r="AY52" s="4">
        <f>AY51*0.77</f>
        <v>154351.97981588123</v>
      </c>
      <c r="AZ52" s="4">
        <f>AZ51*0.76</f>
        <v>181510.43521118414</v>
      </c>
      <c r="BA52" s="4">
        <f>BA51*0.75</f>
        <v>203990.98627223258</v>
      </c>
      <c r="BB52" s="4">
        <f t="shared" ref="BB52:BF52" si="58">BB51*0.75</f>
        <v>220664.08141041393</v>
      </c>
      <c r="BC52" s="4">
        <f t="shared" si="58"/>
        <v>238684.68207030452</v>
      </c>
      <c r="BD52" s="4">
        <f t="shared" si="58"/>
        <v>258161.53873213846</v>
      </c>
      <c r="BE52" s="4">
        <f t="shared" si="58"/>
        <v>279212.18629764055</v>
      </c>
      <c r="BF52" s="4">
        <f t="shared" si="58"/>
        <v>301963.65482416231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>AA45-AA52</f>
        <v>2563</v>
      </c>
      <c r="AB53" s="5">
        <f>AB45-AB52</f>
        <v>2568</v>
      </c>
      <c r="AC53" s="5">
        <f>AC45-AC52</f>
        <v>2975.8808570241199</v>
      </c>
      <c r="AD53" s="5">
        <f>AD45-AD52</f>
        <v>3604.9546705981556</v>
      </c>
      <c r="AE53" s="5">
        <f>AE45-AE52</f>
        <v>1464</v>
      </c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11711.835527622276</v>
      </c>
    </row>
    <row r="54" spans="2:58" s="4" customFormat="1" x14ac:dyDescent="0.2">
      <c r="B54" s="29" t="s">
        <v>115</v>
      </c>
      <c r="C54" s="5"/>
      <c r="D54" s="5"/>
      <c r="E54" s="5"/>
      <c r="F54" s="5"/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/>
      <c r="AG54" s="5"/>
      <c r="AH54" s="5"/>
      <c r="AU54" s="4">
        <f t="shared" si="57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f>+AC47*0.5</f>
        <v>244.5</v>
      </c>
      <c r="AD55" s="5">
        <f>+AD47*0.5</f>
        <v>250</v>
      </c>
      <c r="AE55" s="5">
        <v>239</v>
      </c>
      <c r="AF55" s="5"/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1008.5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2">G48-G55-G52</f>
        <v>751</v>
      </c>
      <c r="H56" s="5">
        <f t="shared" si="62"/>
        <v>1016</v>
      </c>
      <c r="I56" s="5">
        <f t="shared" si="62"/>
        <v>1222</v>
      </c>
      <c r="J56" s="5">
        <f t="shared" si="62"/>
        <v>1434</v>
      </c>
      <c r="K56" s="5">
        <f t="shared" si="62"/>
        <v>1311</v>
      </c>
      <c r="L56" s="5">
        <f t="shared" ref="L56" si="63">L48-L55-L52</f>
        <v>1317</v>
      </c>
      <c r="M56" s="5">
        <f t="shared" ref="M56:N56" si="64">M48-M55-M52</f>
        <v>2105</v>
      </c>
      <c r="N56" s="5">
        <f t="shared" si="64"/>
        <v>2244</v>
      </c>
      <c r="O56" s="5">
        <f>O48-O55-O52</f>
        <v>2385</v>
      </c>
      <c r="P56" s="5">
        <f t="shared" ref="P56:S56" si="65">P48-P55-P52</f>
        <v>2899</v>
      </c>
      <c r="Q56" s="5">
        <f t="shared" si="65"/>
        <v>3673</v>
      </c>
      <c r="R56" s="5">
        <f t="shared" si="65"/>
        <v>4882</v>
      </c>
      <c r="S56" s="5">
        <f t="shared" si="65"/>
        <v>5539</v>
      </c>
      <c r="T56" s="5">
        <f>T48-T55-T52</f>
        <v>4080</v>
      </c>
      <c r="U56" s="5">
        <f>U48-U55-U52</f>
        <v>5212</v>
      </c>
      <c r="V56" s="5">
        <f t="shared" ref="V56:AE56" si="66">V48-V55-V52</f>
        <v>6568.7999999999993</v>
      </c>
      <c r="W56" s="5">
        <f>W48-W55-W52</f>
        <v>4208</v>
      </c>
      <c r="X56" s="5">
        <f t="shared" si="66"/>
        <v>4089</v>
      </c>
      <c r="Y56" s="5">
        <f t="shared" si="66"/>
        <v>3668</v>
      </c>
      <c r="Z56" s="5">
        <f t="shared" si="66"/>
        <v>4065</v>
      </c>
      <c r="AA56" s="5">
        <f t="shared" si="66"/>
        <v>3212</v>
      </c>
      <c r="AB56" s="5">
        <f>AB48-AB55-AB52</f>
        <v>3671</v>
      </c>
      <c r="AC56" s="5">
        <f t="shared" si="66"/>
        <v>3774.3808570241199</v>
      </c>
      <c r="AD56" s="5">
        <f t="shared" si="66"/>
        <v>4287.9546705981556</v>
      </c>
      <c r="AE56" s="5">
        <f t="shared" si="66"/>
        <v>2267</v>
      </c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14945.335527622276</v>
      </c>
      <c r="AV56" s="4">
        <f>AV51-AV52</f>
        <v>21243.439358207805</v>
      </c>
      <c r="AW56" s="4">
        <f t="shared" ref="AW56:BF56" si="67">AW51-AW52</f>
        <v>29742.042711909977</v>
      </c>
      <c r="AX56" s="4">
        <f t="shared" si="67"/>
        <v>35442.219032577384</v>
      </c>
      <c r="AY56" s="4">
        <f t="shared" si="67"/>
        <v>46105.136828120361</v>
      </c>
      <c r="AZ56" s="4">
        <f t="shared" si="67"/>
        <v>57319.084803531819</v>
      </c>
      <c r="BA56" s="4">
        <f t="shared" si="67"/>
        <v>67996.995424077526</v>
      </c>
      <c r="BB56" s="4">
        <f t="shared" si="67"/>
        <v>73554.693803471309</v>
      </c>
      <c r="BC56" s="4">
        <f t="shared" si="67"/>
        <v>79561.560690101527</v>
      </c>
      <c r="BD56" s="4">
        <f t="shared" si="67"/>
        <v>86053.846244046174</v>
      </c>
      <c r="BE56" s="4">
        <f t="shared" si="67"/>
        <v>93070.728765880165</v>
      </c>
      <c r="BF56" s="4">
        <f t="shared" si="67"/>
        <v>100654.55160805408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f>+AC49*0.85</f>
        <v>1855.2099999999998</v>
      </c>
      <c r="AD57" s="5">
        <f>+AD49*0.9</f>
        <v>1294.2</v>
      </c>
      <c r="AE57" s="5">
        <v>1945</v>
      </c>
      <c r="AF57" s="5"/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6655.41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f>+AC50</f>
        <v>3032.3999999999996</v>
      </c>
      <c r="AD58" s="5">
        <f>+AD50</f>
        <v>2166</v>
      </c>
      <c r="AE58" s="5">
        <v>2537</v>
      </c>
      <c r="AF58" s="5"/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9846.4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68">G56+G49+G50-G57-G58</f>
        <v>566</v>
      </c>
      <c r="H59" s="5">
        <f t="shared" si="68"/>
        <v>921</v>
      </c>
      <c r="I59" s="5">
        <f t="shared" si="68"/>
        <v>1191</v>
      </c>
      <c r="J59" s="5">
        <f t="shared" si="68"/>
        <v>1391</v>
      </c>
      <c r="K59" s="5">
        <f t="shared" si="68"/>
        <v>1234</v>
      </c>
      <c r="L59" s="5">
        <f t="shared" ref="L59" si="69">L56+L49+L50-L57-L58</f>
        <v>1267</v>
      </c>
      <c r="M59" s="5">
        <f t="shared" ref="M59:T59" si="70">M56+M49+M50-M57-M58</f>
        <v>2063</v>
      </c>
      <c r="N59" s="5">
        <f t="shared" si="70"/>
        <v>2066</v>
      </c>
      <c r="O59" s="5">
        <f t="shared" si="70"/>
        <v>2215</v>
      </c>
      <c r="P59" s="5">
        <f t="shared" si="70"/>
        <v>2884</v>
      </c>
      <c r="Q59" s="5">
        <f t="shared" si="70"/>
        <v>3660</v>
      </c>
      <c r="R59" s="5">
        <f t="shared" si="70"/>
        <v>4847</v>
      </c>
      <c r="S59" s="5">
        <f t="shared" si="70"/>
        <v>5460</v>
      </c>
      <c r="T59" s="5">
        <f t="shared" si="70"/>
        <v>4233</v>
      </c>
      <c r="U59" s="5">
        <f t="shared" ref="U59:AE59" si="71">U56+U49+U50-U57-U58</f>
        <v>5382</v>
      </c>
      <c r="V59" s="5">
        <f t="shared" si="71"/>
        <v>6265.5999999999985</v>
      </c>
      <c r="W59" s="5">
        <f t="shared" si="71"/>
        <v>4511</v>
      </c>
      <c r="X59" s="5">
        <f t="shared" si="71"/>
        <v>4533</v>
      </c>
      <c r="Y59" s="5">
        <f t="shared" si="71"/>
        <v>4178</v>
      </c>
      <c r="Z59" s="5">
        <f t="shared" si="71"/>
        <v>4438</v>
      </c>
      <c r="AA59" s="5">
        <f t="shared" si="71"/>
        <v>3696</v>
      </c>
      <c r="AB59" s="5">
        <f t="shared" si="71"/>
        <v>4578</v>
      </c>
      <c r="AC59" s="5">
        <f t="shared" si="71"/>
        <v>4101.7708570241202</v>
      </c>
      <c r="AD59" s="5">
        <f t="shared" si="71"/>
        <v>4431.7546705981558</v>
      </c>
      <c r="AE59" s="5">
        <f t="shared" si="71"/>
        <v>3153</v>
      </c>
      <c r="AF59" s="5"/>
      <c r="AG59" s="5"/>
      <c r="AH59" s="5"/>
      <c r="AS59" s="5">
        <f t="shared" ref="AS59" si="72">+AS51*0.25</f>
        <v>20487.650000000001</v>
      </c>
      <c r="AT59" s="4">
        <f t="shared" si="56"/>
        <v>17660</v>
      </c>
      <c r="AU59" s="4">
        <f t="shared" si="57"/>
        <v>16807.525527622274</v>
      </c>
      <c r="AV59" s="4">
        <f>+AV56+AV44</f>
        <v>22895.691605247805</v>
      </c>
      <c r="AW59" s="4">
        <f t="shared" ref="AW59:BF59" si="73">+AW56+AW44</f>
        <v>32999.249347909979</v>
      </c>
      <c r="AX59" s="4">
        <f t="shared" si="73"/>
        <v>40661.036588417388</v>
      </c>
      <c r="AY59" s="4">
        <f t="shared" si="73"/>
        <v>53891.881406296365</v>
      </c>
      <c r="AZ59" s="4">
        <f t="shared" si="73"/>
        <v>67930.549106277424</v>
      </c>
      <c r="BA59" s="4">
        <f t="shared" si="73"/>
        <v>81413.919998725207</v>
      </c>
      <c r="BB59" s="4">
        <f t="shared" si="73"/>
        <v>88128.870740278595</v>
      </c>
      <c r="BC59" s="4">
        <f t="shared" si="73"/>
        <v>95372.170413847765</v>
      </c>
      <c r="BD59" s="4">
        <f t="shared" si="73"/>
        <v>103185.09409108324</v>
      </c>
      <c r="BE59" s="4">
        <f t="shared" si="73"/>
        <v>111612.14952422777</v>
      </c>
      <c r="BF59" s="4">
        <f t="shared" si="73"/>
        <v>120701.3319492257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f t="shared" ref="AC60:AD61" si="74">+Y60*1.1</f>
        <v>1277.1000000000001</v>
      </c>
      <c r="AD60" s="5">
        <f t="shared" si="74"/>
        <v>1203.4000000000001</v>
      </c>
      <c r="AE60" s="5">
        <v>1409</v>
      </c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5">SUM(AA60:AD60)</f>
        <v>4705.5</v>
      </c>
      <c r="AV60" s="4">
        <f>AU60*1.04</f>
        <v>4893.72</v>
      </c>
      <c r="AW60" s="4">
        <f t="shared" ref="AW60:BA60" si="76">AV60*1.04</f>
        <v>5089.4688000000006</v>
      </c>
      <c r="AX60" s="4">
        <f t="shared" si="76"/>
        <v>5293.0475520000009</v>
      </c>
      <c r="AY60" s="4">
        <f t="shared" si="76"/>
        <v>5504.7694540800012</v>
      </c>
      <c r="AZ60" s="4">
        <f t="shared" si="76"/>
        <v>5724.9602322432011</v>
      </c>
      <c r="BA60" s="4">
        <f t="shared" si="76"/>
        <v>5953.9586415329295</v>
      </c>
      <c r="BB60" s="4">
        <f t="shared" ref="BB60:BF60" si="77">BA60*1.04</f>
        <v>6192.1169871942466</v>
      </c>
      <c r="BC60" s="4">
        <f t="shared" si="77"/>
        <v>6439.8016666820167</v>
      </c>
      <c r="BD60" s="4">
        <f t="shared" si="77"/>
        <v>6697.3937333492977</v>
      </c>
      <c r="BE60" s="4">
        <f t="shared" si="77"/>
        <v>6965.2894826832699</v>
      </c>
      <c r="BF60" s="4">
        <f t="shared" si="77"/>
        <v>7243.9010619906012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f t="shared" si="74"/>
        <v>1378.3000000000002</v>
      </c>
      <c r="AD61" s="5">
        <f t="shared" si="74"/>
        <v>1408</v>
      </c>
      <c r="AE61" s="5">
        <f>1251+94</f>
        <v>1345</v>
      </c>
      <c r="AF61" s="5"/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5"/>
        <v>5437.3</v>
      </c>
      <c r="AV61" s="4">
        <f>AU61*1.04</f>
        <v>5654.7920000000004</v>
      </c>
      <c r="AW61" s="4">
        <f t="shared" ref="AW61:BA61" si="78">AV61*1.04</f>
        <v>5880.9836800000003</v>
      </c>
      <c r="AX61" s="4">
        <f t="shared" si="78"/>
        <v>6116.2230272000006</v>
      </c>
      <c r="AY61" s="4">
        <f t="shared" si="78"/>
        <v>6360.8719482880006</v>
      </c>
      <c r="AZ61" s="4">
        <f t="shared" si="78"/>
        <v>6615.3068262195211</v>
      </c>
      <c r="BA61" s="4">
        <f t="shared" si="78"/>
        <v>6879.9190992683025</v>
      </c>
      <c r="BB61" s="4">
        <f t="shared" ref="BB61:BF61" si="79">BA61*1.04</f>
        <v>7155.1158632390352</v>
      </c>
      <c r="BC61" s="4">
        <f t="shared" si="79"/>
        <v>7441.3204977685973</v>
      </c>
      <c r="BD61" s="4">
        <f t="shared" si="79"/>
        <v>7738.9733176793416</v>
      </c>
      <c r="BE61" s="4">
        <f t="shared" si="79"/>
        <v>8048.5322503865154</v>
      </c>
      <c r="BF61" s="4">
        <f t="shared" si="79"/>
        <v>8370.4735404019757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0">G60+G61</f>
        <v>1044</v>
      </c>
      <c r="H62" s="5">
        <f t="shared" ref="H62:I62" si="81">H60+H61</f>
        <v>971</v>
      </c>
      <c r="I62" s="5">
        <f t="shared" si="81"/>
        <v>930</v>
      </c>
      <c r="J62" s="5">
        <f t="shared" ref="J62:L62" si="82">J60+J61</f>
        <v>1044</v>
      </c>
      <c r="K62" s="5">
        <f t="shared" si="82"/>
        <v>951</v>
      </c>
      <c r="L62" s="5">
        <f t="shared" si="82"/>
        <v>940</v>
      </c>
      <c r="M62" s="5">
        <f t="shared" ref="M62:N62" si="83">M60+M61</f>
        <v>1254</v>
      </c>
      <c r="N62" s="5">
        <f t="shared" si="83"/>
        <v>1491</v>
      </c>
      <c r="O62" s="5">
        <f t="shared" ref="O62:R62" si="84">O60+O61</f>
        <v>1722</v>
      </c>
      <c r="P62" s="5">
        <f t="shared" si="84"/>
        <v>1549</v>
      </c>
      <c r="Q62" s="5">
        <f t="shared" si="84"/>
        <v>1605</v>
      </c>
      <c r="R62" s="5">
        <f t="shared" si="84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E62" si="85">V60+V61</f>
        <v>2602.8000000000002</v>
      </c>
      <c r="W62" s="5">
        <f>W60+W61</f>
        <v>1847</v>
      </c>
      <c r="X62" s="5">
        <f t="shared" si="85"/>
        <v>2134</v>
      </c>
      <c r="Y62" s="5">
        <f t="shared" si="85"/>
        <v>2414</v>
      </c>
      <c r="Z62" s="5">
        <f t="shared" si="85"/>
        <v>2374</v>
      </c>
      <c r="AA62" s="5">
        <f t="shared" si="85"/>
        <v>2525</v>
      </c>
      <c r="AB62" s="5">
        <f t="shared" si="85"/>
        <v>2351</v>
      </c>
      <c r="AC62" s="5">
        <f t="shared" si="85"/>
        <v>2655.4000000000005</v>
      </c>
      <c r="AD62" s="5">
        <f t="shared" si="85"/>
        <v>2611.4</v>
      </c>
      <c r="AE62" s="5">
        <f t="shared" si="85"/>
        <v>2754</v>
      </c>
      <c r="AF62" s="5"/>
      <c r="AG62" s="5"/>
      <c r="AH62" s="5"/>
      <c r="AS62" s="4">
        <f t="shared" ref="AS62" si="86">+AS60+AS61</f>
        <v>7781.8</v>
      </c>
      <c r="AT62" s="4">
        <f>+AT60+AT61</f>
        <v>8769</v>
      </c>
      <c r="AU62" s="4">
        <f t="shared" ref="AU62:AY62" si="87">+AU60+AU61</f>
        <v>10142.799999999999</v>
      </c>
      <c r="AV62" s="4">
        <f>+AV60+AV61</f>
        <v>10548.512000000001</v>
      </c>
      <c r="AW62" s="4">
        <f t="shared" si="87"/>
        <v>10970.45248</v>
      </c>
      <c r="AX62" s="4">
        <f t="shared" si="87"/>
        <v>11409.270579200002</v>
      </c>
      <c r="AY62" s="4">
        <f t="shared" si="87"/>
        <v>11865.641402368001</v>
      </c>
      <c r="AZ62" s="4">
        <f t="shared" ref="AZ62" si="88">+AZ60+AZ61</f>
        <v>12340.267058462723</v>
      </c>
      <c r="BA62" s="4">
        <f t="shared" ref="BA62:BF62" si="89">+BA60+BA61</f>
        <v>12833.877740801232</v>
      </c>
      <c r="BB62" s="4">
        <f t="shared" si="89"/>
        <v>13347.232850433282</v>
      </c>
      <c r="BC62" s="4">
        <f t="shared" si="89"/>
        <v>13881.122164450615</v>
      </c>
      <c r="BD62" s="4">
        <f t="shared" si="89"/>
        <v>14436.367051028639</v>
      </c>
      <c r="BE62" s="4">
        <f t="shared" si="89"/>
        <v>15013.821733069784</v>
      </c>
      <c r="BF62" s="4">
        <f t="shared" si="89"/>
        <v>15614.374602392578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0">G59-G62</f>
        <v>-478</v>
      </c>
      <c r="H63" s="5">
        <f t="shared" ref="H63:I63" si="91">H59-H62</f>
        <v>-50</v>
      </c>
      <c r="I63" s="5">
        <f t="shared" si="91"/>
        <v>261</v>
      </c>
      <c r="J63" s="5">
        <f t="shared" ref="J63:L63" si="92">J59-J62</f>
        <v>347</v>
      </c>
      <c r="K63" s="5">
        <f t="shared" si="92"/>
        <v>283</v>
      </c>
      <c r="L63" s="5">
        <f t="shared" si="92"/>
        <v>327</v>
      </c>
      <c r="M63" s="5">
        <f t="shared" ref="M63:N63" si="93">M59-M62</f>
        <v>809</v>
      </c>
      <c r="N63" s="5">
        <f t="shared" si="93"/>
        <v>575</v>
      </c>
      <c r="O63" s="5">
        <f t="shared" ref="O63:R63" si="94">O59-O62</f>
        <v>493</v>
      </c>
      <c r="P63" s="5">
        <f t="shared" si="94"/>
        <v>1335</v>
      </c>
      <c r="Q63" s="5">
        <f t="shared" si="94"/>
        <v>2055</v>
      </c>
      <c r="R63" s="5">
        <f t="shared" si="94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5">V59-V62</f>
        <v>3662.7999999999984</v>
      </c>
      <c r="W63" s="5">
        <f>W59-W62</f>
        <v>2664</v>
      </c>
      <c r="X63" s="5">
        <f t="shared" si="95"/>
        <v>2399</v>
      </c>
      <c r="Y63" s="5">
        <f t="shared" si="95"/>
        <v>1764</v>
      </c>
      <c r="Z63" s="5">
        <f t="shared" si="95"/>
        <v>2064</v>
      </c>
      <c r="AA63" s="5">
        <f t="shared" si="95"/>
        <v>1171</v>
      </c>
      <c r="AB63" s="5">
        <f t="shared" si="95"/>
        <v>2227</v>
      </c>
      <c r="AC63" s="5">
        <f t="shared" si="95"/>
        <v>1446.3708570241197</v>
      </c>
      <c r="AD63" s="5">
        <f t="shared" si="95"/>
        <v>1820.3546705981557</v>
      </c>
      <c r="AE63" s="5">
        <f>AE59-AE62</f>
        <v>399</v>
      </c>
      <c r="AF63" s="5"/>
      <c r="AG63" s="5"/>
      <c r="AH63" s="5"/>
      <c r="AS63" s="5">
        <f t="shared" ref="AS63:AT63" si="96">AS59-AS62</f>
        <v>12705.850000000002</v>
      </c>
      <c r="AT63" s="5">
        <f t="shared" si="96"/>
        <v>8891</v>
      </c>
      <c r="AU63" s="5">
        <f t="shared" ref="AU63:BA63" si="97">AU59-AU62</f>
        <v>6664.725527622275</v>
      </c>
      <c r="AV63" s="5">
        <f>AV59-AV62</f>
        <v>12347.179605247804</v>
      </c>
      <c r="AW63" s="5">
        <f t="shared" si="97"/>
        <v>22028.796867909979</v>
      </c>
      <c r="AX63" s="5">
        <f t="shared" si="97"/>
        <v>29251.766009217386</v>
      </c>
      <c r="AY63" s="5">
        <f t="shared" si="97"/>
        <v>42026.240003928368</v>
      </c>
      <c r="AZ63" s="5">
        <f t="shared" si="97"/>
        <v>55590.282047814704</v>
      </c>
      <c r="BA63" s="5">
        <f t="shared" si="97"/>
        <v>68580.042257923982</v>
      </c>
      <c r="BB63" s="5">
        <f t="shared" ref="BB63:BF63" si="98">BB59-BB62</f>
        <v>74781.637889845311</v>
      </c>
      <c r="BC63" s="5">
        <f t="shared" si="98"/>
        <v>81491.04824939715</v>
      </c>
      <c r="BD63" s="5">
        <f t="shared" si="98"/>
        <v>88748.727040054597</v>
      </c>
      <c r="BE63" s="5">
        <f t="shared" si="98"/>
        <v>96598.327791157993</v>
      </c>
      <c r="BF63" s="5">
        <f t="shared" si="98"/>
        <v>105086.95734683312</v>
      </c>
    </row>
    <row r="64" spans="2:58" s="4" customFormat="1" x14ac:dyDescent="0.2">
      <c r="B64" s="40" t="s">
        <v>166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/>
      <c r="AD64" s="5"/>
      <c r="AE64" s="5">
        <f>400-91-119</f>
        <v>190</v>
      </c>
      <c r="AF64" s="5"/>
      <c r="AG64" s="5"/>
      <c r="AH64" s="5"/>
      <c r="AT64" s="4">
        <f t="shared" si="56"/>
        <v>1082</v>
      </c>
      <c r="AU64" s="4">
        <f t="shared" ref="AU64" si="99">SUM(AA64:AD64)</f>
        <v>664</v>
      </c>
      <c r="AV64" s="4">
        <f t="shared" ref="AV64:BF64" si="100">AU94*$BH$81</f>
        <v>2970.6380422097823</v>
      </c>
      <c r="AW64" s="4">
        <f t="shared" si="100"/>
        <v>4272.6525422436771</v>
      </c>
      <c r="AX64" s="4">
        <f t="shared" si="100"/>
        <v>6508.2757421067381</v>
      </c>
      <c r="AY64" s="4">
        <f t="shared" si="100"/>
        <v>9547.8792909692893</v>
      </c>
      <c r="AZ64" s="4">
        <f t="shared" si="100"/>
        <v>13931.679431035591</v>
      </c>
      <c r="BA64" s="4">
        <f t="shared" si="100"/>
        <v>19841.046156737866</v>
      </c>
      <c r="BB64" s="4">
        <f t="shared" si="100"/>
        <v>27356.838671984122</v>
      </c>
      <c r="BC64" s="4">
        <f t="shared" si="100"/>
        <v>36038.609179739629</v>
      </c>
      <c r="BD64" s="4">
        <f t="shared" si="100"/>
        <v>46028.630061216252</v>
      </c>
      <c r="BE64" s="4">
        <f t="shared" si="100"/>
        <v>57484.705414824275</v>
      </c>
      <c r="BF64" s="4">
        <f t="shared" si="100"/>
        <v>70581.763237332765</v>
      </c>
    </row>
    <row r="65" spans="2:109" s="4" customFormat="1" x14ac:dyDescent="0.2">
      <c r="B65" s="4" t="s">
        <v>50</v>
      </c>
      <c r="C65" s="5"/>
      <c r="D65" s="5"/>
      <c r="E65" s="5"/>
      <c r="F65" s="5"/>
      <c r="G65" s="5">
        <f t="shared" ref="G65:N65" si="101">G63+G64</f>
        <v>-601</v>
      </c>
      <c r="H65" s="5">
        <f t="shared" si="101"/>
        <v>-253</v>
      </c>
      <c r="I65" s="5">
        <f t="shared" si="101"/>
        <v>176</v>
      </c>
      <c r="J65" s="5">
        <f t="shared" si="101"/>
        <v>160</v>
      </c>
      <c r="K65" s="5">
        <f t="shared" si="101"/>
        <v>70</v>
      </c>
      <c r="L65" s="5">
        <f t="shared" si="101"/>
        <v>150</v>
      </c>
      <c r="M65" s="5">
        <f t="shared" si="101"/>
        <v>555</v>
      </c>
      <c r="N65" s="5">
        <f t="shared" si="101"/>
        <v>379</v>
      </c>
      <c r="O65" s="5">
        <f t="shared" ref="O65:R65" si="102">O63+O64</f>
        <v>432</v>
      </c>
      <c r="P65" s="5">
        <f t="shared" si="102"/>
        <v>1316</v>
      </c>
      <c r="Q65" s="5">
        <f t="shared" si="102"/>
        <v>1933</v>
      </c>
      <c r="R65" s="5">
        <f t="shared" si="102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E65" si="103">V63+V64</f>
        <v>3744.7999999999984</v>
      </c>
      <c r="W65" s="5">
        <f t="shared" si="103"/>
        <v>2800</v>
      </c>
      <c r="X65" s="5">
        <f t="shared" si="103"/>
        <v>2937</v>
      </c>
      <c r="Y65" s="5">
        <f t="shared" si="103"/>
        <v>2045</v>
      </c>
      <c r="Z65" s="5">
        <f t="shared" si="103"/>
        <v>2191</v>
      </c>
      <c r="AA65" s="5">
        <f t="shared" si="103"/>
        <v>1553</v>
      </c>
      <c r="AB65" s="5">
        <f t="shared" si="103"/>
        <v>2509</v>
      </c>
      <c r="AC65" s="5">
        <f t="shared" si="103"/>
        <v>1446.3708570241197</v>
      </c>
      <c r="AD65" s="5">
        <f t="shared" si="103"/>
        <v>1820.3546705981557</v>
      </c>
      <c r="AE65" s="5">
        <f t="shared" si="103"/>
        <v>589</v>
      </c>
      <c r="AF65" s="5"/>
      <c r="AG65" s="5"/>
      <c r="AH65" s="5"/>
      <c r="AT65" s="4">
        <f>+AT63+AT64</f>
        <v>9973</v>
      </c>
      <c r="AU65" s="4">
        <f t="shared" ref="AU65:BF65" si="104">+AU63+AU64</f>
        <v>7328.725527622275</v>
      </c>
      <c r="AV65" s="4">
        <f t="shared" si="104"/>
        <v>15317.817647457587</v>
      </c>
      <c r="AW65" s="4">
        <f t="shared" si="104"/>
        <v>26301.449410153655</v>
      </c>
      <c r="AX65" s="4">
        <f t="shared" si="104"/>
        <v>35760.041751324126</v>
      </c>
      <c r="AY65" s="4">
        <f t="shared" si="104"/>
        <v>51574.119294897653</v>
      </c>
      <c r="AZ65" s="4">
        <f t="shared" si="104"/>
        <v>69521.961478850295</v>
      </c>
      <c r="BA65" s="4">
        <f t="shared" si="104"/>
        <v>88421.088414661848</v>
      </c>
      <c r="BB65" s="4">
        <f t="shared" si="104"/>
        <v>102138.47656182943</v>
      </c>
      <c r="BC65" s="4">
        <f t="shared" si="104"/>
        <v>117529.65742913677</v>
      </c>
      <c r="BD65" s="4">
        <f t="shared" si="104"/>
        <v>134777.35710127084</v>
      </c>
      <c r="BE65" s="4">
        <f t="shared" si="104"/>
        <v>154083.03320598227</v>
      </c>
      <c r="BF65" s="4">
        <f t="shared" si="104"/>
        <v>175668.72058416589</v>
      </c>
    </row>
    <row r="66" spans="2:109" s="4" customFormat="1" x14ac:dyDescent="0.2">
      <c r="B66" s="4" t="s">
        <v>51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+AC65*0.2</f>
        <v>289.27417140482396</v>
      </c>
      <c r="AD66" s="5">
        <f>+AD65*0.2</f>
        <v>364.07093411963115</v>
      </c>
      <c r="AE66" s="5">
        <f>169+11</f>
        <v>180</v>
      </c>
      <c r="AF66" s="5"/>
      <c r="AG66" s="5"/>
      <c r="AH66" s="5"/>
      <c r="AT66" s="4">
        <f t="shared" si="56"/>
        <v>728</v>
      </c>
      <c r="AU66" s="4">
        <f t="shared" ref="AU66" si="105">SUM(AA66:AD66)</f>
        <v>1486.345105524455</v>
      </c>
      <c r="AV66" s="4">
        <f t="shared" ref="AV66:BA66" si="106">+AV65*0.15</f>
        <v>2297.672647118638</v>
      </c>
      <c r="AW66" s="4">
        <f t="shared" si="106"/>
        <v>3945.2174115230482</v>
      </c>
      <c r="AX66" s="4">
        <f t="shared" si="106"/>
        <v>5364.0062626986191</v>
      </c>
      <c r="AY66" s="4">
        <f t="shared" si="106"/>
        <v>7736.1178942346478</v>
      </c>
      <c r="AZ66" s="4">
        <f t="shared" si="106"/>
        <v>10428.294221827544</v>
      </c>
      <c r="BA66" s="4">
        <f t="shared" si="106"/>
        <v>13263.163262199278</v>
      </c>
      <c r="BB66" s="4">
        <f t="shared" ref="BB66:BF66" si="107">+BB65*0.15</f>
        <v>15320.771484274414</v>
      </c>
      <c r="BC66" s="4">
        <f t="shared" si="107"/>
        <v>17629.448614370514</v>
      </c>
      <c r="BD66" s="4">
        <f t="shared" si="107"/>
        <v>20216.603565190624</v>
      </c>
      <c r="BE66" s="4">
        <f t="shared" si="107"/>
        <v>23112.454980897339</v>
      </c>
      <c r="BF66" s="4">
        <f t="shared" si="107"/>
        <v>26350.308087624882</v>
      </c>
    </row>
    <row r="67" spans="2:109" s="4" customFormat="1" x14ac:dyDescent="0.2">
      <c r="B67" s="4" t="s">
        <v>52</v>
      </c>
      <c r="C67" s="5"/>
      <c r="D67" s="5"/>
      <c r="E67" s="5"/>
      <c r="F67" s="5"/>
      <c r="G67" s="5">
        <f t="shared" ref="G67:N67" si="108">G65-G66</f>
        <v>-658</v>
      </c>
      <c r="H67" s="5">
        <f t="shared" si="108"/>
        <v>-291</v>
      </c>
      <c r="I67" s="5">
        <f t="shared" si="108"/>
        <v>143</v>
      </c>
      <c r="J67" s="5">
        <f t="shared" si="108"/>
        <v>91</v>
      </c>
      <c r="K67" s="5">
        <f t="shared" si="108"/>
        <v>16</v>
      </c>
      <c r="L67" s="5">
        <f t="shared" si="108"/>
        <v>104</v>
      </c>
      <c r="M67" s="5">
        <f t="shared" si="108"/>
        <v>300</v>
      </c>
      <c r="N67" s="5">
        <f t="shared" si="108"/>
        <v>270</v>
      </c>
      <c r="O67" s="5">
        <f t="shared" ref="O67:R67" si="109">O65-O66</f>
        <v>337</v>
      </c>
      <c r="P67" s="5">
        <f t="shared" si="109"/>
        <v>1165</v>
      </c>
      <c r="Q67" s="5">
        <f t="shared" si="109"/>
        <v>1669</v>
      </c>
      <c r="R67" s="5">
        <f t="shared" si="109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E67" si="110">V65-V66</f>
        <v>3468.7999999999984</v>
      </c>
      <c r="W67" s="5">
        <f t="shared" si="110"/>
        <v>2513</v>
      </c>
      <c r="X67" s="5">
        <f t="shared" si="110"/>
        <v>2703</v>
      </c>
      <c r="Y67" s="5">
        <f t="shared" si="110"/>
        <v>1853</v>
      </c>
      <c r="Z67" s="5">
        <f t="shared" si="110"/>
        <v>2176</v>
      </c>
      <c r="AA67" s="5">
        <f t="shared" si="110"/>
        <v>1129</v>
      </c>
      <c r="AB67" s="5">
        <f t="shared" si="110"/>
        <v>2100</v>
      </c>
      <c r="AC67" s="5">
        <f t="shared" si="110"/>
        <v>1157.0966856192958</v>
      </c>
      <c r="AD67" s="5">
        <f t="shared" si="110"/>
        <v>1456.2837364785246</v>
      </c>
      <c r="AE67" s="5">
        <f t="shared" si="110"/>
        <v>409</v>
      </c>
      <c r="AF67" s="5"/>
      <c r="AG67" s="5"/>
      <c r="AH67" s="5"/>
      <c r="AT67" s="4">
        <f>+AT65-AT66</f>
        <v>9245</v>
      </c>
      <c r="AU67" s="4">
        <f t="shared" ref="AU67" si="111">+AU65-AU66</f>
        <v>5842.38042209782</v>
      </c>
      <c r="AV67" s="4">
        <f t="shared" ref="AV67:BA67" si="112">+AV65-AV66</f>
        <v>13020.145000338949</v>
      </c>
      <c r="AW67" s="4">
        <f t="shared" si="112"/>
        <v>22356.231998630607</v>
      </c>
      <c r="AX67" s="4">
        <f t="shared" si="112"/>
        <v>30396.035488625508</v>
      </c>
      <c r="AY67" s="4">
        <f t="shared" si="112"/>
        <v>43838.001400663008</v>
      </c>
      <c r="AZ67" s="4">
        <f t="shared" si="112"/>
        <v>59093.667257022753</v>
      </c>
      <c r="BA67" s="4">
        <f t="shared" si="112"/>
        <v>75157.925152462572</v>
      </c>
      <c r="BB67" s="4">
        <f t="shared" ref="BB67:BF67" si="113">+BB65-BB66</f>
        <v>86817.705077555016</v>
      </c>
      <c r="BC67" s="4">
        <f t="shared" si="113"/>
        <v>99900.208814766258</v>
      </c>
      <c r="BD67" s="4">
        <f t="shared" si="113"/>
        <v>114560.75353608021</v>
      </c>
      <c r="BE67" s="4">
        <f t="shared" si="113"/>
        <v>130970.57822508493</v>
      </c>
      <c r="BF67" s="4">
        <f t="shared" si="113"/>
        <v>149318.41249654102</v>
      </c>
      <c r="BG67" s="4">
        <f t="shared" ref="BG67:CL67" si="114">BF67*(1+$BH$78)</f>
        <v>147825.22837157559</v>
      </c>
      <c r="BH67" s="4">
        <f t="shared" si="114"/>
        <v>146346.97608785983</v>
      </c>
      <c r="BI67" s="4">
        <f t="shared" si="114"/>
        <v>144883.50632698124</v>
      </c>
      <c r="BJ67" s="4">
        <f t="shared" si="114"/>
        <v>143434.67126371141</v>
      </c>
      <c r="BK67" s="4">
        <f t="shared" si="114"/>
        <v>142000.3245510743</v>
      </c>
      <c r="BL67" s="4">
        <f t="shared" si="114"/>
        <v>140580.32130556356</v>
      </c>
      <c r="BM67" s="4">
        <f t="shared" si="114"/>
        <v>139174.51809250793</v>
      </c>
      <c r="BN67" s="4">
        <f t="shared" si="114"/>
        <v>137782.77291158284</v>
      </c>
      <c r="BO67" s="4">
        <f t="shared" si="114"/>
        <v>136404.94518246703</v>
      </c>
      <c r="BP67" s="4">
        <f t="shared" si="114"/>
        <v>135040.89573064234</v>
      </c>
      <c r="BQ67" s="4">
        <f t="shared" si="114"/>
        <v>133690.48677333593</v>
      </c>
      <c r="BR67" s="4">
        <f t="shared" si="114"/>
        <v>132353.58190560256</v>
      </c>
      <c r="BS67" s="4">
        <f t="shared" si="114"/>
        <v>131030.04608654654</v>
      </c>
      <c r="BT67" s="4">
        <f t="shared" si="114"/>
        <v>129719.74562568107</v>
      </c>
      <c r="BU67" s="4">
        <f t="shared" si="114"/>
        <v>128422.54816942426</v>
      </c>
      <c r="BV67" s="4">
        <f t="shared" si="114"/>
        <v>127138.32268773002</v>
      </c>
      <c r="BW67" s="4">
        <f t="shared" si="114"/>
        <v>125866.93946085272</v>
      </c>
      <c r="BX67" s="4">
        <f t="shared" si="114"/>
        <v>124608.27006624419</v>
      </c>
      <c r="BY67" s="4">
        <f t="shared" si="114"/>
        <v>123362.18736558175</v>
      </c>
      <c r="BZ67" s="4">
        <f t="shared" si="114"/>
        <v>122128.56549192593</v>
      </c>
      <c r="CA67" s="4">
        <f t="shared" si="114"/>
        <v>120907.27983700666</v>
      </c>
      <c r="CB67" s="4">
        <f t="shared" si="114"/>
        <v>119698.2070386366</v>
      </c>
      <c r="CC67" s="4">
        <f t="shared" si="114"/>
        <v>118501.22496825023</v>
      </c>
      <c r="CD67" s="4">
        <f t="shared" si="114"/>
        <v>117316.21271856772</v>
      </c>
      <c r="CE67" s="4">
        <f t="shared" si="114"/>
        <v>116143.05059138205</v>
      </c>
      <c r="CF67" s="4">
        <f t="shared" si="114"/>
        <v>114981.62008546822</v>
      </c>
      <c r="CG67" s="4">
        <f t="shared" si="114"/>
        <v>113831.80388461355</v>
      </c>
      <c r="CH67" s="4">
        <f t="shared" si="114"/>
        <v>112693.48584576741</v>
      </c>
      <c r="CI67" s="4">
        <f t="shared" si="114"/>
        <v>111566.55098730973</v>
      </c>
      <c r="CJ67" s="4">
        <f t="shared" si="114"/>
        <v>110450.88547743663</v>
      </c>
      <c r="CK67" s="4">
        <f t="shared" si="114"/>
        <v>109346.37662266227</v>
      </c>
      <c r="CL67" s="4">
        <f t="shared" si="114"/>
        <v>108252.91285643565</v>
      </c>
      <c r="CM67" s="4">
        <f t="shared" ref="CM67:DE67" si="115">CL67*(1+$BH$78)</f>
        <v>107170.38372787129</v>
      </c>
      <c r="CN67" s="4">
        <f t="shared" si="115"/>
        <v>106098.67989059257</v>
      </c>
      <c r="CO67" s="4">
        <f t="shared" si="115"/>
        <v>105037.69309168664</v>
      </c>
      <c r="CP67" s="4">
        <f t="shared" si="115"/>
        <v>103987.31616076977</v>
      </c>
      <c r="CQ67" s="4">
        <f t="shared" si="115"/>
        <v>102947.44299916207</v>
      </c>
      <c r="CR67" s="4">
        <f t="shared" si="115"/>
        <v>101917.96856917045</v>
      </c>
      <c r="CS67" s="4">
        <f t="shared" si="115"/>
        <v>100898.78888347874</v>
      </c>
      <c r="CT67" s="4">
        <f t="shared" si="115"/>
        <v>99889.800994643956</v>
      </c>
      <c r="CU67" s="4">
        <f t="shared" si="115"/>
        <v>98890.902984697517</v>
      </c>
      <c r="CV67" s="4">
        <f t="shared" si="115"/>
        <v>97901.993954850535</v>
      </c>
      <c r="CW67" s="4">
        <f t="shared" si="115"/>
        <v>96922.974015302025</v>
      </c>
      <c r="CX67" s="4">
        <f t="shared" si="115"/>
        <v>95953.744275149002</v>
      </c>
      <c r="CY67" s="4">
        <f t="shared" si="115"/>
        <v>94994.206832397511</v>
      </c>
      <c r="CZ67" s="4">
        <f t="shared" si="115"/>
        <v>94044.264764073538</v>
      </c>
      <c r="DA67" s="4">
        <f t="shared" si="115"/>
        <v>93103.822116432799</v>
      </c>
      <c r="DB67" s="4">
        <f t="shared" si="115"/>
        <v>92172.783895268469</v>
      </c>
      <c r="DC67" s="4">
        <f t="shared" si="115"/>
        <v>91251.056056315778</v>
      </c>
      <c r="DD67" s="4">
        <f t="shared" si="115"/>
        <v>90338.545495752624</v>
      </c>
      <c r="DE67" s="4">
        <f t="shared" si="115"/>
        <v>89435.16004079509</v>
      </c>
    </row>
    <row r="68" spans="2:109" x14ac:dyDescent="0.2">
      <c r="B68" s="1" t="s">
        <v>53</v>
      </c>
      <c r="C68" s="3"/>
      <c r="D68" s="3"/>
      <c r="E68" s="3"/>
      <c r="F68" s="3"/>
      <c r="G68" s="3">
        <f t="shared" ref="G68:K68" si="116">G67/G69</f>
        <v>-0.76069364161849706</v>
      </c>
      <c r="H68" s="3">
        <f t="shared" si="116"/>
        <v>-0.32881355932203388</v>
      </c>
      <c r="I68" s="3">
        <f t="shared" si="116"/>
        <v>0.15509761388286333</v>
      </c>
      <c r="J68" s="3">
        <f t="shared" si="116"/>
        <v>9.8913043478260868E-2</v>
      </c>
      <c r="K68" s="3">
        <f t="shared" si="116"/>
        <v>1.7112299465240642E-2</v>
      </c>
      <c r="L68" s="3">
        <f t="shared" ref="L68" si="117">L67/L69</f>
        <v>0.10048309178743961</v>
      </c>
      <c r="M68" s="3">
        <f t="shared" ref="M68:O68" si="118">M67/M69</f>
        <v>0.27149321266968324</v>
      </c>
      <c r="N68" s="3">
        <f t="shared" si="118"/>
        <v>0.2402135231316726</v>
      </c>
      <c r="O68" s="3">
        <f t="shared" si="118"/>
        <v>0.29744042365401591</v>
      </c>
      <c r="P68" s="3">
        <f t="shared" ref="P68" si="119">P67/P69</f>
        <v>1.0411081322609472</v>
      </c>
      <c r="Q68" s="3">
        <f t="shared" ref="Q68" si="120">Q67/Q69</f>
        <v>1.4861976847729297</v>
      </c>
      <c r="R68" s="3">
        <f t="shared" ref="R68" si="121">R67/R69</f>
        <v>2.044933920704846</v>
      </c>
      <c r="S68" s="3">
        <f t="shared" ref="S68:U68" si="122">S67/S69</f>
        <v>2.867761452031115</v>
      </c>
      <c r="T68" s="3">
        <f t="shared" si="122"/>
        <v>2.032900432900433</v>
      </c>
      <c r="U68" s="3">
        <f t="shared" si="122"/>
        <v>0.96049596309111884</v>
      </c>
      <c r="V68" s="3">
        <f t="shared" ref="V68:AE68" si="123">V67/V69</f>
        <v>0.99936617689426632</v>
      </c>
      <c r="W68" s="3">
        <f t="shared" si="123"/>
        <v>0.7246251441753172</v>
      </c>
      <c r="X68" s="3">
        <f t="shared" si="123"/>
        <v>0.77717078780908566</v>
      </c>
      <c r="Y68" s="3">
        <f t="shared" si="123"/>
        <v>0.53048955052963065</v>
      </c>
      <c r="Z68" s="3">
        <f t="shared" si="123"/>
        <v>0.62313860252004583</v>
      </c>
      <c r="AA68" s="3">
        <f t="shared" si="123"/>
        <v>0.32405281285878301</v>
      </c>
      <c r="AB68" s="3">
        <f t="shared" si="123"/>
        <v>0.60327492099971269</v>
      </c>
      <c r="AC68" s="3">
        <f t="shared" si="123"/>
        <v>0.33240352933619532</v>
      </c>
      <c r="AD68" s="3">
        <f t="shared" si="123"/>
        <v>0.41835212194154686</v>
      </c>
      <c r="AE68" s="3">
        <f t="shared" si="123"/>
        <v>0.12709757613424488</v>
      </c>
      <c r="AF68" s="3"/>
      <c r="AG68" s="3"/>
      <c r="AH68" s="3"/>
      <c r="AT68" s="20">
        <f>+AT67/AT69</f>
        <v>2.6545115210681214</v>
      </c>
      <c r="AU68" s="20">
        <f t="shared" ref="AU68:BA68" si="124">+AU67/AU69</f>
        <v>1.6780011264731298</v>
      </c>
      <c r="AV68" s="20">
        <f t="shared" si="124"/>
        <v>3.7395404610724348</v>
      </c>
      <c r="AW68" s="20">
        <f t="shared" si="124"/>
        <v>6.4209756583989677</v>
      </c>
      <c r="AX68" s="20">
        <f t="shared" si="124"/>
        <v>8.7301028185899359</v>
      </c>
      <c r="AY68" s="20">
        <f t="shared" si="124"/>
        <v>12.590795261194229</v>
      </c>
      <c r="AZ68" s="20">
        <f t="shared" si="124"/>
        <v>16.972403893738136</v>
      </c>
      <c r="BA68" s="20">
        <f t="shared" si="124"/>
        <v>21.586249774527918</v>
      </c>
      <c r="BB68" s="20">
        <f t="shared" ref="BB68:BF68" si="125">+BB67/BB69</f>
        <v>24.935077210470315</v>
      </c>
      <c r="BC68" s="20">
        <f t="shared" si="125"/>
        <v>28.69252784225354</v>
      </c>
      <c r="BD68" s="20">
        <f t="shared" si="125"/>
        <v>32.90321060848143</v>
      </c>
      <c r="BE68" s="20">
        <f t="shared" si="125"/>
        <v>37.616307381369978</v>
      </c>
      <c r="BF68" s="20">
        <f t="shared" si="125"/>
        <v>42.886023550381566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f>+AB69</f>
        <v>3481</v>
      </c>
      <c r="AD69" s="5">
        <f>+AC69</f>
        <v>3481</v>
      </c>
      <c r="AE69" s="5">
        <v>3218</v>
      </c>
      <c r="AF69" s="5"/>
      <c r="AG69" s="5"/>
      <c r="AH69" s="5"/>
      <c r="AT69" s="4">
        <f>AVERAGE(W69:Z69)</f>
        <v>3482.75</v>
      </c>
      <c r="AU69" s="4">
        <f>AVERAGE(AA69:AD69)</f>
        <v>3481.75</v>
      </c>
      <c r="AV69" s="4">
        <f t="shared" ref="AV69:AY69" si="126">AU69</f>
        <v>3481.75</v>
      </c>
      <c r="AW69" s="4">
        <f t="shared" si="126"/>
        <v>3481.75</v>
      </c>
      <c r="AX69" s="4">
        <f t="shared" si="126"/>
        <v>3481.75</v>
      </c>
      <c r="AY69" s="4">
        <f t="shared" si="126"/>
        <v>3481.75</v>
      </c>
      <c r="AZ69" s="4">
        <f t="shared" ref="AZ69:BA69" si="127">AY69</f>
        <v>3481.75</v>
      </c>
      <c r="BA69" s="4">
        <f t="shared" si="127"/>
        <v>3481.75</v>
      </c>
      <c r="BB69" s="4">
        <f t="shared" ref="BB69" si="128">BA69</f>
        <v>3481.75</v>
      </c>
      <c r="BC69" s="4">
        <f t="shared" ref="BC69" si="129">BB69</f>
        <v>3481.75</v>
      </c>
      <c r="BD69" s="4">
        <f t="shared" ref="BD69" si="130">BC69</f>
        <v>3481.75</v>
      </c>
      <c r="BE69" s="4">
        <f t="shared" ref="BE69" si="131">BD69</f>
        <v>3481.75</v>
      </c>
      <c r="BF69" s="4">
        <f t="shared" ref="BF69" si="132">BE69</f>
        <v>3481.75</v>
      </c>
    </row>
    <row r="71" spans="2:109" s="23" customFormat="1" x14ac:dyDescent="0.2">
      <c r="B71" s="23" t="s">
        <v>88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3">L51/H51-1</f>
        <v>-4.9448818897637747E-2</v>
      </c>
      <c r="M71" s="22">
        <f t="shared" ref="M71" si="134">M51/I51-1</f>
        <v>0.39155957480564818</v>
      </c>
      <c r="N71" s="22">
        <f t="shared" ref="N71" si="135">N51/J51-1</f>
        <v>0.45503791982665232</v>
      </c>
      <c r="O71" s="22">
        <f t="shared" ref="O71" si="136">O51/K51-1</f>
        <v>0.73583959899749374</v>
      </c>
      <c r="P71" s="22">
        <f t="shared" ref="P71:Q71" si="137">P51/L51-1</f>
        <v>0.98111332007952279</v>
      </c>
      <c r="Q71" s="22">
        <f t="shared" si="137"/>
        <v>0.56846425721126437</v>
      </c>
      <c r="R71" s="22">
        <f t="shared" ref="R71:S71" si="138">R51/N51-1</f>
        <v>0.64919955323901712</v>
      </c>
      <c r="S71" s="22">
        <f t="shared" si="138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E71" si="139">W51/S51-1</f>
        <v>0.24381531243335464</v>
      </c>
      <c r="X71" s="22">
        <f t="shared" si="139"/>
        <v>0.47200897602456604</v>
      </c>
      <c r="Y71" s="22">
        <f t="shared" si="139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39"/>
        <v>2.2987122397400306E-2</v>
      </c>
      <c r="AC71" s="22">
        <f t="shared" si="139"/>
        <v>0.11765334961430951</v>
      </c>
      <c r="AD71" s="22">
        <f t="shared" si="139"/>
        <v>0.13521798932415607</v>
      </c>
      <c r="AE71" s="22">
        <f t="shared" si="139"/>
        <v>-9.2296136331627587E-2</v>
      </c>
      <c r="AF71" s="22"/>
      <c r="AG71" s="22"/>
      <c r="AH71" s="22"/>
      <c r="AK71" s="25">
        <f t="shared" ref="AK71:AM71" si="140">AK51/AJ51-1</f>
        <v>0.58845907814070664</v>
      </c>
      <c r="AL71" s="25">
        <f t="shared" si="140"/>
        <v>0.26503272306147285</v>
      </c>
      <c r="AM71" s="25">
        <f t="shared" si="140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1">+AU51/AT51-1</f>
        <v>5.444432726912618E-2</v>
      </c>
      <c r="AV71" s="25">
        <f t="shared" si="141"/>
        <v>-2.3848604099481197E-2</v>
      </c>
      <c r="AW71" s="25">
        <f t="shared" si="141"/>
        <v>0.2988437649339839</v>
      </c>
      <c r="AX71" s="25">
        <f t="shared" si="141"/>
        <v>0.24522052781689352</v>
      </c>
      <c r="AY71" s="25">
        <f t="shared" si="141"/>
        <v>0.24429471024781169</v>
      </c>
      <c r="AZ71" s="25">
        <f t="shared" ref="AZ71:BA71" si="142">+AZ51/AY51-1</f>
        <v>0.19142450022795243</v>
      </c>
      <c r="BA71" s="25">
        <f t="shared" si="142"/>
        <v>0.1388373668361893</v>
      </c>
      <c r="BB71" s="25">
        <f t="shared" ref="BB71" si="143">+BB51/BA51-1</f>
        <v>8.173446995315059E-2</v>
      </c>
      <c r="BC71" s="25">
        <f t="shared" ref="BC71" si="144">+BC51/BB51-1</f>
        <v>8.1665310206848085E-2</v>
      </c>
      <c r="BD71" s="25">
        <f t="shared" ref="BD71" si="145">+BD51/BC51-1</f>
        <v>8.1600781805080569E-2</v>
      </c>
      <c r="BE71" s="25">
        <f t="shared" ref="BE71" si="146">+BE51/BD51-1</f>
        <v>8.1540603100230369E-2</v>
      </c>
      <c r="BF71" s="25">
        <f t="shared" ref="BF71" si="147">+BF51/BE51-1</f>
        <v>8.1484511217818634E-2</v>
      </c>
    </row>
    <row r="72" spans="2:109" x14ac:dyDescent="0.2">
      <c r="B72" s="21" t="s">
        <v>91</v>
      </c>
      <c r="K72" s="17">
        <f t="shared" ref="K72:AE72" si="148">+K37/G37-1</f>
        <v>0.40427490122026688</v>
      </c>
      <c r="L72" s="17">
        <f t="shared" si="148"/>
        <v>-4.9351902344897058E-2</v>
      </c>
      <c r="M72" s="17">
        <f t="shared" si="148"/>
        <v>0.43333401930319182</v>
      </c>
      <c r="N72" s="17">
        <f t="shared" si="148"/>
        <v>0.61086578348722065</v>
      </c>
      <c r="O72" s="17">
        <f t="shared" si="148"/>
        <v>1.088229976496113</v>
      </c>
      <c r="P72" s="17">
        <f t="shared" si="148"/>
        <v>1.2200772200772199</v>
      </c>
      <c r="Q72" s="17">
        <f t="shared" si="148"/>
        <v>0.73223259152907394</v>
      </c>
      <c r="R72" s="17">
        <f t="shared" si="148"/>
        <v>0.70903250816857732</v>
      </c>
      <c r="S72" s="17">
        <f t="shared" si="148"/>
        <v>0.67774891774891777</v>
      </c>
      <c r="T72" s="17">
        <f t="shared" si="148"/>
        <v>0.26556521739130434</v>
      </c>
      <c r="U72" s="17">
        <f t="shared" si="148"/>
        <v>0.42490675507666809</v>
      </c>
      <c r="V72" s="17">
        <f t="shared" si="148"/>
        <v>0.31327932598833441</v>
      </c>
      <c r="W72" s="17">
        <f t="shared" si="148"/>
        <v>0.36390171844359576</v>
      </c>
      <c r="X72" s="17">
        <f t="shared" si="148"/>
        <v>0.83018904964761764</v>
      </c>
      <c r="Y72" s="17">
        <f t="shared" si="148"/>
        <v>0.26533170462146982</v>
      </c>
      <c r="Z72" s="17">
        <f t="shared" si="148"/>
        <v>0.19549297025745282</v>
      </c>
      <c r="AA72" s="17">
        <f t="shared" si="148"/>
        <v>-8.5285249778303318E-2</v>
      </c>
      <c r="AB72" s="17">
        <f t="shared" si="148"/>
        <v>-4.7590852533573647E-2</v>
      </c>
      <c r="AC72" s="17">
        <f t="shared" si="148"/>
        <v>0.10358411158026848</v>
      </c>
      <c r="AD72" s="17">
        <f t="shared" si="148"/>
        <v>0.10948139036174909</v>
      </c>
      <c r="AE72" s="17">
        <f t="shared" si="148"/>
        <v>-1</v>
      </c>
      <c r="AF72" s="17"/>
      <c r="AG72" s="17"/>
      <c r="AH72" s="17"/>
      <c r="AQ72" s="26">
        <f t="shared" ref="AQ72:BA72" si="149">+AQ37/AP37-1</f>
        <v>0.35729051069477991</v>
      </c>
      <c r="AR72" s="26">
        <f t="shared" si="149"/>
        <v>0.87559116340959009</v>
      </c>
      <c r="AS72" s="26">
        <f t="shared" si="149"/>
        <v>0.403761953095785</v>
      </c>
      <c r="AT72" s="26">
        <f t="shared" si="149"/>
        <v>0.37654954785588313</v>
      </c>
      <c r="AU72" s="26">
        <f t="shared" si="149"/>
        <v>2.2039764876441881E-2</v>
      </c>
      <c r="AV72" s="26">
        <f t="shared" si="149"/>
        <v>0.20593650208172676</v>
      </c>
      <c r="AW72" s="26">
        <f t="shared" si="149"/>
        <v>0.25</v>
      </c>
      <c r="AX72" s="26">
        <f t="shared" si="149"/>
        <v>0.19999999999999996</v>
      </c>
      <c r="AY72" s="26">
        <f t="shared" si="149"/>
        <v>0.19999999999999996</v>
      </c>
      <c r="AZ72" s="26">
        <f t="shared" si="149"/>
        <v>0.14999999999999991</v>
      </c>
      <c r="BA72" s="26">
        <f t="shared" si="149"/>
        <v>0.10000000000000009</v>
      </c>
      <c r="BB72" s="26">
        <f t="shared" ref="BB72:BF72" si="150">+BB37/BA37-1</f>
        <v>5.0000000000000044E-2</v>
      </c>
      <c r="BC72" s="26">
        <f t="shared" si="150"/>
        <v>5.0000000000000044E-2</v>
      </c>
      <c r="BD72" s="26">
        <f t="shared" si="150"/>
        <v>5.0000000000000044E-2</v>
      </c>
      <c r="BE72" s="26">
        <f t="shared" si="150"/>
        <v>5.0000000000000044E-2</v>
      </c>
      <c r="BF72" s="26">
        <f t="shared" si="150"/>
        <v>5.0000000000000044E-2</v>
      </c>
    </row>
    <row r="73" spans="2:109" x14ac:dyDescent="0.2">
      <c r="B73" s="21" t="s">
        <v>92</v>
      </c>
      <c r="K73" s="17">
        <f t="shared" ref="K73:AE73" si="151">+K42/G42-1</f>
        <v>0.33101713811610356</v>
      </c>
      <c r="L73" s="17">
        <f t="shared" si="151"/>
        <v>-5.4866280672732248E-2</v>
      </c>
      <c r="M73" s="17">
        <f t="shared" si="151"/>
        <v>0.50835629972440333</v>
      </c>
      <c r="N73" s="17">
        <f t="shared" si="151"/>
        <v>0.71375046476818782</v>
      </c>
      <c r="O73" s="17">
        <f t="shared" si="151"/>
        <v>0.75644771700171409</v>
      </c>
      <c r="P73" s="17">
        <f t="shared" si="151"/>
        <v>1.5090067094515751</v>
      </c>
      <c r="Q73" s="17">
        <f t="shared" si="151"/>
        <v>0.63975150996993846</v>
      </c>
      <c r="R73" s="17">
        <f t="shared" si="151"/>
        <v>0.7014080119272128</v>
      </c>
      <c r="S73" s="17">
        <f t="shared" si="151"/>
        <v>0.69352549102241356</v>
      </c>
      <c r="T73" s="17">
        <f t="shared" si="151"/>
        <v>0.25268262434539124</v>
      </c>
      <c r="U73" s="17">
        <f t="shared" si="151"/>
        <v>0.53863587626091669</v>
      </c>
      <c r="V73" s="17">
        <f t="shared" si="151"/>
        <v>0.43768310227569973</v>
      </c>
      <c r="W73" s="17">
        <f t="shared" si="151"/>
        <v>0.44334609226376598</v>
      </c>
      <c r="X73" s="17">
        <f t="shared" si="151"/>
        <v>0.85513187408152214</v>
      </c>
      <c r="Y73" s="17">
        <f t="shared" si="151"/>
        <v>0.17644422460462983</v>
      </c>
      <c r="Z73" s="17">
        <f t="shared" si="151"/>
        <v>0.12573999149421988</v>
      </c>
      <c r="AA73" s="17">
        <f t="shared" si="151"/>
        <v>-1.687129090216144E-2</v>
      </c>
      <c r="AB73" s="17">
        <f t="shared" si="151"/>
        <v>-0.14356681259120285</v>
      </c>
      <c r="AC73" s="17">
        <f t="shared" si="151"/>
        <v>1.159813978554558E-2</v>
      </c>
      <c r="AD73" s="17">
        <f t="shared" si="151"/>
        <v>0</v>
      </c>
      <c r="AE73" s="17">
        <f t="shared" si="151"/>
        <v>-1</v>
      </c>
      <c r="AF73" s="17"/>
      <c r="AG73" s="17"/>
      <c r="AH73" s="17"/>
      <c r="AQ73" s="26">
        <f t="shared" ref="AQ73:BA73" si="152">+AQ42/AP42-1</f>
        <v>0.39565262627590125</v>
      </c>
      <c r="AR73" s="26">
        <f t="shared" si="152"/>
        <v>0.8252981439448186</v>
      </c>
      <c r="AS73" s="26">
        <f t="shared" si="152"/>
        <v>0.47203204567389845</v>
      </c>
      <c r="AT73" s="26">
        <f t="shared" si="152"/>
        <v>0.34781700789494252</v>
      </c>
      <c r="AU73" s="26">
        <f t="shared" si="152"/>
        <v>-7.1121997199327103E-2</v>
      </c>
      <c r="AV73" s="26">
        <f t="shared" si="152"/>
        <v>0.30000000000000027</v>
      </c>
      <c r="AW73" s="26">
        <f t="shared" si="152"/>
        <v>0.25</v>
      </c>
      <c r="AX73" s="26">
        <f t="shared" si="152"/>
        <v>0.19999999999999996</v>
      </c>
      <c r="AY73" s="26">
        <f t="shared" si="152"/>
        <v>0.19999999999999996</v>
      </c>
      <c r="AZ73" s="26">
        <f t="shared" si="152"/>
        <v>0.14999999999999991</v>
      </c>
      <c r="BA73" s="26">
        <f t="shared" si="152"/>
        <v>0.10000000000000009</v>
      </c>
      <c r="BB73" s="26">
        <f t="shared" ref="BB73:BF73" si="153">+BB42/BA42-1</f>
        <v>5.0000000000000044E-2</v>
      </c>
      <c r="BC73" s="26">
        <f t="shared" si="153"/>
        <v>5.0000000000000044E-2</v>
      </c>
      <c r="BD73" s="26">
        <f t="shared" si="153"/>
        <v>5.0000000000000044E-2</v>
      </c>
      <c r="BE73" s="26">
        <f t="shared" si="153"/>
        <v>5.0000000000000044E-2</v>
      </c>
      <c r="BF73" s="26">
        <f t="shared" si="153"/>
        <v>5.0000000000000044E-2</v>
      </c>
    </row>
    <row r="74" spans="2:109" x14ac:dyDescent="0.2">
      <c r="B74" s="19" t="s">
        <v>90</v>
      </c>
      <c r="K74" s="17">
        <f t="shared" ref="K74:O74" si="154">K45/G45-1</f>
        <v>0.39441436306640076</v>
      </c>
      <c r="L74" s="17">
        <f t="shared" si="154"/>
        <v>-4.9729102167182626E-2</v>
      </c>
      <c r="M74" s="17">
        <f t="shared" si="154"/>
        <v>0.43141075604053003</v>
      </c>
      <c r="N74" s="17">
        <f t="shared" si="154"/>
        <v>0.4053394107113788</v>
      </c>
      <c r="O74" s="17">
        <f t="shared" si="154"/>
        <v>0.67320662170447587</v>
      </c>
      <c r="P74" s="17">
        <f>P45/L45-1</f>
        <v>0.9385053960496843</v>
      </c>
      <c r="Q74" s="17">
        <f t="shared" ref="Q74" si="155">Q45/M45-1</f>
        <v>0.55091206098557044</v>
      </c>
      <c r="R74" s="17">
        <f>R45/N45-1</f>
        <v>0.74041468782578468</v>
      </c>
      <c r="S74" s="17">
        <f t="shared" ref="S74:U74" si="156">S45/O45-1</f>
        <v>0.89495541712470983</v>
      </c>
      <c r="T74" s="17">
        <f t="shared" si="156"/>
        <v>0.43592436974789917</v>
      </c>
      <c r="U74" s="17">
        <f t="shared" si="156"/>
        <v>0.561046256473273</v>
      </c>
      <c r="V74" s="17">
        <f t="shared" ref="V74" si="157">V45/R45-1</f>
        <v>0.39999999999999991</v>
      </c>
      <c r="W74" s="17">
        <f>W45/S45-1</f>
        <v>0.21683640582699493</v>
      </c>
      <c r="X74" s="17">
        <f t="shared" ref="X74" si="158">X45/T45-1</f>
        <v>0.49370885149963417</v>
      </c>
      <c r="Y74" s="17">
        <f t="shared" ref="Y74" si="159">Y45/U45-1</f>
        <v>4.4813044700590332E-2</v>
      </c>
      <c r="Z74" s="17">
        <f t="shared" ref="Z74:AE74" si="160">Z45/V45-1</f>
        <v>-1.9253624910862799E-2</v>
      </c>
      <c r="AA74" s="17">
        <f t="shared" si="160"/>
        <v>-0.12808560228837795</v>
      </c>
      <c r="AB74" s="17">
        <f>AB45/X45-1</f>
        <v>-9.2511876193741127E-2</v>
      </c>
      <c r="AC74" s="17">
        <f t="shared" si="160"/>
        <v>6.7657179716614557E-2</v>
      </c>
      <c r="AD74" s="17">
        <f t="shared" si="160"/>
        <v>0.16495545987983684</v>
      </c>
      <c r="AE74" s="17">
        <f t="shared" si="160"/>
        <v>-0.21476306196840822</v>
      </c>
      <c r="AF74" s="17"/>
      <c r="AG74" s="17"/>
      <c r="AH74" s="17"/>
    </row>
    <row r="75" spans="2:109" x14ac:dyDescent="0.2">
      <c r="B75" s="19" t="s">
        <v>89</v>
      </c>
      <c r="C75" s="17"/>
      <c r="D75" s="17"/>
      <c r="E75" s="17"/>
      <c r="F75" s="17"/>
      <c r="G75" s="17">
        <f t="shared" ref="G75:K75" si="161">G53/G45</f>
        <v>0.18609290396124251</v>
      </c>
      <c r="H75" s="17">
        <f t="shared" si="161"/>
        <v>0.17685758513931887</v>
      </c>
      <c r="I75" s="17">
        <f t="shared" si="161"/>
        <v>0.21784879189399844</v>
      </c>
      <c r="J75" s="17">
        <f t="shared" si="161"/>
        <v>0.21618101904606871</v>
      </c>
      <c r="K75" s="17">
        <f t="shared" si="161"/>
        <v>0.2440220723482526</v>
      </c>
      <c r="L75" s="17">
        <f t="shared" ref="L75" si="162">L53/L45</f>
        <v>0.24373854612095297</v>
      </c>
      <c r="M75" s="17">
        <f t="shared" ref="M75" si="163">M53/M45</f>
        <v>0.27021508303838826</v>
      </c>
      <c r="N75" s="17">
        <f t="shared" ref="N75:U75" si="164">N53/N45</f>
        <v>0.19819298042395458</v>
      </c>
      <c r="O75" s="17">
        <f t="shared" si="164"/>
        <v>0.21131061438866497</v>
      </c>
      <c r="P75" s="17">
        <f t="shared" si="164"/>
        <v>0.25220588235294117</v>
      </c>
      <c r="Q75" s="17">
        <f t="shared" si="164"/>
        <v>0.28464846835776353</v>
      </c>
      <c r="R75" s="17">
        <f t="shared" si="164"/>
        <v>0.28858569051580701</v>
      </c>
      <c r="S75" s="17">
        <f t="shared" si="164"/>
        <v>0.29650638133298957</v>
      </c>
      <c r="T75" s="17">
        <f t="shared" si="164"/>
        <v>0.25727871250914414</v>
      </c>
      <c r="U75" s="17">
        <f t="shared" si="164"/>
        <v>0.26348046106269329</v>
      </c>
      <c r="V75" s="17">
        <f t="shared" ref="V75:AD75" si="165">V53/V45</f>
        <v>0.26631804135963871</v>
      </c>
      <c r="W75" s="17">
        <f>W53/W45</f>
        <v>0.1830702404915775</v>
      </c>
      <c r="X75" s="17">
        <f t="shared" si="165"/>
        <v>0.17522895342573094</v>
      </c>
      <c r="Y75" s="17">
        <f t="shared" si="165"/>
        <v>0.15746421267893659</v>
      </c>
      <c r="Z75" s="17">
        <f t="shared" si="165"/>
        <v>0.16616577799321378</v>
      </c>
      <c r="AA75" s="17">
        <f t="shared" si="165"/>
        <v>0.15571081409477522</v>
      </c>
      <c r="AB75" s="17">
        <f t="shared" si="165"/>
        <v>0.13858607663248787</v>
      </c>
      <c r="AC75" s="17">
        <f t="shared" si="165"/>
        <v>0.15000000000000002</v>
      </c>
      <c r="AD75" s="17">
        <f t="shared" si="165"/>
        <v>0.15000000000000002</v>
      </c>
      <c r="AE75" s="17">
        <f t="shared" ref="AE75" si="166">AE53/AE45</f>
        <v>0.1132688588007737</v>
      </c>
      <c r="AF75" s="17"/>
      <c r="AG75" s="17"/>
      <c r="AH75" s="17"/>
      <c r="AQ75" s="17">
        <f t="shared" ref="AQ75:AU75" si="167">AQ53/AQ45</f>
        <v>0</v>
      </c>
      <c r="AR75" s="17">
        <f t="shared" si="167"/>
        <v>0.38841926345609062</v>
      </c>
      <c r="AS75" s="17">
        <f t="shared" si="167"/>
        <v>0.27064584436209632</v>
      </c>
      <c r="AT75" s="17">
        <f t="shared" si="167"/>
        <v>0.17052821969455731</v>
      </c>
      <c r="AU75" s="17">
        <f t="shared" si="167"/>
        <v>0.14851006001488046</v>
      </c>
      <c r="AV75" s="17"/>
      <c r="AW75" s="17"/>
      <c r="AX75" s="17"/>
    </row>
    <row r="76" spans="2:109" x14ac:dyDescent="0.2">
      <c r="B76" s="19" t="s">
        <v>45</v>
      </c>
      <c r="C76" s="17"/>
      <c r="D76" s="17"/>
      <c r="E76" s="17"/>
      <c r="F76" s="17"/>
      <c r="G76" s="17">
        <f t="shared" ref="G76:K76" si="168">+G59/G51</f>
        <v>0.1246421493063202</v>
      </c>
      <c r="H76" s="17">
        <f t="shared" si="168"/>
        <v>0.14503937007874015</v>
      </c>
      <c r="I76" s="17">
        <f t="shared" si="168"/>
        <v>0.18895763921941933</v>
      </c>
      <c r="J76" s="17">
        <f t="shared" si="168"/>
        <v>0.18838028169014084</v>
      </c>
      <c r="K76" s="17">
        <f t="shared" si="168"/>
        <v>0.20618212197159566</v>
      </c>
      <c r="L76" s="17">
        <f t="shared" ref="L76" si="169">+L59/L51</f>
        <v>0.20990722332670642</v>
      </c>
      <c r="M76" s="17">
        <f t="shared" ref="M76" si="170">+M59/M51</f>
        <v>0.23520693193478509</v>
      </c>
      <c r="N76" s="17">
        <f>+N59/N51</f>
        <v>0.19229337304542071</v>
      </c>
      <c r="O76" s="17">
        <f t="shared" ref="O76:AD76" si="171">+O59/O51</f>
        <v>0.21320627586870727</v>
      </c>
      <c r="P76" s="17">
        <f t="shared" si="171"/>
        <v>0.24117745442381669</v>
      </c>
      <c r="Q76" s="17">
        <f t="shared" si="171"/>
        <v>0.26604637639020134</v>
      </c>
      <c r="R76" s="17">
        <f t="shared" si="171"/>
        <v>0.27354816863254133</v>
      </c>
      <c r="S76" s="17">
        <f t="shared" si="171"/>
        <v>0.29110684580934099</v>
      </c>
      <c r="T76" s="17">
        <f t="shared" si="171"/>
        <v>0.24997047360340144</v>
      </c>
      <c r="U76" s="17">
        <f t="shared" si="171"/>
        <v>0.25086231005873033</v>
      </c>
      <c r="V76" s="17">
        <f t="shared" si="171"/>
        <v>0.25257794296679104</v>
      </c>
      <c r="W76" s="17">
        <f t="shared" si="171"/>
        <v>0.19336448197522396</v>
      </c>
      <c r="X76" s="17">
        <f t="shared" si="171"/>
        <v>0.18185100493440848</v>
      </c>
      <c r="Y76" s="17">
        <f t="shared" si="171"/>
        <v>0.17892933618843684</v>
      </c>
      <c r="Z76" s="17">
        <f t="shared" si="171"/>
        <v>0.17634203520483172</v>
      </c>
      <c r="AA76" s="17">
        <f t="shared" si="171"/>
        <v>0.1735129806112389</v>
      </c>
      <c r="AB76" s="41">
        <f t="shared" si="171"/>
        <v>0.17952941176470588</v>
      </c>
      <c r="AC76" s="17">
        <f t="shared" si="171"/>
        <v>0.15717279857679209</v>
      </c>
      <c r="AD76" s="17">
        <f t="shared" si="171"/>
        <v>0.15511900037130005</v>
      </c>
      <c r="AE76" s="17">
        <f t="shared" ref="AE76" si="172">+AE59/AE51</f>
        <v>0.16307214895267649</v>
      </c>
      <c r="AF76" s="17"/>
      <c r="AG76" s="17"/>
      <c r="AH76" s="17"/>
      <c r="AQ76" s="17">
        <f t="shared" ref="AQ76:BF76" si="173">+AQ59/AQ51</f>
        <v>0</v>
      </c>
      <c r="AR76" s="17">
        <f t="shared" si="173"/>
        <v>0</v>
      </c>
      <c r="AS76" s="17">
        <f t="shared" si="173"/>
        <v>0.25</v>
      </c>
      <c r="AT76" s="17">
        <f t="shared" si="173"/>
        <v>0.18248891736331416</v>
      </c>
      <c r="AU76" s="17">
        <f t="shared" si="173"/>
        <v>0.16471225777031828</v>
      </c>
      <c r="AV76" s="17">
        <f t="shared" si="173"/>
        <v>0.22985752587485617</v>
      </c>
      <c r="AW76" s="17">
        <f t="shared" si="173"/>
        <v>0.25506572778682646</v>
      </c>
      <c r="AX76" s="17">
        <f t="shared" si="173"/>
        <v>0.25239469462195546</v>
      </c>
      <c r="AY76" s="17">
        <f t="shared" si="173"/>
        <v>0.2688449395488649</v>
      </c>
      <c r="AZ76" s="17">
        <f t="shared" si="173"/>
        <v>0.28443112518959862</v>
      </c>
      <c r="BA76" s="17">
        <f t="shared" si="173"/>
        <v>0.2993291081869508</v>
      </c>
      <c r="BB76" s="17">
        <f t="shared" si="173"/>
        <v>0.29953516962407462</v>
      </c>
      <c r="BC76" s="17">
        <f t="shared" si="173"/>
        <v>0.29968042854680105</v>
      </c>
      <c r="BD76" s="17">
        <f t="shared" si="173"/>
        <v>0.2997689777818105</v>
      </c>
      <c r="BE76" s="17">
        <f t="shared" si="173"/>
        <v>0.29980465126954314</v>
      </c>
      <c r="BF76" s="17">
        <f t="shared" si="173"/>
        <v>0.29979104278173424</v>
      </c>
    </row>
    <row r="77" spans="2:109" x14ac:dyDescent="0.2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">
      <c r="BG78" s="28" t="s">
        <v>109</v>
      </c>
      <c r="BH78" s="26">
        <v>-0.01</v>
      </c>
    </row>
    <row r="79" spans="2:109" s="4" customFormat="1" x14ac:dyDescent="0.2">
      <c r="B79" s="4" t="s">
        <v>54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4">M67</f>
        <v>300</v>
      </c>
      <c r="N79" s="5">
        <f t="shared" si="174"/>
        <v>270</v>
      </c>
      <c r="O79" s="5">
        <f t="shared" si="174"/>
        <v>337</v>
      </c>
      <c r="P79" s="5">
        <f t="shared" si="174"/>
        <v>1165</v>
      </c>
      <c r="Q79" s="5">
        <f t="shared" si="174"/>
        <v>1669</v>
      </c>
      <c r="R79" s="5">
        <f t="shared" si="174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5">V67</f>
        <v>3468.7999999999984</v>
      </c>
      <c r="W79" s="5">
        <f t="shared" si="175"/>
        <v>2513</v>
      </c>
      <c r="X79" s="5">
        <f t="shared" si="175"/>
        <v>2703</v>
      </c>
      <c r="Y79" s="5">
        <f t="shared" si="175"/>
        <v>1853</v>
      </c>
      <c r="Z79" s="5">
        <f t="shared" si="175"/>
        <v>2176</v>
      </c>
      <c r="AA79" s="5">
        <f t="shared" si="175"/>
        <v>1129</v>
      </c>
      <c r="AB79" s="5">
        <f t="shared" si="175"/>
        <v>2100</v>
      </c>
      <c r="AC79" s="5">
        <f>AC67</f>
        <v>1157.0966856192958</v>
      </c>
      <c r="AD79" s="5">
        <f t="shared" si="175"/>
        <v>1456.2837364785246</v>
      </c>
      <c r="AE79" s="5"/>
      <c r="AF79" s="5"/>
      <c r="AG79" s="5"/>
      <c r="AH79" s="5"/>
      <c r="BG79" s="28" t="s">
        <v>110</v>
      </c>
      <c r="BH79" s="30">
        <v>0.08</v>
      </c>
    </row>
    <row r="80" spans="2:109" s="4" customFormat="1" x14ac:dyDescent="0.2">
      <c r="B80" s="4" t="s">
        <v>55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111</v>
      </c>
      <c r="BH80" s="4">
        <f>NPV(BH79,AV67:DF67)+Main!K5-Main!K6</f>
        <v>1187377.0517001939</v>
      </c>
    </row>
    <row r="81" spans="2:60" s="4" customFormat="1" x14ac:dyDescent="0.2">
      <c r="B81" s="4" t="s">
        <v>56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113</v>
      </c>
      <c r="BH81" s="26">
        <v>0.1</v>
      </c>
    </row>
    <row r="82" spans="2:60" s="4" customFormat="1" x14ac:dyDescent="0.2">
      <c r="B82" s="4" t="s">
        <v>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112</v>
      </c>
      <c r="BH82" s="20">
        <f>BH80/Main!K3</f>
        <v>368.64116551635846</v>
      </c>
    </row>
    <row r="83" spans="2:60" s="4" customFormat="1" x14ac:dyDescent="0.2">
      <c r="B83" s="4" t="s">
        <v>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">
      <c r="B84" s="10" t="s">
        <v>79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">
      <c r="B85" s="4" t="s">
        <v>59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">
      <c r="B86" s="18" t="s">
        <v>68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">
      <c r="B87" s="4" t="s">
        <v>60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">
      <c r="B88" s="4" t="s">
        <v>61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6">SUM(N80:N87)</f>
        <v>3019</v>
      </c>
      <c r="O88" s="5">
        <f t="shared" si="176"/>
        <v>1641</v>
      </c>
      <c r="P88" s="5">
        <f t="shared" si="176"/>
        <v>2124</v>
      </c>
      <c r="Q88" s="5">
        <f t="shared" si="176"/>
        <v>3147</v>
      </c>
      <c r="R88" s="5">
        <f t="shared" si="176"/>
        <v>4585</v>
      </c>
      <c r="S88" s="5">
        <f t="shared" ref="S88:AA88" si="177">SUM(S80:S87)</f>
        <v>3995</v>
      </c>
      <c r="T88" s="5">
        <f t="shared" si="177"/>
        <v>2351</v>
      </c>
      <c r="U88" s="5">
        <f t="shared" si="177"/>
        <v>5100</v>
      </c>
      <c r="V88" s="5">
        <f t="shared" si="177"/>
        <v>3278</v>
      </c>
      <c r="W88" s="5">
        <f t="shared" si="177"/>
        <v>2513</v>
      </c>
      <c r="X88" s="5">
        <f t="shared" si="177"/>
        <v>3065</v>
      </c>
      <c r="Y88" s="5">
        <f t="shared" si="177"/>
        <v>3308</v>
      </c>
      <c r="Z88" s="5">
        <f t="shared" si="177"/>
        <v>4370</v>
      </c>
      <c r="AA88" s="5">
        <f t="shared" si="177"/>
        <v>242</v>
      </c>
      <c r="AB88" s="5">
        <v>3612</v>
      </c>
      <c r="AC88" s="5"/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/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10" t="s">
        <v>81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8">O88-O90</f>
        <v>293</v>
      </c>
      <c r="P91" s="5">
        <f t="shared" si="178"/>
        <v>619</v>
      </c>
      <c r="Q91" s="5">
        <f t="shared" si="178"/>
        <v>1328</v>
      </c>
      <c r="R91" s="5">
        <f t="shared" si="178"/>
        <v>2775</v>
      </c>
      <c r="S91" s="5">
        <f t="shared" ref="S91" si="179">S88-S90</f>
        <v>2228</v>
      </c>
      <c r="T91" s="5">
        <f t="shared" ref="T91:AB91" si="180">T88-T90</f>
        <v>621</v>
      </c>
      <c r="U91" s="5">
        <f t="shared" si="180"/>
        <v>3297</v>
      </c>
      <c r="V91" s="5">
        <f t="shared" si="180"/>
        <v>1420</v>
      </c>
      <c r="W91" s="5">
        <f t="shared" si="180"/>
        <v>441</v>
      </c>
      <c r="X91" s="5">
        <f t="shared" si="180"/>
        <v>1005</v>
      </c>
      <c r="Y91" s="5">
        <f t="shared" si="180"/>
        <v>848</v>
      </c>
      <c r="Z91" s="5">
        <f t="shared" si="180"/>
        <v>2064</v>
      </c>
      <c r="AA91" s="5">
        <f t="shared" si="180"/>
        <v>-2531</v>
      </c>
      <c r="AB91" s="5">
        <f t="shared" si="180"/>
        <v>1342</v>
      </c>
      <c r="AC91" s="5"/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x14ac:dyDescent="0.2">
      <c r="B92" s="10" t="s">
        <v>82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81">SUM(N91:Q91)</f>
        <v>4108</v>
      </c>
      <c r="R92" s="7">
        <f t="shared" si="181"/>
        <v>5015</v>
      </c>
      <c r="S92" s="7">
        <f t="shared" si="181"/>
        <v>6950</v>
      </c>
      <c r="T92" s="7">
        <f t="shared" si="181"/>
        <v>6952</v>
      </c>
      <c r="U92" s="7">
        <f t="shared" si="181"/>
        <v>8921</v>
      </c>
      <c r="V92" s="7">
        <f t="shared" si="181"/>
        <v>7566</v>
      </c>
      <c r="W92" s="7">
        <f t="shared" ref="W92:AB92" si="182">SUM(T91:W91)</f>
        <v>5779</v>
      </c>
      <c r="X92" s="7">
        <f t="shared" si="182"/>
        <v>6163</v>
      </c>
      <c r="Y92" s="7">
        <f t="shared" si="182"/>
        <v>3714</v>
      </c>
      <c r="Z92" s="7">
        <f t="shared" si="182"/>
        <v>4358</v>
      </c>
      <c r="AA92" s="7">
        <f t="shared" si="182"/>
        <v>1386</v>
      </c>
      <c r="AB92" s="7">
        <f t="shared" si="182"/>
        <v>1723</v>
      </c>
      <c r="AC92" s="5"/>
      <c r="AD92" s="5"/>
      <c r="AE92" s="5"/>
      <c r="AF92" s="5"/>
      <c r="AG92" s="5"/>
      <c r="AH92" s="5"/>
    </row>
    <row r="93" spans="2:60" s="4" customFormat="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29" t="s">
        <v>114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B94" si="183">X95-X112</f>
        <v>25105</v>
      </c>
      <c r="Y94" s="5">
        <f t="shared" si="183"/>
        <v>26958</v>
      </c>
      <c r="Z94" s="5">
        <f t="shared" si="183"/>
        <v>23864</v>
      </c>
      <c r="AA94" s="5">
        <f t="shared" si="183"/>
        <v>21503</v>
      </c>
      <c r="AB94" s="5">
        <f t="shared" si="183"/>
        <v>22975</v>
      </c>
      <c r="AC94" s="5"/>
      <c r="AD94" s="5"/>
      <c r="AE94" s="5"/>
      <c r="AF94" s="5"/>
      <c r="AG94" s="5"/>
      <c r="AH94" s="5"/>
      <c r="AT94" s="4">
        <f>Z94</f>
        <v>23864</v>
      </c>
      <c r="AU94" s="4">
        <f>AT94+AU67</f>
        <v>29706.38042209782</v>
      </c>
      <c r="AV94" s="4">
        <f t="shared" ref="AV94:BA94" si="184">AU94+AV67</f>
        <v>42726.525422436767</v>
      </c>
      <c r="AW94" s="4">
        <f t="shared" si="184"/>
        <v>65082.757421067377</v>
      </c>
      <c r="AX94" s="4">
        <f t="shared" si="184"/>
        <v>95478.792909692886</v>
      </c>
      <c r="AY94" s="4">
        <f t="shared" si="184"/>
        <v>139316.79431035591</v>
      </c>
      <c r="AZ94" s="4">
        <f t="shared" si="184"/>
        <v>198410.46156737866</v>
      </c>
      <c r="BA94" s="4">
        <f t="shared" si="184"/>
        <v>273568.38671984122</v>
      </c>
      <c r="BB94" s="4">
        <f t="shared" ref="BB94" si="185">BA94+BB67</f>
        <v>360386.09179739625</v>
      </c>
      <c r="BC94" s="4">
        <f t="shared" ref="BC94" si="186">BB94+BC67</f>
        <v>460286.30061216251</v>
      </c>
      <c r="BD94" s="4">
        <f t="shared" ref="BD94" si="187">BC94+BD67</f>
        <v>574847.05414824269</v>
      </c>
      <c r="BE94" s="4">
        <f t="shared" ref="BE94" si="188">BD94+BE67</f>
        <v>705817.63237332762</v>
      </c>
      <c r="BF94" s="4">
        <f t="shared" ref="BF94" si="189">BE94+BF67</f>
        <v>855136.04486986867</v>
      </c>
    </row>
    <row r="95" spans="2:60" s="4" customFormat="1" x14ac:dyDescent="0.2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90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">
      <c r="B96" s="10" t="s">
        <v>62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">
      <c r="B97" s="10" t="s">
        <v>58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">
      <c r="B98" s="10" t="s">
        <v>63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">
      <c r="B99" s="10" t="s">
        <v>64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">
      <c r="B100" s="10" t="s">
        <v>65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">
      <c r="B101" s="10" t="s">
        <v>66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5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">
      <c r="B102" s="10" t="s">
        <v>67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">
      <c r="B103" s="10" t="s">
        <v>68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">
      <c r="B104" s="10" t="s">
        <v>69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">
      <c r="B105" s="10" t="s">
        <v>70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">
      <c r="B106" s="10" t="s">
        <v>71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91">SUM(T95:T105)</f>
        <v>68513</v>
      </c>
      <c r="U106" s="5">
        <f t="shared" si="191"/>
        <v>74426</v>
      </c>
      <c r="V106" s="5">
        <f t="shared" si="191"/>
        <v>0</v>
      </c>
      <c r="W106" s="5">
        <f t="shared" si="191"/>
        <v>86833</v>
      </c>
      <c r="X106" s="5">
        <f t="shared" si="191"/>
        <v>25105</v>
      </c>
      <c r="Y106" s="5">
        <f t="shared" si="191"/>
        <v>26958</v>
      </c>
      <c r="Z106" s="5">
        <f t="shared" si="191"/>
        <v>106618</v>
      </c>
      <c r="AA106" s="5">
        <f t="shared" si="191"/>
        <v>109226</v>
      </c>
      <c r="AB106" s="5">
        <f t="shared" si="191"/>
        <v>112832</v>
      </c>
      <c r="AC106" s="5"/>
      <c r="AD106" s="5"/>
      <c r="AE106" s="5"/>
      <c r="AF106" s="5"/>
      <c r="AG106" s="5"/>
      <c r="AH106" s="5"/>
    </row>
    <row r="107" spans="2:34" x14ac:dyDescent="0.2">
      <c r="S107" s="5"/>
      <c r="T107" s="5"/>
      <c r="U107" s="5"/>
      <c r="AA107" s="5"/>
      <c r="AB107" s="5"/>
    </row>
    <row r="108" spans="2:34" x14ac:dyDescent="0.2">
      <c r="B108" s="9" t="s">
        <v>72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">
      <c r="B109" s="9" t="s">
        <v>73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">
      <c r="B110" s="9" t="s">
        <v>74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">
      <c r="B111" s="9" t="s">
        <v>75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">
      <c r="B113" s="9" t="s">
        <v>76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">
      <c r="B114" s="9" t="s">
        <v>77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">
      <c r="B115" s="9" t="s">
        <v>78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">
      <c r="S116" s="5"/>
    </row>
    <row r="117" spans="2:58" x14ac:dyDescent="0.2">
      <c r="B117" s="33" t="s">
        <v>154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">
      <c r="B118" s="33" t="s">
        <v>160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2">+AU37*AU123*8/1000</f>
        <v>1774.5040319999998</v>
      </c>
      <c r="AV118" s="4">
        <f t="shared" si="192"/>
        <v>2853.2522470400008</v>
      </c>
      <c r="AW118" s="4">
        <f t="shared" si="192"/>
        <v>4458.2066360000008</v>
      </c>
      <c r="AX118" s="4">
        <f t="shared" si="192"/>
        <v>6419.8175558400008</v>
      </c>
      <c r="AY118" s="4">
        <f t="shared" si="192"/>
        <v>8987.7445781760016</v>
      </c>
      <c r="AZ118" s="4">
        <f t="shared" si="192"/>
        <v>11812.464302745599</v>
      </c>
      <c r="BA118" s="4">
        <f t="shared" si="192"/>
        <v>14617.924574647679</v>
      </c>
      <c r="BB118" s="4">
        <f t="shared" ref="BB118:BF118" si="193">+BB37*BB123*8/1000</f>
        <v>15775.176936807287</v>
      </c>
      <c r="BC118" s="4">
        <f t="shared" si="193"/>
        <v>17011.609723746242</v>
      </c>
      <c r="BD118" s="4">
        <f t="shared" si="193"/>
        <v>18332.247847037066</v>
      </c>
      <c r="BE118" s="4">
        <f t="shared" si="193"/>
        <v>19742.420758347613</v>
      </c>
      <c r="BF118" s="4">
        <f t="shared" si="193"/>
        <v>21247.780341171616</v>
      </c>
    </row>
    <row r="119" spans="2:58" x14ac:dyDescent="0.2">
      <c r="B119" s="33" t="s">
        <v>161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">
      <c r="B120" s="33"/>
      <c r="S120" s="5"/>
      <c r="Z120" s="5"/>
      <c r="AA120" s="5"/>
      <c r="AB120" s="5"/>
      <c r="AS120" s="4"/>
      <c r="AT120" s="4"/>
    </row>
    <row r="121" spans="2:58" x14ac:dyDescent="0.2">
      <c r="B121" s="33" t="s">
        <v>162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221.81300399999998</v>
      </c>
      <c r="AV121" s="4">
        <f t="shared" ref="AV121:BA121" si="194">+AV118/8</f>
        <v>356.6565308800001</v>
      </c>
      <c r="AW121" s="4">
        <f t="shared" si="194"/>
        <v>557.2758295000001</v>
      </c>
      <c r="AX121" s="4">
        <f t="shared" si="194"/>
        <v>802.47719448000009</v>
      </c>
      <c r="AY121" s="4">
        <f t="shared" si="194"/>
        <v>1123.4680722720002</v>
      </c>
      <c r="AZ121" s="4">
        <f t="shared" si="194"/>
        <v>1476.5580378431998</v>
      </c>
      <c r="BA121" s="4">
        <f t="shared" si="194"/>
        <v>1827.2405718309599</v>
      </c>
      <c r="BB121" s="4">
        <f t="shared" ref="BB121:BF121" si="195">+BB118/8</f>
        <v>1971.8971171009109</v>
      </c>
      <c r="BC121" s="4">
        <f t="shared" si="195"/>
        <v>2126.4512154682802</v>
      </c>
      <c r="BD121" s="4">
        <f t="shared" si="195"/>
        <v>2291.5309808796333</v>
      </c>
      <c r="BE121" s="4">
        <f t="shared" si="195"/>
        <v>2467.8025947934516</v>
      </c>
      <c r="BF121" s="4">
        <f t="shared" si="195"/>
        <v>2655.972542646452</v>
      </c>
    </row>
    <row r="122" spans="2:58" x14ac:dyDescent="0.2">
      <c r="B122" s="33" t="s">
        <v>163</v>
      </c>
      <c r="S122" s="5"/>
      <c r="AT122" s="26">
        <f>+AT117/AS117-1</f>
        <v>0.21386886371438374</v>
      </c>
    </row>
    <row r="123" spans="2:58" x14ac:dyDescent="0.2">
      <c r="B123" s="33" t="s">
        <v>164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8" bestFit="1" customWidth="1"/>
    <col min="2" max="2" width="9.140625" style="28"/>
    <col min="3" max="3" width="11.7109375" style="28" customWidth="1"/>
    <col min="4" max="16384" width="9.140625" style="28"/>
  </cols>
  <sheetData>
    <row r="1" spans="1:5" ht="15" x14ac:dyDescent="0.25">
      <c r="A1" s="34" t="s">
        <v>8</v>
      </c>
    </row>
    <row r="4" spans="1:5" x14ac:dyDescent="0.2">
      <c r="B4" s="28" t="s">
        <v>97</v>
      </c>
      <c r="C4" s="28" t="s">
        <v>98</v>
      </c>
      <c r="D4" s="28">
        <v>100000</v>
      </c>
    </row>
    <row r="5" spans="1:5" x14ac:dyDescent="0.2">
      <c r="C5" s="28" t="s">
        <v>99</v>
      </c>
      <c r="D5" s="28">
        <v>550000</v>
      </c>
    </row>
    <row r="6" spans="1:5" x14ac:dyDescent="0.2">
      <c r="B6" s="28" t="s">
        <v>100</v>
      </c>
      <c r="C6" s="28" t="s">
        <v>99</v>
      </c>
      <c r="D6" s="28">
        <v>750000</v>
      </c>
      <c r="E6" s="28">
        <v>950000</v>
      </c>
    </row>
    <row r="7" spans="1:5" x14ac:dyDescent="0.2">
      <c r="B7" s="28" t="s">
        <v>101</v>
      </c>
      <c r="C7" s="28" t="s">
        <v>102</v>
      </c>
      <c r="D7" s="28">
        <v>350000</v>
      </c>
      <c r="E7" s="28">
        <v>375000</v>
      </c>
    </row>
    <row r="8" spans="1:5" x14ac:dyDescent="0.2">
      <c r="B8" s="28" t="s">
        <v>103</v>
      </c>
      <c r="C8" s="28" t="s">
        <v>102</v>
      </c>
      <c r="D8" s="28">
        <v>250000</v>
      </c>
    </row>
    <row r="9" spans="1:5" x14ac:dyDescent="0.2">
      <c r="C9" s="28" t="s">
        <v>104</v>
      </c>
      <c r="D9" s="28">
        <v>300000</v>
      </c>
      <c r="E9" s="28">
        <v>125000</v>
      </c>
    </row>
    <row r="10" spans="1:5" x14ac:dyDescent="0.2">
      <c r="B10" s="28" t="s">
        <v>105</v>
      </c>
      <c r="C10" s="28" t="s">
        <v>106</v>
      </c>
      <c r="D10" s="28">
        <v>300000</v>
      </c>
    </row>
    <row r="11" spans="1:5" x14ac:dyDescent="0.2">
      <c r="C11" s="28" t="s">
        <v>107</v>
      </c>
      <c r="D11" s="28">
        <v>300000</v>
      </c>
    </row>
    <row r="12" spans="1:5" x14ac:dyDescent="0.2">
      <c r="C12" s="28" t="s">
        <v>108</v>
      </c>
      <c r="D12" s="28">
        <v>300000</v>
      </c>
    </row>
    <row r="13" spans="1:5" x14ac:dyDescent="0.2">
      <c r="B13" s="33" t="s">
        <v>157</v>
      </c>
    </row>
    <row r="14" spans="1:5" x14ac:dyDescent="0.2">
      <c r="B14" s="33" t="s">
        <v>158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RowHeight="12.75" x14ac:dyDescent="0.2"/>
  <cols>
    <col min="1" max="1" width="5" style="33" bestFit="1" customWidth="1"/>
    <col min="2" max="16384" width="9.140625" style="33"/>
  </cols>
  <sheetData>
    <row r="1" spans="1:1" x14ac:dyDescent="0.2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Oscar Settje</cp:lastModifiedBy>
  <cp:revision/>
  <dcterms:created xsi:type="dcterms:W3CDTF">2022-07-01T16:14:29Z</dcterms:created>
  <dcterms:modified xsi:type="dcterms:W3CDTF">2025-04-28T11:34:15Z</dcterms:modified>
  <cp:category/>
  <cp:contentStatus/>
</cp:coreProperties>
</file>