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FA6C341-E6C2-4BC9-B5CB-9C12185049D2}" xr6:coauthVersionLast="47" xr6:coauthVersionMax="47" xr10:uidLastSave="{00000000-0000-0000-0000-000000000000}"/>
  <bookViews>
    <workbookView xWindow="19095" yWindow="0" windowWidth="19410" windowHeight="20925" xr2:uid="{F2317BC5-DDE7-4B11-8968-E77385A88B3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2" l="1"/>
  <c r="L17" i="2"/>
  <c r="M18" i="2"/>
  <c r="M17" i="2"/>
  <c r="M11" i="2"/>
  <c r="N18" i="2"/>
  <c r="N17" i="2"/>
  <c r="N11" i="2"/>
  <c r="O38" i="2"/>
  <c r="O37" i="2"/>
  <c r="O36" i="2"/>
  <c r="N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N10" i="2"/>
  <c r="N13" i="2" s="1"/>
  <c r="N19" i="2" s="1"/>
  <c r="N22" i="2" s="1"/>
  <c r="N25" i="2" s="1"/>
  <c r="N27" i="2" s="1"/>
  <c r="M10" i="2"/>
  <c r="M13" i="2" s="1"/>
  <c r="M19" i="2" s="1"/>
  <c r="M22" i="2" s="1"/>
  <c r="M25" i="2" s="1"/>
  <c r="M27" i="2" s="1"/>
  <c r="L10" i="2"/>
  <c r="L13" i="2" s="1"/>
  <c r="L19" i="2" s="1"/>
  <c r="L22" i="2" s="1"/>
  <c r="L25" i="2" s="1"/>
  <c r="L27" i="2" s="1"/>
  <c r="P34" i="2"/>
  <c r="P33" i="2"/>
  <c r="P32" i="2"/>
  <c r="P31" i="2"/>
  <c r="P30" i="2"/>
  <c r="O18" i="2"/>
  <c r="O17" i="2"/>
  <c r="P18" i="2"/>
  <c r="P17" i="2"/>
  <c r="Q18" i="2"/>
  <c r="Q17" i="2"/>
  <c r="O10" i="2"/>
  <c r="O13" i="2" s="1"/>
  <c r="O19" i="2" s="1"/>
  <c r="O22" i="2" s="1"/>
  <c r="O25" i="2" s="1"/>
  <c r="O27" i="2" s="1"/>
  <c r="S65" i="2"/>
  <c r="R65" i="2"/>
  <c r="Q65" i="2"/>
  <c r="P65" i="2"/>
  <c r="O65" i="2"/>
  <c r="S69" i="2"/>
  <c r="R69" i="2"/>
  <c r="Q69" i="2"/>
  <c r="P69" i="2"/>
  <c r="T69" i="2"/>
  <c r="T65" i="2"/>
  <c r="S55" i="2"/>
  <c r="R55" i="2"/>
  <c r="Q55" i="2"/>
  <c r="P55" i="2"/>
  <c r="T54" i="2"/>
  <c r="T55" i="2" s="1"/>
  <c r="S48" i="2"/>
  <c r="R48" i="2"/>
  <c r="Q48" i="2"/>
  <c r="T48" i="2"/>
  <c r="H34" i="2"/>
  <c r="H33" i="2"/>
  <c r="H32" i="2"/>
  <c r="H31" i="2"/>
  <c r="H30" i="2"/>
  <c r="D18" i="2"/>
  <c r="D17" i="2"/>
  <c r="H18" i="2"/>
  <c r="H17" i="2"/>
  <c r="H13" i="2"/>
  <c r="H6" i="1"/>
  <c r="H3" i="1"/>
  <c r="H4" i="1" s="1"/>
  <c r="H7" i="1" s="1"/>
  <c r="R34" i="2"/>
  <c r="Q34" i="2"/>
  <c r="R33" i="2"/>
  <c r="Q33" i="2"/>
  <c r="R32" i="2"/>
  <c r="Q32" i="2"/>
  <c r="R31" i="2"/>
  <c r="Q31" i="2"/>
  <c r="R30" i="2"/>
  <c r="Q30" i="2"/>
  <c r="S34" i="2"/>
  <c r="S33" i="2"/>
  <c r="S32" i="2"/>
  <c r="S31" i="2"/>
  <c r="S30" i="2"/>
  <c r="T30" i="2"/>
  <c r="T31" i="2"/>
  <c r="T33" i="2"/>
  <c r="T32" i="2"/>
  <c r="T34" i="2"/>
  <c r="R18" i="2"/>
  <c r="R17" i="2"/>
  <c r="S18" i="2"/>
  <c r="S17" i="2"/>
  <c r="T18" i="2"/>
  <c r="T17" i="2"/>
  <c r="T10" i="2"/>
  <c r="S10" i="2"/>
  <c r="S13" i="2" s="1"/>
  <c r="S36" i="2" s="1"/>
  <c r="R10" i="2"/>
  <c r="R13" i="2" s="1"/>
  <c r="R36" i="2" s="1"/>
  <c r="Q10" i="2"/>
  <c r="Q13" i="2" s="1"/>
  <c r="P10" i="2"/>
  <c r="P13" i="2" s="1"/>
  <c r="P36" i="2" s="1"/>
  <c r="G30" i="2"/>
  <c r="G31" i="2"/>
  <c r="G34" i="2"/>
  <c r="G33" i="2"/>
  <c r="G32" i="2"/>
  <c r="C18" i="2"/>
  <c r="C17" i="2"/>
  <c r="G17" i="2"/>
  <c r="G18" i="2"/>
  <c r="C10" i="2"/>
  <c r="C13" i="2" s="1"/>
  <c r="F10" i="2"/>
  <c r="F13" i="2" s="1"/>
  <c r="F19" i="2" s="1"/>
  <c r="E10" i="2"/>
  <c r="E13" i="2" s="1"/>
  <c r="E19" i="2" s="1"/>
  <c r="D10" i="2"/>
  <c r="D13" i="2" s="1"/>
  <c r="G10" i="2"/>
  <c r="G13" i="2" s="1"/>
  <c r="G36" i="2" s="1"/>
  <c r="M38" i="2" l="1"/>
  <c r="M36" i="2"/>
  <c r="M37" i="2"/>
  <c r="N38" i="2"/>
  <c r="N37" i="2"/>
  <c r="T56" i="2"/>
  <c r="R56" i="2"/>
  <c r="S56" i="2"/>
  <c r="T70" i="2"/>
  <c r="T72" i="2" s="1"/>
  <c r="Q70" i="2"/>
  <c r="Q72" i="2" s="1"/>
  <c r="R70" i="2"/>
  <c r="R72" i="2" s="1"/>
  <c r="H19" i="2"/>
  <c r="H22" i="2" s="1"/>
  <c r="H38" i="2" s="1"/>
  <c r="P35" i="2"/>
  <c r="S70" i="2"/>
  <c r="S72" i="2" s="1"/>
  <c r="H35" i="2"/>
  <c r="T35" i="2"/>
  <c r="H36" i="2"/>
  <c r="D19" i="2"/>
  <c r="D37" i="2" s="1"/>
  <c r="P19" i="2"/>
  <c r="P37" i="2" s="1"/>
  <c r="Q19" i="2"/>
  <c r="Q36" i="2"/>
  <c r="T13" i="2"/>
  <c r="Q35" i="2"/>
  <c r="R35" i="2"/>
  <c r="S35" i="2"/>
  <c r="R19" i="2"/>
  <c r="S19" i="2"/>
  <c r="C19" i="2"/>
  <c r="C37" i="2" s="1"/>
  <c r="E22" i="2"/>
  <c r="E37" i="2"/>
  <c r="F22" i="2"/>
  <c r="F37" i="2"/>
  <c r="G35" i="2"/>
  <c r="C36" i="2"/>
  <c r="D36" i="2"/>
  <c r="E36" i="2"/>
  <c r="F36" i="2"/>
  <c r="G19" i="2"/>
  <c r="H37" i="2" l="1"/>
  <c r="H25" i="2"/>
  <c r="H27" i="2" s="1"/>
  <c r="D22" i="2"/>
  <c r="D38" i="2" s="1"/>
  <c r="S22" i="2"/>
  <c r="S37" i="2"/>
  <c r="R22" i="2"/>
  <c r="R37" i="2"/>
  <c r="T36" i="2"/>
  <c r="T19" i="2"/>
  <c r="Q37" i="2"/>
  <c r="Q22" i="2"/>
  <c r="P22" i="2"/>
  <c r="P38" i="2" s="1"/>
  <c r="C22" i="2"/>
  <c r="C38" i="2" s="1"/>
  <c r="G22" i="2"/>
  <c r="G37" i="2"/>
  <c r="F38" i="2"/>
  <c r="F25" i="2"/>
  <c r="F27" i="2" s="1"/>
  <c r="E38" i="2"/>
  <c r="E25" i="2"/>
  <c r="E27" i="2" s="1"/>
  <c r="D25" i="2" l="1"/>
  <c r="D27" i="2" s="1"/>
  <c r="P25" i="2"/>
  <c r="P27" i="2" s="1"/>
  <c r="Q38" i="2"/>
  <c r="Q25" i="2"/>
  <c r="Q27" i="2" s="1"/>
  <c r="T37" i="2"/>
  <c r="T22" i="2"/>
  <c r="R25" i="2"/>
  <c r="R27" i="2" s="1"/>
  <c r="R38" i="2"/>
  <c r="S25" i="2"/>
  <c r="S27" i="2" s="1"/>
  <c r="S38" i="2"/>
  <c r="C25" i="2"/>
  <c r="C27" i="2" s="1"/>
  <c r="G25" i="2"/>
  <c r="G27" i="2" s="1"/>
  <c r="G38" i="2"/>
  <c r="T25" i="2" l="1"/>
  <c r="T27" i="2" s="1"/>
  <c r="T38" i="2"/>
</calcChain>
</file>

<file path=xl/sharedStrings.xml><?xml version="1.0" encoding="utf-8"?>
<sst xmlns="http://schemas.openxmlformats.org/spreadsheetml/2006/main" count="123" uniqueCount="113">
  <si>
    <t xml:space="preserve">Virtu Financial 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</si>
  <si>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</si>
  <si>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</si>
  <si>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</si>
  <si>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</si>
  <si>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</si>
  <si>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</si>
  <si>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</si>
  <si>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</si>
  <si>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</si>
  <si>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</si>
  <si>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</si>
  <si>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</si>
  <si>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</si>
  <si>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</si>
  <si>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</si>
  <si>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</si>
  <si>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Trading Income</t>
  </si>
  <si>
    <t>Interests and Dividends</t>
  </si>
  <si>
    <t>Commissions and services</t>
  </si>
  <si>
    <t>Other</t>
  </si>
  <si>
    <t>Revenue</t>
  </si>
  <si>
    <t>Brokerager, exchange, payment for order flow</t>
  </si>
  <si>
    <t>Interest and Dividend Expense</t>
  </si>
  <si>
    <t>Gross Profit</t>
  </si>
  <si>
    <t>Communication and data processing</t>
  </si>
  <si>
    <t>Employee compensation</t>
  </si>
  <si>
    <t>D&amp;A</t>
  </si>
  <si>
    <t>Operating Income</t>
  </si>
  <si>
    <t>Transaction, advisor fees &amp; other</t>
  </si>
  <si>
    <t>Operations and administrative</t>
  </si>
  <si>
    <t>Pretax Income</t>
  </si>
  <si>
    <t>Interest on long term debt</t>
  </si>
  <si>
    <t>Cost of debt</t>
  </si>
  <si>
    <t>Tax Expense</t>
  </si>
  <si>
    <t>Minority Interest</t>
  </si>
  <si>
    <t>Net Income</t>
  </si>
  <si>
    <t>EPS</t>
  </si>
  <si>
    <t>Trading Income Growth</t>
  </si>
  <si>
    <t>Interest/Dividends Growth</t>
  </si>
  <si>
    <t>Commission Growth</t>
  </si>
  <si>
    <t>Revenue Growth</t>
  </si>
  <si>
    <t>Gross Margin</t>
  </si>
  <si>
    <t>Operating Margin</t>
  </si>
  <si>
    <t>Tax Rate</t>
  </si>
  <si>
    <t xml:space="preserve"> </t>
  </si>
  <si>
    <t>Market Making</t>
  </si>
  <si>
    <t>Execution Services</t>
  </si>
  <si>
    <t>Corporate</t>
  </si>
  <si>
    <t>IR</t>
  </si>
  <si>
    <t>VIRT</t>
  </si>
  <si>
    <t>Segments</t>
  </si>
  <si>
    <t>% of Rev</t>
  </si>
  <si>
    <t>Services</t>
  </si>
  <si>
    <t>Competitors</t>
  </si>
  <si>
    <t>Jane Street, Citadel</t>
  </si>
  <si>
    <t>market making in every asset class</t>
  </si>
  <si>
    <t>Market making</t>
  </si>
  <si>
    <t>25.000 OTC securities</t>
  </si>
  <si>
    <t>Trading services and analytics</t>
  </si>
  <si>
    <t xml:space="preserve">Corporate </t>
  </si>
  <si>
    <t>FY20</t>
  </si>
  <si>
    <t>FY21</t>
  </si>
  <si>
    <t>FY22</t>
  </si>
  <si>
    <t>FY23</t>
  </si>
  <si>
    <t>FY24</t>
  </si>
  <si>
    <t>Market Making Growth</t>
  </si>
  <si>
    <t>Execution Services Growth</t>
  </si>
  <si>
    <t>Management</t>
  </si>
  <si>
    <t>CEO</t>
  </si>
  <si>
    <t>CFO</t>
  </si>
  <si>
    <t>Aaron Simons</t>
  </si>
  <si>
    <t>Cindy Lee</t>
  </si>
  <si>
    <t>Cash &amp; Cash Equivalents</t>
  </si>
  <si>
    <t>Restricted Cash</t>
  </si>
  <si>
    <t>Securrities Borrowed</t>
  </si>
  <si>
    <t>Securrities purchased to resell</t>
  </si>
  <si>
    <t>Financial instruments pledged</t>
  </si>
  <si>
    <t>Financial instruments owned</t>
  </si>
  <si>
    <t>Receivables from costumers</t>
  </si>
  <si>
    <t>Current Assets</t>
  </si>
  <si>
    <t>Receivables from brokers</t>
  </si>
  <si>
    <t>PP&amp;E</t>
  </si>
  <si>
    <t>Operating Leases</t>
  </si>
  <si>
    <t>Goodwill</t>
  </si>
  <si>
    <t>Intangibles</t>
  </si>
  <si>
    <t>Deffered taxes</t>
  </si>
  <si>
    <t>Non-current Assets</t>
  </si>
  <si>
    <t>Total Assets</t>
  </si>
  <si>
    <t>Equity</t>
  </si>
  <si>
    <t>Short-Term Borrowings</t>
  </si>
  <si>
    <t>Securities loaned</t>
  </si>
  <si>
    <t>Securities sold to repurchase</t>
  </si>
  <si>
    <t>Payables to Brokers</t>
  </si>
  <si>
    <t>Payables to Costumers</t>
  </si>
  <si>
    <t>Financial instruments sold</t>
  </si>
  <si>
    <t>Tax receivables</t>
  </si>
  <si>
    <t>Accounts payables and other</t>
  </si>
  <si>
    <t>Current Liabilities</t>
  </si>
  <si>
    <t>Non-current Borrowing</t>
  </si>
  <si>
    <t>Non-Current Liabilities</t>
  </si>
  <si>
    <t>Total Liabilities</t>
  </si>
  <si>
    <t xml:space="preserve">Liabilities &amp; Equity </t>
  </si>
  <si>
    <t>FY19</t>
  </si>
  <si>
    <t>FY18</t>
  </si>
  <si>
    <t>FY17</t>
  </si>
  <si>
    <t>FY16</t>
  </si>
  <si>
    <t>Founded</t>
  </si>
  <si>
    <t>by Vincent Viola and Douglas Cifu</t>
  </si>
  <si>
    <t>Notes</t>
  </si>
  <si>
    <t>IPO 2015</t>
  </si>
  <si>
    <t>2017 Acquisition of KCG holdings for 1.4 billion USD</t>
  </si>
  <si>
    <t>2019 Acquisition of ITG for 1billion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</si>
</sst>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11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8" fillId="0" borderId="0" xfId="0" applyFont="1" applyAlignment="1">
      <alignment horizontal="right"/>
    </xf>
    <xf numFmtId="0" fontId="6" fillId="0" borderId="0" xfId="0" applyFont="1"/>
    <xf numFmtId="0" fontId="3" fillId="0" borderId="0" xfId="0" applyFont="1"/>
    <xf numFmtId="164" fontId="3" fillId="0" borderId="0" xfId="0" applyNumberFormat="1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3" fillId="0" borderId="4" xfId="0" applyFont="1" applyBorder="1"/>
    <xf numFmtId="9" fontId="3" fillId="0" borderId="5" xfId="1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9" fontId="3" fillId="0" borderId="0" xfId="1" applyFont="1" applyBorder="1"/>
    <xf numFmtId="0" fontId="3" fillId="0" borderId="8" xfId="0" applyFont="1" applyBorder="1"/>
    <xf numFmtId="0" fontId="3" fillId="0" borderId="9" xfId="0" applyFont="1" applyBorder="1"/>
    <xf numFmtId="9" fontId="3" fillId="0" borderId="10" xfId="1" applyFont="1" applyBorder="1"/>
    <xf numFmtId="0" fontId="3" fillId="0" borderId="10" xfId="0" applyFont="1" applyBorder="1"/>
    <xf numFmtId="0" fontId="3" fillId="0" borderId="11" xfId="0" applyFont="1" applyBorder="1"/>
    <xf numFmtId="0" fontId="9" fillId="0" borderId="0" xfId="2" applyFont="1"/>
    <xf numFmtId="164" fontId="7" fillId="0" borderId="0" xfId="0" applyNumberFormat="1" applyFont="1"/>
    <xf numFmtId="165" fontId="8" fillId="0" borderId="0" xfId="0" applyNumberFormat="1" applyFont="1"/>
    <xf numFmtId="9" fontId="8" fillId="0" borderId="0" xfId="1" applyFont="1"/>
    <xf numFmtId="9" fontId="7" fillId="0" borderId="0" xfId="1" applyFont="1"/>
    <xf numFmtId="0" fontId="2" fillId="0" borderId="0" xfId="0" applyFont="1" applyAlignment="1">
      <alignment horizontal="right"/>
    </xf>
    <xf numFmtId="0" fontId="1" fillId="0" borderId="0" xfId="0" applyFont="1"/>
    <xf numFmtId="0" fontId="10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A60B-4FB3-4488-9DA0-E5C9B71C2297}">
  <dimension ref="A1:I18"/>
  <sheetViews>
    <sheetView tabSelected="1" zoomScale="200" zoomScaleNormal="200" workbookViewId="0"/>
  </sheetViews>
  <sheetFormatPr defaultRowHeight="12.75" x14ac:dyDescent="0.2"/>
  <cols>
    <col min="1" max="1" width="4.140625" style="6" customWidth="1"/>
    <col min="2" max="2" width="17.42578125" style="6" customWidth="1"/>
    <col min="3" max="3" width="9.140625" style="6"/>
    <col min="4" max="4" width="29.140625" style="6" customWidth="1"/>
    <col min="5" max="5" width="17.7109375" style="6" bestFit="1" customWidth="1"/>
    <col min="6" max="16384" width="9.140625" style="6"/>
  </cols>
  <sheetData>
    <row r="1" spans="1:9" x14ac:dyDescent="0.2">
      <c r="A1" s="5" t="s">
        <v>0</v>
      </c>
    </row>
    <row r="2" spans="1:9" x14ac:dyDescent="0.2">
      <c r="A2" s="6" t="s">
        <v>1</v>
      </c>
      <c r="G2" s="6" t="s">
        <v>2</v>
      </c>
      <c r="H2" s="6">
        <v>41.35</v>
      </c>
    </row>
    <row r="3" spans="1:9" x14ac:dyDescent="0.2">
      <c r="G3" s="6" t="s">
        <v>3</v>
      </c>
      <c r="H3" s="7">
        <f>84.577655+8.194847+60.09174</f>
        <v>152.86424199999999</v>
      </c>
      <c r="I3" s="27" t="s">
        <v>14</v>
      </c>
    </row>
    <row r="4" spans="1:9" x14ac:dyDescent="0.2">
      <c r="B4" s="6" t="s">
        <v>49</v>
      </c>
      <c r="G4" s="6" t="s">
        <v>4</v>
      </c>
      <c r="H4" s="7">
        <f>+H2*H3</f>
        <v>6320.9364066999997</v>
      </c>
    </row>
    <row r="5" spans="1:9" x14ac:dyDescent="0.2">
      <c r="B5" s="6" t="s">
        <v>50</v>
      </c>
      <c r="G5" s="6" t="s">
        <v>5</v>
      </c>
      <c r="H5" s="7">
        <v>752.101</v>
      </c>
      <c r="I5" s="27" t="s">
        <v>14</v>
      </c>
    </row>
    <row r="6" spans="1:9" x14ac:dyDescent="0.2">
      <c r="G6" s="6" t="s">
        <v>6</v>
      </c>
      <c r="H6" s="7">
        <f>251.754+1743.171</f>
        <v>1994.925</v>
      </c>
      <c r="I6" s="27" t="s">
        <v>14</v>
      </c>
    </row>
    <row r="7" spans="1:9" x14ac:dyDescent="0.2">
      <c r="B7" s="8" t="s">
        <v>51</v>
      </c>
      <c r="C7" s="9" t="s">
        <v>52</v>
      </c>
      <c r="D7" s="9" t="s">
        <v>53</v>
      </c>
      <c r="E7" s="10" t="s">
        <v>54</v>
      </c>
      <c r="G7" s="6" t="s">
        <v>7</v>
      </c>
      <c r="H7" s="7">
        <f>+H4-H5+H6</f>
        <v>7563.7604067000002</v>
      </c>
    </row>
    <row r="8" spans="1:9" x14ac:dyDescent="0.2">
      <c r="B8" s="11" t="s">
        <v>46</v>
      </c>
      <c r="C8" s="12">
        <v>0.8249165442330485</v>
      </c>
      <c r="D8" s="13" t="s">
        <v>56</v>
      </c>
      <c r="E8" s="14" t="s">
        <v>55</v>
      </c>
    </row>
    <row r="9" spans="1:9" x14ac:dyDescent="0.2">
      <c r="B9" s="15" t="s">
        <v>47</v>
      </c>
      <c r="C9" s="16">
        <v>0.16829361153115824</v>
      </c>
      <c r="D9" s="6" t="s">
        <v>59</v>
      </c>
      <c r="E9" s="17"/>
      <c r="G9" s="28" t="s">
        <v>107</v>
      </c>
      <c r="H9" s="6">
        <v>2008</v>
      </c>
      <c r="I9" s="28" t="s">
        <v>108</v>
      </c>
    </row>
    <row r="10" spans="1:9" x14ac:dyDescent="0.2">
      <c r="B10" s="18" t="s">
        <v>48</v>
      </c>
      <c r="C10" s="19">
        <v>6.7898442357934245E-3</v>
      </c>
      <c r="D10" s="20" t="s">
        <v>60</v>
      </c>
      <c r="E10" s="21"/>
    </row>
    <row r="12" spans="1:9" x14ac:dyDescent="0.2">
      <c r="B12" s="29" t="s">
        <v>109</v>
      </c>
      <c r="G12" s="29" t="s">
        <v>68</v>
      </c>
    </row>
    <row r="13" spans="1:9" x14ac:dyDescent="0.2">
      <c r="B13" s="28" t="s">
        <v>110</v>
      </c>
      <c r="G13" s="28" t="s">
        <v>69</v>
      </c>
      <c r="H13" s="28" t="s">
        <v>71</v>
      </c>
    </row>
    <row r="14" spans="1:9" x14ac:dyDescent="0.2">
      <c r="B14" s="28" t="s">
        <v>111</v>
      </c>
      <c r="G14" s="28" t="s">
        <v>70</v>
      </c>
      <c r="H14" s="28" t="s">
        <v>72</v>
      </c>
    </row>
    <row r="15" spans="1:9" x14ac:dyDescent="0.2">
      <c r="B15" s="28" t="s">
        <v>112</v>
      </c>
    </row>
    <row r="17" spans="2:2" x14ac:dyDescent="0.2">
      <c r="B17" s="6" t="s">
        <v>57</v>
      </c>
    </row>
    <row r="18" spans="2:2" x14ac:dyDescent="0.2">
      <c r="B18" s="6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E76C-2625-4A8C-BA57-81F6807C2301}">
  <dimension ref="A1:AP351"/>
  <sheetViews>
    <sheetView zoomScale="200" zoomScaleNormal="200" workbookViewId="0">
      <pane xSplit="2" ySplit="2" topLeftCell="K6" activePane="bottomRight" state="frozen"/>
      <selection pane="topRight" activeCell="C1" sqref="C1"/>
      <selection pane="bottomLeft" activeCell="A3" sqref="A3"/>
      <selection pane="bottomRight" activeCell="N10" sqref="N10"/>
    </sheetView>
  </sheetViews>
  <sheetFormatPr defaultRowHeight="14.25" x14ac:dyDescent="0.2"/>
  <cols>
    <col min="1" max="1" width="5.42578125" style="2" bestFit="1" customWidth="1"/>
    <col min="2" max="2" width="29.5703125" style="2" customWidth="1"/>
    <col min="3" max="16384" width="9.140625" style="2"/>
  </cols>
  <sheetData>
    <row r="1" spans="1:42" x14ac:dyDescent="0.2">
      <c r="A1" s="22" t="s">
        <v>8</v>
      </c>
      <c r="G1" s="2" t="s">
        <v>45</v>
      </c>
    </row>
    <row r="2" spans="1:42" x14ac:dyDescent="0.2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/>
      <c r="L2" s="4" t="s">
        <v>106</v>
      </c>
      <c r="M2" s="4" t="s">
        <v>105</v>
      </c>
      <c r="N2" s="4" t="s">
        <v>104</v>
      </c>
      <c r="O2" s="4" t="s">
        <v>103</v>
      </c>
      <c r="P2" s="4" t="s">
        <v>61</v>
      </c>
      <c r="Q2" s="4" t="s">
        <v>62</v>
      </c>
      <c r="R2" s="4" t="s">
        <v>63</v>
      </c>
      <c r="S2" s="4" t="s">
        <v>64</v>
      </c>
      <c r="T2" s="4" t="s">
        <v>65</v>
      </c>
    </row>
    <row r="3" spans="1:42" x14ac:dyDescent="0.2">
      <c r="B3" s="2" t="s">
        <v>46</v>
      </c>
      <c r="C3" s="3">
        <v>521.99800000000005</v>
      </c>
      <c r="D3" s="3">
        <v>569.78300000000002</v>
      </c>
      <c r="E3" s="3"/>
      <c r="F3" s="3"/>
      <c r="G3" s="3">
        <v>691.17200000000003</v>
      </c>
      <c r="H3" s="3">
        <v>786.59299999999996</v>
      </c>
      <c r="I3" s="3"/>
      <c r="J3" s="3"/>
      <c r="K3" s="3"/>
      <c r="L3" s="3">
        <v>691.88400000000001</v>
      </c>
      <c r="M3" s="3">
        <v>836.70699999999999</v>
      </c>
      <c r="N3" s="3">
        <v>1384.4749999999999</v>
      </c>
      <c r="O3" s="3">
        <v>1028.0940000000001</v>
      </c>
      <c r="P3" s="3">
        <v>2593.3420000000001</v>
      </c>
      <c r="Q3" s="3">
        <v>2203.0459999999998</v>
      </c>
      <c r="R3" s="3">
        <v>1812.8389999999999</v>
      </c>
      <c r="S3" s="3">
        <v>1843.5229999999999</v>
      </c>
      <c r="T3" s="3">
        <v>2374.096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">
      <c r="B4" s="2" t="s">
        <v>47</v>
      </c>
      <c r="C4" s="3">
        <v>117.788</v>
      </c>
      <c r="D4" s="3">
        <v>127.059</v>
      </c>
      <c r="E4" s="3"/>
      <c r="F4" s="3"/>
      <c r="G4" s="3">
        <v>141.00800000000001</v>
      </c>
      <c r="H4" s="3">
        <v>214.488</v>
      </c>
      <c r="I4" s="3"/>
      <c r="J4" s="3"/>
      <c r="K4" s="3"/>
      <c r="L4" s="3">
        <v>92.14</v>
      </c>
      <c r="M4" s="3">
        <v>99.135000000000005</v>
      </c>
      <c r="N4" s="3">
        <v>496.33300000000003</v>
      </c>
      <c r="O4" s="3">
        <v>491.73599999999999</v>
      </c>
      <c r="P4" s="3">
        <v>650.14300000000003</v>
      </c>
      <c r="Q4" s="3">
        <v>600.21500000000003</v>
      </c>
      <c r="R4" s="3">
        <v>514.24099999999999</v>
      </c>
      <c r="S4" s="3">
        <v>446.54199999999997</v>
      </c>
      <c r="T4" s="3">
        <v>507.23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x14ac:dyDescent="0.2">
      <c r="B5" s="2" t="s">
        <v>48</v>
      </c>
      <c r="C5" s="3">
        <v>4.0430000000000001</v>
      </c>
      <c r="D5" s="3">
        <v>-3.8570000000000002</v>
      </c>
      <c r="E5" s="3"/>
      <c r="F5" s="3"/>
      <c r="G5" s="3">
        <v>5.6890000000000001</v>
      </c>
      <c r="H5" s="3">
        <v>-1.508</v>
      </c>
      <c r="I5" s="3"/>
      <c r="J5" s="3"/>
      <c r="K5" s="3"/>
      <c r="L5" s="3">
        <v>0.36</v>
      </c>
      <c r="M5" s="3">
        <v>10.352</v>
      </c>
      <c r="N5" s="3">
        <v>-2.09</v>
      </c>
      <c r="O5" s="3">
        <v>-2.3380000000000001</v>
      </c>
      <c r="P5" s="3">
        <v>-4.1539999999999999</v>
      </c>
      <c r="Q5" s="3">
        <v>8.2240000000000002</v>
      </c>
      <c r="R5" s="3">
        <v>37.731999999999999</v>
      </c>
      <c r="S5" s="3">
        <v>3.3079999999999998</v>
      </c>
      <c r="T5" s="3">
        <v>-4.3769999999999998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x14ac:dyDescent="0.2">
      <c r="B6" s="2" t="s">
        <v>17</v>
      </c>
      <c r="C6" s="3">
        <v>408.09500000000003</v>
      </c>
      <c r="D6" s="3">
        <v>426.39499999999998</v>
      </c>
      <c r="E6" s="3"/>
      <c r="F6" s="3"/>
      <c r="G6" s="3">
        <v>589.98299999999995</v>
      </c>
      <c r="H6" s="3">
        <v>652.79600000000005</v>
      </c>
      <c r="I6" s="3"/>
      <c r="J6" s="3"/>
      <c r="K6" s="3"/>
      <c r="L6" s="3">
        <v>665.46500000000003</v>
      </c>
      <c r="M6" s="3">
        <v>766.02700000000004</v>
      </c>
      <c r="N6" s="3">
        <v>1266.682</v>
      </c>
      <c r="O6" s="3">
        <v>912.31600000000003</v>
      </c>
      <c r="P6" s="3">
        <v>2493.248</v>
      </c>
      <c r="Q6" s="3">
        <v>2105.194</v>
      </c>
      <c r="R6" s="3">
        <v>1628.8979999999999</v>
      </c>
      <c r="S6" s="3">
        <v>1301.3440000000001</v>
      </c>
      <c r="T6" s="3">
        <v>1822.4369999999999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x14ac:dyDescent="0.2">
      <c r="B7" s="2" t="s">
        <v>18</v>
      </c>
      <c r="C7" s="3">
        <v>105.992</v>
      </c>
      <c r="D7" s="3">
        <v>107.066</v>
      </c>
      <c r="E7" s="3"/>
      <c r="F7" s="3"/>
      <c r="G7" s="3">
        <v>109.053</v>
      </c>
      <c r="H7" s="3">
        <v>128.40600000000001</v>
      </c>
      <c r="I7" s="3"/>
      <c r="J7" s="3"/>
      <c r="K7" s="3"/>
      <c r="L7" s="3">
        <v>26.419</v>
      </c>
      <c r="M7" s="3">
        <v>50.406999999999996</v>
      </c>
      <c r="N7" s="3">
        <v>87.507999999999996</v>
      </c>
      <c r="O7" s="3">
        <v>108.77800000000001</v>
      </c>
      <c r="P7" s="3">
        <v>62.119</v>
      </c>
      <c r="Q7" s="3">
        <v>75.384</v>
      </c>
      <c r="R7" s="3">
        <v>159.12</v>
      </c>
      <c r="S7" s="3">
        <v>462.56599999999997</v>
      </c>
      <c r="T7" s="3">
        <v>462.07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x14ac:dyDescent="0.2">
      <c r="B8" s="2" t="s">
        <v>19</v>
      </c>
      <c r="C8" s="3">
        <v>118.611</v>
      </c>
      <c r="D8" s="3">
        <v>126.101</v>
      </c>
      <c r="E8" s="3"/>
      <c r="F8" s="3"/>
      <c r="G8" s="3">
        <v>151.30699999999999</v>
      </c>
      <c r="H8" s="3">
        <v>153.85900000000001</v>
      </c>
      <c r="I8" s="3"/>
      <c r="J8" s="3"/>
      <c r="K8" s="3"/>
      <c r="L8" s="3">
        <v>10.352</v>
      </c>
      <c r="M8" s="3">
        <v>116.503</v>
      </c>
      <c r="N8" s="3">
        <v>184.339</v>
      </c>
      <c r="O8" s="3">
        <v>498.54399999999998</v>
      </c>
      <c r="P8" s="3">
        <v>600.51</v>
      </c>
      <c r="Q8" s="3">
        <v>614.48900000000003</v>
      </c>
      <c r="R8" s="3">
        <v>529.84500000000003</v>
      </c>
      <c r="S8" s="3">
        <v>455.59800000000001</v>
      </c>
      <c r="T8" s="3">
        <v>516.78300000000002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x14ac:dyDescent="0.2">
      <c r="B9" s="2" t="s">
        <v>20</v>
      </c>
      <c r="C9" s="3">
        <v>10.141</v>
      </c>
      <c r="D9" s="3">
        <v>33.423000000000002</v>
      </c>
      <c r="E9" s="3"/>
      <c r="F9" s="3"/>
      <c r="G9" s="3">
        <v>-12.474</v>
      </c>
      <c r="H9" s="3">
        <v>64.512</v>
      </c>
      <c r="I9" s="3"/>
      <c r="J9" s="3"/>
      <c r="K9" s="3"/>
      <c r="L9" s="3">
        <v>3.5999999999999997E-2</v>
      </c>
      <c r="M9" s="3">
        <v>95.045000000000002</v>
      </c>
      <c r="N9" s="3">
        <v>340.18900000000002</v>
      </c>
      <c r="O9" s="3">
        <v>-2.1459999999999999</v>
      </c>
      <c r="P9" s="3">
        <v>83.453999999999994</v>
      </c>
      <c r="Q9" s="3">
        <v>16.417999999999999</v>
      </c>
      <c r="R9" s="3">
        <v>46.948999999999998</v>
      </c>
      <c r="S9" s="3">
        <v>73.864999999999995</v>
      </c>
      <c r="T9" s="3">
        <v>75.659000000000006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2" ht="15" x14ac:dyDescent="0.25">
      <c r="B10" s="1" t="s">
        <v>21</v>
      </c>
      <c r="C10" s="23">
        <f t="shared" ref="C10:F10" si="0">+SUM(C6:C9)</f>
        <v>642.83899999999994</v>
      </c>
      <c r="D10" s="23">
        <f t="shared" si="0"/>
        <v>692.98500000000001</v>
      </c>
      <c r="E10" s="23">
        <f t="shared" si="0"/>
        <v>0</v>
      </c>
      <c r="F10" s="23">
        <f t="shared" si="0"/>
        <v>0</v>
      </c>
      <c r="G10" s="23">
        <f>+SUM(G6:G9)</f>
        <v>837.86899999999991</v>
      </c>
      <c r="H10" s="23">
        <v>999.57299999999998</v>
      </c>
      <c r="I10" s="3"/>
      <c r="J10" s="3"/>
      <c r="K10" s="3"/>
      <c r="L10" s="23">
        <f t="shared" ref="L10:O10" si="1">+SUM(L6:L9)</f>
        <v>702.27199999999993</v>
      </c>
      <c r="M10" s="23">
        <f t="shared" si="1"/>
        <v>1027.9820000000002</v>
      </c>
      <c r="N10" s="23">
        <f t="shared" si="1"/>
        <v>1878.7180000000001</v>
      </c>
      <c r="O10" s="23">
        <f t="shared" ref="O10:T10" si="2">+SUM(O6:O9)</f>
        <v>1517.492</v>
      </c>
      <c r="P10" s="23">
        <f t="shared" si="2"/>
        <v>3239.3310000000006</v>
      </c>
      <c r="Q10" s="23">
        <f t="shared" si="2"/>
        <v>2811.4850000000001</v>
      </c>
      <c r="R10" s="23">
        <f t="shared" si="2"/>
        <v>2364.8120000000004</v>
      </c>
      <c r="S10" s="23">
        <f t="shared" si="2"/>
        <v>2293.373</v>
      </c>
      <c r="T10" s="23">
        <f t="shared" si="2"/>
        <v>2876.9490000000001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x14ac:dyDescent="0.2">
      <c r="B11" s="2" t="s">
        <v>22</v>
      </c>
      <c r="C11" s="3">
        <v>139.79900000000001</v>
      </c>
      <c r="D11" s="3">
        <v>150.78700000000001</v>
      </c>
      <c r="E11" s="3"/>
      <c r="F11" s="3"/>
      <c r="G11" s="3">
        <v>221.875</v>
      </c>
      <c r="H11" s="3">
        <v>202.125</v>
      </c>
      <c r="I11" s="3"/>
      <c r="J11" s="3"/>
      <c r="K11" s="3"/>
      <c r="L11" s="3">
        <v>221.214</v>
      </c>
      <c r="M11" s="3">
        <f>256.926+27.727</f>
        <v>284.65299999999996</v>
      </c>
      <c r="N11" s="3">
        <f>301.779+74.645</f>
        <v>376.42399999999998</v>
      </c>
      <c r="O11" s="3">
        <v>386.88799999999998</v>
      </c>
      <c r="P11" s="3">
        <v>758.84299999999996</v>
      </c>
      <c r="Q11" s="3">
        <v>745.43399999999997</v>
      </c>
      <c r="R11" s="3">
        <v>619.16800000000001</v>
      </c>
      <c r="S11" s="3">
        <v>508.358</v>
      </c>
      <c r="T11" s="3">
        <v>674.42600000000004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x14ac:dyDescent="0.2">
      <c r="B12" s="2" t="s">
        <v>23</v>
      </c>
      <c r="C12" s="3">
        <v>126.02800000000001</v>
      </c>
      <c r="D12" s="3">
        <v>123.693</v>
      </c>
      <c r="E12" s="3"/>
      <c r="F12" s="3"/>
      <c r="G12" s="3">
        <v>131.328</v>
      </c>
      <c r="H12" s="3">
        <v>165.21299999999999</v>
      </c>
      <c r="I12" s="3"/>
      <c r="J12" s="3"/>
      <c r="K12" s="3"/>
      <c r="L12" s="3">
        <v>56.557000000000002</v>
      </c>
      <c r="M12" s="3">
        <v>91.992999999999995</v>
      </c>
      <c r="N12" s="3">
        <v>141.81399999999999</v>
      </c>
      <c r="O12" s="3">
        <v>158.03899999999999</v>
      </c>
      <c r="P12" s="3">
        <v>125.649</v>
      </c>
      <c r="Q12" s="3">
        <v>139.70400000000001</v>
      </c>
      <c r="R12" s="3">
        <v>231.06</v>
      </c>
      <c r="S12" s="3">
        <v>500.46699999999998</v>
      </c>
      <c r="T12" s="3">
        <v>529.17700000000002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x14ac:dyDescent="0.2">
      <c r="B13" s="2" t="s">
        <v>24</v>
      </c>
      <c r="C13" s="3">
        <f t="shared" ref="C13:F13" si="3">+C10-SUM(C11:C12)</f>
        <v>377.01199999999994</v>
      </c>
      <c r="D13" s="3">
        <f t="shared" si="3"/>
        <v>418.505</v>
      </c>
      <c r="E13" s="3">
        <f t="shared" si="3"/>
        <v>0</v>
      </c>
      <c r="F13" s="3">
        <f t="shared" si="3"/>
        <v>0</v>
      </c>
      <c r="G13" s="3">
        <f>+G10-SUM(G11:G12)</f>
        <v>484.66599999999994</v>
      </c>
      <c r="H13" s="3">
        <f>+H10-SUM(H11:H12)</f>
        <v>632.23500000000001</v>
      </c>
      <c r="I13" s="3"/>
      <c r="J13" s="3"/>
      <c r="K13" s="3"/>
      <c r="L13" s="3">
        <f t="shared" ref="L13:O13" si="4">+L10-SUM(L11:L12)</f>
        <v>424.50099999999992</v>
      </c>
      <c r="M13" s="3">
        <f t="shared" si="4"/>
        <v>651.33600000000024</v>
      </c>
      <c r="N13" s="3">
        <f t="shared" si="4"/>
        <v>1360.48</v>
      </c>
      <c r="O13" s="3">
        <f t="shared" ref="O13:T13" si="5">+O10-SUM(O11:O12)</f>
        <v>972.56500000000005</v>
      </c>
      <c r="P13" s="3">
        <f t="shared" si="5"/>
        <v>2354.8390000000009</v>
      </c>
      <c r="Q13" s="3">
        <f t="shared" si="5"/>
        <v>1926.3470000000002</v>
      </c>
      <c r="R13" s="3">
        <f t="shared" si="5"/>
        <v>1514.5840000000003</v>
      </c>
      <c r="S13" s="3">
        <f t="shared" si="5"/>
        <v>1284.548</v>
      </c>
      <c r="T13" s="3">
        <f t="shared" si="5"/>
        <v>1673.346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x14ac:dyDescent="0.2">
      <c r="B14" s="2" t="s">
        <v>25</v>
      </c>
      <c r="C14" s="3">
        <v>58.182000000000002</v>
      </c>
      <c r="D14" s="3">
        <v>59.326999999999998</v>
      </c>
      <c r="E14" s="3"/>
      <c r="F14" s="3"/>
      <c r="G14" s="3">
        <v>59.802999999999997</v>
      </c>
      <c r="H14" s="3">
        <v>61.435000000000002</v>
      </c>
      <c r="I14" s="3"/>
      <c r="J14" s="3"/>
      <c r="K14" s="3"/>
      <c r="L14" s="3">
        <v>71.001000000000005</v>
      </c>
      <c r="M14" s="3">
        <v>131.506</v>
      </c>
      <c r="N14" s="3">
        <v>176.12</v>
      </c>
      <c r="O14" s="3">
        <v>209.393</v>
      </c>
      <c r="P14" s="3">
        <v>213.75</v>
      </c>
      <c r="Q14" s="3">
        <v>211.988</v>
      </c>
      <c r="R14" s="3">
        <v>219.505</v>
      </c>
      <c r="S14" s="3">
        <v>230.76</v>
      </c>
      <c r="T14" s="3">
        <v>236.446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x14ac:dyDescent="0.2">
      <c r="B15" s="2" t="s">
        <v>26</v>
      </c>
      <c r="C15" s="3">
        <v>100.82299999999999</v>
      </c>
      <c r="D15" s="3">
        <v>105.71599999999999</v>
      </c>
      <c r="E15" s="3"/>
      <c r="F15" s="3"/>
      <c r="G15" s="3">
        <v>119.35599999999999</v>
      </c>
      <c r="H15" s="3">
        <v>136.18100000000001</v>
      </c>
      <c r="I15" s="3"/>
      <c r="J15" s="3"/>
      <c r="K15" s="3"/>
      <c r="L15" s="3">
        <v>85.295000000000002</v>
      </c>
      <c r="M15" s="3">
        <v>177.489</v>
      </c>
      <c r="N15" s="3">
        <v>215.55600000000001</v>
      </c>
      <c r="O15" s="3">
        <v>383.71300000000002</v>
      </c>
      <c r="P15" s="3">
        <v>393.536</v>
      </c>
      <c r="Q15" s="3">
        <v>376.28199999999998</v>
      </c>
      <c r="R15" s="3">
        <v>390.947</v>
      </c>
      <c r="S15" s="3">
        <v>394.03899999999999</v>
      </c>
      <c r="T15" s="3">
        <v>434.82299999999998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x14ac:dyDescent="0.2">
      <c r="B16" s="2" t="s">
        <v>30</v>
      </c>
      <c r="C16" s="3">
        <v>22.346</v>
      </c>
      <c r="D16" s="3">
        <v>22.061</v>
      </c>
      <c r="E16" s="3"/>
      <c r="F16" s="3"/>
      <c r="G16" s="3">
        <v>22.135999999999999</v>
      </c>
      <c r="H16" s="3">
        <v>25.895</v>
      </c>
      <c r="I16" s="3"/>
      <c r="J16" s="3"/>
      <c r="K16" s="3"/>
      <c r="L16" s="3">
        <v>23.358000000000001</v>
      </c>
      <c r="M16" s="3">
        <v>61.466000000000001</v>
      </c>
      <c r="N16" s="3">
        <v>64.748999999999995</v>
      </c>
      <c r="O16" s="3">
        <v>103.642</v>
      </c>
      <c r="P16" s="3">
        <v>94.558000000000007</v>
      </c>
      <c r="Q16" s="3">
        <v>88.149000000000001</v>
      </c>
      <c r="R16" s="3">
        <v>86.069000000000003</v>
      </c>
      <c r="S16" s="3">
        <v>98.971999999999994</v>
      </c>
      <c r="T16" s="3">
        <v>97.001999999999995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2:42" x14ac:dyDescent="0.2">
      <c r="B17" s="2" t="s">
        <v>27</v>
      </c>
      <c r="C17" s="3">
        <f>16.076+14.687</f>
        <v>30.762999999999998</v>
      </c>
      <c r="D17" s="3">
        <f>16.078+12.153</f>
        <v>28.231000000000002</v>
      </c>
      <c r="E17" s="3"/>
      <c r="F17" s="3"/>
      <c r="G17" s="3">
        <f>15.932+11.783</f>
        <v>27.715</v>
      </c>
      <c r="H17" s="3">
        <f>15.618+11.783</f>
        <v>27.401</v>
      </c>
      <c r="I17" s="3"/>
      <c r="J17" s="3"/>
      <c r="K17" s="3"/>
      <c r="L17" s="3">
        <f>29.703+0.211</f>
        <v>29.913999999999998</v>
      </c>
      <c r="M17" s="3">
        <f>47.327+15.447</f>
        <v>62.774000000000001</v>
      </c>
      <c r="N17" s="3">
        <f>61.154+26.123</f>
        <v>87.277000000000001</v>
      </c>
      <c r="O17" s="3">
        <f>65.644+70.595</f>
        <v>136.239</v>
      </c>
      <c r="P17" s="3">
        <f>66.741+74.254</f>
        <v>140.995</v>
      </c>
      <c r="Q17" s="3">
        <f>67.816+69.668</f>
        <v>137.48400000000001</v>
      </c>
      <c r="R17" s="3">
        <f>66.377+64.837</f>
        <v>131.214</v>
      </c>
      <c r="S17" s="3">
        <f>63.306+63.96</f>
        <v>127.26599999999999</v>
      </c>
      <c r="T17" s="3">
        <f>65.816+50.471</f>
        <v>116.28700000000001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2:42" x14ac:dyDescent="0.2">
      <c r="B18" s="2" t="s">
        <v>29</v>
      </c>
      <c r="C18" s="3">
        <f>0.135+0.017</f>
        <v>0.15200000000000002</v>
      </c>
      <c r="D18" s="3">
        <f>0.016+0.06</f>
        <v>7.5999999999999998E-2</v>
      </c>
      <c r="E18" s="3"/>
      <c r="F18" s="3"/>
      <c r="G18" s="3">
        <f>0.338+0.01</f>
        <v>0.34800000000000003</v>
      </c>
      <c r="H18" s="3">
        <f>0.011+0.059</f>
        <v>6.9999999999999993E-2</v>
      </c>
      <c r="I18" s="3"/>
      <c r="J18" s="3"/>
      <c r="K18" s="3"/>
      <c r="L18" s="3">
        <f>-0.319+1.755</f>
        <v>1.4359999999999999</v>
      </c>
      <c r="M18" s="3">
        <f>3.671+25.27+0.657+0.772</f>
        <v>30.369999999999997</v>
      </c>
      <c r="N18" s="3">
        <f>23.357+2.02+0.024+11.487</f>
        <v>36.887999999999998</v>
      </c>
      <c r="O18" s="3">
        <f>66.452+26.117</f>
        <v>92.569000000000003</v>
      </c>
      <c r="P18" s="3">
        <f>9.608+2.941</f>
        <v>12.548999999999999</v>
      </c>
      <c r="Q18" s="3">
        <f>28.138+0.843</f>
        <v>28.981000000000002</v>
      </c>
      <c r="R18" s="3">
        <f>6.982+1.124</f>
        <v>8.1059999999999999</v>
      </c>
      <c r="S18" s="3">
        <f>0.445+0.314</f>
        <v>0.75900000000000001</v>
      </c>
      <c r="T18" s="3">
        <f>0.313+16.224</f>
        <v>16.536999999999999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2:42" x14ac:dyDescent="0.2">
      <c r="B19" s="2" t="s">
        <v>28</v>
      </c>
      <c r="C19" s="3">
        <f t="shared" ref="C19:F19" si="6">+C13-SUM(C14:C18)</f>
        <v>164.74599999999995</v>
      </c>
      <c r="D19" s="3">
        <f t="shared" si="6"/>
        <v>203.09399999999999</v>
      </c>
      <c r="E19" s="3">
        <f t="shared" si="6"/>
        <v>0</v>
      </c>
      <c r="F19" s="3">
        <f t="shared" si="6"/>
        <v>0</v>
      </c>
      <c r="G19" s="3">
        <f>+G13-SUM(G14:G18)</f>
        <v>255.30799999999994</v>
      </c>
      <c r="H19" s="3">
        <f>+H13-SUM(H14:H18)</f>
        <v>381.25299999999999</v>
      </c>
      <c r="I19" s="3"/>
      <c r="J19" s="3"/>
      <c r="K19" s="3"/>
      <c r="L19" s="3">
        <f t="shared" ref="L19:O19" si="7">+L13-SUM(L14:L18)</f>
        <v>213.49699999999993</v>
      </c>
      <c r="M19" s="3">
        <f t="shared" si="7"/>
        <v>187.73100000000022</v>
      </c>
      <c r="N19" s="3">
        <f t="shared" si="7"/>
        <v>779.88999999999987</v>
      </c>
      <c r="O19" s="3">
        <f t="shared" ref="O19:T19" si="8">+O13-SUM(O14:O18)</f>
        <v>47.009000000000015</v>
      </c>
      <c r="P19" s="3">
        <f t="shared" si="8"/>
        <v>1499.4510000000009</v>
      </c>
      <c r="Q19" s="3">
        <f t="shared" si="8"/>
        <v>1083.4630000000002</v>
      </c>
      <c r="R19" s="3">
        <f t="shared" si="8"/>
        <v>678.74300000000039</v>
      </c>
      <c r="S19" s="3">
        <f t="shared" si="8"/>
        <v>432.75200000000007</v>
      </c>
      <c r="T19" s="3">
        <f t="shared" si="8"/>
        <v>772.25099999999998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2:42" x14ac:dyDescent="0.2">
      <c r="B20" s="2" t="s">
        <v>33</v>
      </c>
      <c r="C20" s="3">
        <v>1.694</v>
      </c>
      <c r="D20" s="3">
        <v>24.279</v>
      </c>
      <c r="E20" s="3"/>
      <c r="F20" s="3"/>
      <c r="G20" s="3">
        <v>1.681</v>
      </c>
      <c r="H20" s="3">
        <v>1.6819999999999999</v>
      </c>
      <c r="I20" s="3"/>
      <c r="J20" s="3"/>
      <c r="K20" s="3"/>
      <c r="L20" s="3">
        <v>5.5789999999999997</v>
      </c>
      <c r="M20" s="3">
        <v>10.46</v>
      </c>
      <c r="N20" s="3">
        <v>11.727</v>
      </c>
      <c r="O20" s="3">
        <v>41.131999999999998</v>
      </c>
      <c r="P20" s="3">
        <v>28.879000000000001</v>
      </c>
      <c r="Q20" s="3">
        <v>6.59</v>
      </c>
      <c r="R20" s="3">
        <v>29.91</v>
      </c>
      <c r="S20" s="3">
        <v>8.3170000000000002</v>
      </c>
      <c r="T20" s="3">
        <v>29.478999999999999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2:42" x14ac:dyDescent="0.2">
      <c r="B21" s="2" t="s">
        <v>32</v>
      </c>
      <c r="C21" s="3">
        <v>23.231999999999999</v>
      </c>
      <c r="D21" s="3">
        <v>23.43</v>
      </c>
      <c r="E21" s="3"/>
      <c r="F21" s="3"/>
      <c r="G21" s="3">
        <v>29.890999999999998</v>
      </c>
      <c r="H21" s="3">
        <v>32.551000000000002</v>
      </c>
      <c r="I21" s="3"/>
      <c r="J21" s="3"/>
      <c r="K21" s="3"/>
      <c r="L21" s="3">
        <v>28.327000000000002</v>
      </c>
      <c r="M21" s="3">
        <v>64.106999999999999</v>
      </c>
      <c r="N21" s="3">
        <v>71.8</v>
      </c>
      <c r="O21" s="3">
        <v>121.85899999999999</v>
      </c>
      <c r="P21" s="3">
        <v>87.734999999999999</v>
      </c>
      <c r="Q21" s="3">
        <v>79.968999999999994</v>
      </c>
      <c r="R21" s="3">
        <v>92.034999999999997</v>
      </c>
      <c r="S21" s="3">
        <v>99.293999999999997</v>
      </c>
      <c r="T21" s="3">
        <v>97.802000000000007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2:42" x14ac:dyDescent="0.2">
      <c r="B22" s="2" t="s">
        <v>31</v>
      </c>
      <c r="C22" s="3">
        <f t="shared" ref="C22:F22" si="9">+C19-C20-C21</f>
        <v>139.81999999999996</v>
      </c>
      <c r="D22" s="3">
        <f t="shared" si="9"/>
        <v>155.38499999999999</v>
      </c>
      <c r="E22" s="3">
        <f t="shared" si="9"/>
        <v>0</v>
      </c>
      <c r="F22" s="3">
        <f t="shared" si="9"/>
        <v>0</v>
      </c>
      <c r="G22" s="3">
        <f>+G19-G20-G21</f>
        <v>223.73599999999993</v>
      </c>
      <c r="H22" s="3">
        <f>+H19-H20-H21</f>
        <v>347.02</v>
      </c>
      <c r="I22" s="3"/>
      <c r="J22" s="3"/>
      <c r="K22" s="3"/>
      <c r="L22" s="3">
        <f t="shared" ref="L22:O22" si="10">+L19-L20-L21</f>
        <v>179.59099999999992</v>
      </c>
      <c r="M22" s="3">
        <f t="shared" si="10"/>
        <v>113.16400000000021</v>
      </c>
      <c r="N22" s="3">
        <f t="shared" si="10"/>
        <v>696.36299999999994</v>
      </c>
      <c r="O22" s="3">
        <f t="shared" ref="O22:T22" si="11">+O19-O20-O21</f>
        <v>-115.98199999999997</v>
      </c>
      <c r="P22" s="3">
        <f t="shared" si="11"/>
        <v>1382.8370000000011</v>
      </c>
      <c r="Q22" s="3">
        <f t="shared" si="11"/>
        <v>996.90400000000022</v>
      </c>
      <c r="R22" s="3">
        <f t="shared" si="11"/>
        <v>556.79800000000046</v>
      </c>
      <c r="S22" s="3">
        <f t="shared" si="11"/>
        <v>325.14100000000008</v>
      </c>
      <c r="T22" s="3">
        <f t="shared" si="11"/>
        <v>644.96999999999991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2:42" x14ac:dyDescent="0.2">
      <c r="B23" s="2" t="s">
        <v>34</v>
      </c>
      <c r="C23" s="3">
        <v>28.512</v>
      </c>
      <c r="D23" s="3">
        <v>27.268000000000001</v>
      </c>
      <c r="E23" s="3"/>
      <c r="F23" s="3"/>
      <c r="G23" s="3">
        <v>34.100999999999999</v>
      </c>
      <c r="H23" s="3">
        <v>54.043999999999997</v>
      </c>
      <c r="I23" s="3"/>
      <c r="J23" s="3"/>
      <c r="K23" s="3"/>
      <c r="L23" s="3">
        <v>21.251000000000001</v>
      </c>
      <c r="M23" s="3">
        <v>94.266000000000005</v>
      </c>
      <c r="N23" s="3">
        <v>76.171000000000006</v>
      </c>
      <c r="O23" s="3">
        <v>-12.276999999999999</v>
      </c>
      <c r="P23" s="3">
        <v>261.92399999999998</v>
      </c>
      <c r="Q23" s="3">
        <v>169.67</v>
      </c>
      <c r="R23" s="3">
        <v>88.465999999999994</v>
      </c>
      <c r="S23" s="3">
        <v>61.21</v>
      </c>
      <c r="T23" s="3">
        <v>110.435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2:42" x14ac:dyDescent="0.2">
      <c r="B24" s="2" t="s">
        <v>35</v>
      </c>
      <c r="C24" s="3">
        <v>55.491</v>
      </c>
      <c r="D24" s="3">
        <v>61.530999999999999</v>
      </c>
      <c r="E24" s="3"/>
      <c r="F24" s="3"/>
      <c r="G24" s="3">
        <v>89.984999999999999</v>
      </c>
      <c r="H24" s="3">
        <v>141.78899999999999</v>
      </c>
      <c r="I24" s="3"/>
      <c r="J24" s="3"/>
      <c r="K24" s="3"/>
      <c r="L24" s="3">
        <v>125.36</v>
      </c>
      <c r="M24" s="3">
        <v>15.959</v>
      </c>
      <c r="N24" s="3">
        <v>330.75099999999998</v>
      </c>
      <c r="O24" s="3">
        <v>-45.11</v>
      </c>
      <c r="P24" s="3">
        <v>471.71600000000001</v>
      </c>
      <c r="Q24" s="3">
        <v>350.35599999999999</v>
      </c>
      <c r="R24" s="3">
        <v>203.30600000000001</v>
      </c>
      <c r="S24" s="3">
        <v>121.88500000000001</v>
      </c>
      <c r="T24" s="3">
        <v>258.12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2:42" x14ac:dyDescent="0.2">
      <c r="B25" s="2" t="s">
        <v>36</v>
      </c>
      <c r="C25" s="3">
        <f t="shared" ref="C25:F25" si="12">+C22-SUM(C23:C24)</f>
        <v>55.816999999999965</v>
      </c>
      <c r="D25" s="3">
        <f t="shared" si="12"/>
        <v>66.585999999999984</v>
      </c>
      <c r="E25" s="3">
        <f t="shared" si="12"/>
        <v>0</v>
      </c>
      <c r="F25" s="3">
        <f t="shared" si="12"/>
        <v>0</v>
      </c>
      <c r="G25" s="3">
        <f>+G22-SUM(G23:G24)</f>
        <v>99.649999999999935</v>
      </c>
      <c r="H25" s="3">
        <f>+H22-SUM(H23:H24)</f>
        <v>151.18700000000001</v>
      </c>
      <c r="I25" s="3"/>
      <c r="J25" s="3"/>
      <c r="K25" s="3"/>
      <c r="L25" s="3">
        <f t="shared" ref="L25:O25" si="13">+L22-L23-L24</f>
        <v>32.979999999999919</v>
      </c>
      <c r="M25" s="3">
        <f t="shared" si="13"/>
        <v>2.9390000000002097</v>
      </c>
      <c r="N25" s="3">
        <f t="shared" si="13"/>
        <v>289.44099999999992</v>
      </c>
      <c r="O25" s="3">
        <f t="shared" ref="O25:S25" si="14">+O22-O23-O24</f>
        <v>-58.59499999999997</v>
      </c>
      <c r="P25" s="3">
        <f t="shared" si="14"/>
        <v>649.19700000000114</v>
      </c>
      <c r="Q25" s="3">
        <f t="shared" si="14"/>
        <v>476.87800000000027</v>
      </c>
      <c r="R25" s="3">
        <f t="shared" si="14"/>
        <v>265.02600000000041</v>
      </c>
      <c r="S25" s="3">
        <f t="shared" si="14"/>
        <v>142.04600000000011</v>
      </c>
      <c r="T25" s="3">
        <f>+T22-T23-T24</f>
        <v>276.41499999999985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2:42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2:42" x14ac:dyDescent="0.2">
      <c r="B27" s="2" t="s">
        <v>37</v>
      </c>
      <c r="C27" s="24">
        <f t="shared" ref="C27:F27" si="15">+C25/C28</f>
        <v>0.62716349044432107</v>
      </c>
      <c r="D27" s="24">
        <f t="shared" si="15"/>
        <v>0.75547609261265969</v>
      </c>
      <c r="E27" s="24" t="e">
        <f t="shared" si="15"/>
        <v>#DIV/0!</v>
      </c>
      <c r="F27" s="24" t="e">
        <f t="shared" si="15"/>
        <v>#DIV/0!</v>
      </c>
      <c r="G27" s="24">
        <f>+G25/G28</f>
        <v>1.1630347749731949</v>
      </c>
      <c r="H27" s="24">
        <f>+H25/H28</f>
        <v>1.7684733420835843</v>
      </c>
      <c r="I27" s="3"/>
      <c r="J27" s="3"/>
      <c r="K27" s="3"/>
      <c r="L27" s="24">
        <f t="shared" ref="L27:O27" si="16">+L25/L28</f>
        <v>0.85575470779907581</v>
      </c>
      <c r="M27" s="24">
        <f t="shared" si="16"/>
        <v>4.6964526378095402E-2</v>
      </c>
      <c r="N27" s="24">
        <f t="shared" si="16"/>
        <v>2.8692810375230451</v>
      </c>
      <c r="O27" s="24">
        <f t="shared" ref="O27:S27" si="17">+O25/O28</f>
        <v>-0.51436074212015248</v>
      </c>
      <c r="P27" s="24">
        <f t="shared" si="17"/>
        <v>5.3347355348926735</v>
      </c>
      <c r="Q27" s="24">
        <f t="shared" si="17"/>
        <v>4.0640861900778411</v>
      </c>
      <c r="R27" s="24">
        <f t="shared" si="17"/>
        <v>2.5483326323221513</v>
      </c>
      <c r="S27" s="24">
        <f t="shared" si="17"/>
        <v>1.4955962898691488</v>
      </c>
      <c r="T27" s="24">
        <f>+T25/T28</f>
        <v>3.1596727113351388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2:42" x14ac:dyDescent="0.2">
      <c r="B28" s="2" t="s">
        <v>3</v>
      </c>
      <c r="C28" s="3">
        <v>88.999122</v>
      </c>
      <c r="D28" s="3">
        <v>88.137799000000001</v>
      </c>
      <c r="E28" s="3"/>
      <c r="F28" s="3"/>
      <c r="G28" s="3">
        <v>85.681015000000002</v>
      </c>
      <c r="H28" s="3">
        <v>85.490121000000002</v>
      </c>
      <c r="I28" s="3"/>
      <c r="J28" s="3"/>
      <c r="K28" s="3"/>
      <c r="L28" s="3">
        <v>38.539081000000003</v>
      </c>
      <c r="M28" s="3">
        <v>62.579146999999999</v>
      </c>
      <c r="N28" s="3">
        <v>100.875793</v>
      </c>
      <c r="O28" s="3">
        <v>113.918103</v>
      </c>
      <c r="P28" s="3">
        <v>121.692443</v>
      </c>
      <c r="Q28" s="3">
        <v>117.339539</v>
      </c>
      <c r="R28" s="3">
        <v>103.99976700000001</v>
      </c>
      <c r="S28" s="3">
        <v>94.976164999999995</v>
      </c>
      <c r="T28" s="3">
        <v>87.482162000000002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2:42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2:42" x14ac:dyDescent="0.2">
      <c r="B30" s="2" t="s">
        <v>66</v>
      </c>
      <c r="C30" s="3"/>
      <c r="D30" s="3"/>
      <c r="E30" s="3"/>
      <c r="F30" s="3"/>
      <c r="G30" s="25">
        <f>+G3/C3-1</f>
        <v>0.32408936432706636</v>
      </c>
      <c r="H30" s="25">
        <f t="shared" ref="H30:H31" si="18">+H3/D3-1</f>
        <v>0.38051328312708521</v>
      </c>
      <c r="I30" s="3"/>
      <c r="J30" s="3"/>
      <c r="K30" s="3"/>
      <c r="L30" s="3"/>
      <c r="M30" s="25">
        <f t="shared" ref="M30:M31" si="19">+M3/L3-1</f>
        <v>0.20931687970815904</v>
      </c>
      <c r="N30" s="25">
        <f t="shared" ref="N30:N31" si="20">+N3/M3-1</f>
        <v>0.65467122899653041</v>
      </c>
      <c r="O30" s="25">
        <f t="shared" ref="O30:O31" si="21">+O3/N3-1</f>
        <v>-0.25741237653262061</v>
      </c>
      <c r="P30" s="25">
        <f t="shared" ref="P30:P31" si="22">+P3/O3-1</f>
        <v>1.5224755712999007</v>
      </c>
      <c r="Q30" s="25">
        <f t="shared" ref="Q30:R30" si="23">+Q3/P3-1</f>
        <v>-0.15049923997683312</v>
      </c>
      <c r="R30" s="25">
        <f t="shared" si="23"/>
        <v>-0.17712158529599464</v>
      </c>
      <c r="S30" s="25">
        <f t="shared" ref="S30" si="24">+S3/R3-1</f>
        <v>1.6925937714270312E-2</v>
      </c>
      <c r="T30" s="25">
        <f>+T3/S3-1</f>
        <v>0.28780384079829768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2:42" x14ac:dyDescent="0.2">
      <c r="B31" s="2" t="s">
        <v>67</v>
      </c>
      <c r="C31" s="3"/>
      <c r="D31" s="3"/>
      <c r="E31" s="3"/>
      <c r="F31" s="3"/>
      <c r="G31" s="25">
        <f>+G4/C4-1</f>
        <v>0.19713383366726678</v>
      </c>
      <c r="H31" s="25">
        <f t="shared" si="18"/>
        <v>0.68809765541992296</v>
      </c>
      <c r="I31" s="3"/>
      <c r="J31" s="3"/>
      <c r="K31" s="3"/>
      <c r="L31" s="3"/>
      <c r="M31" s="25">
        <f t="shared" si="19"/>
        <v>7.5917082700238891E-2</v>
      </c>
      <c r="N31" s="25">
        <f t="shared" si="20"/>
        <v>4.0066374136278808</v>
      </c>
      <c r="O31" s="25">
        <f t="shared" si="21"/>
        <v>-9.2619269724157904E-3</v>
      </c>
      <c r="P31" s="25">
        <f t="shared" si="22"/>
        <v>0.32213830185302683</v>
      </c>
      <c r="Q31" s="25">
        <f t="shared" ref="Q31:R31" si="25">+Q4/P4-1</f>
        <v>-7.6795412701513355E-2</v>
      </c>
      <c r="R31" s="25">
        <f t="shared" si="25"/>
        <v>-0.14323867280891023</v>
      </c>
      <c r="S31" s="25">
        <f t="shared" ref="S31" si="26">+S4/R4-1</f>
        <v>-0.13164839054062205</v>
      </c>
      <c r="T31" s="25">
        <f>+T4/S4-1</f>
        <v>0.13590658885390416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2:42" x14ac:dyDescent="0.2">
      <c r="B32" s="2" t="s">
        <v>38</v>
      </c>
      <c r="C32" s="3"/>
      <c r="D32" s="3"/>
      <c r="E32" s="3"/>
      <c r="F32" s="3"/>
      <c r="G32" s="25">
        <f>+G6/C6-1</f>
        <v>0.4457001433489749</v>
      </c>
      <c r="H32" s="25">
        <f t="shared" ref="H32:H34" si="27">+H6/D6-1</f>
        <v>0.53096541938812614</v>
      </c>
      <c r="I32" s="3"/>
      <c r="J32" s="3"/>
      <c r="K32" s="3"/>
      <c r="L32" s="3"/>
      <c r="M32" s="25">
        <f t="shared" ref="M32:M34" si="28">+M6/L6-1</f>
        <v>0.15111538548233194</v>
      </c>
      <c r="N32" s="25">
        <f t="shared" ref="N32:N34" si="29">+N6/M6-1</f>
        <v>0.65357356855567739</v>
      </c>
      <c r="O32" s="25">
        <f t="shared" ref="O32:O34" si="30">+O6/N6-1</f>
        <v>-0.27975924501966554</v>
      </c>
      <c r="P32" s="25">
        <f t="shared" ref="P32:P34" si="31">+P6/O6-1</f>
        <v>1.7328776432727255</v>
      </c>
      <c r="Q32" s="25">
        <f t="shared" ref="Q32:R32" si="32">+Q6/P6-1</f>
        <v>-0.15564195779962531</v>
      </c>
      <c r="R32" s="25">
        <f t="shared" si="32"/>
        <v>-0.22624803224785939</v>
      </c>
      <c r="S32" s="25">
        <f t="shared" ref="S32:T33" si="33">+S6/R6-1</f>
        <v>-0.20108932542123559</v>
      </c>
      <c r="T32" s="25">
        <f t="shared" si="33"/>
        <v>0.40042678953451194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2:42" x14ac:dyDescent="0.2">
      <c r="B33" s="2" t="s">
        <v>39</v>
      </c>
      <c r="C33" s="3"/>
      <c r="D33" s="3"/>
      <c r="E33" s="3"/>
      <c r="F33" s="3"/>
      <c r="G33" s="25">
        <f t="shared" ref="G33:G34" si="34">+G7/C7-1</f>
        <v>2.8879538078345535E-2</v>
      </c>
      <c r="H33" s="25">
        <f t="shared" si="27"/>
        <v>0.19931630956606217</v>
      </c>
      <c r="I33" s="3"/>
      <c r="J33" s="3"/>
      <c r="K33" s="3"/>
      <c r="L33" s="3"/>
      <c r="M33" s="25">
        <f t="shared" si="28"/>
        <v>0.90798289110110142</v>
      </c>
      <c r="N33" s="25">
        <f t="shared" si="29"/>
        <v>0.7360287261689844</v>
      </c>
      <c r="O33" s="25">
        <f t="shared" si="30"/>
        <v>0.24306349133793503</v>
      </c>
      <c r="P33" s="25">
        <f t="shared" si="31"/>
        <v>-0.42893783669491992</v>
      </c>
      <c r="Q33" s="25">
        <f t="shared" ref="Q33:R33" si="35">+Q7/P7-1</f>
        <v>0.21354175051111568</v>
      </c>
      <c r="R33" s="25">
        <f t="shared" si="35"/>
        <v>1.1107927411652341</v>
      </c>
      <c r="S33" s="25">
        <f t="shared" si="33"/>
        <v>1.9070261437908496</v>
      </c>
      <c r="T33" s="25">
        <f t="shared" si="33"/>
        <v>-1.0722794152617787E-3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2:42" x14ac:dyDescent="0.2">
      <c r="B34" s="2" t="s">
        <v>40</v>
      </c>
      <c r="C34" s="3"/>
      <c r="D34" s="3"/>
      <c r="E34" s="3"/>
      <c r="F34" s="3"/>
      <c r="G34" s="25">
        <f t="shared" si="34"/>
        <v>0.27565740108421632</v>
      </c>
      <c r="H34" s="25">
        <f t="shared" si="27"/>
        <v>0.22012513778637777</v>
      </c>
      <c r="I34" s="3"/>
      <c r="J34" s="3"/>
      <c r="K34" s="3"/>
      <c r="L34" s="3"/>
      <c r="M34" s="25">
        <f t="shared" si="28"/>
        <v>10.254153786707882</v>
      </c>
      <c r="N34" s="25">
        <f t="shared" si="29"/>
        <v>0.58226826776992868</v>
      </c>
      <c r="O34" s="25">
        <f t="shared" si="30"/>
        <v>1.704495521837484</v>
      </c>
      <c r="P34" s="25">
        <f t="shared" si="31"/>
        <v>0.20452758432555607</v>
      </c>
      <c r="Q34" s="25">
        <f t="shared" ref="Q34:R34" si="36">+Q8/P8-1</f>
        <v>2.3278546568749947E-2</v>
      </c>
      <c r="R34" s="25">
        <f t="shared" si="36"/>
        <v>-0.13774697350155984</v>
      </c>
      <c r="S34" s="25">
        <f t="shared" ref="S34" si="37">+S8/R8-1</f>
        <v>-0.14012966056110754</v>
      </c>
      <c r="T34" s="25">
        <f>+T8/S8-1</f>
        <v>0.13429602412653252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2:42" ht="15" x14ac:dyDescent="0.25">
      <c r="B35" s="1" t="s">
        <v>41</v>
      </c>
      <c r="C35" s="23"/>
      <c r="D35" s="23"/>
      <c r="E35" s="23"/>
      <c r="F35" s="23"/>
      <c r="G35" s="26">
        <f>+G10/C10-1</f>
        <v>0.30338856229942479</v>
      </c>
      <c r="H35" s="26">
        <f t="shared" ref="H35" si="38">+H10/D10-1</f>
        <v>0.44241650252169951</v>
      </c>
      <c r="I35" s="3"/>
      <c r="J35" s="3"/>
      <c r="K35" s="3"/>
      <c r="L35" s="3"/>
      <c r="M35" s="26">
        <f t="shared" ref="M35" si="39">+M10/L10-1</f>
        <v>0.46379465506242634</v>
      </c>
      <c r="N35" s="26">
        <f t="shared" ref="N35" si="40">+N10/M10-1</f>
        <v>0.82757869301213427</v>
      </c>
      <c r="O35" s="26">
        <f t="shared" ref="O35" si="41">+O10/N10-1</f>
        <v>-0.1922726029132632</v>
      </c>
      <c r="P35" s="26">
        <f t="shared" ref="P35" si="42">+P10/O10-1</f>
        <v>1.1346610064501168</v>
      </c>
      <c r="Q35" s="26">
        <f t="shared" ref="Q35:S35" si="43">+Q10/P10-1</f>
        <v>-0.132078506333561</v>
      </c>
      <c r="R35" s="26">
        <f t="shared" si="43"/>
        <v>-0.1588744026733202</v>
      </c>
      <c r="S35" s="26">
        <f t="shared" si="43"/>
        <v>-3.0209166732915849E-2</v>
      </c>
      <c r="T35" s="26">
        <f>+T10/S10-1</f>
        <v>0.25446187776693985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2:42" x14ac:dyDescent="0.2">
      <c r="B36" s="2" t="s">
        <v>42</v>
      </c>
      <c r="C36" s="25">
        <f t="shared" ref="C36:F36" si="44">+C13/C10</f>
        <v>0.58647966287048547</v>
      </c>
      <c r="D36" s="25">
        <f t="shared" si="44"/>
        <v>0.60391639068666703</v>
      </c>
      <c r="E36" s="25" t="e">
        <f t="shared" si="44"/>
        <v>#DIV/0!</v>
      </c>
      <c r="F36" s="25" t="e">
        <f t="shared" si="44"/>
        <v>#DIV/0!</v>
      </c>
      <c r="G36" s="25">
        <f>+G13/G10</f>
        <v>0.57845080794253034</v>
      </c>
      <c r="H36" s="25">
        <f t="shared" ref="H36" si="45">+H13/H10</f>
        <v>0.6325050796690187</v>
      </c>
      <c r="I36" s="3"/>
      <c r="J36" s="3"/>
      <c r="K36" s="3"/>
      <c r="L36" s="3"/>
      <c r="M36" s="25">
        <f t="shared" ref="M36:P36" si="46">+M13/M10</f>
        <v>0.63360642501522413</v>
      </c>
      <c r="N36" s="25">
        <f t="shared" si="46"/>
        <v>0.72415338544688446</v>
      </c>
      <c r="O36" s="25">
        <f t="shared" si="46"/>
        <v>0.64090288449626098</v>
      </c>
      <c r="P36" s="25">
        <f t="shared" ref="P36:Q36" si="47">+P13/P10</f>
        <v>0.72695226267399049</v>
      </c>
      <c r="Q36" s="25">
        <f t="shared" ref="Q36:T36" si="48">+Q13/Q10</f>
        <v>0.68517064825172469</v>
      </c>
      <c r="R36" s="25">
        <f t="shared" si="48"/>
        <v>0.64046698003900526</v>
      </c>
      <c r="S36" s="25">
        <f t="shared" si="48"/>
        <v>0.56011298641782215</v>
      </c>
      <c r="T36" s="25">
        <f t="shared" si="48"/>
        <v>0.58163909057824803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2:42" x14ac:dyDescent="0.2">
      <c r="B37" s="2" t="s">
        <v>43</v>
      </c>
      <c r="C37" s="25">
        <f t="shared" ref="C37:F37" si="49">+C19/C10</f>
        <v>0.25627878831247008</v>
      </c>
      <c r="D37" s="25">
        <f t="shared" si="49"/>
        <v>0.29307127859910387</v>
      </c>
      <c r="E37" s="25" t="e">
        <f t="shared" si="49"/>
        <v>#DIV/0!</v>
      </c>
      <c r="F37" s="25" t="e">
        <f t="shared" si="49"/>
        <v>#DIV/0!</v>
      </c>
      <c r="G37" s="25">
        <f>+G19/G10</f>
        <v>0.30471111832517966</v>
      </c>
      <c r="H37" s="25">
        <f t="shared" ref="H37" si="50">+H19/H10</f>
        <v>0.38141586457417315</v>
      </c>
      <c r="I37" s="3"/>
      <c r="J37" s="3"/>
      <c r="K37" s="3"/>
      <c r="L37" s="3"/>
      <c r="M37" s="25">
        <f t="shared" ref="M37:P37" si="51">+M19/M10</f>
        <v>0.18262090192240737</v>
      </c>
      <c r="N37" s="25">
        <f t="shared" si="51"/>
        <v>0.41511818165365949</v>
      </c>
      <c r="O37" s="25">
        <f t="shared" si="51"/>
        <v>3.0978087528632781E-2</v>
      </c>
      <c r="P37" s="25">
        <f t="shared" ref="P37:Q37" si="52">+P19/P10</f>
        <v>0.46288909654493493</v>
      </c>
      <c r="Q37" s="25">
        <f t="shared" ref="Q37:T37" si="53">+Q19/Q10</f>
        <v>0.3853703647716421</v>
      </c>
      <c r="R37" s="25">
        <f t="shared" si="53"/>
        <v>0.2870177417908909</v>
      </c>
      <c r="S37" s="25">
        <f t="shared" si="53"/>
        <v>0.18869673620470812</v>
      </c>
      <c r="T37" s="25">
        <f t="shared" si="53"/>
        <v>0.26842707326407245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2:42" x14ac:dyDescent="0.2">
      <c r="B38" s="2" t="s">
        <v>44</v>
      </c>
      <c r="C38" s="25">
        <f t="shared" ref="C38:F38" si="54">+C23/C22</f>
        <v>0.20391932484623093</v>
      </c>
      <c r="D38" s="25">
        <f t="shared" si="54"/>
        <v>0.17548669433986552</v>
      </c>
      <c r="E38" s="25" t="e">
        <f t="shared" si="54"/>
        <v>#DIV/0!</v>
      </c>
      <c r="F38" s="25" t="e">
        <f t="shared" si="54"/>
        <v>#DIV/0!</v>
      </c>
      <c r="G38" s="25">
        <f>+G23/G22</f>
        <v>0.15241624056924236</v>
      </c>
      <c r="H38" s="25">
        <f t="shared" ref="H38" si="55">+H23/H22</f>
        <v>0.15573742147426661</v>
      </c>
      <c r="I38" s="3"/>
      <c r="J38" s="3"/>
      <c r="K38" s="3"/>
      <c r="L38" s="3"/>
      <c r="M38" s="25">
        <f t="shared" ref="M38:P38" si="56">+M23/M22</f>
        <v>0.83300342865221999</v>
      </c>
      <c r="N38" s="25">
        <f t="shared" si="56"/>
        <v>0.10938404251805454</v>
      </c>
      <c r="O38" s="25">
        <f t="shared" si="56"/>
        <v>0.10585263230501286</v>
      </c>
      <c r="P38" s="25">
        <f t="shared" ref="P38:Q38" si="57">+P23/P22</f>
        <v>0.18941061021653294</v>
      </c>
      <c r="Q38" s="25">
        <f t="shared" ref="Q38:T38" si="58">+Q23/Q22</f>
        <v>0.17019692969433362</v>
      </c>
      <c r="R38" s="25">
        <f t="shared" si="58"/>
        <v>0.15888347300098046</v>
      </c>
      <c r="S38" s="25">
        <f t="shared" si="58"/>
        <v>0.18825678705546206</v>
      </c>
      <c r="T38" s="25">
        <f t="shared" si="58"/>
        <v>0.17122501821790165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2:42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2:42" x14ac:dyDescent="0.2">
      <c r="B40" s="2" t="s">
        <v>73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>
        <v>820.43600000000004</v>
      </c>
      <c r="T40" s="3">
        <v>872.51300000000003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2:42" x14ac:dyDescent="0.2">
      <c r="B41" s="2" t="s">
        <v>74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>
        <v>35.024000000000001</v>
      </c>
      <c r="T41" s="3">
        <v>41.478000000000002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2:42" x14ac:dyDescent="0.2">
      <c r="B42" s="2" t="s">
        <v>75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>
        <v>1722.44</v>
      </c>
      <c r="T42" s="3">
        <v>2294.529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2:42" x14ac:dyDescent="0.2">
      <c r="B43" s="2" t="s">
        <v>76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>
        <v>1512.114</v>
      </c>
      <c r="T43" s="3">
        <v>983.94100000000003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2:42" x14ac:dyDescent="0.2">
      <c r="B44" s="2" t="s">
        <v>81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>
        <v>737.72400000000005</v>
      </c>
      <c r="T44" s="3">
        <v>1100.8499999999999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2:42" x14ac:dyDescent="0.2">
      <c r="B45" s="2" t="s">
        <v>78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>
        <v>6127.7520000000004</v>
      </c>
      <c r="T45" s="3">
        <v>5520.0150000000003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2:42" x14ac:dyDescent="0.2">
      <c r="B46" s="2" t="s">
        <v>77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>
        <v>1230.8589999999999</v>
      </c>
      <c r="T46" s="3">
        <v>2282.6370000000002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2:42" x14ac:dyDescent="0.2">
      <c r="B47" s="2" t="s">
        <v>79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>
        <v>106.245</v>
      </c>
      <c r="T47" s="3">
        <v>149.804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2:42" x14ac:dyDescent="0.2">
      <c r="B48" s="2" t="s">
        <v>80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>
        <f t="shared" ref="Q48:S48" si="59">+SUM(Q40:Q47)</f>
        <v>0</v>
      </c>
      <c r="R48" s="3">
        <f t="shared" si="59"/>
        <v>0</v>
      </c>
      <c r="S48" s="3">
        <f t="shared" si="59"/>
        <v>12292.594000000003</v>
      </c>
      <c r="T48" s="3">
        <f>+SUM(T40:T47)</f>
        <v>13245.767000000002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2:42" x14ac:dyDescent="0.2">
      <c r="B49" s="2" t="s">
        <v>82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>
        <v>100.36499999999999</v>
      </c>
      <c r="T49" s="3">
        <v>91.415000000000006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2:42" x14ac:dyDescent="0.2">
      <c r="B50" s="2" t="s">
        <v>83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>
        <v>229.499</v>
      </c>
      <c r="T50" s="3">
        <v>175.04599999999999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2:42" x14ac:dyDescent="0.2">
      <c r="B51" s="2" t="s">
        <v>84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>
        <v>1148.9259999999999</v>
      </c>
      <c r="T51" s="3">
        <v>1148.9259999999999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2:42" x14ac:dyDescent="0.2">
      <c r="B52" s="2" t="s">
        <v>85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>
        <v>257.52</v>
      </c>
      <c r="T52" s="3">
        <v>203.18799999999999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2:42" x14ac:dyDescent="0.2">
      <c r="B53" s="2" t="s">
        <v>86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>
        <v>133.76</v>
      </c>
      <c r="T53" s="3">
        <v>135.04599999999999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2:42" x14ac:dyDescent="0.2">
      <c r="B54" s="2" t="s">
        <v>20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>
        <v>303.72000000000003</v>
      </c>
      <c r="T54" s="3">
        <f>4.615+357.74</f>
        <v>362.35500000000002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2:42" x14ac:dyDescent="0.2">
      <c r="B55" s="2" t="s">
        <v>87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>
        <f t="shared" ref="P55:S55" si="60">+SUM(P49:P54)</f>
        <v>0</v>
      </c>
      <c r="Q55" s="3">
        <f t="shared" si="60"/>
        <v>0</v>
      </c>
      <c r="R55" s="3">
        <f t="shared" si="60"/>
        <v>0</v>
      </c>
      <c r="S55" s="3">
        <f t="shared" si="60"/>
        <v>2173.79</v>
      </c>
      <c r="T55" s="3">
        <f>+SUM(T49:T54)</f>
        <v>2115.9759999999997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2:42" ht="15" x14ac:dyDescent="0.25">
      <c r="B56" s="1" t="s">
        <v>88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>
        <f t="shared" ref="R56:S56" si="61">+R55+R48</f>
        <v>0</v>
      </c>
      <c r="S56" s="23">
        <f t="shared" si="61"/>
        <v>14466.384000000002</v>
      </c>
      <c r="T56" s="23">
        <f>+T55+T48</f>
        <v>15361.743000000002</v>
      </c>
      <c r="U56" s="23"/>
      <c r="V56" s="23"/>
      <c r="W56" s="2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2:42" x14ac:dyDescent="0.2">
      <c r="B57" s="2" t="s">
        <v>90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>
        <v>0</v>
      </c>
      <c r="T57" s="3">
        <v>38.540999999999997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2:42" x14ac:dyDescent="0.2">
      <c r="B58" s="2" t="s">
        <v>91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>
        <v>1329.4459999999999</v>
      </c>
      <c r="T58" s="3">
        <v>2431.8780000000002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2:42" x14ac:dyDescent="0.2">
      <c r="B59" s="2" t="s">
        <v>92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>
        <v>1795.9939999999999</v>
      </c>
      <c r="T59" s="3">
        <v>1271.788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2:42" x14ac:dyDescent="0.2">
      <c r="B60" s="2" t="s">
        <v>93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>
        <v>1167.712</v>
      </c>
      <c r="T60" s="3">
        <v>918.56600000000003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2:42" x14ac:dyDescent="0.2">
      <c r="B61" s="2" t="s">
        <v>94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>
        <v>23.228999999999999</v>
      </c>
      <c r="T61" s="3">
        <v>46.112000000000002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2:42" x14ac:dyDescent="0.2">
      <c r="B62" s="2" t="s">
        <v>95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>
        <v>6071.3519999999999</v>
      </c>
      <c r="T62" s="3">
        <v>6440.9709999999995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2:42" x14ac:dyDescent="0.2">
      <c r="B63" s="2" t="s">
        <v>96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>
        <v>216.48</v>
      </c>
      <c r="T63" s="3">
        <v>196.59200000000001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2:42" x14ac:dyDescent="0.2">
      <c r="B64" s="2" t="s">
        <v>97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>
        <v>451.29300000000001</v>
      </c>
      <c r="T64" s="3">
        <v>558.1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2:42" x14ac:dyDescent="0.2">
      <c r="B65" s="2" t="s">
        <v>98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>
        <f t="shared" ref="O65:S65" si="62">+SUM(O57:O64)</f>
        <v>0</v>
      </c>
      <c r="P65" s="3">
        <f t="shared" si="62"/>
        <v>0</v>
      </c>
      <c r="Q65" s="3">
        <f t="shared" si="62"/>
        <v>0</v>
      </c>
      <c r="R65" s="3">
        <f t="shared" si="62"/>
        <v>0</v>
      </c>
      <c r="S65" s="3">
        <f t="shared" si="62"/>
        <v>11055.505999999999</v>
      </c>
      <c r="T65" s="3">
        <f>+SUM(T57:T64)</f>
        <v>11902.548000000001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2:42" x14ac:dyDescent="0.2">
      <c r="B66" s="2" t="s">
        <v>83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>
        <v>278.31700000000001</v>
      </c>
      <c r="T66" s="3">
        <v>229.82499999999999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2:42" x14ac:dyDescent="0.2">
      <c r="B67" s="2" t="s">
        <v>99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>
        <v>1727.2049999999999</v>
      </c>
      <c r="T67" s="3">
        <v>1740.4670000000001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2:42" x14ac:dyDescent="0.2">
      <c r="B68" s="2" t="s">
        <v>20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>
        <v>0</v>
      </c>
      <c r="T68" s="3">
        <v>1.526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2:42" x14ac:dyDescent="0.2">
      <c r="B69" s="2" t="s">
        <v>100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>
        <f t="shared" ref="P69:S69" si="63">+SUM(P66:P68)</f>
        <v>0</v>
      </c>
      <c r="Q69" s="3">
        <f t="shared" si="63"/>
        <v>0</v>
      </c>
      <c r="R69" s="3">
        <f t="shared" si="63"/>
        <v>0</v>
      </c>
      <c r="S69" s="3">
        <f t="shared" si="63"/>
        <v>2005.5219999999999</v>
      </c>
      <c r="T69" s="3">
        <f>+SUM(T66:T68)</f>
        <v>1971.8180000000002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2:42" x14ac:dyDescent="0.2">
      <c r="B70" s="2" t="s">
        <v>101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f t="shared" ref="Q70:S70" si="64">+Q69+Q65</f>
        <v>0</v>
      </c>
      <c r="R70" s="3">
        <f t="shared" si="64"/>
        <v>0</v>
      </c>
      <c r="S70" s="3">
        <f t="shared" si="64"/>
        <v>13061.027999999998</v>
      </c>
      <c r="T70" s="3">
        <f>+T69+T65</f>
        <v>13874.366000000002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2:42" x14ac:dyDescent="0.2">
      <c r="B71" s="2" t="s">
        <v>89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>
        <v>1405.356</v>
      </c>
      <c r="T71" s="3">
        <v>1487.377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2:42" ht="15" x14ac:dyDescent="0.25">
      <c r="B72" s="2" t="s">
        <v>102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23">
        <f t="shared" ref="Q72" si="65">+Q70+Q71</f>
        <v>0</v>
      </c>
      <c r="R72" s="23">
        <f t="shared" ref="R72:S72" si="66">+R70+R71</f>
        <v>0</v>
      </c>
      <c r="S72" s="23">
        <f t="shared" si="66"/>
        <v>14466.383999999998</v>
      </c>
      <c r="T72" s="23">
        <f>+T70+T71</f>
        <v>15361.743000000002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2:42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2:42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2:42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spans="2:42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2:42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2:42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2:42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2:42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3:42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3:42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3:42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3:42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3:42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3:42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3:42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3:42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3:42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3:42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3:42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3:42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 spans="3:42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3:42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</row>
    <row r="95" spans="3:42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 spans="3:42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spans="3:42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3:42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spans="3:42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3:42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spans="3:42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3:42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3:42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3:42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3:42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3:42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3:42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3:42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3:42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3:42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3:42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3:42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3:42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3:42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3:42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3:42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spans="3:42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3:42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3:42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3:42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3:42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3:42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3:42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3:42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3:42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3:42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</row>
    <row r="127" spans="3:42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3:42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 spans="3:42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3:42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3:42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3:42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3:42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3:42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3:42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3:42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3:42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3:42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3:42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3:42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3:42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3:42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3:42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3:42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3:42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3:42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3:42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3:42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3:42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3:42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3:42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3:42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3:42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3:42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3:42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3:42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3:42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3:42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3:42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3:42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3:42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3:42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3:42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 spans="3:42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3:42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3:42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</row>
    <row r="167" spans="3:42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3:42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 spans="3:42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3:42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</row>
    <row r="171" spans="3:42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</row>
    <row r="172" spans="3:42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</row>
    <row r="173" spans="3:42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</row>
    <row r="174" spans="3:42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</row>
    <row r="175" spans="3:42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</row>
    <row r="176" spans="3:42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</row>
    <row r="177" spans="3:42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</row>
    <row r="178" spans="3:42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</row>
    <row r="179" spans="3:42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</row>
    <row r="180" spans="3:42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</row>
    <row r="181" spans="3:42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</row>
    <row r="182" spans="3:42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</row>
    <row r="183" spans="3:42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4" spans="3:42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</row>
    <row r="185" spans="3:42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</row>
    <row r="186" spans="3:42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</row>
    <row r="187" spans="3:42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</row>
    <row r="188" spans="3:42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</row>
    <row r="189" spans="3:42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</row>
    <row r="190" spans="3:42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</row>
    <row r="191" spans="3:42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</row>
    <row r="192" spans="3:42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</row>
    <row r="193" spans="3:42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3:42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3:42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 spans="3:42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</row>
    <row r="197" spans="3:42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</row>
    <row r="198" spans="3:42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</row>
    <row r="199" spans="3:42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3:42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  <row r="201" spans="3:42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</row>
    <row r="202" spans="3:42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</row>
    <row r="203" spans="3:42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</row>
    <row r="204" spans="3:42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3:42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 spans="3:42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 spans="3:42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 spans="3:42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3:42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3:42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3:42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 spans="3:42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</row>
    <row r="213" spans="3:42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</row>
    <row r="214" spans="3:42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</row>
    <row r="215" spans="3:42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</row>
    <row r="216" spans="3:42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</row>
    <row r="217" spans="3:42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</row>
    <row r="218" spans="3:42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</row>
    <row r="219" spans="3:42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</row>
    <row r="220" spans="3:42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</row>
    <row r="221" spans="3:42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</row>
    <row r="222" spans="3:42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</row>
    <row r="223" spans="3:42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</row>
    <row r="224" spans="3:42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3:42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3:42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3:42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3:42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3:42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3:42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 spans="3:42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3:42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</row>
    <row r="233" spans="3:42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</row>
    <row r="234" spans="3:42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</row>
    <row r="235" spans="3:42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 spans="3:42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 spans="3:42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</row>
    <row r="238" spans="3:42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</row>
    <row r="239" spans="3:42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 spans="3:42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</row>
    <row r="241" spans="3:42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</row>
    <row r="242" spans="3:42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</row>
    <row r="243" spans="3:42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3:42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spans="3:42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3:42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spans="3:42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spans="3:42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spans="3:42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3:42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3:42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spans="3:42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 spans="3:42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</row>
    <row r="254" spans="3:42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</row>
    <row r="255" spans="3:42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spans="3:42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 spans="3:42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 spans="3:42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</row>
    <row r="259" spans="3:42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  <row r="260" spans="3:42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</row>
    <row r="261" spans="3:42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</row>
    <row r="262" spans="3:42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</row>
    <row r="263" spans="3:42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</row>
    <row r="264" spans="3:42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</row>
    <row r="265" spans="3:42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</row>
    <row r="266" spans="3:42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</row>
    <row r="267" spans="3:42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</row>
    <row r="268" spans="3:42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</row>
    <row r="269" spans="3:42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</row>
    <row r="270" spans="3:42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</row>
    <row r="271" spans="3:42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</row>
    <row r="272" spans="3:42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</row>
    <row r="273" spans="3:42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</row>
    <row r="274" spans="3:42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</row>
    <row r="275" spans="3:42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</row>
    <row r="276" spans="3:42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</row>
    <row r="277" spans="3:42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</row>
    <row r="278" spans="3:42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</row>
    <row r="279" spans="3:42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</row>
    <row r="280" spans="3:42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</row>
    <row r="281" spans="3:42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</row>
    <row r="282" spans="3:42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</row>
    <row r="283" spans="3:42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</row>
    <row r="284" spans="3:42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</row>
    <row r="285" spans="3:42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</row>
    <row r="286" spans="3:42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</row>
    <row r="287" spans="3:42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</row>
    <row r="288" spans="3:42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</row>
    <row r="289" spans="3:42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</row>
    <row r="290" spans="3:42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</row>
    <row r="291" spans="3:42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</row>
    <row r="292" spans="3:42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</row>
    <row r="293" spans="3:42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</row>
    <row r="294" spans="3:42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</row>
    <row r="295" spans="3:42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</row>
    <row r="296" spans="3:42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</row>
    <row r="297" spans="3:42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</row>
    <row r="298" spans="3:42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</row>
    <row r="299" spans="3:42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</row>
    <row r="300" spans="3:42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</row>
    <row r="301" spans="3:42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</row>
    <row r="302" spans="3:42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</row>
    <row r="303" spans="3:42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</row>
    <row r="304" spans="3:42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</row>
    <row r="305" spans="3:42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</row>
    <row r="306" spans="3:42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</row>
    <row r="307" spans="3:42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</row>
    <row r="308" spans="3:42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</row>
    <row r="309" spans="3:42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</row>
    <row r="310" spans="3:42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</row>
    <row r="311" spans="3:42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</row>
    <row r="312" spans="3:42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</row>
    <row r="313" spans="3:42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</row>
    <row r="314" spans="3:42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</row>
    <row r="315" spans="3:42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</row>
    <row r="316" spans="3:42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</row>
    <row r="317" spans="3:42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</row>
    <row r="318" spans="3:42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</row>
    <row r="319" spans="3:42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</row>
    <row r="320" spans="3:42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</row>
    <row r="321" spans="3:42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</row>
    <row r="322" spans="3:42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</row>
    <row r="323" spans="3:42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</row>
    <row r="324" spans="3:42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</row>
    <row r="325" spans="3:42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</row>
    <row r="326" spans="3:42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</row>
    <row r="327" spans="3:42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</row>
    <row r="328" spans="3:42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</row>
    <row r="329" spans="3:42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</row>
    <row r="330" spans="3:42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</row>
    <row r="331" spans="3:42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</row>
    <row r="332" spans="3:42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</row>
    <row r="333" spans="3:42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</row>
    <row r="334" spans="3:42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</row>
    <row r="335" spans="3:42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</row>
    <row r="336" spans="3:42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</row>
    <row r="337" spans="3:42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</row>
    <row r="338" spans="3:42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</row>
    <row r="339" spans="3:42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</row>
    <row r="340" spans="3:42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</row>
    <row r="341" spans="3:42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</row>
    <row r="342" spans="3:42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</row>
    <row r="343" spans="3:42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</row>
    <row r="344" spans="3:42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</row>
    <row r="345" spans="3:42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</row>
    <row r="346" spans="3:42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</row>
    <row r="347" spans="3:42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</row>
    <row r="348" spans="3:42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</row>
    <row r="349" spans="3:42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</row>
    <row r="350" spans="3:42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</row>
    <row r="351" spans="3:42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</row>
  </sheetData>
  <hyperlinks>
    <hyperlink ref="A1" location="Main!A1" display="Main" xr:uid="{7A5FD33B-47A5-40C1-B791-82EE8EF3F8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2025-06-13T11:14:14Z</dcterms:created>
  <dcterms:modified xsi:type="dcterms:W3CDTF">2025-09-10T12:36:37Z</dcterms:modified>
</cp:coreProperties>
</file>