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632B895-109A-4C2B-9B5E-A51D5495705A}" xr6:coauthVersionLast="47" xr6:coauthVersionMax="47" xr10:uidLastSave="{00000000-0000-0000-0000-000000000000}"/>
  <bookViews>
    <workbookView xWindow="19095" yWindow="0" windowWidth="19410" windowHeight="20925" xr2:uid="{307BA413-EEF9-4958-8DCC-E913E47A6543}"/>
  </bookViews>
  <sheets>
    <sheet name="Main" sheetId="1" r:id="rId1"/>
    <sheet name="Financials" sheetId="2" r:id="rId2"/>
    <sheet name="Ratios" sheetId="3" r:id="rId3"/>
    <sheet name="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U101" i="2"/>
  <c r="T101" i="2"/>
  <c r="S101" i="2"/>
  <c r="V101" i="2"/>
  <c r="U99" i="2"/>
  <c r="T99" i="2"/>
  <c r="S99" i="2"/>
  <c r="V99" i="2"/>
  <c r="U94" i="2"/>
  <c r="T94" i="2"/>
  <c r="S94" i="2"/>
  <c r="V94" i="2"/>
  <c r="T71" i="2"/>
  <c r="U88" i="2"/>
  <c r="T88" i="2"/>
  <c r="S88" i="2"/>
  <c r="U71" i="2"/>
  <c r="U89" i="2"/>
  <c r="S89" i="2"/>
  <c r="R89" i="2"/>
  <c r="Q89" i="2"/>
  <c r="P89" i="2"/>
  <c r="V89" i="2"/>
  <c r="V88" i="2"/>
  <c r="U69" i="2"/>
  <c r="T69" i="2"/>
  <c r="V69" i="2"/>
  <c r="U65" i="2"/>
  <c r="U67" i="2" s="1"/>
  <c r="T67" i="2"/>
  <c r="V67" i="2"/>
  <c r="V65" i="2"/>
  <c r="U60" i="2"/>
  <c r="T60" i="2"/>
  <c r="V60" i="2"/>
  <c r="T52" i="2"/>
  <c r="U52" i="2"/>
  <c r="U51" i="2"/>
  <c r="T51" i="2"/>
  <c r="U44" i="2"/>
  <c r="T44" i="2"/>
  <c r="S44" i="2"/>
  <c r="V52" i="2"/>
  <c r="V51" i="2"/>
  <c r="V44" i="2"/>
  <c r="M33" i="2"/>
  <c r="L8" i="2"/>
  <c r="L7" i="2"/>
  <c r="L37" i="2"/>
  <c r="L36" i="2"/>
  <c r="L35" i="2"/>
  <c r="L34" i="2"/>
  <c r="L33" i="2"/>
  <c r="L30" i="2"/>
  <c r="L28" i="2"/>
  <c r="L26" i="2"/>
  <c r="L24" i="2"/>
  <c r="L21" i="2"/>
  <c r="K8" i="2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I9" i="1" s="1"/>
  <c r="T89" i="2" l="1"/>
  <c r="S7" i="2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I10" i="1" s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tc={70CDCA07-2FB0-4476-9043-D6D6ECCDCCB8}</author>
  </authors>
  <commentList>
    <comment ref="M19" authorId="0" shapeId="0" xr:uid="{70CDCA07-2FB0-4476-9043-D6D6ECCDCCB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2470 to 2500</t>
      </text>
    </comment>
  </commentList>
</comments>
</file>

<file path=xl/sharedStrings.xml><?xml version="1.0" encoding="utf-8"?>
<sst xmlns="http://schemas.openxmlformats.org/spreadsheetml/2006/main" count="133" uniqueCount="119">
  <si>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</si>
  <si>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</si>
  <si>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</si>
  <si>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</si>
  <si>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</si>
  <si>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</si>
  <si>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</si>
  <si>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</si>
  <si>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</si>
  <si>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</si>
  <si>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</si>
  <si>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</si>
  <si>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</si>
  <si>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</si>
  <si>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</si>
  <si>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</si>
  <si>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</si>
  <si>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</si>
  <si>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</si>
  <si>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</si>
  <si>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</si>
  <si>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</si>
  <si>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</si>
  <si>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</si>
  <si>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</si>
  <si>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</si>
  <si>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</si>
  <si>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</si>
  <si>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</si>
  <si>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</si>
  <si>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</si>
  <si>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</si>
  <si>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</si>
  <si>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</si>
  <si>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</si>
  <si>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</si>
  <si>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</si>
  <si>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</si>
  <si>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</si>
  <si>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</si>
  <si>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</si>
  <si>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</si>
  <si>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</si>
  <si>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</si>
  <si>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</si>
  <si>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</si>
  <si>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</si>
  <si>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</si>
  <si>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</si>
  <si>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</si>
  <si>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</si>
  <si>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</si>
  <si>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</si>
  <si>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</si>
  <si>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</si>
  <si>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</si>
  <si>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</si>
  <si>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</si>
  <si>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</si>
  <si>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</si>
  <si>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</si>
  <si>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</si>
  <si>
    <t>P/E</t>
  </si>
  <si>
    <t>EV/EBIT</t>
  </si>
  <si>
    <t>LuluLemon</t>
  </si>
  <si>
    <t>Cash &amp; Cash Equivalents</t>
  </si>
  <si>
    <t>Accounts receivables</t>
  </si>
  <si>
    <t>Inventories</t>
  </si>
  <si>
    <t>Accrued Taxes</t>
  </si>
  <si>
    <t>Prepaid Expenses &amp; other</t>
  </si>
  <si>
    <t>Current Assets</t>
  </si>
  <si>
    <t>PP&amp;E</t>
  </si>
  <si>
    <t>Lease Assets</t>
  </si>
  <si>
    <t>Goodwill</t>
  </si>
  <si>
    <t>Intangibles</t>
  </si>
  <si>
    <t>Deffered Taxes</t>
  </si>
  <si>
    <t>Non-Current Assets</t>
  </si>
  <si>
    <t>Total Assets</t>
  </si>
  <si>
    <t>Liabililties &amp; Equity</t>
  </si>
  <si>
    <t>Non-Current Liabilities</t>
  </si>
  <si>
    <t>Accounts payables</t>
  </si>
  <si>
    <t>Accrued Liabilities</t>
  </si>
  <si>
    <t>Accrued compensation</t>
  </si>
  <si>
    <t>Lease Liabilities</t>
  </si>
  <si>
    <t>Income Tax payables</t>
  </si>
  <si>
    <t>Gift Card Liabilities</t>
  </si>
  <si>
    <t>Current Liabilties</t>
  </si>
  <si>
    <t>Equity</t>
  </si>
  <si>
    <t>CFFO</t>
  </si>
  <si>
    <t>D&amp;A</t>
  </si>
  <si>
    <t>Impairments</t>
  </si>
  <si>
    <t>SBCs</t>
  </si>
  <si>
    <t>Derecognition Gift Cards</t>
  </si>
  <si>
    <t>Derivatives Settlements</t>
  </si>
  <si>
    <t>Change in AR</t>
  </si>
  <si>
    <t>Change in TR</t>
  </si>
  <si>
    <t>Change in PE</t>
  </si>
  <si>
    <t>Change in ONCA</t>
  </si>
  <si>
    <t>Change in AP</t>
  </si>
  <si>
    <t>Change in AL</t>
  </si>
  <si>
    <t>Change in AC</t>
  </si>
  <si>
    <t>Cahnge in TP</t>
  </si>
  <si>
    <t>Change in UGL</t>
  </si>
  <si>
    <t>Change in Leases</t>
  </si>
  <si>
    <t>Change in OL</t>
  </si>
  <si>
    <t>Change in WC</t>
  </si>
  <si>
    <t>Change in Inventories</t>
  </si>
  <si>
    <t>CFFI</t>
  </si>
  <si>
    <t>CapEx</t>
  </si>
  <si>
    <t>Investment Hedges</t>
  </si>
  <si>
    <t>Acquisitions</t>
  </si>
  <si>
    <t>Settlements of SBCs</t>
  </si>
  <si>
    <t>Tax paid related to SBCs</t>
  </si>
  <si>
    <t>Stock Repurchases</t>
  </si>
  <si>
    <t>CFFF</t>
  </si>
  <si>
    <t>Fx</t>
  </si>
  <si>
    <t>Change in Cash</t>
  </si>
  <si>
    <t>Cash BoP</t>
  </si>
  <si>
    <t>Cash 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</si>
</sst>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.0;\(#,##0.0\)"/>
    <numFmt numFmtId="166" formatCode="0.0"/>
    <numFmt numFmtId="167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1" applyFont="1"/>
    <xf numFmtId="16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0" fontId="6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6" fillId="0" borderId="0" xfId="0" applyNumberFormat="1" applyFont="1"/>
    <xf numFmtId="9" fontId="6" fillId="0" borderId="0" xfId="2" applyFont="1"/>
    <xf numFmtId="9" fontId="3" fillId="0" borderId="0" xfId="2" applyFont="1"/>
    <xf numFmtId="167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76200</xdr:rowOff>
    </xdr:from>
    <xdr:to>
      <xdr:col>12</xdr:col>
      <xdr:colOff>28575</xdr:colOff>
      <xdr:row>32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56DDCE-2E1F-8C2F-8E18-EABCC26A1A44}"/>
            </a:ext>
          </a:extLst>
        </xdr:cNvPr>
        <xdr:cNvCxnSpPr/>
      </xdr:nvCxnSpPr>
      <xdr:spPr>
        <a:xfrm>
          <a:off x="7972425" y="76200"/>
          <a:ext cx="28575" cy="5210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9F4B8A01-EF8E-4989-A225-17C5F64F96F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9" dT="2025-09-05T11:16:01.19" personId="{9F4B8A01-EF8E-4989-A225-17C5F64F96F8}" id="{70CDCA07-2FB0-4476-9043-D6D6ECCDCCB8}">
    <text>Guidance 2470 to 2500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10"/>
  <sheetViews>
    <sheetView tabSelected="1" zoomScale="200" zoomScaleNormal="200" workbookViewId="0"/>
  </sheetViews>
  <sheetFormatPr defaultRowHeight="12.75" x14ac:dyDescent="0.2"/>
  <cols>
    <col min="1" max="1" width="4.28515625" style="2" customWidth="1"/>
    <col min="2" max="7" width="9.140625" style="2"/>
    <col min="8" max="8" width="9.85546875" style="2" customWidth="1"/>
    <col min="9" max="16384" width="9.140625" style="2"/>
  </cols>
  <sheetData>
    <row r="1" spans="1:10" x14ac:dyDescent="0.2">
      <c r="A1" s="1" t="s">
        <v>64</v>
      </c>
    </row>
    <row r="2" spans="1:10" x14ac:dyDescent="0.2">
      <c r="A2" s="2" t="s">
        <v>37</v>
      </c>
      <c r="H2" s="2" t="s">
        <v>2</v>
      </c>
      <c r="I2" s="2">
        <v>167.35</v>
      </c>
    </row>
    <row r="3" spans="1:10" x14ac:dyDescent="0.2">
      <c r="H3" s="2" t="s">
        <v>27</v>
      </c>
      <c r="I3" s="3">
        <v>113.468082</v>
      </c>
      <c r="J3" s="15" t="s">
        <v>59</v>
      </c>
    </row>
    <row r="4" spans="1:10" x14ac:dyDescent="0.2">
      <c r="B4" s="5" t="s">
        <v>0</v>
      </c>
      <c r="C4" s="2" t="s">
        <v>30</v>
      </c>
      <c r="D4" s="6">
        <v>45323</v>
      </c>
      <c r="E4" s="6"/>
      <c r="F4" s="6"/>
      <c r="H4" s="2" t="s">
        <v>3</v>
      </c>
      <c r="I4" s="7">
        <f>I3*I2</f>
        <v>18988.883522699998</v>
      </c>
    </row>
    <row r="5" spans="1:10" x14ac:dyDescent="0.2">
      <c r="B5" s="5" t="s">
        <v>1</v>
      </c>
      <c r="C5" s="2" t="s">
        <v>31</v>
      </c>
      <c r="D5" s="6">
        <v>45322</v>
      </c>
      <c r="E5" s="6"/>
      <c r="F5" s="6"/>
      <c r="H5" s="2" t="s">
        <v>4</v>
      </c>
      <c r="I5" s="7">
        <v>1155.7940000000001</v>
      </c>
      <c r="J5" s="15" t="s">
        <v>59</v>
      </c>
    </row>
    <row r="6" spans="1:10" x14ac:dyDescent="0.2">
      <c r="H6" s="2" t="s">
        <v>5</v>
      </c>
      <c r="I6" s="7">
        <v>0</v>
      </c>
      <c r="J6" s="15" t="s">
        <v>59</v>
      </c>
    </row>
    <row r="7" spans="1:10" x14ac:dyDescent="0.2">
      <c r="H7" s="2" t="s">
        <v>6</v>
      </c>
      <c r="I7" s="7">
        <f>I4+I6-I5</f>
        <v>17833.089522699996</v>
      </c>
    </row>
    <row r="9" spans="1:10" x14ac:dyDescent="0.2">
      <c r="H9" s="2" t="s">
        <v>62</v>
      </c>
      <c r="I9" s="8">
        <f>+I4/Financials!V28</f>
        <v>10.464408735897837</v>
      </c>
    </row>
    <row r="10" spans="1:10" x14ac:dyDescent="0.2">
      <c r="H10" s="2" t="s">
        <v>63</v>
      </c>
      <c r="I10" s="8">
        <f>+I7/Financials!V24</f>
        <v>7.1170175494882235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6384" width="9.140625" style="2"/>
  </cols>
  <sheetData>
    <row r="1" spans="1:49" x14ac:dyDescent="0.2">
      <c r="A1" s="5" t="s">
        <v>7</v>
      </c>
    </row>
    <row r="2" spans="1:49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</v>
      </c>
      <c r="L2" s="4" t="s">
        <v>59</v>
      </c>
      <c r="M2" s="4" t="s">
        <v>60</v>
      </c>
      <c r="N2" s="4" t="s">
        <v>61</v>
      </c>
      <c r="P2" s="4" t="s">
        <v>38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</row>
    <row r="3" spans="1:49" x14ac:dyDescent="0.2">
      <c r="B3" s="2" t="s">
        <v>51</v>
      </c>
      <c r="C3" s="4">
        <v>438</v>
      </c>
      <c r="D3" s="4">
        <v>438</v>
      </c>
      <c r="E3" s="4">
        <v>438</v>
      </c>
      <c r="F3" s="4">
        <v>438</v>
      </c>
      <c r="G3" s="4">
        <v>440</v>
      </c>
      <c r="H3" s="4">
        <v>441</v>
      </c>
      <c r="I3" s="4">
        <v>459</v>
      </c>
      <c r="J3" s="4">
        <v>462</v>
      </c>
      <c r="K3" s="4">
        <v>462</v>
      </c>
      <c r="L3" s="4">
        <v>467</v>
      </c>
      <c r="M3" s="4"/>
      <c r="N3" s="4"/>
      <c r="P3" s="4">
        <f>285+64</f>
        <v>349</v>
      </c>
      <c r="Q3" s="4">
        <f>306+63</f>
        <v>369</v>
      </c>
      <c r="R3" s="4">
        <f>315+62</f>
        <v>377</v>
      </c>
      <c r="S3" s="4">
        <f>324+63</f>
        <v>387</v>
      </c>
      <c r="T3" s="4">
        <v>419</v>
      </c>
      <c r="U3" s="4">
        <v>438</v>
      </c>
      <c r="V3" s="4">
        <v>462</v>
      </c>
    </row>
    <row r="4" spans="1:49" x14ac:dyDescent="0.2">
      <c r="B4" s="2" t="s">
        <v>52</v>
      </c>
      <c r="C4" s="4">
        <v>127</v>
      </c>
      <c r="D4" s="4">
        <v>127</v>
      </c>
      <c r="E4" s="4">
        <v>127</v>
      </c>
      <c r="F4" s="4">
        <v>127</v>
      </c>
      <c r="G4" s="4">
        <v>127</v>
      </c>
      <c r="H4" s="4">
        <v>132</v>
      </c>
      <c r="I4" s="4">
        <v>138</v>
      </c>
      <c r="J4" s="4">
        <v>151</v>
      </c>
      <c r="K4" s="4">
        <v>154</v>
      </c>
      <c r="L4" s="4">
        <v>159</v>
      </c>
      <c r="M4" s="4"/>
      <c r="N4" s="4"/>
      <c r="P4" s="4">
        <v>22</v>
      </c>
      <c r="Q4" s="4">
        <v>38</v>
      </c>
      <c r="R4" s="4">
        <v>55</v>
      </c>
      <c r="S4" s="4">
        <v>86</v>
      </c>
      <c r="T4" s="4">
        <v>99</v>
      </c>
      <c r="U4" s="4">
        <v>127</v>
      </c>
      <c r="V4" s="4">
        <v>151</v>
      </c>
    </row>
    <row r="5" spans="1:49" x14ac:dyDescent="0.2">
      <c r="B5" s="2" t="s">
        <v>54</v>
      </c>
      <c r="C5" s="4">
        <v>98</v>
      </c>
      <c r="D5" s="4">
        <v>98</v>
      </c>
      <c r="E5" s="4">
        <v>98</v>
      </c>
      <c r="F5" s="4">
        <v>98</v>
      </c>
      <c r="G5" s="4">
        <v>97</v>
      </c>
      <c r="H5" s="4">
        <v>101</v>
      </c>
      <c r="I5" s="4">
        <v>105</v>
      </c>
      <c r="J5" s="4">
        <v>107</v>
      </c>
      <c r="K5" s="4">
        <v>107</v>
      </c>
      <c r="L5" s="4">
        <v>109</v>
      </c>
      <c r="M5" s="4"/>
      <c r="N5" s="4"/>
      <c r="P5" s="4">
        <f>29+5+7+4+3</f>
        <v>48</v>
      </c>
      <c r="Q5" s="4">
        <f>31+7+7+5+4+2</f>
        <v>56</v>
      </c>
      <c r="R5" s="4">
        <f>31+7+7+6+4+2</f>
        <v>57</v>
      </c>
      <c r="S5" s="4">
        <f>31+12+7+6+6+2</f>
        <v>64</v>
      </c>
      <c r="T5" s="4">
        <v>91</v>
      </c>
      <c r="U5" s="4">
        <v>98</v>
      </c>
      <c r="V5" s="4">
        <v>107</v>
      </c>
    </row>
    <row r="6" spans="1:49" x14ac:dyDescent="0.2">
      <c r="B6" s="2" t="s">
        <v>55</v>
      </c>
      <c r="C6" s="4">
        <v>48</v>
      </c>
      <c r="D6" s="4">
        <v>48</v>
      </c>
      <c r="E6" s="4">
        <v>48</v>
      </c>
      <c r="F6" s="4">
        <v>48</v>
      </c>
      <c r="G6" s="4">
        <v>47</v>
      </c>
      <c r="H6" s="4">
        <v>47</v>
      </c>
      <c r="I6" s="4">
        <v>47</v>
      </c>
      <c r="J6" s="4">
        <v>47</v>
      </c>
      <c r="K6" s="4">
        <v>47</v>
      </c>
      <c r="L6" s="4">
        <v>49</v>
      </c>
      <c r="M6" s="4"/>
      <c r="N6" s="4"/>
      <c r="P6" s="4">
        <f>12+5+1+1+1+1</f>
        <v>21</v>
      </c>
      <c r="Q6" s="4">
        <f>14+6+3+2+1+1+1</f>
        <v>28</v>
      </c>
      <c r="R6" s="4">
        <f>16+7+3+1+2+1+1+1</f>
        <v>32</v>
      </c>
      <c r="S6" s="4">
        <f>17+9+3+3+2+1+1+1</f>
        <v>37</v>
      </c>
      <c r="T6" s="4">
        <v>46</v>
      </c>
      <c r="U6" s="4">
        <v>48</v>
      </c>
      <c r="V6" s="4">
        <v>47</v>
      </c>
    </row>
    <row r="7" spans="1:49" x14ac:dyDescent="0.2">
      <c r="B7" s="1" t="s">
        <v>56</v>
      </c>
      <c r="C7" s="9">
        <f t="shared" ref="C7:H7" si="0">+SUM(C3:C6)</f>
        <v>711</v>
      </c>
      <c r="D7" s="9">
        <f t="shared" si="0"/>
        <v>711</v>
      </c>
      <c r="E7" s="9">
        <f t="shared" si="0"/>
        <v>711</v>
      </c>
      <c r="F7" s="9">
        <f t="shared" si="0"/>
        <v>711</v>
      </c>
      <c r="G7" s="9">
        <f t="shared" si="0"/>
        <v>711</v>
      </c>
      <c r="H7" s="9">
        <f t="shared" si="0"/>
        <v>721</v>
      </c>
      <c r="I7" s="9">
        <f>+SUM(I3:I6)</f>
        <v>749</v>
      </c>
      <c r="J7" s="9">
        <f t="shared" ref="J7:L7" si="1">+SUM(J3:J6)</f>
        <v>767</v>
      </c>
      <c r="K7" s="9">
        <f t="shared" si="1"/>
        <v>770</v>
      </c>
      <c r="L7" s="9">
        <f t="shared" si="1"/>
        <v>784</v>
      </c>
      <c r="M7" s="9"/>
      <c r="N7" s="9"/>
      <c r="O7" s="1"/>
      <c r="P7" s="9">
        <f>+SUM(P3:P6)</f>
        <v>440</v>
      </c>
      <c r="Q7" s="9">
        <f t="shared" ref="Q7" si="2">+SUM(Q3:Q6)</f>
        <v>491</v>
      </c>
      <c r="R7" s="9">
        <f t="shared" ref="R7" si="3">+SUM(R3:R6)</f>
        <v>521</v>
      </c>
      <c r="S7" s="9">
        <f t="shared" ref="S7" si="4">+SUM(S3:S6)</f>
        <v>574</v>
      </c>
      <c r="T7" s="9">
        <f t="shared" ref="T7" si="5">+SUM(T3:T6)</f>
        <v>655</v>
      </c>
      <c r="U7" s="9">
        <f t="shared" ref="U7" si="6">+SUM(U3:U6)</f>
        <v>711</v>
      </c>
      <c r="V7" s="9">
        <f t="shared" ref="V7" si="7">+SUM(V3:V6)</f>
        <v>767</v>
      </c>
    </row>
    <row r="8" spans="1:49" x14ac:dyDescent="0.2">
      <c r="B8" s="2" t="s">
        <v>57</v>
      </c>
      <c r="C8" s="10">
        <f t="shared" ref="C8:D8" si="8">+C17/C7</f>
        <v>1.1743206751054853</v>
      </c>
      <c r="D8" s="10">
        <f t="shared" si="8"/>
        <v>1.2569240506329113</v>
      </c>
      <c r="E8" s="10">
        <f>+E17/E7</f>
        <v>1.277253164556962</v>
      </c>
      <c r="F8" s="10">
        <f t="shared" ref="F8:L8" si="9">+F17/F7</f>
        <v>2.3549479606188459</v>
      </c>
      <c r="G8" s="10">
        <f t="shared" si="9"/>
        <v>1.2739620253164556</v>
      </c>
      <c r="H8" s="10">
        <f t="shared" si="9"/>
        <v>1.2630194174757281</v>
      </c>
      <c r="I8" s="10">
        <f t="shared" si="9"/>
        <v>1.2613845126835781</v>
      </c>
      <c r="J8" s="10">
        <f t="shared" si="9"/>
        <v>2.3588591916558017</v>
      </c>
      <c r="K8" s="10">
        <f t="shared" si="9"/>
        <v>1.2479090909090909</v>
      </c>
      <c r="L8" s="10">
        <f t="shared" si="9"/>
        <v>1.2667002551020408</v>
      </c>
      <c r="M8" s="10"/>
      <c r="N8" s="10"/>
      <c r="P8" s="10">
        <f>+P16/P7</f>
        <v>4.8326431818181819</v>
      </c>
      <c r="Q8" s="10">
        <f t="shared" ref="Q8:V8" si="10">+Q16/Q7</f>
        <v>2.3173564154786148</v>
      </c>
      <c r="R8" s="10">
        <f t="shared" si="10"/>
        <v>3.1831228406909786</v>
      </c>
      <c r="S8" s="10">
        <f t="shared" si="10"/>
        <v>4.9154999999999998</v>
      </c>
      <c r="T8" s="10">
        <f t="shared" si="10"/>
        <v>5.5696595419847323</v>
      </c>
      <c r="U8" s="10">
        <f t="shared" si="10"/>
        <v>6.2038762306610407</v>
      </c>
      <c r="V8" s="10">
        <f t="shared" si="10"/>
        <v>6.5291681877444594</v>
      </c>
    </row>
    <row r="9" spans="1:49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49" x14ac:dyDescent="0.2">
      <c r="B10" s="2" t="s">
        <v>43</v>
      </c>
      <c r="C10" s="3">
        <v>1567.7380000000001</v>
      </c>
      <c r="D10" s="3">
        <v>1719.7729999999999</v>
      </c>
      <c r="E10" s="3">
        <v>1732.3979999999999</v>
      </c>
      <c r="F10" s="3">
        <f>+U10-SUM(C10:E10)</f>
        <v>2611.7380000000003</v>
      </c>
      <c r="G10" s="3">
        <v>1622.2639999999999</v>
      </c>
      <c r="H10" s="3">
        <v>1741.433</v>
      </c>
      <c r="I10" s="3">
        <v>1770.3820000000001</v>
      </c>
      <c r="J10" s="3">
        <f t="shared" ref="J10:J18" si="11">+V10-SUM(G10:I10)</f>
        <v>2794.0770000000002</v>
      </c>
      <c r="K10" s="3">
        <v>1674.558</v>
      </c>
      <c r="L10" s="3">
        <v>1758.2170000000001</v>
      </c>
      <c r="M10" s="3"/>
      <c r="N10" s="3"/>
      <c r="O10" s="3"/>
      <c r="P10" s="3">
        <f>2363.374+565.105</f>
        <v>2928.4789999999998</v>
      </c>
      <c r="Q10" s="3">
        <f>2854.364+649.114</f>
        <v>3503.4780000000001</v>
      </c>
      <c r="R10" s="3">
        <f>3015.133+672.607</f>
        <v>3687.74</v>
      </c>
      <c r="S10" s="3">
        <f>4345.687+954.219</f>
        <v>5299.9059999999999</v>
      </c>
      <c r="T10" s="3">
        <v>6817.4539999999997</v>
      </c>
      <c r="U10" s="3">
        <v>7631.6469999999999</v>
      </c>
      <c r="V10" s="3">
        <v>7928.1559999999999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53</v>
      </c>
      <c r="C11" s="3">
        <v>210.06800000000001</v>
      </c>
      <c r="D11" s="3">
        <v>234.44499999999999</v>
      </c>
      <c r="E11" s="3">
        <v>228.595</v>
      </c>
      <c r="F11" s="3">
        <f t="shared" ref="F11:F18" si="12">+U11-SUM(C11:E11)</f>
        <v>290.65199999999993</v>
      </c>
      <c r="G11" s="3">
        <v>303.786</v>
      </c>
      <c r="H11" s="3">
        <v>314.18900000000002</v>
      </c>
      <c r="I11" s="3">
        <v>318.33800000000002</v>
      </c>
      <c r="J11" s="3">
        <f t="shared" si="11"/>
        <v>425.02399999999989</v>
      </c>
      <c r="K11" s="3">
        <v>412.20499999999998</v>
      </c>
      <c r="L11" s="3">
        <v>392.89800000000002</v>
      </c>
      <c r="M11" s="3"/>
      <c r="N11" s="3"/>
      <c r="O11" s="3"/>
      <c r="P11" s="3">
        <v>0</v>
      </c>
      <c r="Q11" s="3">
        <v>0</v>
      </c>
      <c r="R11" s="3">
        <v>0</v>
      </c>
      <c r="S11" s="3">
        <v>0</v>
      </c>
      <c r="T11" s="3">
        <v>576.50300000000004</v>
      </c>
      <c r="U11" s="3">
        <v>963.76</v>
      </c>
      <c r="V11" s="3">
        <v>1361.337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44</v>
      </c>
      <c r="C12" s="3">
        <v>222.98599999999999</v>
      </c>
      <c r="D12" s="3">
        <v>254.947</v>
      </c>
      <c r="E12" s="3">
        <v>243.22499999999999</v>
      </c>
      <c r="F12" s="3">
        <f t="shared" si="12"/>
        <v>302.71299999999997</v>
      </c>
      <c r="G12" s="3">
        <v>282.84100000000001</v>
      </c>
      <c r="H12" s="3">
        <v>315.45600000000002</v>
      </c>
      <c r="I12" s="3">
        <v>307.94</v>
      </c>
      <c r="J12" s="3">
        <f t="shared" si="11"/>
        <v>392.39599999999996</v>
      </c>
      <c r="K12" s="3">
        <v>283.89699999999999</v>
      </c>
      <c r="L12" s="3">
        <v>374.10399999999998</v>
      </c>
      <c r="M12" s="3"/>
      <c r="N12" s="3"/>
      <c r="O12" s="3"/>
      <c r="P12" s="3">
        <v>359.84</v>
      </c>
      <c r="Q12" s="3">
        <v>475.81799999999998</v>
      </c>
      <c r="R12" s="3">
        <v>624.13900000000001</v>
      </c>
      <c r="S12" s="3">
        <v>956.71100000000001</v>
      </c>
      <c r="T12" s="3">
        <v>716.56100000000004</v>
      </c>
      <c r="U12" s="3">
        <v>1023.871</v>
      </c>
      <c r="V12" s="3">
        <v>1298.633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45</v>
      </c>
      <c r="C13" s="3">
        <v>1308.828</v>
      </c>
      <c r="D13" s="3">
        <v>1396.327</v>
      </c>
      <c r="E13" s="3">
        <v>1433.9269999999999</v>
      </c>
      <c r="F13" s="3">
        <f t="shared" si="12"/>
        <v>2008.2900000000009</v>
      </c>
      <c r="G13" s="3">
        <v>1435.241</v>
      </c>
      <c r="H13" s="3">
        <v>1476.1210000000001</v>
      </c>
      <c r="I13" s="3">
        <v>1555.6859999999999</v>
      </c>
      <c r="J13" s="3">
        <f t="shared" si="11"/>
        <v>2225.5820000000003</v>
      </c>
      <c r="K13" s="3">
        <v>1535.172</v>
      </c>
      <c r="L13" s="3">
        <v>1547.3209999999999</v>
      </c>
      <c r="M13" s="3"/>
      <c r="N13" s="3"/>
      <c r="O13" s="3"/>
      <c r="P13" s="3">
        <v>2352.788</v>
      </c>
      <c r="Q13" s="3">
        <v>2790.9969999999998</v>
      </c>
      <c r="R13" s="3">
        <v>3049.9059999999999</v>
      </c>
      <c r="S13" s="3">
        <v>4171.7619999999997</v>
      </c>
      <c r="T13" s="3">
        <v>5259.8029999999999</v>
      </c>
      <c r="U13" s="3">
        <v>6147.3720000000003</v>
      </c>
      <c r="V13" s="3">
        <v>6692.63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46</v>
      </c>
      <c r="C14" s="3">
        <v>438.16500000000002</v>
      </c>
      <c r="D14" s="3">
        <v>530.72299999999996</v>
      </c>
      <c r="E14" s="3">
        <v>504.82799999999997</v>
      </c>
      <c r="F14" s="3">
        <f t="shared" si="12"/>
        <v>779.03700000000026</v>
      </c>
      <c r="G14" s="3">
        <v>505.69799999999998</v>
      </c>
      <c r="H14" s="3">
        <v>587.52499999999998</v>
      </c>
      <c r="I14" s="3">
        <v>551.42999999999995</v>
      </c>
      <c r="J14" s="3">
        <f t="shared" si="11"/>
        <v>913.72700000000032</v>
      </c>
      <c r="K14" s="3">
        <v>544.78800000000001</v>
      </c>
      <c r="L14" s="3">
        <v>624.59799999999996</v>
      </c>
      <c r="M14" s="3"/>
      <c r="N14" s="3"/>
      <c r="O14" s="3"/>
      <c r="P14" s="3">
        <v>694.92100000000005</v>
      </c>
      <c r="Q14" s="3">
        <v>933.76700000000005</v>
      </c>
      <c r="R14" s="3">
        <v>953.18299999999999</v>
      </c>
      <c r="S14" s="3">
        <v>1535.85</v>
      </c>
      <c r="T14" s="3">
        <v>1956.6020000000001</v>
      </c>
      <c r="U14" s="3">
        <v>2252.7530000000002</v>
      </c>
      <c r="V14" s="3">
        <v>2558.38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47</v>
      </c>
      <c r="C15" s="3">
        <v>253.79900000000001</v>
      </c>
      <c r="D15" s="3">
        <v>282.11500000000001</v>
      </c>
      <c r="E15" s="3">
        <v>265.46300000000002</v>
      </c>
      <c r="F15" s="3">
        <f t="shared" si="12"/>
        <v>417.77600000000007</v>
      </c>
      <c r="G15" s="3">
        <v>267.952</v>
      </c>
      <c r="H15" s="3">
        <v>307.43200000000002</v>
      </c>
      <c r="I15" s="3">
        <v>289.54399999999998</v>
      </c>
      <c r="J15" s="3">
        <f t="shared" si="11"/>
        <v>472.18799999999999</v>
      </c>
      <c r="K15" s="3">
        <v>290.7</v>
      </c>
      <c r="L15" s="3">
        <v>353.3</v>
      </c>
      <c r="M15" s="3"/>
      <c r="N15" s="3"/>
      <c r="O15" s="3"/>
      <c r="P15" s="3">
        <v>240.61</v>
      </c>
      <c r="Q15" s="3">
        <v>254.53200000000001</v>
      </c>
      <c r="R15" s="3">
        <v>398.79</v>
      </c>
      <c r="S15" s="3">
        <v>549.005</v>
      </c>
      <c r="T15" s="3">
        <v>894.11300000000006</v>
      </c>
      <c r="U15" s="3">
        <v>1219.153</v>
      </c>
      <c r="V15" s="3">
        <v>1337.116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48</v>
      </c>
      <c r="C16" s="3">
        <v>958.08699999999999</v>
      </c>
      <c r="D16" s="3">
        <v>1096.9390000000001</v>
      </c>
      <c r="E16" s="3">
        <v>1073.973</v>
      </c>
      <c r="F16" s="3">
        <f t="shared" si="12"/>
        <v>1281.9570000000003</v>
      </c>
      <c r="G16" s="3">
        <v>1170.5250000000001</v>
      </c>
      <c r="H16" s="3">
        <v>1215.6130000000001</v>
      </c>
      <c r="I16" s="3">
        <v>1210.5229999999999</v>
      </c>
      <c r="J16" s="3">
        <f t="shared" si="11"/>
        <v>1411.2110000000002</v>
      </c>
      <c r="K16" s="3">
        <v>1153.107</v>
      </c>
      <c r="L16" s="3">
        <v>1254.952</v>
      </c>
      <c r="M16" s="3"/>
      <c r="N16" s="3"/>
      <c r="O16" s="3"/>
      <c r="P16" s="3">
        <v>2126.3629999999998</v>
      </c>
      <c r="Q16" s="3">
        <v>1137.8219999999999</v>
      </c>
      <c r="R16" s="3">
        <v>1658.4069999999999</v>
      </c>
      <c r="S16" s="3">
        <v>2821.4969999999998</v>
      </c>
      <c r="T16" s="3">
        <v>3648.127</v>
      </c>
      <c r="U16" s="3">
        <v>4410.9560000000001</v>
      </c>
      <c r="V16" s="3">
        <v>5007.8720000000003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49</v>
      </c>
      <c r="C17" s="3">
        <v>834.94200000000001</v>
      </c>
      <c r="D17" s="3">
        <v>893.673</v>
      </c>
      <c r="E17" s="3">
        <v>908.12699999999995</v>
      </c>
      <c r="F17" s="3">
        <f t="shared" si="12"/>
        <v>1674.3679999999995</v>
      </c>
      <c r="G17" s="3">
        <v>905.78700000000003</v>
      </c>
      <c r="H17" s="3">
        <v>910.63699999999994</v>
      </c>
      <c r="I17" s="3">
        <v>944.77700000000004</v>
      </c>
      <c r="J17" s="3">
        <f t="shared" si="11"/>
        <v>1809.2449999999999</v>
      </c>
      <c r="K17" s="3">
        <v>960.89</v>
      </c>
      <c r="L17" s="3">
        <v>993.09299999999996</v>
      </c>
      <c r="M17" s="3"/>
      <c r="N17" s="3"/>
      <c r="O17" s="3"/>
      <c r="P17" s="3">
        <v>858.85599999999999</v>
      </c>
      <c r="Q17" s="3">
        <v>2501.067</v>
      </c>
      <c r="R17" s="3">
        <v>2284.0680000000002</v>
      </c>
      <c r="S17" s="3">
        <v>2777.944</v>
      </c>
      <c r="T17" s="3">
        <v>3699.7910000000002</v>
      </c>
      <c r="U17" s="3">
        <v>4311.1099999999997</v>
      </c>
      <c r="V17" s="3">
        <v>4570.4459999999999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50</v>
      </c>
      <c r="C18" s="3">
        <v>207.76300000000001</v>
      </c>
      <c r="D18" s="3">
        <v>218.553</v>
      </c>
      <c r="E18" s="3">
        <v>222.11799999999999</v>
      </c>
      <c r="F18" s="3">
        <f t="shared" si="12"/>
        <v>248.77800000000002</v>
      </c>
      <c r="G18" s="3">
        <v>232.57900000000001</v>
      </c>
      <c r="H18" s="3">
        <v>244.828</v>
      </c>
      <c r="I18" s="3">
        <v>241.36</v>
      </c>
      <c r="J18" s="3">
        <f t="shared" si="11"/>
        <v>291.04099999999994</v>
      </c>
      <c r="K18" s="3">
        <v>256.66300000000001</v>
      </c>
      <c r="L18" s="3">
        <v>277.17399999999998</v>
      </c>
      <c r="M18" s="3"/>
      <c r="N18" s="3"/>
      <c r="O18" s="3"/>
      <c r="P18" s="3">
        <v>303.10000000000002</v>
      </c>
      <c r="Q18" s="3">
        <v>340.40699999999998</v>
      </c>
      <c r="R18" s="3">
        <v>459.00400000000002</v>
      </c>
      <c r="S18" s="3">
        <v>657.17600000000004</v>
      </c>
      <c r="T18" s="3">
        <v>762.6</v>
      </c>
      <c r="U18" s="3">
        <v>897.21199999999999</v>
      </c>
      <c r="V18" s="3">
        <v>1009.808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1" t="s">
        <v>12</v>
      </c>
      <c r="C19" s="11">
        <v>2000.7919999999999</v>
      </c>
      <c r="D19" s="11">
        <v>2209.165</v>
      </c>
      <c r="E19" s="11">
        <v>2204.2179999999998</v>
      </c>
      <c r="F19" s="11">
        <v>3205.1030000000001</v>
      </c>
      <c r="G19" s="11">
        <v>2208.8910000000001</v>
      </c>
      <c r="H19" s="11">
        <v>2371.078</v>
      </c>
      <c r="I19" s="11">
        <v>2396.66</v>
      </c>
      <c r="J19" s="11">
        <v>3611.4969999999998</v>
      </c>
      <c r="K19" s="11">
        <v>2370.66</v>
      </c>
      <c r="L19" s="11">
        <v>2525.2190000000001</v>
      </c>
      <c r="M19" s="11">
        <v>2485</v>
      </c>
      <c r="N19" s="11"/>
      <c r="O19" s="3"/>
      <c r="P19" s="11">
        <v>3288.319</v>
      </c>
      <c r="Q19" s="11">
        <v>3979.2959999999998</v>
      </c>
      <c r="R19" s="11">
        <v>4401.8789999999999</v>
      </c>
      <c r="S19" s="11">
        <v>6256.6170000000002</v>
      </c>
      <c r="T19" s="11">
        <v>8110.518</v>
      </c>
      <c r="U19" s="11">
        <v>9619.2780000000002</v>
      </c>
      <c r="V19" s="11">
        <v>10588.126</v>
      </c>
    </row>
    <row r="20" spans="2:49" x14ac:dyDescent="0.2">
      <c r="B20" s="2" t="s">
        <v>19</v>
      </c>
      <c r="C20" s="3">
        <v>849.98699999999997</v>
      </c>
      <c r="D20" s="3">
        <v>910.654</v>
      </c>
      <c r="E20" s="3">
        <v>947.55399999999997</v>
      </c>
      <c r="F20" s="3">
        <v>1301.6780000000001</v>
      </c>
      <c r="G20" s="3">
        <v>933.82299999999998</v>
      </c>
      <c r="H20" s="3">
        <v>958.89300000000003</v>
      </c>
      <c r="I20" s="3">
        <v>995.05399999999997</v>
      </c>
      <c r="J20" s="3">
        <v>1429.5450000000001</v>
      </c>
      <c r="K20" s="3">
        <v>987.53399999999999</v>
      </c>
      <c r="L20" s="3">
        <v>1048.0170000000001</v>
      </c>
      <c r="M20" s="3"/>
      <c r="N20" s="3"/>
      <c r="O20" s="3"/>
      <c r="P20" s="3">
        <v>1472.0309999999999</v>
      </c>
      <c r="Q20" s="3">
        <v>1755.91</v>
      </c>
      <c r="R20" s="3">
        <v>1937.8879999999999</v>
      </c>
      <c r="S20" s="3">
        <v>2648.0520000000001</v>
      </c>
      <c r="T20" s="3">
        <v>3618.1779999999999</v>
      </c>
      <c r="U20" s="3">
        <v>4009.873</v>
      </c>
      <c r="V20" s="3">
        <v>4317.3149999999996</v>
      </c>
    </row>
    <row r="21" spans="2:49" x14ac:dyDescent="0.2">
      <c r="B21" s="2" t="s">
        <v>20</v>
      </c>
      <c r="C21" s="3">
        <f>C19-C20</f>
        <v>1150.8049999999998</v>
      </c>
      <c r="D21" s="3">
        <f t="shared" ref="D21:F21" si="13">D19-D20</f>
        <v>1298.511</v>
      </c>
      <c r="E21" s="3">
        <f t="shared" si="13"/>
        <v>1256.6639999999998</v>
      </c>
      <c r="F21" s="3">
        <f t="shared" si="13"/>
        <v>1903.425</v>
      </c>
      <c r="G21" s="3">
        <f>G19-G20</f>
        <v>1275.0680000000002</v>
      </c>
      <c r="H21" s="3">
        <f t="shared" ref="H21:L21" si="14">H19-H20</f>
        <v>1412.1849999999999</v>
      </c>
      <c r="I21" s="3">
        <f t="shared" si="14"/>
        <v>1401.6059999999998</v>
      </c>
      <c r="J21" s="3">
        <f t="shared" si="14"/>
        <v>2181.9519999999998</v>
      </c>
      <c r="K21" s="3">
        <f t="shared" si="14"/>
        <v>1383.1259999999997</v>
      </c>
      <c r="L21" s="3">
        <f t="shared" si="14"/>
        <v>1477.202</v>
      </c>
      <c r="M21" s="3"/>
      <c r="N21" s="3"/>
      <c r="O21" s="3"/>
      <c r="P21" s="3">
        <f t="shared" ref="P21" si="15">P19-P20</f>
        <v>1816.288</v>
      </c>
      <c r="Q21" s="3">
        <f t="shared" ref="Q21" si="16">Q19-Q20</f>
        <v>2223.3859999999995</v>
      </c>
      <c r="R21" s="3">
        <f t="shared" ref="R21" si="17">R19-R20</f>
        <v>2463.991</v>
      </c>
      <c r="S21" s="3">
        <f t="shared" ref="S21" si="18">S19-S20</f>
        <v>3608.5650000000001</v>
      </c>
      <c r="T21" s="3">
        <f t="shared" ref="T21" si="19">T19-T20</f>
        <v>4492.34</v>
      </c>
      <c r="U21" s="3">
        <f t="shared" ref="U21" si="20">U19-U20</f>
        <v>5609.4050000000007</v>
      </c>
      <c r="V21" s="3">
        <f t="shared" ref="V21" si="21">V19-V20</f>
        <v>6270.8110000000006</v>
      </c>
    </row>
    <row r="22" spans="2:49" x14ac:dyDescent="0.2">
      <c r="B22" s="2" t="s">
        <v>21</v>
      </c>
      <c r="C22" s="3">
        <v>747.51300000000003</v>
      </c>
      <c r="D22" s="3">
        <v>817.375</v>
      </c>
      <c r="E22" s="3">
        <v>842.79499999999996</v>
      </c>
      <c r="F22" s="3">
        <v>989.53499999999997</v>
      </c>
      <c r="G22" s="3">
        <v>842.42600000000004</v>
      </c>
      <c r="H22" s="3">
        <v>871.95899999999995</v>
      </c>
      <c r="I22" s="3">
        <v>909.827</v>
      </c>
      <c r="J22" s="3">
        <v>1138.1669999999999</v>
      </c>
      <c r="K22" s="3">
        <v>942.87099999999998</v>
      </c>
      <c r="L22" s="3">
        <v>951.65800000000002</v>
      </c>
      <c r="M22" s="3"/>
      <c r="N22" s="3"/>
      <c r="O22" s="3"/>
      <c r="P22" s="3">
        <v>1100.3789999999999</v>
      </c>
      <c r="Q22" s="3">
        <v>1334.2470000000001</v>
      </c>
      <c r="R22" s="3">
        <v>1609.0029999999999</v>
      </c>
      <c r="S22" s="3">
        <v>2225.0340000000001</v>
      </c>
      <c r="T22" s="3">
        <v>2757.4470000000001</v>
      </c>
      <c r="U22" s="3">
        <v>3397.2179999999998</v>
      </c>
      <c r="V22" s="3">
        <v>3762.3789999999999</v>
      </c>
    </row>
    <row r="23" spans="2:49" x14ac:dyDescent="0.2">
      <c r="B23" s="2" t="s">
        <v>29</v>
      </c>
      <c r="C23" s="3">
        <v>1.8779999999999999</v>
      </c>
      <c r="D23" s="3">
        <v>1.879</v>
      </c>
      <c r="E23" s="3">
        <f>74.501+1.253</f>
        <v>75.754000000000005</v>
      </c>
      <c r="F23" s="3">
        <v>0</v>
      </c>
      <c r="G23" s="3">
        <v>0</v>
      </c>
      <c r="H23" s="3">
        <v>0</v>
      </c>
      <c r="I23" s="3">
        <v>1.1180000000000001</v>
      </c>
      <c r="J23" s="3">
        <v>1.617</v>
      </c>
      <c r="K23" s="3">
        <v>1.63</v>
      </c>
      <c r="L23" s="3">
        <v>1.73</v>
      </c>
      <c r="M23" s="3"/>
      <c r="N23" s="3"/>
      <c r="O23" s="3"/>
      <c r="P23" s="3">
        <v>7.1999999999999995E-2</v>
      </c>
      <c r="Q23" s="3">
        <v>2.9000000000000001E-2</v>
      </c>
      <c r="R23" s="3">
        <f>5.16+29.842</f>
        <v>35.001999999999995</v>
      </c>
      <c r="S23" s="3">
        <f>8.782+41.394</f>
        <v>50.176000000000002</v>
      </c>
      <c r="T23" s="3">
        <f>407.913+8.752-10.18</f>
        <v>406.48500000000001</v>
      </c>
      <c r="U23" s="3">
        <f>74.501+5.01</f>
        <v>79.51100000000001</v>
      </c>
      <c r="V23" s="3">
        <v>2.7349999999999999</v>
      </c>
    </row>
    <row r="24" spans="2:49" x14ac:dyDescent="0.2">
      <c r="B24" s="2" t="s">
        <v>22</v>
      </c>
      <c r="C24" s="3">
        <f t="shared" ref="C24:E24" si="22">C21-SUM(C22:C23)</f>
        <v>401.41399999999976</v>
      </c>
      <c r="D24" s="3">
        <f t="shared" si="22"/>
        <v>479.25699999999995</v>
      </c>
      <c r="E24" s="3">
        <f t="shared" si="22"/>
        <v>338.11499999999978</v>
      </c>
      <c r="F24" s="3">
        <f>F21-SUM(F22:F23)</f>
        <v>913.89</v>
      </c>
      <c r="G24" s="3">
        <f>G21-SUM(G22:G23)</f>
        <v>432.64200000000017</v>
      </c>
      <c r="H24" s="3">
        <f t="shared" ref="H24:L24" si="23">H21-SUM(H22:H23)</f>
        <v>540.226</v>
      </c>
      <c r="I24" s="3">
        <f t="shared" si="23"/>
        <v>490.66099999999972</v>
      </c>
      <c r="J24" s="3">
        <f t="shared" si="23"/>
        <v>1042.1679999999999</v>
      </c>
      <c r="K24" s="3">
        <f t="shared" si="23"/>
        <v>438.62499999999977</v>
      </c>
      <c r="L24" s="3">
        <f t="shared" si="23"/>
        <v>523.81399999999996</v>
      </c>
      <c r="M24" s="3"/>
      <c r="N24" s="3"/>
      <c r="O24" s="3"/>
      <c r="P24" s="3">
        <f t="shared" ref="P24" si="24">P21-SUM(P22:P23)</f>
        <v>715.83700000000022</v>
      </c>
      <c r="Q24" s="3">
        <f t="shared" ref="Q24" si="25">Q21-SUM(Q22:Q23)</f>
        <v>889.10999999999945</v>
      </c>
      <c r="R24" s="3">
        <f t="shared" ref="R24" si="26">R21-SUM(R22:R23)</f>
        <v>819.9860000000001</v>
      </c>
      <c r="S24" s="3">
        <f>S21-SUM(S22:S23)</f>
        <v>1333.355</v>
      </c>
      <c r="T24" s="3">
        <f t="shared" ref="T24" si="27">T21-SUM(T22:T23)</f>
        <v>1328.4079999999999</v>
      </c>
      <c r="U24" s="3">
        <f t="shared" ref="U24" si="28">U21-SUM(U22:U23)</f>
        <v>2132.6760000000008</v>
      </c>
      <c r="V24" s="3">
        <f t="shared" ref="V24" si="29">V21-SUM(V22:V23)</f>
        <v>2505.6970000000006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49" x14ac:dyDescent="0.2">
      <c r="B25" s="2" t="s">
        <v>23</v>
      </c>
      <c r="C25" s="3">
        <v>8.0250000000000004</v>
      </c>
      <c r="D25" s="3">
        <v>7.3620000000000001</v>
      </c>
      <c r="E25" s="3">
        <v>9.8420000000000005</v>
      </c>
      <c r="F25" s="3">
        <v>17.829999999999998</v>
      </c>
      <c r="G25" s="3">
        <v>23.283000000000001</v>
      </c>
      <c r="H25" s="3">
        <v>17.994</v>
      </c>
      <c r="I25" s="3">
        <v>13.743</v>
      </c>
      <c r="J25" s="3">
        <v>15.36</v>
      </c>
      <c r="K25" s="3">
        <v>11.786</v>
      </c>
      <c r="L25" s="3">
        <v>9.7370000000000001</v>
      </c>
      <c r="M25" s="3"/>
      <c r="N25" s="3"/>
      <c r="O25" s="3"/>
      <c r="P25" s="3">
        <v>9.4139999999999997</v>
      </c>
      <c r="Q25" s="3">
        <v>8.2829999999999995</v>
      </c>
      <c r="R25" s="3">
        <v>-0.63600000000000001</v>
      </c>
      <c r="S25" s="3">
        <v>0.51400000000000001</v>
      </c>
      <c r="T25" s="3">
        <v>4.1630000000000003</v>
      </c>
      <c r="U25" s="3">
        <v>43.058999999999997</v>
      </c>
      <c r="V25" s="3">
        <v>70.38</v>
      </c>
    </row>
    <row r="26" spans="2:49" x14ac:dyDescent="0.2">
      <c r="B26" s="2" t="s">
        <v>24</v>
      </c>
      <c r="C26" s="3">
        <f>C24+C25</f>
        <v>409.43899999999974</v>
      </c>
      <c r="D26" s="3">
        <f t="shared" ref="D26:F26" si="30">D24+D25</f>
        <v>486.61899999999997</v>
      </c>
      <c r="E26" s="3">
        <f t="shared" si="30"/>
        <v>347.95699999999977</v>
      </c>
      <c r="F26" s="3">
        <f t="shared" si="30"/>
        <v>931.72</v>
      </c>
      <c r="G26" s="3">
        <f>G24+G25</f>
        <v>455.92500000000018</v>
      </c>
      <c r="H26" s="3">
        <f t="shared" ref="H26:L26" si="31">H24+H25</f>
        <v>558.22</v>
      </c>
      <c r="I26" s="3">
        <f t="shared" si="31"/>
        <v>504.40399999999971</v>
      </c>
      <c r="J26" s="3">
        <f t="shared" si="31"/>
        <v>1057.5279999999998</v>
      </c>
      <c r="K26" s="3">
        <f t="shared" si="31"/>
        <v>450.41099999999977</v>
      </c>
      <c r="L26" s="3">
        <f t="shared" si="31"/>
        <v>533.55099999999993</v>
      </c>
      <c r="M26" s="3"/>
      <c r="N26" s="3"/>
      <c r="O26" s="3"/>
      <c r="P26" s="3">
        <f t="shared" ref="P26" si="32">P24+P25</f>
        <v>725.2510000000002</v>
      </c>
      <c r="Q26" s="3">
        <f t="shared" ref="Q26" si="33">Q24+Q25</f>
        <v>897.39299999999946</v>
      </c>
      <c r="R26" s="3">
        <f t="shared" ref="R26" si="34">R24+R25</f>
        <v>819.35000000000014</v>
      </c>
      <c r="S26" s="3">
        <f t="shared" ref="S26" si="35">S24+S25</f>
        <v>1333.8689999999999</v>
      </c>
      <c r="T26" s="3">
        <f t="shared" ref="T26" si="36">T24+T25</f>
        <v>1332.5709999999999</v>
      </c>
      <c r="U26" s="3">
        <f t="shared" ref="U26" si="37">U24+U25</f>
        <v>2175.735000000001</v>
      </c>
      <c r="V26" s="3">
        <f t="shared" ref="V26" si="38">V24+V25</f>
        <v>2576.0770000000007</v>
      </c>
    </row>
    <row r="27" spans="2:49" x14ac:dyDescent="0.2">
      <c r="B27" s="2" t="s">
        <v>25</v>
      </c>
      <c r="C27" s="3">
        <v>119.03400000000001</v>
      </c>
      <c r="D27" s="3">
        <v>145.01599999999999</v>
      </c>
      <c r="E27" s="3">
        <v>99.242999999999995</v>
      </c>
      <c r="F27" s="3">
        <v>262.25200000000001</v>
      </c>
      <c r="G27" s="3">
        <v>134.50399999999999</v>
      </c>
      <c r="H27" s="3">
        <v>165.298</v>
      </c>
      <c r="I27" s="3">
        <v>152.53399999999999</v>
      </c>
      <c r="J27" s="3">
        <v>309.125</v>
      </c>
      <c r="K27" s="3">
        <v>135.839</v>
      </c>
      <c r="L27" s="3">
        <v>162.64599999999999</v>
      </c>
      <c r="M27" s="3"/>
      <c r="N27" s="3"/>
      <c r="O27" s="3"/>
      <c r="P27" s="3">
        <v>231.44900000000001</v>
      </c>
      <c r="Q27" s="3">
        <v>251.797</v>
      </c>
      <c r="R27" s="3">
        <v>230.43700000000001</v>
      </c>
      <c r="S27" s="3">
        <v>358.54700000000003</v>
      </c>
      <c r="T27" s="3">
        <v>477.77100000000002</v>
      </c>
      <c r="U27" s="3">
        <v>625.54499999999996</v>
      </c>
      <c r="V27" s="3">
        <v>761.46100000000001</v>
      </c>
    </row>
    <row r="28" spans="2:49" x14ac:dyDescent="0.2">
      <c r="B28" s="2" t="s">
        <v>26</v>
      </c>
      <c r="C28" s="3">
        <f>C26-C27</f>
        <v>290.40499999999975</v>
      </c>
      <c r="D28" s="3">
        <f t="shared" ref="D28:F28" si="39">D26-D27</f>
        <v>341.60299999999995</v>
      </c>
      <c r="E28" s="3">
        <f t="shared" si="39"/>
        <v>248.71399999999977</v>
      </c>
      <c r="F28" s="3">
        <f t="shared" si="39"/>
        <v>669.46800000000007</v>
      </c>
      <c r="G28" s="3">
        <f>G26-G27</f>
        <v>321.42100000000016</v>
      </c>
      <c r="H28" s="3">
        <f t="shared" ref="H28:L28" si="40">H26-H27</f>
        <v>392.92200000000003</v>
      </c>
      <c r="I28" s="3">
        <f t="shared" si="40"/>
        <v>351.86999999999972</v>
      </c>
      <c r="J28" s="3">
        <f t="shared" si="40"/>
        <v>748.40299999999979</v>
      </c>
      <c r="K28" s="3">
        <f t="shared" si="40"/>
        <v>314.57199999999978</v>
      </c>
      <c r="L28" s="3">
        <f t="shared" si="40"/>
        <v>370.90499999999997</v>
      </c>
      <c r="M28" s="3"/>
      <c r="N28" s="3"/>
      <c r="O28" s="3"/>
      <c r="P28" s="3">
        <f t="shared" ref="P28:V28" si="41">P26-P27</f>
        <v>493.80200000000019</v>
      </c>
      <c r="Q28" s="3">
        <f t="shared" si="41"/>
        <v>645.59599999999944</v>
      </c>
      <c r="R28" s="3">
        <f t="shared" si="41"/>
        <v>588.91300000000012</v>
      </c>
      <c r="S28" s="3">
        <f t="shared" si="41"/>
        <v>975.32199999999989</v>
      </c>
      <c r="T28" s="3">
        <f t="shared" si="41"/>
        <v>854.8</v>
      </c>
      <c r="U28" s="3">
        <f t="shared" si="41"/>
        <v>1550.190000000001</v>
      </c>
      <c r="V28" s="3">
        <f t="shared" si="41"/>
        <v>1814.6160000000007</v>
      </c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49" x14ac:dyDescent="0.2">
      <c r="B30" s="2" t="s">
        <v>28</v>
      </c>
      <c r="C30" s="14">
        <f t="shared" ref="C30:L30" si="42">C28/C31</f>
        <v>2.2822328403250376</v>
      </c>
      <c r="D30" s="14">
        <f t="shared" si="42"/>
        <v>2.69044412415629</v>
      </c>
      <c r="E30" s="14">
        <f t="shared" si="42"/>
        <v>1.9667404712952694</v>
      </c>
      <c r="F30" s="14">
        <f t="shared" si="42"/>
        <v>5.3036410305162098</v>
      </c>
      <c r="G30" s="14">
        <f t="shared" si="42"/>
        <v>2.5530270536466042</v>
      </c>
      <c r="H30" s="14">
        <f t="shared" si="42"/>
        <v>3.1504077100087398</v>
      </c>
      <c r="I30" s="14">
        <f t="shared" si="42"/>
        <v>2.8677962786376172</v>
      </c>
      <c r="J30" s="14">
        <f t="shared" si="42"/>
        <v>6.1504318598325138</v>
      </c>
      <c r="K30" s="14">
        <f t="shared" si="42"/>
        <v>2.6076994495656192</v>
      </c>
      <c r="L30" s="14">
        <f t="shared" si="42"/>
        <v>3.1012123745819395</v>
      </c>
      <c r="M30" s="14"/>
      <c r="N30" s="14"/>
      <c r="O30" s="14"/>
      <c r="P30" s="14">
        <f>+P28/P31</f>
        <v>3.7013034711759736</v>
      </c>
      <c r="Q30" s="14">
        <f t="shared" ref="Q30:V30" si="43">+Q28/Q31</f>
        <v>4.9511553534315444</v>
      </c>
      <c r="R30" s="14">
        <f t="shared" si="43"/>
        <v>4.5200515776466181</v>
      </c>
      <c r="S30" s="14">
        <f t="shared" si="43"/>
        <v>7.515889895814067</v>
      </c>
      <c r="T30" s="14">
        <f t="shared" si="43"/>
        <v>6.6955963216518102</v>
      </c>
      <c r="U30" s="14">
        <f t="shared" si="43"/>
        <v>12.23261209223049</v>
      </c>
      <c r="V30" s="14">
        <f t="shared" si="43"/>
        <v>14.665341253485277</v>
      </c>
      <c r="W30" s="14"/>
      <c r="X30" s="14"/>
      <c r="Y30" s="14"/>
      <c r="Z30" s="14"/>
      <c r="AA30" s="14"/>
      <c r="AB30" s="14"/>
      <c r="AC30" s="14"/>
      <c r="AD30" s="14"/>
      <c r="AE30" s="14"/>
    </row>
    <row r="31" spans="2:49" x14ac:dyDescent="0.2">
      <c r="B31" s="2" t="s">
        <v>27</v>
      </c>
      <c r="C31" s="3">
        <v>127.246</v>
      </c>
      <c r="D31" s="3">
        <v>126.96899999999999</v>
      </c>
      <c r="E31" s="3">
        <v>126.46</v>
      </c>
      <c r="F31" s="3">
        <v>126.22799999999999</v>
      </c>
      <c r="G31" s="3">
        <v>125.898</v>
      </c>
      <c r="H31" s="3">
        <v>124.721</v>
      </c>
      <c r="I31" s="3">
        <v>122.697</v>
      </c>
      <c r="J31" s="3">
        <v>121.68300000000001</v>
      </c>
      <c r="K31" s="3">
        <v>120.63200000000001</v>
      </c>
      <c r="L31" s="3">
        <v>119.6</v>
      </c>
      <c r="M31" s="3"/>
      <c r="N31" s="3"/>
      <c r="O31" s="3"/>
      <c r="P31" s="3">
        <v>133.41300000000001</v>
      </c>
      <c r="Q31" s="3">
        <v>130.393</v>
      </c>
      <c r="R31" s="3">
        <v>130.28899999999999</v>
      </c>
      <c r="S31" s="3">
        <v>129.768</v>
      </c>
      <c r="T31" s="3">
        <v>127.666</v>
      </c>
      <c r="U31" s="3">
        <v>126.726</v>
      </c>
      <c r="V31" s="3">
        <v>123.735</v>
      </c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22" x14ac:dyDescent="0.2">
      <c r="B33" s="1" t="s">
        <v>32</v>
      </c>
      <c r="C33" s="11"/>
      <c r="D33" s="11"/>
      <c r="E33" s="11"/>
      <c r="F33" s="11"/>
      <c r="G33" s="12">
        <f>G19/C19-1</f>
        <v>0.10400831270816768</v>
      </c>
      <c r="H33" s="12">
        <f t="shared" ref="H33:M33" si="44">H19/D19-1</f>
        <v>7.3291492486980303E-2</v>
      </c>
      <c r="I33" s="12">
        <f t="shared" si="44"/>
        <v>8.7306246478342953E-2</v>
      </c>
      <c r="J33" s="12">
        <f t="shared" si="44"/>
        <v>0.12679592512315518</v>
      </c>
      <c r="K33" s="12">
        <f t="shared" si="44"/>
        <v>7.3235392783075115E-2</v>
      </c>
      <c r="L33" s="12">
        <f t="shared" si="44"/>
        <v>6.50088272085525E-2</v>
      </c>
      <c r="M33" s="12">
        <f t="shared" si="44"/>
        <v>3.6859629651264658E-2</v>
      </c>
      <c r="N33" s="13"/>
      <c r="O33" s="3"/>
      <c r="P33" s="13"/>
      <c r="Q33" s="12">
        <f t="shared" ref="Q33:T33" si="45">Q19/P19-1</f>
        <v>0.21013076894303739</v>
      </c>
      <c r="R33" s="12">
        <f t="shared" si="45"/>
        <v>0.10619541748088102</v>
      </c>
      <c r="S33" s="12">
        <f t="shared" si="45"/>
        <v>0.42135142742451581</v>
      </c>
      <c r="T33" s="12">
        <f t="shared" si="45"/>
        <v>0.29631045020016411</v>
      </c>
      <c r="U33" s="12">
        <f>U19/T19-1</f>
        <v>0.18602510961691965</v>
      </c>
      <c r="V33" s="12">
        <f>V19/U19-1</f>
        <v>0.1007194095024595</v>
      </c>
    </row>
    <row r="34" spans="2:22" x14ac:dyDescent="0.2">
      <c r="B34" s="2" t="s">
        <v>33</v>
      </c>
      <c r="C34" s="13">
        <f t="shared" ref="C34:J34" si="46">C21/C19</f>
        <v>0.57517473080660053</v>
      </c>
      <c r="D34" s="13">
        <f t="shared" si="46"/>
        <v>0.58778361960288161</v>
      </c>
      <c r="E34" s="13">
        <f t="shared" si="46"/>
        <v>0.57011783770933722</v>
      </c>
      <c r="F34" s="13">
        <f t="shared" si="46"/>
        <v>0.59387327021939695</v>
      </c>
      <c r="G34" s="13">
        <f t="shared" si="46"/>
        <v>0.57724351269483198</v>
      </c>
      <c r="H34" s="13">
        <f t="shared" si="46"/>
        <v>0.59558774532090464</v>
      </c>
      <c r="I34" s="13">
        <f t="shared" si="46"/>
        <v>0.58481636944748105</v>
      </c>
      <c r="J34" s="13">
        <f t="shared" si="46"/>
        <v>0.60416829918452097</v>
      </c>
      <c r="K34" s="13">
        <f t="shared" ref="K34:L34" si="47">K21/K19</f>
        <v>0.58343499278681876</v>
      </c>
      <c r="L34" s="13">
        <f t="shared" si="47"/>
        <v>0.58497975819126968</v>
      </c>
      <c r="M34" s="13"/>
      <c r="N34" s="13"/>
      <c r="O34" s="3"/>
      <c r="P34" s="13">
        <f t="shared" ref="P34:T34" si="48">P21/P19</f>
        <v>0.5523454385052059</v>
      </c>
      <c r="Q34" s="13">
        <f t="shared" si="48"/>
        <v>0.55873853063456436</v>
      </c>
      <c r="R34" s="13">
        <f t="shared" si="48"/>
        <v>0.55975891204642381</v>
      </c>
      <c r="S34" s="13">
        <f t="shared" si="48"/>
        <v>0.57675977289324243</v>
      </c>
      <c r="T34" s="13">
        <f t="shared" si="48"/>
        <v>0.55389063929085669</v>
      </c>
      <c r="U34" s="13">
        <f>U21/U19</f>
        <v>0.58314199880697914</v>
      </c>
      <c r="V34" s="13">
        <f>V21/V19</f>
        <v>0.59224937444076509</v>
      </c>
    </row>
    <row r="35" spans="2:22" x14ac:dyDescent="0.2">
      <c r="B35" s="2" t="s">
        <v>34</v>
      </c>
      <c r="C35" s="13">
        <f t="shared" ref="C35:J35" si="49">C24/C19</f>
        <v>0.20062755148961001</v>
      </c>
      <c r="D35" s="13">
        <f t="shared" si="49"/>
        <v>0.21694033718622191</v>
      </c>
      <c r="E35" s="13">
        <f t="shared" si="49"/>
        <v>0.15339453720094828</v>
      </c>
      <c r="F35" s="13">
        <f t="shared" si="49"/>
        <v>0.28513592230889301</v>
      </c>
      <c r="G35" s="13">
        <f t="shared" si="49"/>
        <v>0.19586389731317669</v>
      </c>
      <c r="H35" s="13">
        <f t="shared" si="49"/>
        <v>0.22783982644181255</v>
      </c>
      <c r="I35" s="13">
        <f t="shared" si="49"/>
        <v>0.20472699506813638</v>
      </c>
      <c r="J35" s="13">
        <f t="shared" si="49"/>
        <v>0.2885695322466002</v>
      </c>
      <c r="K35" s="13">
        <f t="shared" ref="K35:L35" si="50">K24/K19</f>
        <v>0.18502231446095171</v>
      </c>
      <c r="L35" s="13">
        <f t="shared" si="50"/>
        <v>0.20743309788180747</v>
      </c>
      <c r="M35" s="13"/>
      <c r="N35" s="13"/>
      <c r="O35" s="3"/>
      <c r="P35" s="13">
        <f t="shared" ref="P35:T35" si="51">P24/P19</f>
        <v>0.21769086271739457</v>
      </c>
      <c r="Q35" s="13">
        <f t="shared" si="51"/>
        <v>0.2234339943547802</v>
      </c>
      <c r="R35" s="13">
        <f t="shared" si="51"/>
        <v>0.18628090413207635</v>
      </c>
      <c r="S35" s="13">
        <f t="shared" si="51"/>
        <v>0.21311117493687085</v>
      </c>
      <c r="T35" s="13">
        <f t="shared" si="51"/>
        <v>0.163788305506504</v>
      </c>
      <c r="U35" s="13">
        <f>U24/U19</f>
        <v>0.22170853155507106</v>
      </c>
      <c r="V35" s="13">
        <f>V24/V19</f>
        <v>0.23665160388155568</v>
      </c>
    </row>
    <row r="36" spans="2:22" x14ac:dyDescent="0.2">
      <c r="B36" s="2" t="s">
        <v>35</v>
      </c>
      <c r="C36" s="13">
        <f t="shared" ref="C36:J36" si="52">C28/C19</f>
        <v>0.14514502257106174</v>
      </c>
      <c r="D36" s="13">
        <f t="shared" si="52"/>
        <v>0.15462991673324536</v>
      </c>
      <c r="E36" s="13">
        <f t="shared" si="52"/>
        <v>0.11283548178991361</v>
      </c>
      <c r="F36" s="13">
        <f t="shared" si="52"/>
        <v>0.20887565859817925</v>
      </c>
      <c r="G36" s="13">
        <f t="shared" si="52"/>
        <v>0.14551238607971156</v>
      </c>
      <c r="H36" s="13">
        <f t="shared" si="52"/>
        <v>0.16571449779383049</v>
      </c>
      <c r="I36" s="13">
        <f t="shared" si="52"/>
        <v>0.14681682007460373</v>
      </c>
      <c r="J36" s="13">
        <f t="shared" si="52"/>
        <v>0.20722791684445532</v>
      </c>
      <c r="K36" s="13">
        <f t="shared" ref="K36:L36" si="53">K28/K19</f>
        <v>0.13269384897032885</v>
      </c>
      <c r="L36" s="13">
        <f t="shared" si="53"/>
        <v>0.14688032998326084</v>
      </c>
      <c r="M36" s="13"/>
      <c r="N36" s="13"/>
      <c r="O36" s="3"/>
      <c r="P36" s="13">
        <f t="shared" ref="P36:T36" si="54">P28/P19</f>
        <v>0.1501685207548295</v>
      </c>
      <c r="Q36" s="13">
        <f t="shared" si="54"/>
        <v>0.16223874775839733</v>
      </c>
      <c r="R36" s="13">
        <f t="shared" si="54"/>
        <v>0.13378673062117341</v>
      </c>
      <c r="S36" s="13">
        <f t="shared" si="54"/>
        <v>0.15588647986603621</v>
      </c>
      <c r="T36" s="13">
        <f t="shared" si="54"/>
        <v>0.10539400812623805</v>
      </c>
      <c r="U36" s="13">
        <f>U28/U19</f>
        <v>0.16115450660642108</v>
      </c>
      <c r="V36" s="13">
        <f>V28/V19</f>
        <v>0.17138216904483386</v>
      </c>
    </row>
    <row r="37" spans="2:22" x14ac:dyDescent="0.2">
      <c r="B37" s="2" t="s">
        <v>36</v>
      </c>
      <c r="C37" s="13">
        <f t="shared" ref="C37:J37" si="55">C27/C26</f>
        <v>0.29072462564631135</v>
      </c>
      <c r="D37" s="13">
        <f t="shared" si="55"/>
        <v>0.29800727057513166</v>
      </c>
      <c r="E37" s="13">
        <f t="shared" si="55"/>
        <v>0.28521627672384825</v>
      </c>
      <c r="F37" s="13">
        <f t="shared" si="55"/>
        <v>0.28147082814579488</v>
      </c>
      <c r="G37" s="13">
        <f t="shared" si="55"/>
        <v>0.29501343422712056</v>
      </c>
      <c r="H37" s="13">
        <f t="shared" si="55"/>
        <v>0.29611622657733511</v>
      </c>
      <c r="I37" s="13">
        <f t="shared" si="55"/>
        <v>0.30240442185232486</v>
      </c>
      <c r="J37" s="13">
        <f t="shared" si="55"/>
        <v>0.29230904524513779</v>
      </c>
      <c r="K37" s="13">
        <f t="shared" ref="K37:L37" si="56">K27/K26</f>
        <v>0.30158899316402143</v>
      </c>
      <c r="L37" s="13">
        <f t="shared" si="56"/>
        <v>0.30483683846530135</v>
      </c>
      <c r="M37" s="13"/>
      <c r="N37" s="13"/>
      <c r="O37" s="3"/>
      <c r="P37" s="13">
        <f t="shared" ref="P37:T37" si="57">P27/P26</f>
        <v>0.319129515160958</v>
      </c>
      <c r="Q37" s="13">
        <f t="shared" si="57"/>
        <v>0.28058721206873705</v>
      </c>
      <c r="R37" s="13">
        <f t="shared" si="57"/>
        <v>0.28124366876182338</v>
      </c>
      <c r="S37" s="13">
        <f t="shared" si="57"/>
        <v>0.2688022586925703</v>
      </c>
      <c r="T37" s="13">
        <f t="shared" si="57"/>
        <v>0.35853324138075948</v>
      </c>
      <c r="U37" s="13">
        <f>U27/U26</f>
        <v>0.28750973808850788</v>
      </c>
      <c r="V37" s="13">
        <f>V27/V26</f>
        <v>0.2955893787336325</v>
      </c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B39" s="16" t="s">
        <v>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v>2243.971</v>
      </c>
      <c r="V39" s="3">
        <v>1984.336</v>
      </c>
    </row>
    <row r="40" spans="2:22" x14ac:dyDescent="0.2">
      <c r="B40" s="16" t="s">
        <v>66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124.76900000000001</v>
      </c>
      <c r="V40" s="3">
        <v>120.173</v>
      </c>
    </row>
    <row r="41" spans="2:22" x14ac:dyDescent="0.2">
      <c r="B41" s="16" t="s">
        <v>67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v>1323.6020000000001</v>
      </c>
      <c r="V41" s="3">
        <v>1442.0809999999999</v>
      </c>
    </row>
    <row r="42" spans="2:22" x14ac:dyDescent="0.2">
      <c r="B42" s="16" t="s">
        <v>68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183.733</v>
      </c>
      <c r="V42" s="3">
        <v>182.25299999999999</v>
      </c>
    </row>
    <row r="43" spans="2:22" x14ac:dyDescent="0.2">
      <c r="B43" s="16" t="s">
        <v>69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184.50200000000001</v>
      </c>
      <c r="V43" s="3">
        <v>251.459</v>
      </c>
    </row>
    <row r="44" spans="2:22" x14ac:dyDescent="0.2">
      <c r="B44" s="16" t="s">
        <v>70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ref="S44:U44" si="58">+SUM(S39:S43)</f>
        <v>0</v>
      </c>
      <c r="T44" s="3">
        <f t="shared" si="58"/>
        <v>0</v>
      </c>
      <c r="U44" s="3">
        <f t="shared" si="58"/>
        <v>4060.5769999999998</v>
      </c>
      <c r="V44" s="3">
        <f>+SUM(V39:V43)</f>
        <v>3980.3020000000001</v>
      </c>
    </row>
    <row r="45" spans="2:22" x14ac:dyDescent="0.2">
      <c r="B45" s="16" t="s">
        <v>71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1545.8109999999999</v>
      </c>
      <c r="V45" s="3">
        <v>1780.617</v>
      </c>
    </row>
    <row r="46" spans="2:22" x14ac:dyDescent="0.2">
      <c r="B46" s="16" t="s">
        <v>72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1265.6099999999999</v>
      </c>
      <c r="V46" s="3">
        <v>1416.2560000000001</v>
      </c>
    </row>
    <row r="47" spans="2:22" x14ac:dyDescent="0.2">
      <c r="B47" s="16" t="s">
        <v>73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24.082999999999998</v>
      </c>
      <c r="V47" s="3">
        <v>159.518</v>
      </c>
    </row>
    <row r="48" spans="2:22" x14ac:dyDescent="0.2">
      <c r="B48" s="16" t="s">
        <v>74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0</v>
      </c>
      <c r="V48" s="3">
        <v>11.673</v>
      </c>
    </row>
    <row r="49" spans="2:22" x14ac:dyDescent="0.2">
      <c r="B49" s="16" t="s">
        <v>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9.1760000000000002</v>
      </c>
      <c r="V49" s="3">
        <v>17.085000000000001</v>
      </c>
    </row>
    <row r="50" spans="2:22" x14ac:dyDescent="0.2">
      <c r="B50" s="16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186.684</v>
      </c>
      <c r="V50" s="3">
        <v>237.84100000000001</v>
      </c>
    </row>
    <row r="51" spans="2:22" x14ac:dyDescent="0.2">
      <c r="B51" s="16" t="s">
        <v>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 t="shared" ref="T51:U51" si="59">+SUM(T45:T50)</f>
        <v>0</v>
      </c>
      <c r="U51" s="3">
        <f t="shared" si="59"/>
        <v>3031.364</v>
      </c>
      <c r="V51" s="3">
        <f>+SUM(V45:V50)</f>
        <v>3622.99</v>
      </c>
    </row>
    <row r="52" spans="2:22" x14ac:dyDescent="0.2">
      <c r="B52" s="1" t="s">
        <v>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1">
        <f t="shared" ref="T52:U52" si="60">+T51+T44</f>
        <v>0</v>
      </c>
      <c r="U52" s="11">
        <f t="shared" si="60"/>
        <v>7091.9409999999998</v>
      </c>
      <c r="V52" s="11">
        <f>+V51+V44</f>
        <v>7603.2919999999995</v>
      </c>
    </row>
    <row r="53" spans="2:22" x14ac:dyDescent="0.2">
      <c r="B53" s="16" t="s">
        <v>80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348.44099999999997</v>
      </c>
      <c r="V53" s="3">
        <v>271.40600000000001</v>
      </c>
    </row>
    <row r="54" spans="2:22" x14ac:dyDescent="0.2">
      <c r="B54" s="16" t="s">
        <v>81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348.55500000000001</v>
      </c>
      <c r="V54" s="3">
        <v>559.46299999999997</v>
      </c>
    </row>
    <row r="55" spans="2:22" x14ac:dyDescent="0.2">
      <c r="B55" s="16" t="s">
        <v>82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326.11</v>
      </c>
      <c r="V55" s="3">
        <v>204.54300000000001</v>
      </c>
    </row>
    <row r="56" spans="2:22" x14ac:dyDescent="0.2">
      <c r="B56" s="16" t="s">
        <v>83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v>249.27</v>
      </c>
      <c r="V56" s="3">
        <v>275.154</v>
      </c>
    </row>
    <row r="57" spans="2:22" x14ac:dyDescent="0.2">
      <c r="B57" s="16" t="s">
        <v>84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12.098000000000001</v>
      </c>
      <c r="V57" s="3">
        <v>183.126</v>
      </c>
    </row>
    <row r="58" spans="2:22" x14ac:dyDescent="0.2">
      <c r="B58" s="16" t="s">
        <v>85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306.47899999999998</v>
      </c>
      <c r="V58" s="3">
        <v>308.35199999999998</v>
      </c>
    </row>
    <row r="59" spans="2:22" x14ac:dyDescent="0.2">
      <c r="B59" s="16" t="s">
        <v>47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40.308</v>
      </c>
      <c r="V59" s="3">
        <v>37.585999999999999</v>
      </c>
    </row>
    <row r="60" spans="2:22" x14ac:dyDescent="0.2">
      <c r="B60" s="16" t="s">
        <v>86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f t="shared" ref="T60:U60" si="61">+SUM(T53:T59)</f>
        <v>0</v>
      </c>
      <c r="U60" s="3">
        <f t="shared" si="61"/>
        <v>1631.261</v>
      </c>
      <c r="V60" s="3">
        <f>+SUM(V53:V59)</f>
        <v>1839.6299999999999</v>
      </c>
    </row>
    <row r="61" spans="2:22" x14ac:dyDescent="0.2">
      <c r="B61" s="16" t="s">
        <v>83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1154.0119999999999</v>
      </c>
      <c r="V61" s="3">
        <v>1300.6369999999999</v>
      </c>
    </row>
    <row r="62" spans="2:22" x14ac:dyDescent="0.2">
      <c r="B62" s="16" t="s">
        <v>84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15.864000000000001</v>
      </c>
      <c r="V62" s="3">
        <v>0</v>
      </c>
    </row>
    <row r="63" spans="2:22" x14ac:dyDescent="0.2">
      <c r="B63" s="16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29.521999999999998</v>
      </c>
      <c r="V63" s="3">
        <v>98.188000000000002</v>
      </c>
    </row>
    <row r="64" spans="2:22" x14ac:dyDescent="0.2">
      <c r="B64" s="16" t="s">
        <v>47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29.201000000000001</v>
      </c>
      <c r="V64" s="3">
        <v>40.79</v>
      </c>
    </row>
    <row r="65" spans="2:22" x14ac:dyDescent="0.2">
      <c r="B65" s="16" t="s">
        <v>79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>+SUM(U61:U64)</f>
        <v>1228.5989999999999</v>
      </c>
      <c r="V65" s="3">
        <f>+SUM(V61:V64)</f>
        <v>1439.615</v>
      </c>
    </row>
    <row r="66" spans="2:22" x14ac:dyDescent="0.2">
      <c r="B66" s="16" t="s">
        <v>87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4232.0810000000001</v>
      </c>
      <c r="V66" s="3">
        <v>4324.0469999999996</v>
      </c>
    </row>
    <row r="67" spans="2:22" x14ac:dyDescent="0.2">
      <c r="B67" s="1" t="s">
        <v>78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1">
        <f t="shared" ref="T67:U67" si="62">+T66+T65+T60</f>
        <v>0</v>
      </c>
      <c r="U67" s="11">
        <f t="shared" si="62"/>
        <v>7091.9410000000007</v>
      </c>
      <c r="V67" s="11">
        <f>+V66+V65+V60</f>
        <v>7603.2919999999995</v>
      </c>
    </row>
    <row r="68" spans="2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2:22" x14ac:dyDescent="0.2">
      <c r="B69" s="16" t="s">
        <v>26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 t="shared" ref="T69:V69" si="63">+T28</f>
        <v>854.8</v>
      </c>
      <c r="U69" s="3">
        <f t="shared" si="63"/>
        <v>1550.190000000001</v>
      </c>
      <c r="V69" s="3">
        <f>+V28</f>
        <v>1814.6160000000007</v>
      </c>
    </row>
    <row r="70" spans="2:22" x14ac:dyDescent="0.2">
      <c r="B70" s="16" t="s">
        <v>89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291.791</v>
      </c>
      <c r="U70" s="3">
        <v>379.38400000000001</v>
      </c>
      <c r="V70" s="3">
        <v>446.524</v>
      </c>
    </row>
    <row r="71" spans="2:22" x14ac:dyDescent="0.2">
      <c r="B71" s="16" t="s">
        <v>90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>62.928+407.913-10.18</f>
        <v>460.661</v>
      </c>
      <c r="U71" s="3">
        <f>23.709+74.501</f>
        <v>98.210000000000008</v>
      </c>
      <c r="V71" s="3">
        <v>0</v>
      </c>
    </row>
    <row r="72" spans="2:22" x14ac:dyDescent="0.2">
      <c r="B72" s="16" t="s">
        <v>91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78.075000000000003</v>
      </c>
      <c r="U72" s="3">
        <v>93.56</v>
      </c>
      <c r="V72" s="3">
        <v>90.010999999999996</v>
      </c>
    </row>
    <row r="73" spans="2:22" x14ac:dyDescent="0.2">
      <c r="B73" s="16" t="s">
        <v>92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-23.337</v>
      </c>
      <c r="U73" s="3">
        <v>-28.547000000000001</v>
      </c>
      <c r="V73" s="3">
        <v>-36.231000000000002</v>
      </c>
    </row>
    <row r="74" spans="2:22" x14ac:dyDescent="0.2">
      <c r="B74" s="16" t="s">
        <v>93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v>-38.649000000000001</v>
      </c>
      <c r="U74" s="3">
        <v>32.527000000000001</v>
      </c>
      <c r="V74" s="3">
        <v>-47.762999999999998</v>
      </c>
    </row>
    <row r="75" spans="2:22" x14ac:dyDescent="0.2">
      <c r="B75" s="16" t="s">
        <v>75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3.0419999999999998</v>
      </c>
      <c r="U75" s="3">
        <v>-28.382999999999999</v>
      </c>
      <c r="V75" s="3">
        <v>57.451000000000001</v>
      </c>
    </row>
    <row r="76" spans="2:22" x14ac:dyDescent="0.2">
      <c r="B76" s="16" t="s">
        <v>94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-58.987000000000002</v>
      </c>
      <c r="U76" s="3">
        <v>6.58</v>
      </c>
      <c r="V76" s="3">
        <v>1.6259999999999999</v>
      </c>
    </row>
    <row r="77" spans="2:22" x14ac:dyDescent="0.2">
      <c r="B77" s="16" t="s">
        <v>106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-573.43799999999999</v>
      </c>
      <c r="U77" s="3">
        <v>66.584000000000003</v>
      </c>
      <c r="V77" s="3">
        <v>-156.08500000000001</v>
      </c>
    </row>
    <row r="78" spans="2:22" x14ac:dyDescent="0.2">
      <c r="B78" s="16" t="s">
        <v>95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-66.713999999999999</v>
      </c>
      <c r="U78" s="3">
        <v>1.9079999999999999</v>
      </c>
      <c r="V78" s="3">
        <v>-2.0310000000000001</v>
      </c>
    </row>
    <row r="79" spans="2:22" x14ac:dyDescent="0.2">
      <c r="B79" s="16" t="s">
        <v>96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-54.832999999999998</v>
      </c>
      <c r="U79" s="3">
        <v>40.587000000000003</v>
      </c>
      <c r="V79" s="3">
        <v>-71.789000000000001</v>
      </c>
    </row>
    <row r="80" spans="2:22" x14ac:dyDescent="0.2">
      <c r="B80" s="16" t="s">
        <v>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-36.518000000000001</v>
      </c>
      <c r="U80" s="3">
        <v>-53.28</v>
      </c>
      <c r="V80" s="3">
        <v>-73.204999999999998</v>
      </c>
    </row>
    <row r="81" spans="2:22" x14ac:dyDescent="0.2">
      <c r="B81" s="16" t="s">
        <v>98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v>-107.28</v>
      </c>
      <c r="U81" s="3">
        <v>177.36699999999999</v>
      </c>
      <c r="V81" s="3">
        <v>-57.043999999999997</v>
      </c>
    </row>
    <row r="82" spans="2:22" x14ac:dyDescent="0.2">
      <c r="B82" s="16" t="s">
        <v>99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65.364000000000004</v>
      </c>
      <c r="U82" s="3">
        <v>-71.733999999999995</v>
      </c>
      <c r="V82" s="3">
        <v>193.13900000000001</v>
      </c>
    </row>
    <row r="83" spans="2:22" x14ac:dyDescent="0.2">
      <c r="B83" s="16" t="s">
        <v>100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47.253999999999998</v>
      </c>
      <c r="U83" s="3">
        <v>70.326999999999998</v>
      </c>
      <c r="V83" s="3">
        <v>-112.11</v>
      </c>
    </row>
    <row r="84" spans="2:22" x14ac:dyDescent="0.2">
      <c r="B84" s="16" t="s">
        <v>101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>
        <v>35.985999999999997</v>
      </c>
      <c r="U84" s="3">
        <v>-173.196</v>
      </c>
      <c r="V84" s="3">
        <v>157.20500000000001</v>
      </c>
    </row>
    <row r="85" spans="2:22" x14ac:dyDescent="0.2">
      <c r="B85" s="16" t="s">
        <v>102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>
        <v>68.266000000000005</v>
      </c>
      <c r="U85" s="3">
        <v>84.314999999999998</v>
      </c>
      <c r="V85" s="3">
        <v>42.41</v>
      </c>
    </row>
    <row r="86" spans="2:22" x14ac:dyDescent="0.2">
      <c r="B86" s="16" t="s">
        <v>103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23.905000000000001</v>
      </c>
      <c r="U86" s="3">
        <v>37.534999999999997</v>
      </c>
      <c r="V86" s="3">
        <v>23.501000000000001</v>
      </c>
    </row>
    <row r="87" spans="2:22" x14ac:dyDescent="0.2">
      <c r="B87" s="16" t="s">
        <v>104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>
        <v>-2.9249999999999998</v>
      </c>
      <c r="U87" s="3">
        <v>12.23</v>
      </c>
      <c r="V87" s="3">
        <v>2.488</v>
      </c>
    </row>
    <row r="88" spans="2:22" x14ac:dyDescent="0.2">
      <c r="B88" s="16" t="s">
        <v>105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ref="S88:U88" si="64">+SUM(S76:S87)</f>
        <v>0</v>
      </c>
      <c r="T88" s="3">
        <f t="shared" si="64"/>
        <v>-659.91999999999985</v>
      </c>
      <c r="U88" s="3">
        <f t="shared" si="64"/>
        <v>199.22299999999998</v>
      </c>
      <c r="V88" s="3">
        <f>+SUM(V76:V87)</f>
        <v>-51.894999999999953</v>
      </c>
    </row>
    <row r="89" spans="2:22" x14ac:dyDescent="0.2">
      <c r="B89" s="1" t="s">
        <v>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>
        <f t="shared" ref="P89:U89" si="65">+SUM(P88,P69:P75)</f>
        <v>0</v>
      </c>
      <c r="Q89" s="11">
        <f t="shared" si="65"/>
        <v>0</v>
      </c>
      <c r="R89" s="11">
        <f t="shared" si="65"/>
        <v>0</v>
      </c>
      <c r="S89" s="11">
        <f t="shared" si="65"/>
        <v>0</v>
      </c>
      <c r="T89" s="11">
        <f t="shared" si="65"/>
        <v>966.46300000000019</v>
      </c>
      <c r="U89" s="11">
        <f t="shared" si="65"/>
        <v>2296.1640000000011</v>
      </c>
      <c r="V89" s="11">
        <f>+SUM(V88,V69:V75)</f>
        <v>2272.7130000000006</v>
      </c>
    </row>
    <row r="90" spans="2:22" x14ac:dyDescent="0.2">
      <c r="B90" s="16" t="s">
        <v>108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-638.65700000000004</v>
      </c>
      <c r="U90" s="3">
        <v>-651.86500000000001</v>
      </c>
      <c r="V90" s="3">
        <v>-689.23199999999997</v>
      </c>
    </row>
    <row r="91" spans="2:22" x14ac:dyDescent="0.2">
      <c r="B91" s="16" t="s">
        <v>109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>
        <v>47.804000000000002</v>
      </c>
      <c r="U91" s="3">
        <v>-1.609</v>
      </c>
      <c r="V91" s="3">
        <v>50.213000000000001</v>
      </c>
    </row>
    <row r="92" spans="2:22" x14ac:dyDescent="0.2">
      <c r="B92" s="16" t="s">
        <v>110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0</v>
      </c>
      <c r="U92" s="3">
        <v>0</v>
      </c>
      <c r="V92" s="3">
        <v>-154.14599999999999</v>
      </c>
    </row>
    <row r="93" spans="2:22" x14ac:dyDescent="0.2">
      <c r="B93" s="16" t="s">
        <v>47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20.916</v>
      </c>
      <c r="U93" s="3">
        <v>-0.65800000000000003</v>
      </c>
      <c r="V93" s="3">
        <v>-5.0090000000000003</v>
      </c>
    </row>
    <row r="94" spans="2:22" x14ac:dyDescent="0.2">
      <c r="B94" s="1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1">
        <f t="shared" ref="S94:U94" si="66">+SUM(S90:S93)</f>
        <v>0</v>
      </c>
      <c r="T94" s="11">
        <f t="shared" si="66"/>
        <v>-569.93700000000001</v>
      </c>
      <c r="U94" s="11">
        <f t="shared" si="66"/>
        <v>-654.13200000000006</v>
      </c>
      <c r="V94" s="11">
        <f>+SUM(V90:V93)</f>
        <v>-798.17399999999998</v>
      </c>
    </row>
    <row r="95" spans="2:22" x14ac:dyDescent="0.2">
      <c r="B95" s="16" t="s">
        <v>111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11.704000000000001</v>
      </c>
      <c r="U95" s="3">
        <v>42.43</v>
      </c>
      <c r="V95" s="3">
        <v>19.812999999999999</v>
      </c>
    </row>
    <row r="96" spans="2:22" x14ac:dyDescent="0.2">
      <c r="B96" s="16" t="s">
        <v>112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-35.158000000000001</v>
      </c>
      <c r="U96" s="3">
        <v>-32.573999999999998</v>
      </c>
      <c r="V96" s="3">
        <v>-35.409999999999997</v>
      </c>
    </row>
    <row r="97" spans="2:22" x14ac:dyDescent="0.2">
      <c r="B97" s="16" t="s">
        <v>113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>
        <v>-444.00099999999998</v>
      </c>
      <c r="U97" s="3">
        <v>-558.65200000000004</v>
      </c>
      <c r="V97" s="3">
        <v>-1636.8789999999999</v>
      </c>
    </row>
    <row r="98" spans="2:22" x14ac:dyDescent="0.2">
      <c r="B98" s="16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-3.2000000000000001E-2</v>
      </c>
      <c r="U98" s="3">
        <v>-3.2000000000000001E-2</v>
      </c>
      <c r="V98" s="3">
        <v>-3.2000000000000001E-2</v>
      </c>
    </row>
    <row r="99" spans="2:22" x14ac:dyDescent="0.2">
      <c r="B99" s="1" t="s">
        <v>114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1">
        <f t="shared" ref="S99:U99" si="67">+SUM(S95:S98)</f>
        <v>0</v>
      </c>
      <c r="T99" s="11">
        <f t="shared" si="67"/>
        <v>-467.48699999999997</v>
      </c>
      <c r="U99" s="11">
        <f t="shared" si="67"/>
        <v>-548.82800000000009</v>
      </c>
      <c r="V99" s="11">
        <f>+SUM(V95:V98)</f>
        <v>-1652.5079999999998</v>
      </c>
    </row>
    <row r="100" spans="2:22" x14ac:dyDescent="0.2">
      <c r="B100" s="16" t="s">
        <v>115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-34.042999999999999</v>
      </c>
      <c r="U100" s="3">
        <v>-4.0999999999999996</v>
      </c>
      <c r="V100" s="3">
        <v>-81.665999999999997</v>
      </c>
    </row>
    <row r="101" spans="2:22" x14ac:dyDescent="0.2">
      <c r="B101" s="16" t="s">
        <v>116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f t="shared" ref="S101:U101" si="68">+SUM(S99,S100,S94,S89)</f>
        <v>0</v>
      </c>
      <c r="T101" s="3">
        <f t="shared" si="68"/>
        <v>-105.00399999999991</v>
      </c>
      <c r="U101" s="3">
        <f t="shared" si="68"/>
        <v>1089.104000000001</v>
      </c>
      <c r="V101" s="3">
        <f>+SUM(V99,V100,V94,V89)</f>
        <v>-259.63499999999931</v>
      </c>
    </row>
    <row r="102" spans="2:22" x14ac:dyDescent="0.2">
      <c r="B102" s="16" t="s">
        <v>117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>
        <v>1259.8710000000001</v>
      </c>
      <c r="U102" s="3">
        <v>1154.867</v>
      </c>
      <c r="V102" s="3">
        <v>2243.971</v>
      </c>
    </row>
    <row r="103" spans="2:22" x14ac:dyDescent="0.2">
      <c r="B103" s="16" t="s">
        <v>118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f>+U102</f>
        <v>1154.867</v>
      </c>
      <c r="U103" s="3">
        <f>+V102</f>
        <v>2243.971</v>
      </c>
      <c r="V103" s="3">
        <f>+V102+V101</f>
        <v>1984.3360000000007</v>
      </c>
    </row>
    <row r="104" spans="2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3:2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3:2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3:2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3:2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3:2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3:2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3:2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3:2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3:2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3:2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3:2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3:2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3:2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3:2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3:2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3:2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3:2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3:2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3:2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3:2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3:2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3:2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3:2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3:2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3:2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3:2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3:2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3:2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3:2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3:2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3:2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3:2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3:2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3:2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3:2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3:2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3:2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3:2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3:2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3:2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3:2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3:2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3:2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3:2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3:2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3:2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3:2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3:2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3:2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3:2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3:2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3:2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3:2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3:2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3:2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3:2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3:2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3:2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3:2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3:2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3:2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3:2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3:2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3:2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3:2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3:2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3:2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3:2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3:2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3:2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3:2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3:2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3:2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3:2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3:2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3:2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3:2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3:2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3:2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3:2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3:2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3:2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3:2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3:2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3:2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3:2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3:2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3:2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3:2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3:2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3:2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3:2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3:2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3:2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3:2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3:2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3:2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3:2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3:2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3:2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3:2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3:2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3:2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3:2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3:2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3:2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3:2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3:2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3:2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3:2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3:2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3:2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3:2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3:2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3:2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3:2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3:2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3:2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3:2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3:2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3:2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3:2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3:2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3:2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3:2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</sheetData>
  <hyperlinks>
    <hyperlink ref="A1" location="Main!A1" display="Main" xr:uid="{F06D5481-2FC0-41C0-A8FD-A8300E89068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34-80D2-4148-9B7A-8C50C2094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7C7-F52E-4B5A-9125-C20B41FF7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Ratios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2025-09-05T12:49:51Z</dcterms:modified>
</cp:coreProperties>
</file>