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96C5D8E-76D4-48C8-B7DF-B5CAB2ED9FE9}" xr6:coauthVersionLast="47" xr6:coauthVersionMax="47" xr10:uidLastSave="{00000000-0000-0000-0000-000000000000}"/>
  <bookViews>
    <workbookView xWindow="-120" yWindow="-120" windowWidth="38640" windowHeight="21060" activeTab="1" xr2:uid="{F40E76A4-D28F-40CA-8C98-C80E8AA59D9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D33" i="2"/>
  <c r="C33" i="2"/>
  <c r="D32" i="2"/>
  <c r="C32" i="2"/>
  <c r="D31" i="2"/>
  <c r="C31" i="2"/>
  <c r="E33" i="2"/>
  <c r="E32" i="2"/>
  <c r="E31" i="2"/>
  <c r="L29" i="2"/>
  <c r="K29" i="2"/>
  <c r="L28" i="2"/>
  <c r="K28" i="2"/>
  <c r="L27" i="2"/>
  <c r="K27" i="2"/>
  <c r="L26" i="2"/>
  <c r="K26" i="2"/>
  <c r="M28" i="2"/>
  <c r="M27" i="2"/>
  <c r="M26" i="2"/>
  <c r="M29" i="2"/>
  <c r="E28" i="2"/>
  <c r="E27" i="2"/>
  <c r="E26" i="2"/>
  <c r="E29" i="2"/>
  <c r="L30" i="2"/>
  <c r="K30" i="2"/>
  <c r="J30" i="2"/>
  <c r="I30" i="2"/>
  <c r="M30" i="2"/>
  <c r="E30" i="2"/>
  <c r="F23" i="2"/>
  <c r="I5" i="1"/>
  <c r="D14" i="2"/>
  <c r="D18" i="2" s="1"/>
  <c r="D21" i="2" s="1"/>
  <c r="D23" i="2" s="1"/>
  <c r="C13" i="2"/>
  <c r="C9" i="2"/>
  <c r="C14" i="2" s="1"/>
  <c r="C18" i="2" s="1"/>
  <c r="C21" i="2" s="1"/>
  <c r="C23" i="2" s="1"/>
  <c r="E13" i="2"/>
  <c r="E9" i="2"/>
  <c r="E14" i="2" s="1"/>
  <c r="E18" i="2" s="1"/>
  <c r="E21" i="2" s="1"/>
  <c r="E23" i="2" s="1"/>
  <c r="I4" i="1"/>
  <c r="L13" i="2"/>
  <c r="L9" i="2"/>
  <c r="K9" i="2"/>
  <c r="K14" i="2" s="1"/>
  <c r="K18" i="2" s="1"/>
  <c r="K21" i="2" s="1"/>
  <c r="K23" i="2" s="1"/>
  <c r="J9" i="2"/>
  <c r="J14" i="2" s="1"/>
  <c r="J18" i="2" s="1"/>
  <c r="J21" i="2" s="1"/>
  <c r="J23" i="2" s="1"/>
  <c r="I9" i="2"/>
  <c r="I14" i="2" s="1"/>
  <c r="I18" i="2" s="1"/>
  <c r="I21" i="2" s="1"/>
  <c r="I23" i="2" s="1"/>
  <c r="M13" i="2"/>
  <c r="M9" i="2"/>
  <c r="I7" i="1" l="1"/>
  <c r="M14" i="2"/>
  <c r="M18" i="2" s="1"/>
  <c r="M21" i="2" s="1"/>
  <c r="M23" i="2" s="1"/>
  <c r="L14" i="2"/>
  <c r="L18" i="2" s="1"/>
  <c r="L21" i="2" s="1"/>
  <c r="L23" i="2" s="1"/>
</calcChain>
</file>

<file path=xl/sharedStrings.xml><?xml version="1.0" encoding="utf-8"?>
<sst xmlns="http://schemas.openxmlformats.org/spreadsheetml/2006/main" count="54" uniqueCount="48">
  <si>
    <t>Pop Mart</t>
  </si>
  <si>
    <t>numbers in mio RMB</t>
  </si>
  <si>
    <t>Price</t>
  </si>
  <si>
    <t>Shares</t>
  </si>
  <si>
    <t>MC</t>
  </si>
  <si>
    <t>Cash</t>
  </si>
  <si>
    <t>Debt</t>
  </si>
  <si>
    <t>EV</t>
  </si>
  <si>
    <t>Main</t>
  </si>
  <si>
    <t>Revenue</t>
  </si>
  <si>
    <t>Figue Toys</t>
  </si>
  <si>
    <t>Plush</t>
  </si>
  <si>
    <t>Mega</t>
  </si>
  <si>
    <t>Other IP products and other</t>
  </si>
  <si>
    <t>H125</t>
  </si>
  <si>
    <t>H225</t>
  </si>
  <si>
    <t>H124</t>
  </si>
  <si>
    <t>H224</t>
  </si>
  <si>
    <t>COGS</t>
  </si>
  <si>
    <t>Gross Profit</t>
  </si>
  <si>
    <t>Distribution &amp; Selling</t>
  </si>
  <si>
    <t>G&amp;A</t>
  </si>
  <si>
    <t>Impairments</t>
  </si>
  <si>
    <t>Other Income</t>
  </si>
  <si>
    <t>Operating Income</t>
  </si>
  <si>
    <t>Interest Income</t>
  </si>
  <si>
    <t>Interest Expense</t>
  </si>
  <si>
    <t>Profit from subsidees</t>
  </si>
  <si>
    <t>Pretax Income</t>
  </si>
  <si>
    <t>Tax Expense</t>
  </si>
  <si>
    <t>Minority Interest</t>
  </si>
  <si>
    <t>Net Income</t>
  </si>
  <si>
    <t>EPS</t>
  </si>
  <si>
    <t>Q225</t>
  </si>
  <si>
    <t>Figure Toys Growth</t>
  </si>
  <si>
    <t>Plush Growth</t>
  </si>
  <si>
    <t>Mega Growth</t>
  </si>
  <si>
    <t>Other Growth</t>
  </si>
  <si>
    <t>Revenue Growth</t>
  </si>
  <si>
    <t>Gross Margin</t>
  </si>
  <si>
    <t>Operating Margin</t>
  </si>
  <si>
    <t>Tax Rate</t>
  </si>
  <si>
    <t>IR</t>
  </si>
  <si>
    <t>Segment</t>
  </si>
  <si>
    <t>Other</t>
  </si>
  <si>
    <t>Products</t>
  </si>
  <si>
    <t>% of Rev</t>
  </si>
  <si>
    <t>Labubu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</si>
</sst>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9" fontId="2" fillId="0" borderId="0" xfId="1" applyFont="1"/>
    <xf numFmtId="9" fontId="1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B432-3299-40A9-B3E5-24AFAEAB3303}">
  <dimension ref="A1:J11"/>
  <sheetViews>
    <sheetView topLeftCell="C1" zoomScale="200" zoomScaleNormal="200" workbookViewId="0">
      <selection activeCell="C10" sqref="C10"/>
    </sheetView>
  </sheetViews>
  <sheetFormatPr defaultRowHeight="12.75" x14ac:dyDescent="0.2"/>
  <cols>
    <col min="1" max="1" width="3.425781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256.39999999999998</v>
      </c>
    </row>
    <row r="3" spans="1:10" x14ac:dyDescent="0.2">
      <c r="H3" t="s">
        <v>3</v>
      </c>
      <c r="I3" s="3">
        <v>1329.096</v>
      </c>
      <c r="J3" s="6" t="s">
        <v>33</v>
      </c>
    </row>
    <row r="4" spans="1:10" x14ac:dyDescent="0.2">
      <c r="B4" t="s">
        <v>42</v>
      </c>
      <c r="H4" t="s">
        <v>4</v>
      </c>
      <c r="I4" s="3">
        <f>+I2*I3</f>
        <v>340780.2144</v>
      </c>
    </row>
    <row r="5" spans="1:10" x14ac:dyDescent="0.2">
      <c r="H5" t="s">
        <v>5</v>
      </c>
      <c r="I5" s="3">
        <f>11922.694+1843.017</f>
        <v>13765.710999999999</v>
      </c>
      <c r="J5" s="6" t="s">
        <v>33</v>
      </c>
    </row>
    <row r="6" spans="1:10" x14ac:dyDescent="0.2">
      <c r="H6" t="s">
        <v>6</v>
      </c>
      <c r="I6" s="3">
        <v>0</v>
      </c>
      <c r="J6" s="6" t="s">
        <v>33</v>
      </c>
    </row>
    <row r="7" spans="1:10" x14ac:dyDescent="0.2">
      <c r="B7" t="s">
        <v>43</v>
      </c>
      <c r="C7" t="s">
        <v>45</v>
      </c>
      <c r="D7" t="s">
        <v>46</v>
      </c>
      <c r="H7" t="s">
        <v>7</v>
      </c>
      <c r="I7" s="3">
        <f>+I4-I5+I6</f>
        <v>327014.50339999999</v>
      </c>
    </row>
    <row r="8" spans="1:10" x14ac:dyDescent="0.2">
      <c r="B8" t="s">
        <v>10</v>
      </c>
    </row>
    <row r="9" spans="1:10" x14ac:dyDescent="0.2">
      <c r="B9" t="s">
        <v>11</v>
      </c>
      <c r="C9" t="s">
        <v>47</v>
      </c>
    </row>
    <row r="10" spans="1:10" x14ac:dyDescent="0.2">
      <c r="B10" t="s">
        <v>12</v>
      </c>
    </row>
    <row r="11" spans="1:10" x14ac:dyDescent="0.2">
      <c r="B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7240-9762-4830-AD68-8F02C4483690}">
  <dimension ref="A1:CC182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3" sqref="B23"/>
    </sheetView>
  </sheetViews>
  <sheetFormatPr defaultRowHeight="12.75" x14ac:dyDescent="0.2"/>
  <cols>
    <col min="1" max="1" width="5" customWidth="1"/>
    <col min="2" max="2" width="25.140625" bestFit="1" customWidth="1"/>
  </cols>
  <sheetData>
    <row r="1" spans="1:81" x14ac:dyDescent="0.2">
      <c r="A1" s="2" t="s">
        <v>8</v>
      </c>
    </row>
    <row r="2" spans="1:81" x14ac:dyDescent="0.2">
      <c r="C2" s="6" t="s">
        <v>16</v>
      </c>
      <c r="D2" s="6" t="s">
        <v>17</v>
      </c>
      <c r="E2" s="6" t="s">
        <v>14</v>
      </c>
      <c r="F2" s="6" t="s">
        <v>15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</row>
    <row r="3" spans="1:81" x14ac:dyDescent="0.2">
      <c r="B3" t="s">
        <v>10</v>
      </c>
      <c r="C3" s="3">
        <v>2656.7809999999999</v>
      </c>
      <c r="D3" s="3"/>
      <c r="E3" s="3">
        <v>5175.875</v>
      </c>
      <c r="F3" s="3"/>
      <c r="G3" s="3"/>
      <c r="H3" s="3"/>
      <c r="I3" s="3"/>
      <c r="J3" s="3"/>
      <c r="K3" s="3"/>
      <c r="L3" s="3">
        <v>4793.8720000000003</v>
      </c>
      <c r="M3" s="3">
        <v>6936.0870000000004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2">
      <c r="B4" t="s">
        <v>11</v>
      </c>
      <c r="C4" s="3">
        <v>446.10500000000002</v>
      </c>
      <c r="D4" s="3"/>
      <c r="E4" s="3">
        <v>6139.2359999999999</v>
      </c>
      <c r="F4" s="3"/>
      <c r="G4" s="3"/>
      <c r="H4" s="3"/>
      <c r="I4" s="3"/>
      <c r="J4" s="3"/>
      <c r="K4" s="3"/>
      <c r="L4" s="3">
        <v>203.88800000000001</v>
      </c>
      <c r="M4" s="3">
        <v>2832.078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2">
      <c r="B5" t="s">
        <v>12</v>
      </c>
      <c r="C5" s="3">
        <v>586.13</v>
      </c>
      <c r="D5" s="3"/>
      <c r="E5" s="3">
        <v>1007.147</v>
      </c>
      <c r="F5" s="3"/>
      <c r="G5" s="3"/>
      <c r="H5" s="3"/>
      <c r="I5" s="3"/>
      <c r="J5" s="3"/>
      <c r="K5" s="3"/>
      <c r="L5" s="3">
        <v>648.27499999999998</v>
      </c>
      <c r="M5" s="3">
        <v>1683.78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x14ac:dyDescent="0.2">
      <c r="B6" t="s">
        <v>13</v>
      </c>
      <c r="C6" s="3">
        <v>868.81500000000005</v>
      </c>
      <c r="D6" s="3"/>
      <c r="E6" s="3">
        <v>1554.018</v>
      </c>
      <c r="F6" s="3"/>
      <c r="G6" s="3"/>
      <c r="H6" s="3"/>
      <c r="I6" s="3"/>
      <c r="J6" s="3"/>
      <c r="K6" s="3"/>
      <c r="L6" s="3">
        <v>618.96699999999998</v>
      </c>
      <c r="M6" s="3">
        <v>1585.8040000000001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x14ac:dyDescent="0.2">
      <c r="B7" s="1" t="s">
        <v>9</v>
      </c>
      <c r="C7" s="4">
        <v>4557.8310000000001</v>
      </c>
      <c r="D7" s="4"/>
      <c r="E7" s="4">
        <v>13876.276</v>
      </c>
      <c r="F7" s="4"/>
      <c r="G7" s="4"/>
      <c r="H7" s="4"/>
      <c r="I7" s="4">
        <v>2513.471</v>
      </c>
      <c r="J7" s="4">
        <v>4490.6509999999998</v>
      </c>
      <c r="K7" s="4">
        <v>4617.3239999999996</v>
      </c>
      <c r="L7" s="4">
        <v>6301.0020000000004</v>
      </c>
      <c r="M7" s="4">
        <v>13037.749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x14ac:dyDescent="0.2">
      <c r="B8" t="s">
        <v>18</v>
      </c>
      <c r="C8" s="3">
        <v>1638.7260000000001</v>
      </c>
      <c r="D8" s="3"/>
      <c r="E8" s="3">
        <v>4115.2120000000004</v>
      </c>
      <c r="F8" s="3"/>
      <c r="G8" s="3"/>
      <c r="H8" s="3"/>
      <c r="I8" s="3"/>
      <c r="J8" s="3"/>
      <c r="K8" s="3"/>
      <c r="L8" s="3">
        <v>2436.931</v>
      </c>
      <c r="M8" s="3">
        <v>4329.9840000000004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x14ac:dyDescent="0.2">
      <c r="B9" t="s">
        <v>19</v>
      </c>
      <c r="C9" s="3">
        <f>+C7-C8</f>
        <v>2919.105</v>
      </c>
      <c r="D9" s="3"/>
      <c r="E9" s="3">
        <f>+E7-E8</f>
        <v>9761.0639999999985</v>
      </c>
      <c r="F9" s="3"/>
      <c r="G9" s="3"/>
      <c r="H9" s="3"/>
      <c r="I9" s="3">
        <f t="shared" ref="I9:L9" si="0">+I7-I8</f>
        <v>2513.471</v>
      </c>
      <c r="J9" s="3">
        <f t="shared" si="0"/>
        <v>4490.6509999999998</v>
      </c>
      <c r="K9" s="3">
        <f t="shared" si="0"/>
        <v>4617.3239999999996</v>
      </c>
      <c r="L9" s="3">
        <f t="shared" si="0"/>
        <v>3864.0710000000004</v>
      </c>
      <c r="M9" s="3">
        <f>+M7-M8</f>
        <v>8707.7649999999994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x14ac:dyDescent="0.2">
      <c r="B10" t="s">
        <v>20</v>
      </c>
      <c r="C10" s="3">
        <v>1353.2059999999999</v>
      </c>
      <c r="D10" s="3"/>
      <c r="E10" s="3">
        <v>3192.59</v>
      </c>
      <c r="F10" s="3"/>
      <c r="G10" s="3"/>
      <c r="H10" s="3"/>
      <c r="I10" s="3"/>
      <c r="J10" s="3"/>
      <c r="K10" s="3"/>
      <c r="L10" s="3">
        <v>2004.7059999999999</v>
      </c>
      <c r="M10" s="3">
        <v>3650.7649999999999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x14ac:dyDescent="0.2">
      <c r="B11" t="s">
        <v>21</v>
      </c>
      <c r="C11" s="3">
        <v>434.41</v>
      </c>
      <c r="D11" s="3"/>
      <c r="E11" s="3">
        <v>770.40499999999997</v>
      </c>
      <c r="F11" s="3"/>
      <c r="G11" s="3"/>
      <c r="H11" s="3"/>
      <c r="I11" s="3"/>
      <c r="J11" s="3"/>
      <c r="K11" s="3"/>
      <c r="L11" s="3">
        <v>707.3</v>
      </c>
      <c r="M11" s="3">
        <v>947.09299999999996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x14ac:dyDescent="0.2">
      <c r="B12" t="s">
        <v>22</v>
      </c>
      <c r="C12" s="3">
        <v>2.589</v>
      </c>
      <c r="D12" s="3"/>
      <c r="E12" s="3">
        <v>0.746</v>
      </c>
      <c r="F12" s="3"/>
      <c r="G12" s="3"/>
      <c r="H12" s="3"/>
      <c r="I12" s="3"/>
      <c r="J12" s="3"/>
      <c r="K12" s="3"/>
      <c r="L12" s="3">
        <v>0.745</v>
      </c>
      <c r="M12" s="3">
        <v>3.4460000000000002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x14ac:dyDescent="0.2">
      <c r="B13" t="s">
        <v>23</v>
      </c>
      <c r="C13" s="3">
        <f>31.586-34.069</f>
        <v>-2.4830000000000041</v>
      </c>
      <c r="D13" s="3"/>
      <c r="E13" s="3">
        <f>67.232+179.186</f>
        <v>246.41800000000001</v>
      </c>
      <c r="F13" s="3"/>
      <c r="G13" s="3"/>
      <c r="H13" s="3"/>
      <c r="I13" s="3"/>
      <c r="J13" s="3"/>
      <c r="K13" s="3"/>
      <c r="L13" s="3">
        <f>74.9+4.426</f>
        <v>79.326000000000008</v>
      </c>
      <c r="M13" s="3">
        <f>84.288-36.778</f>
        <v>47.51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x14ac:dyDescent="0.2">
      <c r="B14" t="s">
        <v>24</v>
      </c>
      <c r="C14" s="3">
        <f t="shared" ref="C14:D14" si="1">+C9-SUM(C10:C12)+C13</f>
        <v>1126.4170000000001</v>
      </c>
      <c r="D14" s="3">
        <f t="shared" si="1"/>
        <v>0</v>
      </c>
      <c r="E14" s="3">
        <f>+E9-SUM(E10:E12)+E13</f>
        <v>6043.7409999999982</v>
      </c>
      <c r="F14" s="3"/>
      <c r="G14" s="3"/>
      <c r="H14" s="3"/>
      <c r="I14" s="3">
        <f t="shared" ref="I14:L14" si="2">+I9-SUM(I10:I12)+I13</f>
        <v>2513.471</v>
      </c>
      <c r="J14" s="3">
        <f t="shared" si="2"/>
        <v>4490.6509999999998</v>
      </c>
      <c r="K14" s="3">
        <f t="shared" si="2"/>
        <v>4617.3239999999996</v>
      </c>
      <c r="L14" s="3">
        <f t="shared" si="2"/>
        <v>1230.6460000000006</v>
      </c>
      <c r="M14" s="3">
        <f>+M9-SUM(M10:M12)+M13</f>
        <v>4153.9709999999995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2">
      <c r="B15" t="s">
        <v>25</v>
      </c>
      <c r="C15" s="3">
        <v>105.99299999999999</v>
      </c>
      <c r="D15" s="3"/>
      <c r="E15" s="3">
        <v>93.87</v>
      </c>
      <c r="F15" s="3"/>
      <c r="G15" s="3"/>
      <c r="H15" s="3"/>
      <c r="I15" s="3"/>
      <c r="J15" s="3"/>
      <c r="K15" s="3"/>
      <c r="L15" s="3">
        <v>184.21700000000001</v>
      </c>
      <c r="M15" s="3">
        <v>212.33500000000001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x14ac:dyDescent="0.2">
      <c r="B16" t="s">
        <v>26</v>
      </c>
      <c r="C16" s="3">
        <v>22.218</v>
      </c>
      <c r="D16" s="3"/>
      <c r="E16" s="3">
        <v>28.364000000000001</v>
      </c>
      <c r="F16" s="3"/>
      <c r="G16" s="3"/>
      <c r="H16" s="3"/>
      <c r="I16" s="3"/>
      <c r="J16" s="3"/>
      <c r="K16" s="3"/>
      <c r="L16" s="3">
        <v>32.337000000000003</v>
      </c>
      <c r="M16" s="3">
        <v>48.982999999999997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2:81" x14ac:dyDescent="0.2">
      <c r="B17" t="s">
        <v>27</v>
      </c>
      <c r="C17" s="3">
        <v>18.245999999999999</v>
      </c>
      <c r="D17" s="3"/>
      <c r="E17" s="3">
        <v>47.625</v>
      </c>
      <c r="F17" s="3"/>
      <c r="G17" s="3"/>
      <c r="H17" s="3"/>
      <c r="I17" s="3"/>
      <c r="J17" s="3"/>
      <c r="K17" s="3"/>
      <c r="L17" s="3">
        <v>33.228999999999999</v>
      </c>
      <c r="M17" s="3">
        <v>48.188000000000002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2:81" x14ac:dyDescent="0.2">
      <c r="B18" t="s">
        <v>28</v>
      </c>
      <c r="C18" s="3">
        <f t="shared" ref="C18:D18" si="3">+C14+C15-C16+C17</f>
        <v>1228.4380000000001</v>
      </c>
      <c r="D18" s="3">
        <f t="shared" si="3"/>
        <v>0</v>
      </c>
      <c r="E18" s="3">
        <f>+E14+E15-E16+E17</f>
        <v>6156.8719999999985</v>
      </c>
      <c r="F18" s="3"/>
      <c r="G18" s="3"/>
      <c r="H18" s="3"/>
      <c r="I18" s="3">
        <f t="shared" ref="I18:L18" si="4">+I14+I15-I16+I17</f>
        <v>2513.471</v>
      </c>
      <c r="J18" s="3">
        <f t="shared" si="4"/>
        <v>4490.6509999999998</v>
      </c>
      <c r="K18" s="3">
        <f t="shared" si="4"/>
        <v>4617.3239999999996</v>
      </c>
      <c r="L18" s="3">
        <f t="shared" si="4"/>
        <v>1415.7550000000008</v>
      </c>
      <c r="M18" s="3">
        <f>+M14+M15-M16+M17</f>
        <v>4365.5109999999995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2:81" x14ac:dyDescent="0.2">
      <c r="B19" t="s">
        <v>29</v>
      </c>
      <c r="C19" s="3">
        <v>264.29599999999999</v>
      </c>
      <c r="D19" s="3"/>
      <c r="E19" s="3">
        <v>1475.1590000000001</v>
      </c>
      <c r="F19" s="3"/>
      <c r="G19" s="3"/>
      <c r="H19" s="3"/>
      <c r="I19" s="3"/>
      <c r="J19" s="3"/>
      <c r="K19" s="3"/>
      <c r="L19" s="3">
        <v>326.98399999999998</v>
      </c>
      <c r="M19" s="3">
        <v>1057.4670000000001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2:81" x14ac:dyDescent="0.2">
      <c r="B20" t="s">
        <v>30</v>
      </c>
      <c r="C20" s="3">
        <v>42.808999999999997</v>
      </c>
      <c r="D20" s="3"/>
      <c r="E20" s="3">
        <v>107.345</v>
      </c>
      <c r="F20" s="3"/>
      <c r="G20" s="3"/>
      <c r="H20" s="3"/>
      <c r="I20" s="3"/>
      <c r="J20" s="3"/>
      <c r="K20" s="3"/>
      <c r="L20" s="3">
        <v>6.4269999999999996</v>
      </c>
      <c r="M20" s="3">
        <v>182.87200000000001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2:81" x14ac:dyDescent="0.2">
      <c r="B21" t="s">
        <v>31</v>
      </c>
      <c r="C21" s="3">
        <f t="shared" ref="C21:D21" si="5">+C18-C19-C20</f>
        <v>921.33300000000008</v>
      </c>
      <c r="D21" s="3">
        <f t="shared" si="5"/>
        <v>0</v>
      </c>
      <c r="E21" s="3">
        <f>+E18-E19-E20</f>
        <v>4574.3679999999977</v>
      </c>
      <c r="F21" s="3"/>
      <c r="G21" s="3"/>
      <c r="H21" s="3"/>
      <c r="I21" s="3">
        <f t="shared" ref="I21:L21" si="6">+I18-I19-I20</f>
        <v>2513.471</v>
      </c>
      <c r="J21" s="3">
        <f t="shared" si="6"/>
        <v>4490.6509999999998</v>
      </c>
      <c r="K21" s="3">
        <f t="shared" si="6"/>
        <v>4617.3239999999996</v>
      </c>
      <c r="L21" s="3">
        <f t="shared" si="6"/>
        <v>1082.344000000001</v>
      </c>
      <c r="M21" s="3">
        <f>+M18-M19-M20</f>
        <v>3125.1719999999996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2:81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2:81" x14ac:dyDescent="0.2">
      <c r="B23" t="s">
        <v>32</v>
      </c>
      <c r="C23" s="5">
        <f t="shared" ref="C23" si="7">+C21/C24</f>
        <v>0.69486318933268976</v>
      </c>
      <c r="D23" s="5" t="e">
        <f t="shared" ref="D23" si="8">+D21/D24</f>
        <v>#DIV/0!</v>
      </c>
      <c r="E23" s="5">
        <f t="shared" ref="E23" si="9">+E21/E24</f>
        <v>3.4417137663494568</v>
      </c>
      <c r="F23" s="5" t="e">
        <f t="shared" ref="F23" si="10">+F21/F24</f>
        <v>#DIV/0!</v>
      </c>
      <c r="G23" s="3"/>
      <c r="H23" s="3"/>
      <c r="I23" s="5" t="e">
        <f t="shared" ref="I23:L23" si="11">+I21/I24</f>
        <v>#DIV/0!</v>
      </c>
      <c r="J23" s="5" t="e">
        <f t="shared" si="11"/>
        <v>#DIV/0!</v>
      </c>
      <c r="K23" s="5" t="e">
        <f t="shared" si="11"/>
        <v>#DIV/0!</v>
      </c>
      <c r="L23" s="5">
        <f t="shared" si="11"/>
        <v>0.8089055966398494</v>
      </c>
      <c r="M23" s="5">
        <f>+M21/M24</f>
        <v>2.3558804439516003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2:81" x14ac:dyDescent="0.2">
      <c r="B24" t="s">
        <v>3</v>
      </c>
      <c r="C24" s="3">
        <v>1325.92</v>
      </c>
      <c r="D24" s="3"/>
      <c r="E24" s="3">
        <v>1329.096</v>
      </c>
      <c r="F24" s="3"/>
      <c r="G24" s="3"/>
      <c r="H24" s="3"/>
      <c r="I24" s="3"/>
      <c r="J24" s="3"/>
      <c r="K24" s="3"/>
      <c r="L24" s="3">
        <v>1338.0350000000001</v>
      </c>
      <c r="M24" s="3">
        <v>1326.5409999999999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 spans="2:8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2:81" x14ac:dyDescent="0.2">
      <c r="B26" t="s">
        <v>34</v>
      </c>
      <c r="C26" s="3"/>
      <c r="D26" s="3"/>
      <c r="E26" s="8">
        <f t="shared" ref="E26:E28" si="12">+E3/C3-1</f>
        <v>0.94817525418918613</v>
      </c>
      <c r="F26" s="3"/>
      <c r="G26" s="3"/>
      <c r="H26" s="3"/>
      <c r="I26" s="3"/>
      <c r="J26" s="3"/>
      <c r="K26" s="8" t="e">
        <f t="shared" ref="K26:M28" si="13">+K3/J3-1</f>
        <v>#DIV/0!</v>
      </c>
      <c r="L26" s="8" t="e">
        <f t="shared" si="13"/>
        <v>#DIV/0!</v>
      </c>
      <c r="M26" s="8">
        <f t="shared" si="13"/>
        <v>0.44686528968649974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 spans="2:81" x14ac:dyDescent="0.2">
      <c r="B27" t="s">
        <v>35</v>
      </c>
      <c r="C27" s="3"/>
      <c r="D27" s="3"/>
      <c r="E27" s="8">
        <f t="shared" si="12"/>
        <v>12.761863238475247</v>
      </c>
      <c r="F27" s="3"/>
      <c r="G27" s="3"/>
      <c r="H27" s="3"/>
      <c r="I27" s="3"/>
      <c r="J27" s="3"/>
      <c r="K27" s="8" t="e">
        <f t="shared" si="13"/>
        <v>#DIV/0!</v>
      </c>
      <c r="L27" s="8" t="e">
        <f t="shared" si="13"/>
        <v>#DIV/0!</v>
      </c>
      <c r="M27" s="8">
        <f t="shared" si="13"/>
        <v>12.890361374872478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2:81" x14ac:dyDescent="0.2">
      <c r="B28" t="s">
        <v>36</v>
      </c>
      <c r="C28" s="3"/>
      <c r="D28" s="3"/>
      <c r="E28" s="8">
        <f t="shared" si="12"/>
        <v>0.71829969460699861</v>
      </c>
      <c r="F28" s="3"/>
      <c r="G28" s="3"/>
      <c r="H28" s="3"/>
      <c r="I28" s="3"/>
      <c r="J28" s="3"/>
      <c r="K28" s="8" t="e">
        <f t="shared" si="13"/>
        <v>#DIV/0!</v>
      </c>
      <c r="L28" s="8" t="e">
        <f t="shared" si="13"/>
        <v>#DIV/0!</v>
      </c>
      <c r="M28" s="8">
        <f t="shared" si="13"/>
        <v>1.597323666653812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 spans="2:81" x14ac:dyDescent="0.2">
      <c r="B29" t="s">
        <v>37</v>
      </c>
      <c r="C29" s="3"/>
      <c r="D29" s="3"/>
      <c r="E29" s="8">
        <f>+E6/C6-1</f>
        <v>0.7886638697536299</v>
      </c>
      <c r="F29" s="3"/>
      <c r="G29" s="3"/>
      <c r="H29" s="3"/>
      <c r="I29" s="3"/>
      <c r="J29" s="3"/>
      <c r="K29" s="8" t="e">
        <f t="shared" ref="K29:L29" si="14">+K6/J6-1</f>
        <v>#DIV/0!</v>
      </c>
      <c r="L29" s="8" t="e">
        <f t="shared" si="14"/>
        <v>#DIV/0!</v>
      </c>
      <c r="M29" s="8">
        <f>+M6/L6-1</f>
        <v>1.5620170380650342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2:81" x14ac:dyDescent="0.2">
      <c r="B30" s="1" t="s">
        <v>38</v>
      </c>
      <c r="C30" s="4"/>
      <c r="D30" s="4"/>
      <c r="E30" s="7">
        <f>+E7/C7-1</f>
        <v>2.0444911186922026</v>
      </c>
      <c r="F30" s="4"/>
      <c r="G30" s="4"/>
      <c r="H30" s="4"/>
      <c r="I30" s="7" t="e">
        <f t="shared" ref="I30:L30" si="15">+I7/H7-1</f>
        <v>#DIV/0!</v>
      </c>
      <c r="J30" s="7">
        <f t="shared" si="15"/>
        <v>0.78663330509880547</v>
      </c>
      <c r="K30" s="7">
        <f t="shared" si="15"/>
        <v>2.8208159574190761E-2</v>
      </c>
      <c r="L30" s="7">
        <f t="shared" si="15"/>
        <v>0.36464367672703957</v>
      </c>
      <c r="M30" s="7">
        <f>+M7/L7-1</f>
        <v>1.0691548740978019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 spans="2:81" x14ac:dyDescent="0.2">
      <c r="B31" t="s">
        <v>39</v>
      </c>
      <c r="C31" s="9">
        <f t="shared" ref="C31:D31" si="16">+C9/C7</f>
        <v>0.64045924475918481</v>
      </c>
      <c r="D31" s="9" t="e">
        <f t="shared" si="16"/>
        <v>#DIV/0!</v>
      </c>
      <c r="E31" s="9">
        <f>+E9/E7</f>
        <v>0.70343541739873139</v>
      </c>
      <c r="F31" s="3"/>
      <c r="G31" s="3"/>
      <c r="H31" s="3"/>
      <c r="I31" s="9">
        <f t="shared" ref="I31:N31" si="17">+I9/I7</f>
        <v>1</v>
      </c>
      <c r="J31" s="9">
        <f t="shared" si="17"/>
        <v>1</v>
      </c>
      <c r="K31" s="9">
        <f t="shared" si="17"/>
        <v>1</v>
      </c>
      <c r="L31" s="9">
        <f t="shared" si="17"/>
        <v>0.61324706768859938</v>
      </c>
      <c r="M31" s="9">
        <f t="shared" si="17"/>
        <v>0.66788868231778353</v>
      </c>
      <c r="N31" s="9" t="e">
        <f t="shared" si="17"/>
        <v>#DIV/0!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2:81" x14ac:dyDescent="0.2">
      <c r="B32" t="s">
        <v>40</v>
      </c>
      <c r="C32" s="9">
        <f t="shared" ref="C32:D32" si="18">+C14/C7</f>
        <v>0.24713882546325217</v>
      </c>
      <c r="D32" s="9" t="e">
        <f t="shared" si="18"/>
        <v>#DIV/0!</v>
      </c>
      <c r="E32" s="9">
        <f>+E14/E7</f>
        <v>0.43554488250305762</v>
      </c>
      <c r="F32" s="3"/>
      <c r="G32" s="3"/>
      <c r="H32" s="3"/>
      <c r="I32" s="9">
        <f t="shared" ref="I32:N32" si="19">+I14/I7</f>
        <v>1</v>
      </c>
      <c r="J32" s="9">
        <f t="shared" si="19"/>
        <v>1</v>
      </c>
      <c r="K32" s="9">
        <f t="shared" si="19"/>
        <v>1</v>
      </c>
      <c r="L32" s="9">
        <f t="shared" si="19"/>
        <v>0.19530957139832689</v>
      </c>
      <c r="M32" s="9">
        <f t="shared" si="19"/>
        <v>0.31861105778305748</v>
      </c>
      <c r="N32" s="9" t="e">
        <f t="shared" si="19"/>
        <v>#DIV/0!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2:81" x14ac:dyDescent="0.2">
      <c r="B33" t="s">
        <v>41</v>
      </c>
      <c r="C33" s="9">
        <f t="shared" ref="C33:D33" si="20">+C19/C18</f>
        <v>0.21514801723815119</v>
      </c>
      <c r="D33" s="9" t="e">
        <f t="shared" si="20"/>
        <v>#DIV/0!</v>
      </c>
      <c r="E33" s="9">
        <f>+E19/E18</f>
        <v>0.23959552837869627</v>
      </c>
      <c r="F33" s="3"/>
      <c r="G33" s="3"/>
      <c r="H33" s="3"/>
      <c r="I33" s="9">
        <f t="shared" ref="I33:N33" si="21">+I19/I18</f>
        <v>0</v>
      </c>
      <c r="J33" s="9">
        <f t="shared" si="21"/>
        <v>0</v>
      </c>
      <c r="K33" s="9">
        <f t="shared" si="21"/>
        <v>0</v>
      </c>
      <c r="L33" s="9">
        <f t="shared" si="21"/>
        <v>0.23096086540397159</v>
      </c>
      <c r="M33" s="9">
        <f t="shared" si="21"/>
        <v>0.24223212357041368</v>
      </c>
      <c r="N33" s="9" t="e">
        <f t="shared" si="21"/>
        <v>#DIV/0!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2:8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2:8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2:8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2:8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</row>
    <row r="38" spans="2:8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</row>
    <row r="39" spans="2:8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</row>
    <row r="40" spans="2:8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</row>
    <row r="41" spans="2:8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2:8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</row>
    <row r="43" spans="2:8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</row>
    <row r="44" spans="2:8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</row>
    <row r="45" spans="2:8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</row>
    <row r="46" spans="2:8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</row>
    <row r="47" spans="2:8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</row>
    <row r="48" spans="2:8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</row>
    <row r="49" spans="3:8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</row>
    <row r="50" spans="3:8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</row>
    <row r="51" spans="3:8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</row>
    <row r="52" spans="3:8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</row>
    <row r="53" spans="3:8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</row>
    <row r="54" spans="3:8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</row>
    <row r="55" spans="3:8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</row>
    <row r="56" spans="3:8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</row>
    <row r="57" spans="3:8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</row>
    <row r="58" spans="3:8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</row>
    <row r="59" spans="3:8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</row>
    <row r="60" spans="3:8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</row>
    <row r="61" spans="3:8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</row>
    <row r="62" spans="3:8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</row>
    <row r="63" spans="3:8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</row>
    <row r="64" spans="3:8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</row>
    <row r="65" spans="3:8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</row>
    <row r="66" spans="3:8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</row>
    <row r="67" spans="3:8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</row>
    <row r="68" spans="3:8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</row>
    <row r="69" spans="3:8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</row>
    <row r="70" spans="3:8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</row>
    <row r="71" spans="3:8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</row>
    <row r="72" spans="3:8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</row>
    <row r="73" spans="3:8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</row>
    <row r="74" spans="3:8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</row>
    <row r="75" spans="3:8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</row>
    <row r="76" spans="3:8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</row>
    <row r="77" spans="3:8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</row>
    <row r="78" spans="3:8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</row>
    <row r="79" spans="3:8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</row>
    <row r="80" spans="3:8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</row>
    <row r="81" spans="3:8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</row>
    <row r="82" spans="3:8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</row>
    <row r="83" spans="3:8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</row>
    <row r="84" spans="3:8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</row>
    <row r="85" spans="3:8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</row>
    <row r="86" spans="3:8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</row>
    <row r="87" spans="3:8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</row>
    <row r="88" spans="3:8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</row>
    <row r="89" spans="3:8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</row>
    <row r="90" spans="3:8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</row>
    <row r="91" spans="3:8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</row>
    <row r="92" spans="3:8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</row>
    <row r="93" spans="3:8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</row>
    <row r="94" spans="3:8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</row>
    <row r="95" spans="3:8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</row>
    <row r="96" spans="3:8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</row>
    <row r="97" spans="3:8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</row>
    <row r="98" spans="3:8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</row>
    <row r="99" spans="3:8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</row>
    <row r="100" spans="3:8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</row>
    <row r="101" spans="3:8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</row>
    <row r="102" spans="3:8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</row>
    <row r="103" spans="3:8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</row>
    <row r="104" spans="3:8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</row>
    <row r="105" spans="3:8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</row>
    <row r="106" spans="3:8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</row>
    <row r="107" spans="3:8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</row>
    <row r="108" spans="3:8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</row>
    <row r="109" spans="3:8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</row>
    <row r="110" spans="3:8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</row>
    <row r="111" spans="3:8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</row>
    <row r="112" spans="3:8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</row>
    <row r="113" spans="3:8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</row>
    <row r="114" spans="3:8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</row>
    <row r="115" spans="3:8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</row>
    <row r="116" spans="3:8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</row>
    <row r="117" spans="3:8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</row>
    <row r="118" spans="3:8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</row>
    <row r="119" spans="3:8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</row>
    <row r="120" spans="3:8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</row>
    <row r="121" spans="3:8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</row>
    <row r="122" spans="3:8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</row>
    <row r="123" spans="3:8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</row>
    <row r="124" spans="3:8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</row>
    <row r="125" spans="3:8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</row>
    <row r="126" spans="3:8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</row>
    <row r="127" spans="3:8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</row>
    <row r="128" spans="3:8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</row>
    <row r="129" spans="3:8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</row>
    <row r="130" spans="3:8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</row>
    <row r="131" spans="3:8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</row>
    <row r="132" spans="3:8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</row>
    <row r="133" spans="3:8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</row>
    <row r="134" spans="3:8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</row>
    <row r="135" spans="3:8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</row>
    <row r="136" spans="3:8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</row>
    <row r="137" spans="3:8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</row>
    <row r="138" spans="3:8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</row>
    <row r="139" spans="3:8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</row>
    <row r="140" spans="3:8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</row>
    <row r="141" spans="3:8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</row>
    <row r="142" spans="3:8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</row>
    <row r="143" spans="3:8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</row>
    <row r="144" spans="3:8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</row>
    <row r="145" spans="3:8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</row>
    <row r="146" spans="3:8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</row>
    <row r="147" spans="3:8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</row>
    <row r="148" spans="3:8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</row>
    <row r="149" spans="3:8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</row>
    <row r="150" spans="3:8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</row>
    <row r="151" spans="3:8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</row>
    <row r="152" spans="3:8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</row>
    <row r="153" spans="3:8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</row>
    <row r="154" spans="3:8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</row>
    <row r="155" spans="3:8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</row>
    <row r="156" spans="3:8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</row>
    <row r="157" spans="3:8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</row>
    <row r="158" spans="3:8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</row>
    <row r="159" spans="3:8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</row>
    <row r="160" spans="3:8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</row>
    <row r="161" spans="3:8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</row>
    <row r="162" spans="3:8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</row>
    <row r="163" spans="3:8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</row>
    <row r="164" spans="3:8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</row>
    <row r="165" spans="3:8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</row>
    <row r="166" spans="3:8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</row>
    <row r="167" spans="3:8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</row>
    <row r="168" spans="3:8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</row>
    <row r="169" spans="3:8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</row>
    <row r="170" spans="3:8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</row>
    <row r="171" spans="3:8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</row>
    <row r="172" spans="3:8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</row>
    <row r="173" spans="3:8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</row>
    <row r="174" spans="3:8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</row>
    <row r="175" spans="3:8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</row>
    <row r="176" spans="3:8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</row>
    <row r="177" spans="3:8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</row>
    <row r="178" spans="3:8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</row>
    <row r="179" spans="3:8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</row>
    <row r="180" spans="3:8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</row>
    <row r="181" spans="3:8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</row>
    <row r="182" spans="3:8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</row>
  </sheetData>
  <hyperlinks>
    <hyperlink ref="A1" location="Main!A1" display="Main" xr:uid="{90AC4E0C-0041-4A8F-B980-13E236F231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2025-09-17T11:59:53Z</dcterms:created>
  <dcterms:modified xsi:type="dcterms:W3CDTF">2025-09-26T12:20:10Z</dcterms:modified>
</cp:coreProperties>
</file>