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08AA0B8-5F4D-49A7-B0C7-BC6C1DA21780}" xr6:coauthVersionLast="47" xr6:coauthVersionMax="47" xr10:uidLastSave="{00000000-0000-0000-0000-000000000000}"/>
  <bookViews>
    <workbookView xWindow="19095" yWindow="0" windowWidth="19410" windowHeight="20925" activeTab="1" xr2:uid="{F251087B-52A6-4D65-A029-73EBA2C6E2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L27" i="2"/>
  <c r="L26" i="2"/>
  <c r="L25" i="2"/>
  <c r="L24" i="2"/>
  <c r="L23" i="2"/>
  <c r="L22" i="2"/>
  <c r="L21" i="2"/>
  <c r="L20" i="2"/>
  <c r="L17" i="2"/>
  <c r="K6" i="1"/>
  <c r="L15" i="2"/>
  <c r="L9" i="2"/>
  <c r="L12" i="2"/>
  <c r="L11" i="2"/>
  <c r="L13" i="2" s="1"/>
  <c r="L6" i="2"/>
  <c r="K23" i="2"/>
  <c r="K24" i="2"/>
  <c r="K12" i="2"/>
  <c r="K6" i="2"/>
  <c r="K9" i="2" s="1"/>
  <c r="K11" i="2" s="1"/>
  <c r="K13" i="2" s="1"/>
  <c r="K15" i="2" s="1"/>
  <c r="K18" i="2" s="1"/>
  <c r="F5" i="2"/>
  <c r="F17" i="2"/>
  <c r="F14" i="2"/>
  <c r="F10" i="2"/>
  <c r="F8" i="2"/>
  <c r="F7" i="2"/>
  <c r="F3" i="2"/>
  <c r="F23" i="2" s="1"/>
  <c r="J17" i="2"/>
  <c r="J14" i="2"/>
  <c r="J10" i="2"/>
  <c r="J8" i="2"/>
  <c r="J7" i="2"/>
  <c r="J5" i="2"/>
  <c r="J3" i="2"/>
  <c r="C12" i="2"/>
  <c r="C6" i="2"/>
  <c r="C20" i="2" s="1"/>
  <c r="G12" i="2"/>
  <c r="D12" i="2"/>
  <c r="H12" i="2"/>
  <c r="E12" i="2"/>
  <c r="E6" i="2"/>
  <c r="E20" i="2" s="1"/>
  <c r="I12" i="2"/>
  <c r="I6" i="2"/>
  <c r="I21" i="2" s="1"/>
  <c r="V12" i="2"/>
  <c r="V24" i="2"/>
  <c r="V23" i="2"/>
  <c r="V6" i="2"/>
  <c r="V9" i="2" s="1"/>
  <c r="G6" i="2"/>
  <c r="G21" i="2" s="1"/>
  <c r="T24" i="2"/>
  <c r="S24" i="2"/>
  <c r="R24" i="2"/>
  <c r="Q24" i="2"/>
  <c r="P24" i="2"/>
  <c r="U24" i="2"/>
  <c r="T23" i="2"/>
  <c r="S23" i="2"/>
  <c r="R23" i="2"/>
  <c r="Q23" i="2"/>
  <c r="P23" i="2"/>
  <c r="U23" i="2"/>
  <c r="S12" i="2"/>
  <c r="T12" i="2"/>
  <c r="U12" i="2"/>
  <c r="T6" i="2"/>
  <c r="S6" i="2"/>
  <c r="S9" i="2" s="1"/>
  <c r="S11" i="2" s="1"/>
  <c r="R6" i="2"/>
  <c r="R20" i="2" s="1"/>
  <c r="R21" i="2" s="1"/>
  <c r="Q6" i="2"/>
  <c r="Q20" i="2" s="1"/>
  <c r="Q21" i="2" s="1"/>
  <c r="P6" i="2"/>
  <c r="P20" i="2" s="1"/>
  <c r="P21" i="2" s="1"/>
  <c r="U6" i="2"/>
  <c r="U9" i="2" s="1"/>
  <c r="E24" i="2"/>
  <c r="D24" i="2"/>
  <c r="C24" i="2"/>
  <c r="E23" i="2"/>
  <c r="D23" i="2"/>
  <c r="C23" i="2"/>
  <c r="I24" i="2"/>
  <c r="H24" i="2"/>
  <c r="I23" i="2"/>
  <c r="H23" i="2"/>
  <c r="G24" i="2"/>
  <c r="G23" i="2"/>
  <c r="D6" i="2"/>
  <c r="D21" i="2" s="1"/>
  <c r="H6" i="2"/>
  <c r="H21" i="2" s="1"/>
  <c r="K4" i="1"/>
  <c r="K7" i="1" s="1"/>
  <c r="K25" i="2" l="1"/>
  <c r="K28" i="2"/>
  <c r="K22" i="2"/>
  <c r="K20" i="2"/>
  <c r="S20" i="2"/>
  <c r="S21" i="2" s="1"/>
  <c r="K26" i="2"/>
  <c r="K27" i="2"/>
  <c r="G22" i="2"/>
  <c r="K21" i="2"/>
  <c r="H22" i="2"/>
  <c r="I22" i="2"/>
  <c r="J12" i="2"/>
  <c r="J6" i="2"/>
  <c r="S13" i="2"/>
  <c r="S15" i="2" s="1"/>
  <c r="S18" i="2" s="1"/>
  <c r="J24" i="2"/>
  <c r="R9" i="2"/>
  <c r="R11" i="2" s="1"/>
  <c r="R26" i="2" s="1"/>
  <c r="T22" i="2"/>
  <c r="F12" i="2"/>
  <c r="E21" i="2"/>
  <c r="T20" i="2"/>
  <c r="T21" i="2" s="1"/>
  <c r="T9" i="2"/>
  <c r="T11" i="2" s="1"/>
  <c r="T13" i="2" s="1"/>
  <c r="S22" i="2"/>
  <c r="F6" i="2"/>
  <c r="F21" i="2" s="1"/>
  <c r="F24" i="2"/>
  <c r="J23" i="2"/>
  <c r="E9" i="2"/>
  <c r="E11" i="2" s="1"/>
  <c r="E13" i="2" s="1"/>
  <c r="E15" i="2" s="1"/>
  <c r="E18" i="2" s="1"/>
  <c r="I9" i="2"/>
  <c r="I11" i="2" s="1"/>
  <c r="I13" i="2" s="1"/>
  <c r="I15" i="2" s="1"/>
  <c r="I18" i="2" s="1"/>
  <c r="U11" i="2"/>
  <c r="U13" i="2" s="1"/>
  <c r="U15" i="2" s="1"/>
  <c r="U25" i="2"/>
  <c r="R22" i="2"/>
  <c r="U22" i="2"/>
  <c r="U20" i="2"/>
  <c r="U21" i="2" s="1"/>
  <c r="D20" i="2"/>
  <c r="V11" i="2"/>
  <c r="V25" i="2"/>
  <c r="S25" i="2"/>
  <c r="V20" i="2"/>
  <c r="V21" i="2" s="1"/>
  <c r="V22" i="2"/>
  <c r="P9" i="2"/>
  <c r="Q22" i="2"/>
  <c r="S26" i="2"/>
  <c r="Q9" i="2"/>
  <c r="H9" i="2"/>
  <c r="H20" i="2"/>
  <c r="J9" i="2"/>
  <c r="I20" i="2"/>
  <c r="C9" i="2"/>
  <c r="C21" i="2"/>
  <c r="D9" i="2"/>
  <c r="G9" i="2"/>
  <c r="G20" i="2"/>
  <c r="R13" i="2" l="1"/>
  <c r="R15" i="2" s="1"/>
  <c r="R27" i="2" s="1"/>
  <c r="J21" i="2"/>
  <c r="J22" i="2"/>
  <c r="R25" i="2"/>
  <c r="J20" i="2"/>
  <c r="U28" i="2"/>
  <c r="S27" i="2"/>
  <c r="T25" i="2"/>
  <c r="S28" i="2"/>
  <c r="U26" i="2"/>
  <c r="T26" i="2"/>
  <c r="F9" i="2"/>
  <c r="F25" i="2" s="1"/>
  <c r="F20" i="2"/>
  <c r="V26" i="2"/>
  <c r="V13" i="2"/>
  <c r="T15" i="2"/>
  <c r="T28" i="2"/>
  <c r="Q11" i="2"/>
  <c r="Q25" i="2"/>
  <c r="P11" i="2"/>
  <c r="P25" i="2"/>
  <c r="U18" i="2"/>
  <c r="U27" i="2"/>
  <c r="C11" i="2"/>
  <c r="C13" i="2" s="1"/>
  <c r="C25" i="2"/>
  <c r="G11" i="2"/>
  <c r="G25" i="2"/>
  <c r="J11" i="2"/>
  <c r="J25" i="2"/>
  <c r="E25" i="2"/>
  <c r="I25" i="2"/>
  <c r="D25" i="2"/>
  <c r="D11" i="2"/>
  <c r="H11" i="2"/>
  <c r="H25" i="2"/>
  <c r="R28" i="2" l="1"/>
  <c r="F11" i="2"/>
  <c r="F26" i="2" s="1"/>
  <c r="V28" i="2"/>
  <c r="V15" i="2"/>
  <c r="P26" i="2"/>
  <c r="P13" i="2"/>
  <c r="Q26" i="2"/>
  <c r="Q13" i="2"/>
  <c r="T18" i="2"/>
  <c r="T27" i="2"/>
  <c r="H26" i="2"/>
  <c r="H13" i="2"/>
  <c r="D13" i="2"/>
  <c r="D26" i="2"/>
  <c r="J26" i="2"/>
  <c r="J13" i="2"/>
  <c r="I26" i="2"/>
  <c r="G13" i="2"/>
  <c r="G26" i="2"/>
  <c r="E26" i="2"/>
  <c r="C26" i="2"/>
  <c r="F13" i="2" l="1"/>
  <c r="F15" i="2" s="1"/>
  <c r="Q15" i="2"/>
  <c r="Q27" i="2" s="1"/>
  <c r="Q28" i="2"/>
  <c r="P28" i="2"/>
  <c r="P15" i="2"/>
  <c r="P27" i="2" s="1"/>
  <c r="V18" i="2"/>
  <c r="V27" i="2"/>
  <c r="C15" i="2"/>
  <c r="C28" i="2"/>
  <c r="E27" i="2"/>
  <c r="E28" i="2"/>
  <c r="D15" i="2"/>
  <c r="D28" i="2"/>
  <c r="H28" i="2"/>
  <c r="H15" i="2"/>
  <c r="G15" i="2"/>
  <c r="G28" i="2"/>
  <c r="I28" i="2"/>
  <c r="I27" i="2"/>
  <c r="J28" i="2"/>
  <c r="J15" i="2"/>
  <c r="F28" i="2" l="1"/>
  <c r="H27" i="2"/>
  <c r="H18" i="2"/>
  <c r="D27" i="2"/>
  <c r="D18" i="2"/>
  <c r="F27" i="2"/>
  <c r="F18" i="2"/>
  <c r="J27" i="2"/>
  <c r="J18" i="2"/>
  <c r="G18" i="2"/>
  <c r="G27" i="2"/>
  <c r="C18" i="2"/>
  <c r="C27" i="2"/>
</calcChain>
</file>

<file path=xl/sharedStrings.xml><?xml version="1.0" encoding="utf-8"?>
<sst xmlns="http://schemas.openxmlformats.org/spreadsheetml/2006/main" count="63" uniqueCount="60">
  <si>
    <t xml:space="preserve">Cintas </t>
  </si>
  <si>
    <t>Price</t>
  </si>
  <si>
    <t>Shares</t>
  </si>
  <si>
    <t>MC</t>
  </si>
  <si>
    <t>Cash</t>
  </si>
  <si>
    <t>Debt</t>
  </si>
  <si>
    <t>EV</t>
  </si>
  <si>
    <t>SEC</t>
  </si>
  <si>
    <t>CTAS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</si>
  <si>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</si>
  <si>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</si>
  <si>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</si>
  <si>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</si>
  <si>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</si>
  <si>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</si>
  <si>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</si>
  <si>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</si>
  <si>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</si>
  <si>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</si>
  <si>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Gross Profit</t>
  </si>
  <si>
    <t>Other</t>
  </si>
  <si>
    <t>Cost Other</t>
  </si>
  <si>
    <t>SGA</t>
  </si>
  <si>
    <t>Operating Income</t>
  </si>
  <si>
    <t>Interest Income</t>
  </si>
  <si>
    <t>Pretax Income</t>
  </si>
  <si>
    <t>Income Tax Expense</t>
  </si>
  <si>
    <t>Net Income</t>
  </si>
  <si>
    <t>EPS</t>
  </si>
  <si>
    <t>Revenue Growth</t>
  </si>
  <si>
    <t>Tax Rate</t>
  </si>
  <si>
    <t>% Other</t>
  </si>
  <si>
    <t>Gross Margin</t>
  </si>
  <si>
    <t>Operating Margin</t>
  </si>
  <si>
    <t>Net Margin</t>
  </si>
  <si>
    <t>GM Uniform Rental &amp; Facility Service</t>
  </si>
  <si>
    <t>GM Other</t>
  </si>
  <si>
    <t>% Uniform Rental &amp; Facility Service</t>
  </si>
  <si>
    <t>Uniform Rental &amp; Facility Service</t>
  </si>
  <si>
    <t>FY19</t>
  </si>
  <si>
    <t>FY23</t>
  </si>
  <si>
    <t>FY18</t>
  </si>
  <si>
    <t>FY20</t>
  </si>
  <si>
    <t>FY21</t>
  </si>
  <si>
    <t>FY22</t>
  </si>
  <si>
    <t>FY24</t>
  </si>
  <si>
    <t>First Aid Service</t>
  </si>
  <si>
    <t>Cost Uniform Rental &amp; Facility Service</t>
  </si>
  <si>
    <t>FY25</t>
  </si>
  <si>
    <t>FY26</t>
  </si>
  <si>
    <t>FY27</t>
  </si>
  <si>
    <t>FY28</t>
  </si>
  <si>
    <t>Notes</t>
  </si>
  <si>
    <t>Renting Uniforms and Work Clothing</t>
  </si>
  <si>
    <t>Q125</t>
  </si>
  <si>
    <t>Q225</t>
  </si>
  <si>
    <t>Q325</t>
  </si>
  <si>
    <t>Q525</t>
  </si>
  <si>
    <t>numbers in mio USD</t>
  </si>
  <si>
    <t>FQ225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</si>
</sst>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9" fontId="0" fillId="0" borderId="0" xfId="2" applyFont="1"/>
    <xf numFmtId="0" fontId="0" fillId="0" borderId="0" xfId="0" applyFont="1"/>
    <xf numFmtId="164" fontId="0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2325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1AAB-DE15-4BFB-9872-3F4DEA47ED33}">
  <dimension ref="A1:L12"/>
  <sheetViews>
    <sheetView zoomScale="200" zoomScaleNormal="200" workbookViewId="0">
      <selection activeCell="A12" sqref="A12"/>
    </sheetView>
  </sheetViews>
  <sheetFormatPr defaultRowHeight="15" x14ac:dyDescent="0.25"/>
  <cols>
    <col min="1" max="1" width="4.42578125" customWidth="1"/>
    <col min="11" max="11" width="8.5703125" customWidth="1"/>
    <col min="12" max="12" width="8.85546875" bestFit="1" customWidth="1"/>
  </cols>
  <sheetData>
    <row r="1" spans="1:12" x14ac:dyDescent="0.25">
      <c r="A1" s="3" t="s">
        <v>0</v>
      </c>
    </row>
    <row r="2" spans="1:12" x14ac:dyDescent="0.25">
      <c r="A2" t="s">
        <v>58</v>
      </c>
      <c r="J2" t="s">
        <v>1</v>
      </c>
      <c r="K2">
        <v>203</v>
      </c>
    </row>
    <row r="3" spans="1:12" x14ac:dyDescent="0.25">
      <c r="J3" t="s">
        <v>2</v>
      </c>
      <c r="K3" s="5">
        <v>403.54393199999998</v>
      </c>
      <c r="L3" s="1" t="s">
        <v>59</v>
      </c>
    </row>
    <row r="4" spans="1:12" x14ac:dyDescent="0.25">
      <c r="B4" s="2" t="s">
        <v>7</v>
      </c>
      <c r="J4" t="s">
        <v>3</v>
      </c>
      <c r="K4" s="5">
        <f>K3*K2</f>
        <v>81919.418195999999</v>
      </c>
      <c r="L4" s="1"/>
    </row>
    <row r="5" spans="1:12" x14ac:dyDescent="0.25">
      <c r="B5" t="s">
        <v>8</v>
      </c>
      <c r="J5" t="s">
        <v>4</v>
      </c>
      <c r="K5" s="5">
        <v>122.395</v>
      </c>
      <c r="L5" s="1" t="s">
        <v>59</v>
      </c>
    </row>
    <row r="6" spans="1:12" x14ac:dyDescent="0.25">
      <c r="J6" t="s">
        <v>5</v>
      </c>
      <c r="K6" s="5">
        <f>2026.963+630.808</f>
        <v>2657.7709999999997</v>
      </c>
      <c r="L6" s="1" t="s">
        <v>59</v>
      </c>
    </row>
    <row r="7" spans="1:12" x14ac:dyDescent="0.25">
      <c r="J7" t="s">
        <v>6</v>
      </c>
      <c r="K7" s="5">
        <f>K4-K5+K6</f>
        <v>84454.794195999988</v>
      </c>
    </row>
    <row r="11" spans="1:12" x14ac:dyDescent="0.25">
      <c r="B11" s="4" t="s">
        <v>52</v>
      </c>
    </row>
    <row r="12" spans="1:12" x14ac:dyDescent="0.25">
      <c r="B12" t="s">
        <v>53</v>
      </c>
    </row>
  </sheetData>
  <hyperlinks>
    <hyperlink ref="B4" r:id="rId1" xr:uid="{5BCE2AAC-B78B-4D44-8877-F3A1B1EA78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E5BD-8069-4607-B39E-3C3E84BAF675}">
  <dimension ref="A1:AG175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.7109375" bestFit="1" customWidth="1"/>
    <col min="2" max="2" width="31.28515625" bestFit="1" customWidth="1"/>
  </cols>
  <sheetData>
    <row r="1" spans="1:33" x14ac:dyDescent="0.25">
      <c r="A1" s="2" t="s">
        <v>9</v>
      </c>
    </row>
    <row r="2" spans="1:33" x14ac:dyDescent="0.2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54</v>
      </c>
      <c r="L2" s="1" t="s">
        <v>55</v>
      </c>
      <c r="M2" s="1" t="s">
        <v>56</v>
      </c>
      <c r="N2" s="1" t="s">
        <v>57</v>
      </c>
      <c r="P2" s="1" t="s">
        <v>41</v>
      </c>
      <c r="Q2" s="1" t="s">
        <v>39</v>
      </c>
      <c r="R2" s="1" t="s">
        <v>42</v>
      </c>
      <c r="S2" s="1" t="s">
        <v>43</v>
      </c>
      <c r="T2" s="1" t="s">
        <v>44</v>
      </c>
      <c r="U2" s="1" t="s">
        <v>40</v>
      </c>
      <c r="V2" s="1" t="s">
        <v>45</v>
      </c>
      <c r="W2" s="1" t="s">
        <v>48</v>
      </c>
      <c r="X2" s="1" t="s">
        <v>49</v>
      </c>
      <c r="Y2" s="1" t="s">
        <v>50</v>
      </c>
      <c r="Z2" s="1" t="s">
        <v>51</v>
      </c>
    </row>
    <row r="3" spans="1:33" x14ac:dyDescent="0.25">
      <c r="B3" t="s">
        <v>38</v>
      </c>
      <c r="C3" s="5">
        <v>1697.7719999999999</v>
      </c>
      <c r="D3" s="5">
        <v>1709.9870000000001</v>
      </c>
      <c r="E3" s="5">
        <v>1716.165</v>
      </c>
      <c r="F3" s="5">
        <f>U3-SUM(C3:E3)</f>
        <v>1773.2060000000001</v>
      </c>
      <c r="G3" s="5">
        <v>1826.825</v>
      </c>
      <c r="H3" s="5">
        <v>1850.5419999999999</v>
      </c>
      <c r="I3" s="5">
        <v>1876.6420000000001</v>
      </c>
      <c r="J3" s="5">
        <f>V3-SUM(G3:I3)</f>
        <v>1911.1899999999996</v>
      </c>
      <c r="K3" s="5">
        <v>1933.8389999999999</v>
      </c>
      <c r="L3" s="5">
        <v>1990.41</v>
      </c>
      <c r="M3" s="5"/>
      <c r="N3" s="5"/>
      <c r="O3" s="5"/>
      <c r="P3" s="5"/>
      <c r="Q3" s="5"/>
      <c r="R3" s="5"/>
      <c r="S3" s="5">
        <v>5689.6319999999996</v>
      </c>
      <c r="T3" s="5">
        <v>6226.98</v>
      </c>
      <c r="U3" s="5">
        <v>6897.13</v>
      </c>
      <c r="V3" s="5">
        <v>7465.1989999999996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B4" t="s">
        <v>46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/>
      <c r="N4" s="5"/>
      <c r="O4" s="5"/>
      <c r="P4" s="5"/>
      <c r="Q4" s="5"/>
      <c r="R4" s="5"/>
      <c r="S4" s="5">
        <v>784.29100000000005</v>
      </c>
      <c r="T4" s="5">
        <v>832.45799999999997</v>
      </c>
      <c r="U4" s="5">
        <v>951.49599999999998</v>
      </c>
      <c r="V4" s="5">
        <v>2131.4160000000002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B5" t="s">
        <v>20</v>
      </c>
      <c r="C5" s="5">
        <v>468.68200000000002</v>
      </c>
      <c r="D5" s="5">
        <v>464.87099999999998</v>
      </c>
      <c r="E5" s="5">
        <v>473.82100000000003</v>
      </c>
      <c r="F5" s="5">
        <f>U4+U5-SUM(C5:E5)</f>
        <v>511.2650000000001</v>
      </c>
      <c r="G5" s="5">
        <v>515.505</v>
      </c>
      <c r="H5" s="5">
        <v>526.63499999999999</v>
      </c>
      <c r="I5" s="5">
        <v>529.53099999999995</v>
      </c>
      <c r="J5" s="5">
        <f>V4-SUM(G5:I5)</f>
        <v>559.74500000000035</v>
      </c>
      <c r="K5" s="5">
        <v>567.74800000000005</v>
      </c>
      <c r="L5" s="5">
        <v>571.37300000000005</v>
      </c>
      <c r="M5" s="5"/>
      <c r="N5" s="5"/>
      <c r="O5" s="5"/>
      <c r="P5" s="5"/>
      <c r="Q5" s="5"/>
      <c r="R5" s="5"/>
      <c r="S5" s="5">
        <v>642.41700000000003</v>
      </c>
      <c r="T5" s="5">
        <v>795.02099999999996</v>
      </c>
      <c r="U5" s="5">
        <v>967.14300000000003</v>
      </c>
      <c r="V5" s="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B6" s="3" t="s">
        <v>18</v>
      </c>
      <c r="C6" s="6">
        <f>C3+C5</f>
        <v>2166.4539999999997</v>
      </c>
      <c r="D6" s="6">
        <f t="shared" ref="D6:F6" si="0">D3+D5</f>
        <v>2174.8580000000002</v>
      </c>
      <c r="E6" s="6">
        <f t="shared" ref="E6" si="1">E3+E5</f>
        <v>2189.9859999999999</v>
      </c>
      <c r="F6" s="6">
        <f t="shared" si="0"/>
        <v>2284.4710000000005</v>
      </c>
      <c r="G6" s="6">
        <f>G3+G5</f>
        <v>2342.33</v>
      </c>
      <c r="H6" s="6">
        <f t="shared" ref="H6:L6" si="2">H3+H5</f>
        <v>2377.1769999999997</v>
      </c>
      <c r="I6" s="6">
        <f>I3+I5</f>
        <v>2406.1729999999998</v>
      </c>
      <c r="J6" s="6">
        <f t="shared" si="2"/>
        <v>2470.9349999999999</v>
      </c>
      <c r="K6" s="6">
        <f t="shared" si="2"/>
        <v>2501.587</v>
      </c>
      <c r="L6" s="6">
        <f t="shared" si="2"/>
        <v>2561.7830000000004</v>
      </c>
      <c r="M6" s="6"/>
      <c r="N6" s="6"/>
      <c r="O6" s="5"/>
      <c r="P6" s="6">
        <f t="shared" ref="P6:T6" si="3">SUM(P3:P5)</f>
        <v>0</v>
      </c>
      <c r="Q6" s="6">
        <f t="shared" si="3"/>
        <v>0</v>
      </c>
      <c r="R6" s="6">
        <f t="shared" si="3"/>
        <v>0</v>
      </c>
      <c r="S6" s="6">
        <f t="shared" si="3"/>
        <v>7116.34</v>
      </c>
      <c r="T6" s="6">
        <f t="shared" si="3"/>
        <v>7854.4589999999989</v>
      </c>
      <c r="U6" s="6">
        <f>SUM(U3:U5)</f>
        <v>8815.7690000000002</v>
      </c>
      <c r="V6" s="6">
        <f>SUM(V3:V5)</f>
        <v>9596.6149999999998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B7" t="s">
        <v>47</v>
      </c>
      <c r="C7" s="5">
        <v>890.76599999999996</v>
      </c>
      <c r="D7" s="5">
        <v>906.72699999999998</v>
      </c>
      <c r="E7" s="5">
        <v>907.99300000000005</v>
      </c>
      <c r="F7" s="5">
        <f>U7-SUM(C7:E7)</f>
        <v>926.68900000000031</v>
      </c>
      <c r="G7" s="5">
        <v>947.58299999999997</v>
      </c>
      <c r="H7" s="5">
        <v>974.23099999999999</v>
      </c>
      <c r="I7" s="5">
        <v>960.20799999999997</v>
      </c>
      <c r="J7" s="5">
        <f t="shared" ref="J7:J8" si="4">V7-SUM(G7:I7)</f>
        <v>983.04899999999998</v>
      </c>
      <c r="K7" s="5">
        <v>981.16300000000001</v>
      </c>
      <c r="L7" s="5">
        <v>1014.052</v>
      </c>
      <c r="M7" s="5"/>
      <c r="N7" s="5"/>
      <c r="O7" s="5"/>
      <c r="P7" s="5"/>
      <c r="Q7" s="5"/>
      <c r="R7" s="5"/>
      <c r="S7" s="5">
        <v>2983.5140000000001</v>
      </c>
      <c r="T7" s="5">
        <v>3316.433</v>
      </c>
      <c r="U7" s="5">
        <v>3632.1750000000002</v>
      </c>
      <c r="V7" s="5">
        <v>3865.0709999999999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B8" t="s">
        <v>21</v>
      </c>
      <c r="C8" s="5">
        <v>247.57599999999999</v>
      </c>
      <c r="D8" s="5">
        <v>245.684</v>
      </c>
      <c r="E8" s="5">
        <v>247.96199999999999</v>
      </c>
      <c r="F8" s="5">
        <f>U8-SUM(C8:E8)</f>
        <v>269.00400000000002</v>
      </c>
      <c r="G8" s="5">
        <v>253.17599999999999</v>
      </c>
      <c r="H8" s="5">
        <v>261.39800000000002</v>
      </c>
      <c r="I8" s="5">
        <v>258.11700000000002</v>
      </c>
      <c r="J8" s="5">
        <f t="shared" si="4"/>
        <v>272.4369999999999</v>
      </c>
      <c r="K8" s="5">
        <v>268.29300000000001</v>
      </c>
      <c r="L8" s="5">
        <v>271.02800000000002</v>
      </c>
      <c r="M8" s="5"/>
      <c r="N8" s="5"/>
      <c r="O8" s="5"/>
      <c r="P8" s="5"/>
      <c r="Q8" s="5"/>
      <c r="R8" s="5"/>
      <c r="S8" s="5">
        <v>818.17499999999995</v>
      </c>
      <c r="T8" s="5">
        <v>905.78</v>
      </c>
      <c r="U8" s="5">
        <v>1010.226</v>
      </c>
      <c r="V8" s="5">
        <v>1045.1279999999999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8" customFormat="1" x14ac:dyDescent="0.25">
      <c r="A9" s="3"/>
      <c r="B9" s="8" t="s">
        <v>19</v>
      </c>
      <c r="C9" s="9">
        <f t="shared" ref="C9:F9" si="5">C6-SUM(C7:C8)</f>
        <v>1028.1119999999999</v>
      </c>
      <c r="D9" s="9">
        <f t="shared" si="5"/>
        <v>1022.4470000000001</v>
      </c>
      <c r="E9" s="9">
        <f t="shared" ref="E9" si="6">E6-SUM(E7:E8)</f>
        <v>1034.0309999999999</v>
      </c>
      <c r="F9" s="9">
        <f t="shared" si="5"/>
        <v>1088.7780000000002</v>
      </c>
      <c r="G9" s="9">
        <f>G6-SUM(G7:G8)</f>
        <v>1141.5709999999999</v>
      </c>
      <c r="H9" s="9">
        <f t="shared" ref="H9:L9" si="7">H6-SUM(H7:H8)</f>
        <v>1141.5479999999998</v>
      </c>
      <c r="I9" s="9">
        <f>I6-SUM(I7:I8)</f>
        <v>1187.8479999999997</v>
      </c>
      <c r="J9" s="9">
        <f t="shared" si="7"/>
        <v>1215.4490000000001</v>
      </c>
      <c r="K9" s="9">
        <f t="shared" si="7"/>
        <v>1252.1309999999999</v>
      </c>
      <c r="L9" s="9">
        <f>L6-SUM(L7:L8)</f>
        <v>1276.7030000000004</v>
      </c>
      <c r="M9" s="9"/>
      <c r="N9" s="9"/>
      <c r="O9" s="9"/>
      <c r="P9" s="9">
        <f t="shared" ref="P9:T9" si="8">P6-SUM(P7:P8)</f>
        <v>0</v>
      </c>
      <c r="Q9" s="9">
        <f t="shared" si="8"/>
        <v>0</v>
      </c>
      <c r="R9" s="9">
        <f t="shared" si="8"/>
        <v>0</v>
      </c>
      <c r="S9" s="9">
        <f t="shared" si="8"/>
        <v>3314.6509999999998</v>
      </c>
      <c r="T9" s="9">
        <f t="shared" si="8"/>
        <v>3632.2459999999992</v>
      </c>
      <c r="U9" s="9">
        <f>U6-SUM(U7:U8)</f>
        <v>4173.3680000000004</v>
      </c>
      <c r="V9" s="9">
        <f>V6-SUM(V7:V8)</f>
        <v>4686.4160000000002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5">
      <c r="B10" t="s">
        <v>22</v>
      </c>
      <c r="C10" s="5">
        <v>587.99199999999996</v>
      </c>
      <c r="D10" s="5">
        <v>577.51300000000003</v>
      </c>
      <c r="E10" s="5">
        <v>587.21900000000005</v>
      </c>
      <c r="F10" s="5">
        <f>U10-SUM(C10:E10)</f>
        <v>617.98</v>
      </c>
      <c r="G10" s="5">
        <v>641.01499999999999</v>
      </c>
      <c r="H10" s="5">
        <v>641.86500000000001</v>
      </c>
      <c r="I10" s="5">
        <v>667.048</v>
      </c>
      <c r="J10" s="5">
        <f>V10-SUM(G10:I10)</f>
        <v>667.85499999999979</v>
      </c>
      <c r="K10" s="5">
        <v>691.1</v>
      </c>
      <c r="L10" s="5">
        <v>685.31299999999999</v>
      </c>
      <c r="M10" s="5"/>
      <c r="N10" s="5"/>
      <c r="O10" s="5"/>
      <c r="P10" s="5"/>
      <c r="Q10" s="5"/>
      <c r="R10" s="5"/>
      <c r="S10" s="5">
        <v>1929.1590000000001</v>
      </c>
      <c r="T10" s="5">
        <v>2044.876</v>
      </c>
      <c r="U10" s="5">
        <v>2370.7040000000002</v>
      </c>
      <c r="V10" s="5">
        <v>2617.7829999999999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B11" s="8" t="s">
        <v>23</v>
      </c>
      <c r="C11" s="9">
        <f>C9-C10</f>
        <v>440.11999999999989</v>
      </c>
      <c r="D11" s="9">
        <f t="shared" ref="D11:L11" si="9">D9-D10</f>
        <v>444.93400000000008</v>
      </c>
      <c r="E11" s="9">
        <f>E9-E10</f>
        <v>446.8119999999999</v>
      </c>
      <c r="F11" s="9">
        <f t="shared" si="9"/>
        <v>470.79800000000023</v>
      </c>
      <c r="G11" s="9">
        <f t="shared" si="9"/>
        <v>500.55599999999993</v>
      </c>
      <c r="H11" s="9">
        <f t="shared" si="9"/>
        <v>499.68299999999977</v>
      </c>
      <c r="I11" s="9">
        <f t="shared" ref="I11" si="10">I9-I10</f>
        <v>520.79999999999973</v>
      </c>
      <c r="J11" s="9">
        <f t="shared" si="9"/>
        <v>547.59400000000028</v>
      </c>
      <c r="K11" s="9">
        <f t="shared" si="9"/>
        <v>561.03099999999984</v>
      </c>
      <c r="L11" s="9">
        <f t="shared" si="9"/>
        <v>591.39000000000044</v>
      </c>
      <c r="M11" s="9"/>
      <c r="N11" s="9"/>
      <c r="O11" s="9"/>
      <c r="P11" s="9">
        <f t="shared" ref="P11:T11" si="11">P9-P10</f>
        <v>0</v>
      </c>
      <c r="Q11" s="9">
        <f t="shared" si="11"/>
        <v>0</v>
      </c>
      <c r="R11" s="9">
        <f t="shared" si="11"/>
        <v>0</v>
      </c>
      <c r="S11" s="9">
        <f t="shared" si="11"/>
        <v>1385.4919999999997</v>
      </c>
      <c r="T11" s="9">
        <f t="shared" si="11"/>
        <v>1587.3699999999992</v>
      </c>
      <c r="U11" s="9">
        <f>U9-U10</f>
        <v>1802.6640000000002</v>
      </c>
      <c r="V11" s="9">
        <f>V9-V10</f>
        <v>2068.6330000000003</v>
      </c>
      <c r="W11" s="9"/>
      <c r="X11" s="9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B12" t="s">
        <v>24</v>
      </c>
      <c r="C12" s="5">
        <f>0.155-27.72</f>
        <v>-27.564999999999998</v>
      </c>
      <c r="D12" s="5">
        <f>0.344-28.92</f>
        <v>-28.576000000000001</v>
      </c>
      <c r="E12" s="5">
        <f>0.373-28.819</f>
        <v>-28.445999999999998</v>
      </c>
      <c r="F12" s="5">
        <f>U12-SUM(C12:E12)</f>
        <v>-24.929000000000016</v>
      </c>
      <c r="G12" s="5">
        <f>0.422-24.544</f>
        <v>-24.122</v>
      </c>
      <c r="H12" s="5">
        <f>0.769-26.59</f>
        <v>-25.821000000000002</v>
      </c>
      <c r="I12" s="5">
        <f>0.93-25.53</f>
        <v>-24.6</v>
      </c>
      <c r="J12" s="5">
        <f>V12-SUM(G12:I12)</f>
        <v>-20.454999999999984</v>
      </c>
      <c r="K12" s="5">
        <f>1.25-25.619</f>
        <v>-24.369</v>
      </c>
      <c r="L12" s="5">
        <f>-26.665+0.962</f>
        <v>-25.702999999999999</v>
      </c>
      <c r="M12" s="5"/>
      <c r="N12" s="5"/>
      <c r="O12" s="5"/>
      <c r="P12" s="5"/>
      <c r="Q12" s="5"/>
      <c r="R12" s="5"/>
      <c r="S12" s="5">
        <f>0.467-98.21</f>
        <v>-97.742999999999995</v>
      </c>
      <c r="T12" s="5">
        <f>0.242-88.844</f>
        <v>-88.60199999999999</v>
      </c>
      <c r="U12" s="5">
        <f>1.716-111.232</f>
        <v>-109.51600000000001</v>
      </c>
      <c r="V12" s="5">
        <f>-100.74+5.742</f>
        <v>-94.99799999999999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B13" t="s">
        <v>25</v>
      </c>
      <c r="C13" s="5">
        <f t="shared" ref="C13:F13" si="12">C11+C12</f>
        <v>412.55499999999989</v>
      </c>
      <c r="D13" s="5">
        <f t="shared" si="12"/>
        <v>416.35800000000006</v>
      </c>
      <c r="E13" s="5">
        <f t="shared" ref="E13" si="13">E11+E12</f>
        <v>418.36599999999987</v>
      </c>
      <c r="F13" s="5">
        <f t="shared" si="12"/>
        <v>445.8690000000002</v>
      </c>
      <c r="G13" s="5">
        <f>G11+G12</f>
        <v>476.43399999999991</v>
      </c>
      <c r="H13" s="5">
        <f t="shared" ref="H13:V13" si="14">H11+H12</f>
        <v>473.86199999999974</v>
      </c>
      <c r="I13" s="5">
        <f>I11+I12</f>
        <v>496.1999999999997</v>
      </c>
      <c r="J13" s="5">
        <f t="shared" si="14"/>
        <v>527.13900000000035</v>
      </c>
      <c r="K13" s="5">
        <f>K11+K12</f>
        <v>536.66199999999981</v>
      </c>
      <c r="L13" s="5">
        <f>L11+L12</f>
        <v>565.68700000000047</v>
      </c>
      <c r="M13" s="5"/>
      <c r="N13" s="5"/>
      <c r="O13" s="5"/>
      <c r="P13" s="5">
        <f t="shared" si="14"/>
        <v>0</v>
      </c>
      <c r="Q13" s="5">
        <f t="shared" si="14"/>
        <v>0</v>
      </c>
      <c r="R13" s="5">
        <f t="shared" si="14"/>
        <v>0</v>
      </c>
      <c r="S13" s="5">
        <f t="shared" si="14"/>
        <v>1287.7489999999998</v>
      </c>
      <c r="T13" s="5">
        <f t="shared" si="14"/>
        <v>1498.7679999999991</v>
      </c>
      <c r="U13" s="5">
        <f t="shared" si="14"/>
        <v>1693.1480000000001</v>
      </c>
      <c r="V13" s="5">
        <f t="shared" si="14"/>
        <v>1973.6350000000002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B14" t="s">
        <v>26</v>
      </c>
      <c r="C14" s="5">
        <v>60.866</v>
      </c>
      <c r="D14" s="5">
        <v>92.064999999999998</v>
      </c>
      <c r="E14" s="5">
        <v>92.539000000000001</v>
      </c>
      <c r="F14" s="5">
        <f>U14-SUM(C14:E14)</f>
        <v>99.688000000000045</v>
      </c>
      <c r="G14" s="5">
        <v>91.349000000000004</v>
      </c>
      <c r="H14" s="5">
        <v>99.429000000000002</v>
      </c>
      <c r="I14" s="5">
        <v>98.691999999999993</v>
      </c>
      <c r="J14" s="5">
        <f>V14-SUM(G14:I14)</f>
        <v>112.57299999999998</v>
      </c>
      <c r="K14" s="5">
        <v>84.629000000000005</v>
      </c>
      <c r="L14" s="5">
        <v>117.19199999999999</v>
      </c>
      <c r="M14" s="5"/>
      <c r="N14" s="5"/>
      <c r="O14" s="5"/>
      <c r="P14" s="5"/>
      <c r="Q14" s="5"/>
      <c r="R14" s="5"/>
      <c r="S14" s="5">
        <v>176.78100000000001</v>
      </c>
      <c r="T14" s="5">
        <v>263.01100000000002</v>
      </c>
      <c r="U14" s="5">
        <v>345.15800000000002</v>
      </c>
      <c r="V14" s="5">
        <v>402.04300000000001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8" t="s">
        <v>27</v>
      </c>
      <c r="C15" s="9">
        <f t="shared" ref="C15:E15" si="15">C13-C14</f>
        <v>351.68899999999991</v>
      </c>
      <c r="D15" s="9">
        <f t="shared" ref="D15" si="16">D13-D14</f>
        <v>324.29300000000006</v>
      </c>
      <c r="E15" s="9">
        <f t="shared" si="15"/>
        <v>325.82699999999988</v>
      </c>
      <c r="F15" s="9">
        <f t="shared" ref="F15" si="17">F13-F14</f>
        <v>346.18100000000015</v>
      </c>
      <c r="G15" s="9">
        <f t="shared" ref="G15:V15" si="18">G13-G14</f>
        <v>385.08499999999992</v>
      </c>
      <c r="H15" s="9">
        <f t="shared" si="18"/>
        <v>374.43299999999977</v>
      </c>
      <c r="I15" s="9">
        <f t="shared" ref="I15" si="19">I13-I14</f>
        <v>397.5079999999997</v>
      </c>
      <c r="J15" s="9">
        <f t="shared" si="18"/>
        <v>414.56600000000037</v>
      </c>
      <c r="K15" s="9">
        <f t="shared" si="18"/>
        <v>452.03299999999979</v>
      </c>
      <c r="L15" s="9">
        <f t="shared" si="18"/>
        <v>448.49500000000046</v>
      </c>
      <c r="M15" s="9"/>
      <c r="N15" s="9"/>
      <c r="O15" s="9"/>
      <c r="P15" s="9">
        <f t="shared" si="18"/>
        <v>0</v>
      </c>
      <c r="Q15" s="9">
        <f t="shared" si="18"/>
        <v>0</v>
      </c>
      <c r="R15" s="9">
        <f t="shared" si="18"/>
        <v>0</v>
      </c>
      <c r="S15" s="9">
        <f t="shared" si="18"/>
        <v>1110.9679999999998</v>
      </c>
      <c r="T15" s="9">
        <f t="shared" si="18"/>
        <v>1235.7569999999992</v>
      </c>
      <c r="U15" s="9">
        <f t="shared" si="18"/>
        <v>1347.9900000000002</v>
      </c>
      <c r="V15" s="9">
        <f t="shared" si="18"/>
        <v>1571.5920000000001</v>
      </c>
      <c r="W15" s="9"/>
      <c r="X15" s="9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x14ac:dyDescent="0.25">
      <c r="B17" t="s">
        <v>28</v>
      </c>
      <c r="C17" s="5">
        <v>3.45</v>
      </c>
      <c r="D17" s="5">
        <v>3.18</v>
      </c>
      <c r="E17" s="5">
        <v>3.19</v>
      </c>
      <c r="F17" s="5">
        <f>U17-SUM(C17:E17)</f>
        <v>3.3900000000000006</v>
      </c>
      <c r="G17" s="5">
        <v>3.76</v>
      </c>
      <c r="H17" s="5">
        <v>3.67</v>
      </c>
      <c r="I17" s="5">
        <v>3.9</v>
      </c>
      <c r="J17" s="5">
        <f>V17-SUM(G17:I17)</f>
        <v>4.07</v>
      </c>
      <c r="K17" s="5">
        <v>1.1200000000000001</v>
      </c>
      <c r="L17" s="5">
        <f>+L15/L18</f>
        <v>1.1112886880204975</v>
      </c>
      <c r="M17" s="5"/>
      <c r="N17" s="5"/>
      <c r="O17" s="5"/>
      <c r="P17" s="5"/>
      <c r="Q17" s="5"/>
      <c r="R17" s="5"/>
      <c r="S17" s="5">
        <v>10.52</v>
      </c>
      <c r="T17" s="5">
        <v>11.92</v>
      </c>
      <c r="U17" s="5">
        <v>13.21</v>
      </c>
      <c r="V17" s="5">
        <v>15.4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 t="s">
        <v>2</v>
      </c>
      <c r="C18" s="5">
        <f t="shared" ref="C18:L18" si="20">C15/C17</f>
        <v>101.93884057971012</v>
      </c>
      <c r="D18" s="5">
        <f t="shared" si="20"/>
        <v>101.97893081761008</v>
      </c>
      <c r="E18" s="5">
        <f t="shared" si="20"/>
        <v>102.14012539184949</v>
      </c>
      <c r="F18" s="5">
        <f t="shared" si="20"/>
        <v>102.11828908554575</v>
      </c>
      <c r="G18" s="5">
        <f t="shared" si="20"/>
        <v>102.41622340425531</v>
      </c>
      <c r="H18" s="5">
        <f t="shared" si="20"/>
        <v>102.02534059945498</v>
      </c>
      <c r="I18" s="5">
        <f t="shared" si="20"/>
        <v>101.92512820512813</v>
      </c>
      <c r="J18" s="5">
        <f t="shared" si="20"/>
        <v>101.85896805896814</v>
      </c>
      <c r="K18" s="5">
        <f t="shared" si="20"/>
        <v>403.60089285714264</v>
      </c>
      <c r="L18" s="5">
        <v>403.58100000000002</v>
      </c>
      <c r="M18" s="5"/>
      <c r="N18" s="5"/>
      <c r="O18" s="5"/>
      <c r="P18" s="5"/>
      <c r="Q18" s="5"/>
      <c r="R18" s="5"/>
      <c r="S18" s="5">
        <f>S15/S17</f>
        <v>105.60532319391633</v>
      </c>
      <c r="T18" s="5">
        <f>T15/T17</f>
        <v>103.67088926174489</v>
      </c>
      <c r="U18" s="5">
        <f>U15/U17</f>
        <v>102.0431491294474</v>
      </c>
      <c r="V18" s="5">
        <f>V15/V17</f>
        <v>102.05142857142857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x14ac:dyDescent="0.25">
      <c r="B20" t="s">
        <v>37</v>
      </c>
      <c r="C20" s="7">
        <f>C3/C6</f>
        <v>0.78366399655843155</v>
      </c>
      <c r="D20" s="7">
        <f>D3/D6</f>
        <v>0.78625225187115666</v>
      </c>
      <c r="E20" s="7">
        <f>E3/E6</f>
        <v>0.78364199588490524</v>
      </c>
      <c r="F20" s="7">
        <f>F3/F6</f>
        <v>0.77619982919459241</v>
      </c>
      <c r="G20" s="7">
        <f>G3/G6</f>
        <v>0.77991785956718318</v>
      </c>
      <c r="H20" s="7">
        <f>H3/H6</f>
        <v>0.7784620160804181</v>
      </c>
      <c r="I20" s="7">
        <f>I3/I6</f>
        <v>0.7799281265312179</v>
      </c>
      <c r="J20" s="7">
        <f>J3/J6</f>
        <v>0.77346834295519695</v>
      </c>
      <c r="K20" s="7">
        <f>K3/K6</f>
        <v>0.77304487111581566</v>
      </c>
      <c r="L20" s="7">
        <f>L3/L6</f>
        <v>0.77696276382503893</v>
      </c>
      <c r="M20" s="7"/>
      <c r="N20" s="7"/>
      <c r="O20" s="5"/>
      <c r="P20" s="7" t="e">
        <f>P3/P6</f>
        <v>#DIV/0!</v>
      </c>
      <c r="Q20" s="7" t="e">
        <f>Q3/Q6</f>
        <v>#DIV/0!</v>
      </c>
      <c r="R20" s="7" t="e">
        <f>R3/R6</f>
        <v>#DIV/0!</v>
      </c>
      <c r="S20" s="7">
        <f>S3/S6</f>
        <v>0.79951660544605785</v>
      </c>
      <c r="T20" s="7">
        <f>T3/T6</f>
        <v>0.79279553181193008</v>
      </c>
      <c r="U20" s="7">
        <f>U3/U6</f>
        <v>0.78236283187547218</v>
      </c>
      <c r="V20" s="7">
        <f>V3/V6</f>
        <v>0.77789918632767907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x14ac:dyDescent="0.25">
      <c r="B21" t="s">
        <v>31</v>
      </c>
      <c r="C21" s="7">
        <f>C5/C6</f>
        <v>0.21633600344156861</v>
      </c>
      <c r="D21" s="7">
        <f>D5/D6</f>
        <v>0.21374774812884334</v>
      </c>
      <c r="E21" s="7">
        <f>E5/E6</f>
        <v>0.21635800411509482</v>
      </c>
      <c r="F21" s="7">
        <f>F5/F6</f>
        <v>0.22380017080540746</v>
      </c>
      <c r="G21" s="7">
        <f>G5/G6</f>
        <v>0.2200821404328169</v>
      </c>
      <c r="H21" s="7">
        <f>H5/H6</f>
        <v>0.22153798391958196</v>
      </c>
      <c r="I21" s="7">
        <f>I5/I6</f>
        <v>0.22007187346878218</v>
      </c>
      <c r="J21" s="7">
        <f>J5/J6</f>
        <v>0.22653165704480302</v>
      </c>
      <c r="K21" s="7">
        <f>K5/K6</f>
        <v>0.22695512888418434</v>
      </c>
      <c r="L21" s="7">
        <f>L5/L6</f>
        <v>0.22303723617496093</v>
      </c>
      <c r="M21" s="7"/>
      <c r="N21" s="7"/>
      <c r="O21" s="5"/>
      <c r="P21" s="7" t="e">
        <f t="shared" ref="P21:T21" si="21">1-P20</f>
        <v>#DIV/0!</v>
      </c>
      <c r="Q21" s="7" t="e">
        <f t="shared" si="21"/>
        <v>#DIV/0!</v>
      </c>
      <c r="R21" s="7" t="e">
        <f t="shared" si="21"/>
        <v>#DIV/0!</v>
      </c>
      <c r="S21" s="7">
        <f t="shared" si="21"/>
        <v>0.20048339455394215</v>
      </c>
      <c r="T21" s="7">
        <f t="shared" si="21"/>
        <v>0.20720446818806992</v>
      </c>
      <c r="U21" s="7">
        <f>1-U20</f>
        <v>0.21763716812452782</v>
      </c>
      <c r="V21" s="7">
        <f t="shared" ref="V21" si="22">1-V20</f>
        <v>0.22210081367232093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x14ac:dyDescent="0.25">
      <c r="B22" t="s">
        <v>29</v>
      </c>
      <c r="C22" s="5"/>
      <c r="D22" s="7"/>
      <c r="E22" s="7"/>
      <c r="F22" s="7"/>
      <c r="G22" s="7">
        <f t="shared" ref="G22:J22" si="23">G6/C6-1</f>
        <v>8.1181506738661424E-2</v>
      </c>
      <c r="H22" s="7">
        <f t="shared" si="23"/>
        <v>9.3026303326469773E-2</v>
      </c>
      <c r="I22" s="7">
        <f t="shared" si="23"/>
        <v>9.8716156176340775E-2</v>
      </c>
      <c r="J22" s="7">
        <f t="shared" si="23"/>
        <v>8.1622397482830511E-2</v>
      </c>
      <c r="K22" s="7">
        <f>K6/G6-1</f>
        <v>6.7990846720999976E-2</v>
      </c>
      <c r="L22" s="7">
        <f>L6/H6-1</f>
        <v>7.7657658643004224E-2</v>
      </c>
      <c r="M22" s="5"/>
      <c r="N22" s="5"/>
      <c r="O22" s="5"/>
      <c r="P22" s="5"/>
      <c r="Q22" s="7" t="e">
        <f t="shared" ref="Q22:T22" si="24">Q6/P6-1</f>
        <v>#DIV/0!</v>
      </c>
      <c r="R22" s="7" t="e">
        <f t="shared" si="24"/>
        <v>#DIV/0!</v>
      </c>
      <c r="S22" s="7" t="e">
        <f t="shared" si="24"/>
        <v>#DIV/0!</v>
      </c>
      <c r="T22" s="7">
        <f t="shared" si="24"/>
        <v>0.10372171650033568</v>
      </c>
      <c r="U22" s="7">
        <f>U6/T6-1</f>
        <v>0.12239035177343238</v>
      </c>
      <c r="V22" s="7">
        <f t="shared" ref="V22" si="25">V6/U6-1</f>
        <v>8.8573781822096187E-2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2:33" x14ac:dyDescent="0.25">
      <c r="B23" t="s">
        <v>35</v>
      </c>
      <c r="C23" s="7">
        <f t="shared" ref="C23:F23" si="26">(C3-C7)/C3</f>
        <v>0.47533237678557544</v>
      </c>
      <c r="D23" s="7">
        <f t="shared" si="26"/>
        <v>0.46974626122888657</v>
      </c>
      <c r="E23" s="7">
        <f t="shared" si="26"/>
        <v>0.47091742344121917</v>
      </c>
      <c r="F23" s="7">
        <f t="shared" si="26"/>
        <v>0.47739348953251892</v>
      </c>
      <c r="G23" s="7">
        <f>(G3-G7)/G3</f>
        <v>0.48129514321295147</v>
      </c>
      <c r="H23" s="7">
        <f t="shared" ref="H23:J23" si="27">(H3-H7)/H3</f>
        <v>0.47354288635437614</v>
      </c>
      <c r="I23" s="7">
        <f t="shared" si="27"/>
        <v>0.48833714688257007</v>
      </c>
      <c r="J23" s="7">
        <f t="shared" si="27"/>
        <v>0.48563512785228041</v>
      </c>
      <c r="K23" s="7">
        <f>(K3-K7)/K3</f>
        <v>0.4926345988471636</v>
      </c>
      <c r="L23" s="7">
        <f>(L3-L7)/L3</f>
        <v>0.49053109660823652</v>
      </c>
      <c r="M23" s="7"/>
      <c r="N23" s="7"/>
      <c r="O23" s="5"/>
      <c r="P23" s="7" t="e">
        <f t="shared" ref="P23:T23" si="28">(P3-P7)/P3</f>
        <v>#DIV/0!</v>
      </c>
      <c r="Q23" s="7" t="e">
        <f t="shared" si="28"/>
        <v>#DIV/0!</v>
      </c>
      <c r="R23" s="7" t="e">
        <f t="shared" si="28"/>
        <v>#DIV/0!</v>
      </c>
      <c r="S23" s="7">
        <f t="shared" si="28"/>
        <v>0.47562267647538536</v>
      </c>
      <c r="T23" s="7">
        <f t="shared" si="28"/>
        <v>0.46740908112760915</v>
      </c>
      <c r="U23" s="7">
        <f>(U3-U7)/U3</f>
        <v>0.47337878218911345</v>
      </c>
      <c r="V23" s="7">
        <f t="shared" ref="V23" si="29">(V3-V7)/V3</f>
        <v>0.48225479320778991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x14ac:dyDescent="0.25">
      <c r="B24" t="s">
        <v>36</v>
      </c>
      <c r="C24" s="7">
        <f t="shared" ref="C24:F24" si="30">(C5-C8)/C5</f>
        <v>0.47176123683008953</v>
      </c>
      <c r="D24" s="7">
        <f t="shared" si="30"/>
        <v>0.47150069589197863</v>
      </c>
      <c r="E24" s="7">
        <f t="shared" si="30"/>
        <v>0.47667579106877916</v>
      </c>
      <c r="F24" s="7">
        <f t="shared" si="30"/>
        <v>0.473846244119977</v>
      </c>
      <c r="G24" s="7">
        <f>(G5-G8)/G5</f>
        <v>0.50887770244711494</v>
      </c>
      <c r="H24" s="7">
        <f t="shared" ref="H24:J24" si="31">(H5-H8)/H5</f>
        <v>0.5036448394049009</v>
      </c>
      <c r="I24" s="7">
        <f t="shared" si="31"/>
        <v>0.51255545001142511</v>
      </c>
      <c r="J24" s="7">
        <f t="shared" si="31"/>
        <v>0.51328372741158967</v>
      </c>
      <c r="K24" s="7">
        <f t="shared" ref="K24:L24" si="32">(K5-K8)/K5</f>
        <v>0.52744351367155851</v>
      </c>
      <c r="L24" s="7">
        <f t="shared" si="32"/>
        <v>0.52565486993610133</v>
      </c>
      <c r="M24" s="7"/>
      <c r="N24" s="7"/>
      <c r="O24" s="5"/>
      <c r="P24" s="7" t="e">
        <f t="shared" ref="P24:T24" si="33">(P4+P5-P8)/(P4+P5)</f>
        <v>#DIV/0!</v>
      </c>
      <c r="Q24" s="7" t="e">
        <f t="shared" si="33"/>
        <v>#DIV/0!</v>
      </c>
      <c r="R24" s="7" t="e">
        <f t="shared" si="33"/>
        <v>#DIV/0!</v>
      </c>
      <c r="S24" s="7">
        <f t="shared" si="33"/>
        <v>0.42652946503419065</v>
      </c>
      <c r="T24" s="7">
        <f t="shared" si="33"/>
        <v>0.44344596765918326</v>
      </c>
      <c r="U24" s="7">
        <f>(U4+U5-U8)/(U4+U5)</f>
        <v>0.47346739016563305</v>
      </c>
      <c r="V24" s="7">
        <f t="shared" ref="V24" si="34">(V4+V5-V8)/(V4+V5)</f>
        <v>0.50965555292819431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x14ac:dyDescent="0.25">
      <c r="B25" t="s">
        <v>32</v>
      </c>
      <c r="C25" s="7">
        <f t="shared" ref="C25:F25" si="35">C9/C6</f>
        <v>0.47455981063987512</v>
      </c>
      <c r="D25" s="7">
        <f t="shared" si="35"/>
        <v>0.47012126768736168</v>
      </c>
      <c r="E25" s="7">
        <f t="shared" si="35"/>
        <v>0.47216329236807908</v>
      </c>
      <c r="F25" s="7">
        <f t="shared" si="35"/>
        <v>0.47659961540330342</v>
      </c>
      <c r="G25" s="7">
        <f>G9/G6</f>
        <v>0.48736557188782109</v>
      </c>
      <c r="H25" s="7">
        <f t="shared" ref="H25:J25" si="36">H9/H6</f>
        <v>0.4802116123452313</v>
      </c>
      <c r="I25" s="7">
        <f t="shared" si="36"/>
        <v>0.49366691422437198</v>
      </c>
      <c r="J25" s="7">
        <f t="shared" si="36"/>
        <v>0.49189841092541897</v>
      </c>
      <c r="K25" s="7">
        <f t="shared" ref="K25:L25" si="37">K9/K6</f>
        <v>0.50053466059745266</v>
      </c>
      <c r="L25" s="7">
        <f t="shared" si="37"/>
        <v>0.49836500593531935</v>
      </c>
      <c r="M25" s="7"/>
      <c r="N25" s="7"/>
      <c r="O25" s="5"/>
      <c r="P25" s="7" t="e">
        <f t="shared" ref="P25:T25" si="38">P9/P6</f>
        <v>#DIV/0!</v>
      </c>
      <c r="Q25" s="7" t="e">
        <f t="shared" si="38"/>
        <v>#DIV/0!</v>
      </c>
      <c r="R25" s="7" t="e">
        <f t="shared" si="38"/>
        <v>#DIV/0!</v>
      </c>
      <c r="S25" s="7">
        <f t="shared" si="38"/>
        <v>0.46578030279610022</v>
      </c>
      <c r="T25" s="7">
        <f t="shared" si="38"/>
        <v>0.46244381694525361</v>
      </c>
      <c r="U25" s="7">
        <f>U9/U6</f>
        <v>0.47339806657819644</v>
      </c>
      <c r="V25" s="7">
        <f t="shared" ref="V25" si="39">V9/V6</f>
        <v>0.48834052423693147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x14ac:dyDescent="0.25">
      <c r="B26" t="s">
        <v>33</v>
      </c>
      <c r="C26" s="7">
        <f t="shared" ref="C26:F26" si="40">C11/C6</f>
        <v>0.20315224786679059</v>
      </c>
      <c r="D26" s="7">
        <f t="shared" si="40"/>
        <v>0.2045807128557359</v>
      </c>
      <c r="E26" s="7">
        <f t="shared" si="40"/>
        <v>0.20402504856195425</v>
      </c>
      <c r="F26" s="7">
        <f t="shared" si="40"/>
        <v>0.20608622302493668</v>
      </c>
      <c r="G26" s="7">
        <f>G11/G6</f>
        <v>0.21370003372710078</v>
      </c>
      <c r="H26" s="7">
        <f t="shared" ref="H26:J26" si="41">H11/H6</f>
        <v>0.21020016599521191</v>
      </c>
      <c r="I26" s="7">
        <f t="shared" si="41"/>
        <v>0.21644328982163782</v>
      </c>
      <c r="J26" s="7">
        <f t="shared" si="41"/>
        <v>0.22161408535635307</v>
      </c>
      <c r="K26" s="7">
        <f t="shared" ref="K26:L26" si="42">K11/K6</f>
        <v>0.22427003338280851</v>
      </c>
      <c r="L26" s="7">
        <f t="shared" si="42"/>
        <v>0.23085093468104065</v>
      </c>
      <c r="M26" s="7"/>
      <c r="N26" s="7"/>
      <c r="O26" s="5"/>
      <c r="P26" s="7" t="e">
        <f t="shared" ref="P26:T26" si="43">P11/P6</f>
        <v>#DIV/0!</v>
      </c>
      <c r="Q26" s="7" t="e">
        <f t="shared" si="43"/>
        <v>#DIV/0!</v>
      </c>
      <c r="R26" s="7" t="e">
        <f t="shared" si="43"/>
        <v>#DIV/0!</v>
      </c>
      <c r="S26" s="7">
        <f t="shared" si="43"/>
        <v>0.19469165329368746</v>
      </c>
      <c r="T26" s="7">
        <f t="shared" si="43"/>
        <v>0.20209794207341325</v>
      </c>
      <c r="U26" s="7">
        <f>U11/U6</f>
        <v>0.20448176443824698</v>
      </c>
      <c r="V26" s="7">
        <f t="shared" ref="V26" si="44">V11/V6</f>
        <v>0.21555861103107712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x14ac:dyDescent="0.25">
      <c r="B27" t="s">
        <v>34</v>
      </c>
      <c r="C27" s="7">
        <f t="shared" ref="C27:F27" si="45">C15/C6</f>
        <v>0.16233393369995391</v>
      </c>
      <c r="D27" s="7">
        <f t="shared" si="45"/>
        <v>0.14910996488046577</v>
      </c>
      <c r="E27" s="7">
        <f t="shared" si="45"/>
        <v>0.1487804031623946</v>
      </c>
      <c r="F27" s="7">
        <f t="shared" si="45"/>
        <v>0.15153661394694881</v>
      </c>
      <c r="G27" s="7">
        <f>G15/G6</f>
        <v>0.16440253935184193</v>
      </c>
      <c r="H27" s="7">
        <f t="shared" ref="H27:J27" si="46">H15/H6</f>
        <v>0.15751161987517118</v>
      </c>
      <c r="I27" s="7">
        <f t="shared" si="46"/>
        <v>0.1652034163794539</v>
      </c>
      <c r="J27" s="7">
        <f t="shared" si="46"/>
        <v>0.16777697511265993</v>
      </c>
      <c r="K27" s="7">
        <f t="shared" ref="K27:L27" si="47">K15/K6</f>
        <v>0.18069849259689941</v>
      </c>
      <c r="L27" s="7">
        <f t="shared" si="47"/>
        <v>0.17507142486307403</v>
      </c>
      <c r="M27" s="7"/>
      <c r="N27" s="7"/>
      <c r="O27" s="5"/>
      <c r="P27" s="7" t="e">
        <f t="shared" ref="P27:T27" si="48">P15/P6</f>
        <v>#DIV/0!</v>
      </c>
      <c r="Q27" s="7" t="e">
        <f t="shared" si="48"/>
        <v>#DIV/0!</v>
      </c>
      <c r="R27" s="7" t="e">
        <f t="shared" si="48"/>
        <v>#DIV/0!</v>
      </c>
      <c r="S27" s="7">
        <f t="shared" si="48"/>
        <v>0.15611508162903961</v>
      </c>
      <c r="T27" s="7">
        <f t="shared" si="48"/>
        <v>0.15733190535465261</v>
      </c>
      <c r="U27" s="7">
        <f>U15/U6</f>
        <v>0.15290668346686492</v>
      </c>
      <c r="V27" s="7">
        <f t="shared" ref="V27" si="49">V15/V6</f>
        <v>0.16376524430749803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x14ac:dyDescent="0.25">
      <c r="B28" t="s">
        <v>30</v>
      </c>
      <c r="C28" s="7">
        <f t="shared" ref="C28:F28" si="50">C14/C13</f>
        <v>0.14753426815818502</v>
      </c>
      <c r="D28" s="7">
        <f t="shared" si="50"/>
        <v>0.22111980555195285</v>
      </c>
      <c r="E28" s="7">
        <f t="shared" si="50"/>
        <v>0.22119149261651289</v>
      </c>
      <c r="F28" s="7">
        <f t="shared" si="50"/>
        <v>0.22358136582718244</v>
      </c>
      <c r="G28" s="7">
        <f>G14/G13</f>
        <v>0.19173484679934685</v>
      </c>
      <c r="H28" s="7">
        <f t="shared" ref="H28:J28" si="51">H14/H13</f>
        <v>0.20982691163250072</v>
      </c>
      <c r="I28" s="7">
        <f t="shared" si="51"/>
        <v>0.19889560661023792</v>
      </c>
      <c r="J28" s="7">
        <f t="shared" si="51"/>
        <v>0.21355467912637824</v>
      </c>
      <c r="K28" s="7">
        <f t="shared" ref="K28:L28" si="52">K14/K13</f>
        <v>0.15769516008213744</v>
      </c>
      <c r="L28" s="7">
        <f t="shared" si="52"/>
        <v>0.20716756793067526</v>
      </c>
      <c r="M28" s="7"/>
      <c r="N28" s="7"/>
      <c r="O28" s="5"/>
      <c r="P28" s="7" t="e">
        <f t="shared" ref="P28:T28" si="53">P14/P13</f>
        <v>#DIV/0!</v>
      </c>
      <c r="Q28" s="7" t="e">
        <f t="shared" si="53"/>
        <v>#DIV/0!</v>
      </c>
      <c r="R28" s="7" t="e">
        <f t="shared" si="53"/>
        <v>#DIV/0!</v>
      </c>
      <c r="S28" s="7">
        <f t="shared" si="53"/>
        <v>0.13727908156014879</v>
      </c>
      <c r="T28" s="7">
        <f t="shared" si="53"/>
        <v>0.17548479818090604</v>
      </c>
      <c r="U28" s="7">
        <f>U14/U13</f>
        <v>0.20385577634087509</v>
      </c>
      <c r="V28" s="7">
        <f t="shared" ref="V28" si="54">V14/V13</f>
        <v>0.20370686575785288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3:33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3:3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3:33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3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3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3:3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3:33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3:33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3:3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3:3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</sheetData>
  <hyperlinks>
    <hyperlink ref="A1" location="Main!A1" display="Main" xr:uid="{8F8011A0-B3A2-42B7-96FC-84F880CC6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2024-06-25T14:35:15Z</dcterms:created>
  <dcterms:modified xsi:type="dcterms:W3CDTF">2025-02-12T13:51:24Z</dcterms:modified>
</cp:coreProperties>
</file>