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422F1CA-4CDB-413E-BB8E-0C5C8E588C32}" xr6:coauthVersionLast="47" xr6:coauthVersionMax="47" xr10:uidLastSave="{00000000-0000-0000-0000-000000000000}"/>
  <bookViews>
    <workbookView xWindow="-120" yWindow="-120" windowWidth="38640" windowHeight="21060" xr2:uid="{1B5A1D5B-5472-4AA4-99C4-18D07ACE1CA9}"/>
  </bookViews>
  <sheets>
    <sheet name="Main" sheetId="1" r:id="rId1"/>
    <sheet name="Segments" sheetId="6" r:id="rId2"/>
    <sheet name="Branche" sheetId="11" r:id="rId3"/>
    <sheet name="Model" sheetId="2" r:id="rId4"/>
    <sheet name="Ratios" sheetId="4" r:id="rId5"/>
    <sheet name="DCF" sheetId="7" r:id="rId6"/>
    <sheet name="Discount Rate" sheetId="8" r:id="rId7"/>
    <sheet name="Multiple Valuation" sheetId="9" r:id="rId8"/>
    <sheet name="Liquidationswert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4" i="1"/>
  <c r="K7" i="1" s="1"/>
  <c r="H35" i="6"/>
  <c r="H33" i="6"/>
  <c r="S12" i="2"/>
  <c r="S8" i="2"/>
  <c r="S5" i="2"/>
  <c r="L39" i="9"/>
  <c r="L18" i="9"/>
  <c r="J77" i="7"/>
  <c r="V6" i="7"/>
  <c r="N6" i="7"/>
  <c r="N54" i="7"/>
  <c r="M54" i="7"/>
  <c r="L54" i="7"/>
  <c r="K54" i="7"/>
  <c r="J54" i="7"/>
  <c r="N52" i="7"/>
  <c r="M52" i="7"/>
  <c r="L52" i="7"/>
  <c r="K52" i="7"/>
  <c r="J52" i="7"/>
  <c r="N48" i="7"/>
  <c r="M48" i="7"/>
  <c r="L48" i="7"/>
  <c r="K48" i="7"/>
  <c r="J48" i="7"/>
  <c r="N46" i="7"/>
  <c r="M46" i="7"/>
  <c r="L46" i="7"/>
  <c r="K46" i="7"/>
  <c r="J46" i="7"/>
  <c r="G98" i="7"/>
  <c r="H98" i="7" s="1"/>
  <c r="I98" i="7" s="1"/>
  <c r="J98" i="7" s="1"/>
  <c r="N90" i="7"/>
  <c r="N88" i="7"/>
  <c r="N87" i="7"/>
  <c r="I10" i="7"/>
  <c r="V11" i="7" s="1"/>
  <c r="D11" i="7"/>
  <c r="G10" i="8"/>
  <c r="G8" i="8"/>
  <c r="G7" i="8"/>
  <c r="C8" i="8"/>
  <c r="S9" i="2" l="1"/>
  <c r="S13" i="2" s="1"/>
  <c r="S18" i="2" s="1"/>
  <c r="S20" i="2" s="1"/>
  <c r="S22" i="2" s="1"/>
  <c r="S24" i="2" s="1"/>
  <c r="S26" i="2" s="1"/>
  <c r="R11" i="7"/>
  <c r="N11" i="7"/>
  <c r="F98" i="7"/>
  <c r="E98" i="7" s="1"/>
  <c r="D98" i="7" s="1"/>
  <c r="C7" i="8"/>
  <c r="O83" i="8" l="1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C9" i="8" l="1"/>
  <c r="C11" i="8"/>
  <c r="J14" i="4"/>
  <c r="N77" i="7"/>
  <c r="M77" i="7"/>
  <c r="L77" i="7"/>
  <c r="K77" i="7"/>
  <c r="J78" i="7"/>
  <c r="N78" i="7"/>
  <c r="M78" i="7"/>
  <c r="L78" i="7"/>
  <c r="K78" i="7"/>
  <c r="N80" i="7"/>
  <c r="M80" i="7"/>
  <c r="L80" i="7"/>
  <c r="K80" i="7"/>
  <c r="J80" i="7"/>
  <c r="N71" i="7"/>
  <c r="M71" i="7"/>
  <c r="L71" i="7"/>
  <c r="K71" i="7"/>
  <c r="J71" i="7"/>
  <c r="N72" i="7"/>
  <c r="M72" i="7"/>
  <c r="L72" i="7"/>
  <c r="K72" i="7"/>
  <c r="J72" i="7"/>
  <c r="N74" i="7"/>
  <c r="M74" i="7"/>
  <c r="L74" i="7"/>
  <c r="K74" i="7"/>
  <c r="J74" i="7"/>
  <c r="N65" i="7"/>
  <c r="M65" i="7"/>
  <c r="L65" i="7"/>
  <c r="K65" i="7"/>
  <c r="J65" i="7"/>
  <c r="N66" i="7"/>
  <c r="M66" i="7"/>
  <c r="L66" i="7"/>
  <c r="K66" i="7"/>
  <c r="J66" i="7"/>
  <c r="N68" i="7"/>
  <c r="M68" i="7"/>
  <c r="L68" i="7"/>
  <c r="K68" i="7"/>
  <c r="J68" i="7"/>
  <c r="N57" i="7"/>
  <c r="M57" i="7"/>
  <c r="L57" i="7"/>
  <c r="K57" i="7"/>
  <c r="J57" i="7"/>
  <c r="N60" i="7"/>
  <c r="M60" i="7"/>
  <c r="L60" i="7"/>
  <c r="K60" i="7"/>
  <c r="J60" i="7"/>
  <c r="N58" i="7"/>
  <c r="M58" i="7"/>
  <c r="L58" i="7"/>
  <c r="K58" i="7"/>
  <c r="J58" i="7"/>
  <c r="N51" i="7"/>
  <c r="M51" i="7"/>
  <c r="L51" i="7"/>
  <c r="K51" i="7"/>
  <c r="J51" i="7"/>
  <c r="N45" i="7"/>
  <c r="M45" i="7"/>
  <c r="L45" i="7"/>
  <c r="K45" i="7"/>
  <c r="J45" i="7"/>
  <c r="J44" i="7" s="1"/>
  <c r="I38" i="7"/>
  <c r="H38" i="7"/>
  <c r="G38" i="7"/>
  <c r="F38" i="7"/>
  <c r="E38" i="7"/>
  <c r="D38" i="7"/>
  <c r="I35" i="7"/>
  <c r="H35" i="7"/>
  <c r="G35" i="7"/>
  <c r="F35" i="7"/>
  <c r="E35" i="7"/>
  <c r="D35" i="7"/>
  <c r="I32" i="7"/>
  <c r="H32" i="7"/>
  <c r="G32" i="7"/>
  <c r="F32" i="7"/>
  <c r="E32" i="7"/>
  <c r="D32" i="7"/>
  <c r="I27" i="7"/>
  <c r="H27" i="7"/>
  <c r="G27" i="7"/>
  <c r="F27" i="7"/>
  <c r="E27" i="7"/>
  <c r="D27" i="7"/>
  <c r="E50" i="4"/>
  <c r="D50" i="4"/>
  <c r="F50" i="4"/>
  <c r="G50" i="4"/>
  <c r="H50" i="4"/>
  <c r="H27" i="4"/>
  <c r="G27" i="4"/>
  <c r="F27" i="4"/>
  <c r="E27" i="4"/>
  <c r="D27" i="4"/>
  <c r="I27" i="4"/>
  <c r="J6" i="4"/>
  <c r="J7" i="4"/>
  <c r="J5" i="4"/>
  <c r="L60" i="6"/>
  <c r="K60" i="6"/>
  <c r="J60" i="6"/>
  <c r="I60" i="6"/>
  <c r="E57" i="6"/>
  <c r="L52" i="6"/>
  <c r="J52" i="6"/>
  <c r="I52" i="6"/>
  <c r="K52" i="6"/>
  <c r="F35" i="6"/>
  <c r="G35" i="6"/>
  <c r="G33" i="6"/>
  <c r="F33" i="6"/>
  <c r="G75" i="6"/>
  <c r="F75" i="6"/>
  <c r="E75" i="6"/>
  <c r="D75" i="6"/>
  <c r="G74" i="6"/>
  <c r="F74" i="6"/>
  <c r="E74" i="6"/>
  <c r="D74" i="6"/>
  <c r="F73" i="6"/>
  <c r="E73" i="6"/>
  <c r="D73" i="6"/>
  <c r="G73" i="6"/>
  <c r="G71" i="6"/>
  <c r="F71" i="6"/>
  <c r="E71" i="6"/>
  <c r="G70" i="6"/>
  <c r="F70" i="6"/>
  <c r="E70" i="6"/>
  <c r="F69" i="6"/>
  <c r="E69" i="6"/>
  <c r="G69" i="6"/>
  <c r="E63" i="6"/>
  <c r="D63" i="6"/>
  <c r="F62" i="6"/>
  <c r="F63" i="6" s="1"/>
  <c r="G62" i="6"/>
  <c r="G63" i="6" s="1"/>
  <c r="D57" i="6"/>
  <c r="F57" i="6"/>
  <c r="G57" i="6"/>
  <c r="D67" i="6" s="1"/>
  <c r="F48" i="6"/>
  <c r="G48" i="6"/>
  <c r="S37" i="2"/>
  <c r="S36" i="2"/>
  <c r="S35" i="2"/>
  <c r="S34" i="2"/>
  <c r="S33" i="2"/>
  <c r="S32" i="2"/>
  <c r="S30" i="2"/>
  <c r="S29" i="2"/>
  <c r="H30" i="2"/>
  <c r="H29" i="2"/>
  <c r="F21" i="2"/>
  <c r="C23" i="2"/>
  <c r="F23" i="2" s="1"/>
  <c r="C19" i="2"/>
  <c r="F19" i="2" s="1"/>
  <c r="C17" i="2"/>
  <c r="F17" i="2" s="1"/>
  <c r="C16" i="2"/>
  <c r="F16" i="2" s="1"/>
  <c r="C15" i="2"/>
  <c r="F15" i="2" s="1"/>
  <c r="C14" i="2"/>
  <c r="F14" i="2" s="1"/>
  <c r="C11" i="2"/>
  <c r="F11" i="2" s="1"/>
  <c r="C10" i="2"/>
  <c r="F10" i="2" s="1"/>
  <c r="C7" i="2"/>
  <c r="F7" i="2" s="1"/>
  <c r="C6" i="2"/>
  <c r="F6" i="2" s="1"/>
  <c r="C4" i="2"/>
  <c r="F4" i="2" s="1"/>
  <c r="C3" i="2"/>
  <c r="G23" i="2"/>
  <c r="G19" i="2"/>
  <c r="G17" i="2"/>
  <c r="G16" i="2"/>
  <c r="G14" i="2"/>
  <c r="G11" i="2"/>
  <c r="G10" i="2"/>
  <c r="G12" i="2" s="1"/>
  <c r="G7" i="2"/>
  <c r="G6" i="2"/>
  <c r="G4" i="2"/>
  <c r="G3" i="2"/>
  <c r="G5" i="2" s="1"/>
  <c r="N125" i="2"/>
  <c r="O103" i="2"/>
  <c r="P52" i="2"/>
  <c r="P55" i="2" s="1"/>
  <c r="P59" i="2" s="1"/>
  <c r="O52" i="2"/>
  <c r="O55" i="2" s="1"/>
  <c r="O59" i="2" s="1"/>
  <c r="N52" i="2"/>
  <c r="N55" i="2" s="1"/>
  <c r="N59" i="2" s="1"/>
  <c r="M52" i="2"/>
  <c r="M55" i="2" s="1"/>
  <c r="M59" i="2" s="1"/>
  <c r="N23" i="2"/>
  <c r="P125" i="2"/>
  <c r="H119" i="2"/>
  <c r="G119" i="2"/>
  <c r="F119" i="2"/>
  <c r="E119" i="2"/>
  <c r="D119" i="2"/>
  <c r="C119" i="2"/>
  <c r="O119" i="2"/>
  <c r="N119" i="2"/>
  <c r="M119" i="2"/>
  <c r="Q119" i="2"/>
  <c r="P119" i="2"/>
  <c r="R119" i="2"/>
  <c r="H108" i="2"/>
  <c r="G108" i="2"/>
  <c r="F108" i="2"/>
  <c r="E108" i="2"/>
  <c r="D108" i="2"/>
  <c r="C108" i="2"/>
  <c r="Q108" i="2"/>
  <c r="P108" i="2"/>
  <c r="O108" i="2"/>
  <c r="N108" i="2"/>
  <c r="M108" i="2"/>
  <c r="R108" i="2"/>
  <c r="H103" i="2"/>
  <c r="G103" i="2"/>
  <c r="F103" i="2"/>
  <c r="E103" i="2"/>
  <c r="D103" i="2"/>
  <c r="C103" i="2"/>
  <c r="Q103" i="2"/>
  <c r="H25" i="4" s="1"/>
  <c r="P103" i="2"/>
  <c r="N103" i="2"/>
  <c r="M103" i="2"/>
  <c r="R103" i="2"/>
  <c r="I25" i="4" s="1"/>
  <c r="H78" i="2"/>
  <c r="H80" i="2" s="1"/>
  <c r="G78" i="2"/>
  <c r="G80" i="2" s="1"/>
  <c r="F78" i="2"/>
  <c r="F80" i="2" s="1"/>
  <c r="E78" i="2"/>
  <c r="E80" i="2" s="1"/>
  <c r="D78" i="2"/>
  <c r="D80" i="2" s="1"/>
  <c r="C78" i="2"/>
  <c r="C80" i="2" s="1"/>
  <c r="Q78" i="2"/>
  <c r="Q80" i="2" s="1"/>
  <c r="H33" i="4" s="1"/>
  <c r="P78" i="2"/>
  <c r="P80" i="2" s="1"/>
  <c r="G22" i="4" s="1"/>
  <c r="O78" i="2"/>
  <c r="O80" i="2" s="1"/>
  <c r="F33" i="4" s="1"/>
  <c r="N78" i="2"/>
  <c r="N80" i="2" s="1"/>
  <c r="E22" i="4" s="1"/>
  <c r="M78" i="2"/>
  <c r="M80" i="2" s="1"/>
  <c r="D33" i="4" s="1"/>
  <c r="R78" i="2"/>
  <c r="R80" i="2" s="1"/>
  <c r="J4" i="4" s="1"/>
  <c r="H71" i="2"/>
  <c r="G71" i="2"/>
  <c r="F71" i="2"/>
  <c r="E71" i="2"/>
  <c r="D71" i="2"/>
  <c r="C71" i="2"/>
  <c r="P71" i="2"/>
  <c r="O71" i="2"/>
  <c r="N71" i="2"/>
  <c r="M71" i="2"/>
  <c r="Q71" i="2"/>
  <c r="R71" i="2"/>
  <c r="H65" i="2"/>
  <c r="G65" i="2"/>
  <c r="F65" i="2"/>
  <c r="E65" i="2"/>
  <c r="D65" i="2"/>
  <c r="C65" i="2"/>
  <c r="Q65" i="2"/>
  <c r="H38" i="4" s="1"/>
  <c r="P65" i="2"/>
  <c r="G38" i="4" s="1"/>
  <c r="O65" i="2"/>
  <c r="F38" i="4" s="1"/>
  <c r="N65" i="2"/>
  <c r="E38" i="4" s="1"/>
  <c r="M65" i="2"/>
  <c r="D38" i="4" s="1"/>
  <c r="R65" i="2"/>
  <c r="I38" i="4" s="1"/>
  <c r="H55" i="2"/>
  <c r="H59" i="2" s="1"/>
  <c r="G55" i="2"/>
  <c r="G59" i="2" s="1"/>
  <c r="F55" i="2"/>
  <c r="F59" i="2" s="1"/>
  <c r="E55" i="2"/>
  <c r="E59" i="2" s="1"/>
  <c r="D55" i="2"/>
  <c r="D59" i="2" s="1"/>
  <c r="C55" i="2"/>
  <c r="C59" i="2" s="1"/>
  <c r="Q52" i="2"/>
  <c r="Q55" i="2" s="1"/>
  <c r="Q59" i="2" s="1"/>
  <c r="R52" i="2"/>
  <c r="R55" i="2" s="1"/>
  <c r="R59" i="2" s="1"/>
  <c r="H46" i="2"/>
  <c r="G46" i="2"/>
  <c r="F46" i="2"/>
  <c r="E46" i="2"/>
  <c r="D46" i="2"/>
  <c r="C46" i="2"/>
  <c r="Q46" i="2"/>
  <c r="P46" i="2"/>
  <c r="O46" i="2"/>
  <c r="N46" i="2"/>
  <c r="M46" i="2"/>
  <c r="R46" i="2"/>
  <c r="I50" i="4"/>
  <c r="H33" i="2"/>
  <c r="E33" i="2"/>
  <c r="D33" i="2"/>
  <c r="Q33" i="2"/>
  <c r="P33" i="2"/>
  <c r="O33" i="2"/>
  <c r="N33" i="2"/>
  <c r="M33" i="2"/>
  <c r="R33" i="2"/>
  <c r="H32" i="2"/>
  <c r="E32" i="2"/>
  <c r="D32" i="2"/>
  <c r="Q32" i="2"/>
  <c r="P32" i="2"/>
  <c r="O32" i="2"/>
  <c r="N32" i="2"/>
  <c r="M32" i="2"/>
  <c r="R32" i="2"/>
  <c r="Q30" i="2"/>
  <c r="P30" i="2"/>
  <c r="O30" i="2"/>
  <c r="N30" i="2"/>
  <c r="R30" i="2"/>
  <c r="Q29" i="2"/>
  <c r="P29" i="2"/>
  <c r="O29" i="2"/>
  <c r="N29" i="2"/>
  <c r="R29" i="2"/>
  <c r="H12" i="2"/>
  <c r="E12" i="2"/>
  <c r="D12" i="2"/>
  <c r="H8" i="2"/>
  <c r="E8" i="2"/>
  <c r="D8" i="2"/>
  <c r="Q12" i="2"/>
  <c r="P12" i="2"/>
  <c r="O12" i="2"/>
  <c r="N12" i="2"/>
  <c r="M12" i="2"/>
  <c r="R12" i="2"/>
  <c r="Q8" i="2"/>
  <c r="H42" i="4" s="1"/>
  <c r="H43" i="4" s="1"/>
  <c r="P8" i="2"/>
  <c r="G42" i="4" s="1"/>
  <c r="G43" i="4" s="1"/>
  <c r="O8" i="2"/>
  <c r="F42" i="4" s="1"/>
  <c r="F43" i="4" s="1"/>
  <c r="N8" i="2"/>
  <c r="E42" i="4" s="1"/>
  <c r="M8" i="2"/>
  <c r="D42" i="4" s="1"/>
  <c r="D43" i="4" s="1"/>
  <c r="R8" i="2"/>
  <c r="H5" i="2"/>
  <c r="E5" i="2"/>
  <c r="D5" i="2"/>
  <c r="Q5" i="2"/>
  <c r="H37" i="4" s="1"/>
  <c r="P5" i="2"/>
  <c r="G37" i="4" s="1"/>
  <c r="O5" i="2"/>
  <c r="F37" i="4" s="1"/>
  <c r="N5" i="2"/>
  <c r="E36" i="4" s="1"/>
  <c r="M5" i="2"/>
  <c r="D21" i="7" s="1"/>
  <c r="R5" i="2"/>
  <c r="I36" i="4" s="1"/>
  <c r="F22" i="4" l="1"/>
  <c r="G33" i="2"/>
  <c r="H22" i="4"/>
  <c r="N60" i="2"/>
  <c r="E41" i="4" s="1"/>
  <c r="F33" i="2"/>
  <c r="E32" i="4"/>
  <c r="G32" i="4"/>
  <c r="F39" i="4"/>
  <c r="G33" i="4"/>
  <c r="D13" i="4"/>
  <c r="E13" i="4"/>
  <c r="G13" i="4"/>
  <c r="G40" i="4"/>
  <c r="G32" i="2"/>
  <c r="E21" i="7"/>
  <c r="E33" i="7" s="1"/>
  <c r="G21" i="7"/>
  <c r="G39" i="7" s="1"/>
  <c r="H40" i="4"/>
  <c r="J11" i="4"/>
  <c r="H13" i="4"/>
  <c r="F21" i="7"/>
  <c r="F33" i="7" s="1"/>
  <c r="C5" i="2"/>
  <c r="H21" i="7"/>
  <c r="H39" i="7" s="1"/>
  <c r="D36" i="4"/>
  <c r="F36" i="4"/>
  <c r="F44" i="4" s="1"/>
  <c r="C33" i="2"/>
  <c r="J13" i="4"/>
  <c r="G36" i="4"/>
  <c r="G44" i="4" s="1"/>
  <c r="H36" i="4"/>
  <c r="H44" i="4" s="1"/>
  <c r="G39" i="4"/>
  <c r="H39" i="4"/>
  <c r="H31" i="2"/>
  <c r="I40" i="4"/>
  <c r="D40" i="4"/>
  <c r="I39" i="4"/>
  <c r="E40" i="4"/>
  <c r="D39" i="4"/>
  <c r="H32" i="4"/>
  <c r="F13" i="4"/>
  <c r="D25" i="4"/>
  <c r="F40" i="4"/>
  <c r="E39" i="4"/>
  <c r="E25" i="4"/>
  <c r="G25" i="4"/>
  <c r="I13" i="4"/>
  <c r="G29" i="2"/>
  <c r="I21" i="7"/>
  <c r="D31" i="4"/>
  <c r="F25" i="4"/>
  <c r="E31" i="4"/>
  <c r="E37" i="4"/>
  <c r="G30" i="2"/>
  <c r="I31" i="4"/>
  <c r="I37" i="4"/>
  <c r="D37" i="4"/>
  <c r="F31" i="4"/>
  <c r="G31" i="4"/>
  <c r="D22" i="4"/>
  <c r="H31" i="4"/>
  <c r="C8" i="2"/>
  <c r="F8" i="2" s="1"/>
  <c r="I32" i="4"/>
  <c r="I42" i="4"/>
  <c r="L42" i="4" s="1"/>
  <c r="C32" i="2"/>
  <c r="G8" i="2"/>
  <c r="G9" i="2" s="1"/>
  <c r="S31" i="2"/>
  <c r="C12" i="2"/>
  <c r="F12" i="2" s="1"/>
  <c r="I22" i="4"/>
  <c r="I33" i="4"/>
  <c r="E33" i="4"/>
  <c r="F3" i="2"/>
  <c r="D32" i="4"/>
  <c r="J15" i="4"/>
  <c r="F32" i="4"/>
  <c r="R60" i="2"/>
  <c r="O122" i="2"/>
  <c r="O125" i="2" s="1"/>
  <c r="J50" i="4"/>
  <c r="M50" i="4" s="1"/>
  <c r="C12" i="8"/>
  <c r="C13" i="8" s="1"/>
  <c r="J52" i="4"/>
  <c r="J53" i="4"/>
  <c r="J55" i="4"/>
  <c r="J50" i="7"/>
  <c r="J56" i="7" s="1"/>
  <c r="J62" i="7" s="1"/>
  <c r="I55" i="4"/>
  <c r="I51" i="4"/>
  <c r="I63" i="4" s="1"/>
  <c r="H58" i="4"/>
  <c r="G58" i="4"/>
  <c r="D51" i="4"/>
  <c r="D63" i="4" s="1"/>
  <c r="E57" i="4"/>
  <c r="F55" i="4"/>
  <c r="J76" i="7"/>
  <c r="F51" i="4"/>
  <c r="G51" i="4"/>
  <c r="G55" i="4"/>
  <c r="F57" i="4"/>
  <c r="G57" i="4"/>
  <c r="H51" i="4"/>
  <c r="E51" i="4"/>
  <c r="J64" i="7"/>
  <c r="J70" i="7"/>
  <c r="K44" i="7"/>
  <c r="D39" i="7"/>
  <c r="D36" i="7"/>
  <c r="D33" i="7"/>
  <c r="J58" i="4"/>
  <c r="H57" i="4"/>
  <c r="I58" i="4"/>
  <c r="L27" i="4"/>
  <c r="D58" i="4"/>
  <c r="I57" i="4"/>
  <c r="E58" i="4"/>
  <c r="D55" i="4"/>
  <c r="D57" i="4"/>
  <c r="F58" i="4"/>
  <c r="H55" i="4"/>
  <c r="L50" i="4"/>
  <c r="E55" i="4"/>
  <c r="E43" i="4"/>
  <c r="M38" i="4"/>
  <c r="M27" i="4"/>
  <c r="L38" i="4"/>
  <c r="E67" i="6"/>
  <c r="F67" i="6"/>
  <c r="G67" i="6"/>
  <c r="D65" i="6"/>
  <c r="E65" i="6"/>
  <c r="F65" i="6"/>
  <c r="D66" i="6"/>
  <c r="E66" i="6"/>
  <c r="F66" i="6"/>
  <c r="G66" i="6"/>
  <c r="G65" i="6"/>
  <c r="D76" i="6"/>
  <c r="E76" i="6"/>
  <c r="G76" i="6"/>
  <c r="F76" i="6"/>
  <c r="E9" i="2"/>
  <c r="E13" i="2" s="1"/>
  <c r="E18" i="2" s="1"/>
  <c r="E20" i="2" s="1"/>
  <c r="E22" i="2" s="1"/>
  <c r="E24" i="2" s="1"/>
  <c r="E26" i="2" s="1"/>
  <c r="O60" i="2"/>
  <c r="M60" i="2"/>
  <c r="D29" i="4" s="1"/>
  <c r="D122" i="2"/>
  <c r="E122" i="2"/>
  <c r="M72" i="2"/>
  <c r="M81" i="2" s="1"/>
  <c r="D8" i="4" s="1"/>
  <c r="F122" i="2"/>
  <c r="Q122" i="2"/>
  <c r="Q125" i="2" s="1"/>
  <c r="P60" i="2"/>
  <c r="G122" i="2"/>
  <c r="H122" i="2"/>
  <c r="P122" i="2"/>
  <c r="P124" i="2" s="1"/>
  <c r="C122" i="2"/>
  <c r="M122" i="2"/>
  <c r="N122" i="2"/>
  <c r="N124" i="2" s="1"/>
  <c r="M125" i="2" s="1"/>
  <c r="R122" i="2"/>
  <c r="R125" i="2" s="1"/>
  <c r="C72" i="2"/>
  <c r="C81" i="2" s="1"/>
  <c r="G72" i="2"/>
  <c r="G81" i="2" s="1"/>
  <c r="H72" i="2"/>
  <c r="H81" i="2" s="1"/>
  <c r="P72" i="2"/>
  <c r="P81" i="2" s="1"/>
  <c r="G8" i="4" s="1"/>
  <c r="N72" i="2"/>
  <c r="N81" i="2" s="1"/>
  <c r="E8" i="4" s="1"/>
  <c r="O72" i="2"/>
  <c r="O81" i="2" s="1"/>
  <c r="F8" i="4" s="1"/>
  <c r="D72" i="2"/>
  <c r="D81" i="2" s="1"/>
  <c r="E72" i="2"/>
  <c r="E81" i="2" s="1"/>
  <c r="Q72" i="2"/>
  <c r="Q81" i="2" s="1"/>
  <c r="H8" i="4" s="1"/>
  <c r="F72" i="2"/>
  <c r="F81" i="2" s="1"/>
  <c r="Q60" i="2"/>
  <c r="R72" i="2"/>
  <c r="N31" i="2"/>
  <c r="O31" i="2"/>
  <c r="D9" i="2"/>
  <c r="D13" i="2" s="1"/>
  <c r="D18" i="2" s="1"/>
  <c r="D20" i="2" s="1"/>
  <c r="D22" i="2" s="1"/>
  <c r="D24" i="2" s="1"/>
  <c r="D26" i="2" s="1"/>
  <c r="P31" i="2"/>
  <c r="H9" i="2"/>
  <c r="H34" i="2" s="1"/>
  <c r="Q31" i="2"/>
  <c r="R31" i="2"/>
  <c r="M9" i="2"/>
  <c r="N9" i="2"/>
  <c r="O9" i="2"/>
  <c r="R9" i="2"/>
  <c r="Q9" i="2"/>
  <c r="P9" i="2"/>
  <c r="C9" i="2" l="1"/>
  <c r="C34" i="2" s="1"/>
  <c r="F56" i="4"/>
  <c r="E29" i="4"/>
  <c r="L22" i="4"/>
  <c r="E30" i="4"/>
  <c r="I22" i="7"/>
  <c r="G31" i="2"/>
  <c r="G22" i="7"/>
  <c r="F39" i="7"/>
  <c r="E39" i="7"/>
  <c r="F36" i="7"/>
  <c r="F22" i="7"/>
  <c r="G33" i="7"/>
  <c r="E56" i="4"/>
  <c r="E36" i="7"/>
  <c r="E22" i="7"/>
  <c r="H36" i="7"/>
  <c r="H33" i="7"/>
  <c r="M124" i="2"/>
  <c r="I36" i="7"/>
  <c r="D56" i="4"/>
  <c r="I39" i="7"/>
  <c r="L40" i="4"/>
  <c r="H22" i="7"/>
  <c r="G36" i="7"/>
  <c r="G21" i="4"/>
  <c r="D44" i="4"/>
  <c r="M40" i="4"/>
  <c r="L36" i="4"/>
  <c r="M13" i="4"/>
  <c r="M32" i="4"/>
  <c r="M39" i="4"/>
  <c r="L39" i="4"/>
  <c r="D21" i="4"/>
  <c r="L13" i="4"/>
  <c r="M42" i="4"/>
  <c r="M36" i="4"/>
  <c r="L32" i="4"/>
  <c r="M22" i="4"/>
  <c r="I43" i="4"/>
  <c r="I44" i="4" s="1"/>
  <c r="I33" i="7"/>
  <c r="L33" i="4"/>
  <c r="L25" i="4"/>
  <c r="M31" i="4"/>
  <c r="H21" i="4"/>
  <c r="F29" i="4"/>
  <c r="J10" i="4"/>
  <c r="J9" i="4"/>
  <c r="I41" i="4"/>
  <c r="I30" i="4"/>
  <c r="M37" i="4"/>
  <c r="F5" i="2"/>
  <c r="F9" i="2" s="1"/>
  <c r="F13" i="2" s="1"/>
  <c r="F32" i="2"/>
  <c r="G56" i="4"/>
  <c r="M33" i="4"/>
  <c r="M25" i="4"/>
  <c r="F21" i="4"/>
  <c r="I29" i="4"/>
  <c r="F41" i="4"/>
  <c r="F30" i="4"/>
  <c r="H56" i="4"/>
  <c r="E21" i="4"/>
  <c r="E35" i="2"/>
  <c r="L37" i="4"/>
  <c r="E34" i="2"/>
  <c r="G29" i="4"/>
  <c r="G41" i="4"/>
  <c r="G30" i="4"/>
  <c r="L31" i="4"/>
  <c r="I56" i="4"/>
  <c r="R81" i="2"/>
  <c r="J12" i="4"/>
  <c r="H29" i="4"/>
  <c r="H41" i="4"/>
  <c r="H30" i="4"/>
  <c r="D30" i="4"/>
  <c r="D41" i="4"/>
  <c r="C14" i="8"/>
  <c r="R5" i="7" s="1"/>
  <c r="N5" i="7" s="1"/>
  <c r="J82" i="7"/>
  <c r="F63" i="4"/>
  <c r="G63" i="4"/>
  <c r="L58" i="4"/>
  <c r="M57" i="4"/>
  <c r="H63" i="4"/>
  <c r="M51" i="4"/>
  <c r="E63" i="4"/>
  <c r="L51" i="4"/>
  <c r="L44" i="7"/>
  <c r="K64" i="7"/>
  <c r="K50" i="7"/>
  <c r="K70" i="7"/>
  <c r="K76" i="7"/>
  <c r="M58" i="4"/>
  <c r="L57" i="4"/>
  <c r="E44" i="4"/>
  <c r="L55" i="4"/>
  <c r="M55" i="4"/>
  <c r="E37" i="2"/>
  <c r="E36" i="2"/>
  <c r="D36" i="2"/>
  <c r="D35" i="2"/>
  <c r="D34" i="2"/>
  <c r="D37" i="2"/>
  <c r="H13" i="2"/>
  <c r="H18" i="2" s="1"/>
  <c r="R13" i="2"/>
  <c r="R34" i="2"/>
  <c r="N13" i="2"/>
  <c r="N34" i="2"/>
  <c r="M13" i="2"/>
  <c r="D61" i="4" s="1"/>
  <c r="M34" i="2"/>
  <c r="P13" i="2"/>
  <c r="P34" i="2"/>
  <c r="G13" i="2"/>
  <c r="G34" i="2"/>
  <c r="Q13" i="2"/>
  <c r="H60" i="4" s="1"/>
  <c r="Q34" i="2"/>
  <c r="O13" i="2"/>
  <c r="F62" i="4" s="1"/>
  <c r="O34" i="2"/>
  <c r="C13" i="2" l="1"/>
  <c r="C18" i="2" s="1"/>
  <c r="C20" i="2" s="1"/>
  <c r="C22" i="2" s="1"/>
  <c r="D60" i="4"/>
  <c r="M43" i="4"/>
  <c r="V5" i="7"/>
  <c r="L43" i="4"/>
  <c r="M56" i="4"/>
  <c r="H62" i="4"/>
  <c r="D62" i="4"/>
  <c r="L56" i="4"/>
  <c r="F34" i="2"/>
  <c r="H61" i="4"/>
  <c r="E10" i="4"/>
  <c r="E23" i="4"/>
  <c r="E12" i="4"/>
  <c r="E24" i="4"/>
  <c r="E6" i="4"/>
  <c r="E7" i="4"/>
  <c r="E24" i="7"/>
  <c r="E11" i="4"/>
  <c r="I10" i="4"/>
  <c r="I23" i="4"/>
  <c r="I12" i="4"/>
  <c r="I6" i="4"/>
  <c r="I7" i="4"/>
  <c r="I24" i="4"/>
  <c r="I24" i="7"/>
  <c r="I11" i="4"/>
  <c r="I62" i="4"/>
  <c r="I61" i="4"/>
  <c r="E62" i="4"/>
  <c r="I60" i="4"/>
  <c r="M41" i="4"/>
  <c r="L41" i="4"/>
  <c r="E61" i="4"/>
  <c r="L30" i="4"/>
  <c r="M30" i="4"/>
  <c r="E60" i="4"/>
  <c r="F10" i="4"/>
  <c r="F24" i="4"/>
  <c r="F23" i="4"/>
  <c r="F12" i="4"/>
  <c r="F7" i="4"/>
  <c r="F11" i="4"/>
  <c r="F6" i="4"/>
  <c r="F24" i="7"/>
  <c r="J8" i="4"/>
  <c r="I8" i="4"/>
  <c r="I21" i="4"/>
  <c r="M21" i="4" s="1"/>
  <c r="H10" i="4"/>
  <c r="H7" i="4"/>
  <c r="H12" i="4"/>
  <c r="H6" i="4"/>
  <c r="H11" i="4"/>
  <c r="H24" i="7"/>
  <c r="H24" i="4"/>
  <c r="H23" i="4"/>
  <c r="M44" i="4"/>
  <c r="F61" i="4"/>
  <c r="L29" i="4"/>
  <c r="G10" i="4"/>
  <c r="G23" i="4"/>
  <c r="G6" i="4"/>
  <c r="G12" i="4"/>
  <c r="G7" i="4"/>
  <c r="G24" i="4"/>
  <c r="G24" i="7"/>
  <c r="G11" i="4"/>
  <c r="G61" i="4"/>
  <c r="G62" i="4"/>
  <c r="M29" i="4"/>
  <c r="G60" i="4"/>
  <c r="D10" i="4"/>
  <c r="D11" i="4"/>
  <c r="D6" i="4"/>
  <c r="D23" i="4"/>
  <c r="D12" i="4"/>
  <c r="D24" i="4"/>
  <c r="D7" i="4"/>
  <c r="D24" i="7"/>
  <c r="F60" i="4"/>
  <c r="C102" i="7"/>
  <c r="C101" i="7" s="1"/>
  <c r="C100" i="7" s="1"/>
  <c r="C99" i="7" s="1"/>
  <c r="D10" i="7"/>
  <c r="J83" i="7" s="1"/>
  <c r="K56" i="7"/>
  <c r="K62" i="7" s="1"/>
  <c r="K82" i="7" s="1"/>
  <c r="L63" i="4"/>
  <c r="M63" i="4"/>
  <c r="L44" i="4"/>
  <c r="M44" i="7"/>
  <c r="L50" i="7"/>
  <c r="L70" i="7"/>
  <c r="L76" i="7"/>
  <c r="L64" i="7"/>
  <c r="M35" i="2"/>
  <c r="M18" i="2"/>
  <c r="O35" i="2"/>
  <c r="O18" i="2"/>
  <c r="N35" i="2"/>
  <c r="N18" i="2"/>
  <c r="H35" i="2"/>
  <c r="Q18" i="2"/>
  <c r="Q35" i="2"/>
  <c r="G18" i="2"/>
  <c r="G35" i="2"/>
  <c r="H20" i="2"/>
  <c r="H22" i="2" s="1"/>
  <c r="H36" i="2"/>
  <c r="P18" i="2"/>
  <c r="P35" i="2"/>
  <c r="F18" i="2"/>
  <c r="F35" i="2"/>
  <c r="R18" i="2"/>
  <c r="R35" i="2"/>
  <c r="C36" i="2" l="1"/>
  <c r="C35" i="2"/>
  <c r="M62" i="4"/>
  <c r="L10" i="4"/>
  <c r="L60" i="4"/>
  <c r="L61" i="4"/>
  <c r="I30" i="7"/>
  <c r="I41" i="7" s="1"/>
  <c r="I25" i="7"/>
  <c r="I28" i="7"/>
  <c r="F25" i="7"/>
  <c r="F28" i="7"/>
  <c r="F30" i="7"/>
  <c r="F41" i="7" s="1"/>
  <c r="M12" i="4"/>
  <c r="L12" i="4"/>
  <c r="L6" i="4"/>
  <c r="M6" i="4"/>
  <c r="L62" i="4"/>
  <c r="G30" i="7"/>
  <c r="G41" i="7" s="1"/>
  <c r="G28" i="7"/>
  <c r="G25" i="7"/>
  <c r="M60" i="4"/>
  <c r="M8" i="4"/>
  <c r="L8" i="4"/>
  <c r="E25" i="7"/>
  <c r="E30" i="7"/>
  <c r="E41" i="7" s="1"/>
  <c r="E28" i="7"/>
  <c r="D25" i="7"/>
  <c r="D30" i="7"/>
  <c r="D41" i="7" s="1"/>
  <c r="D28" i="7"/>
  <c r="M10" i="4"/>
  <c r="M7" i="4"/>
  <c r="L7" i="4"/>
  <c r="M24" i="4"/>
  <c r="L24" i="4"/>
  <c r="M61" i="4"/>
  <c r="H30" i="7"/>
  <c r="H41" i="7" s="1"/>
  <c r="H28" i="7"/>
  <c r="H25" i="7"/>
  <c r="M23" i="4"/>
  <c r="L23" i="4"/>
  <c r="L11" i="4"/>
  <c r="M11" i="4"/>
  <c r="K83" i="7"/>
  <c r="L21" i="4"/>
  <c r="C103" i="7"/>
  <c r="C104" i="7" s="1"/>
  <c r="C105" i="7" s="1"/>
  <c r="L56" i="7"/>
  <c r="L62" i="7" s="1"/>
  <c r="L82" i="7" s="1"/>
  <c r="L83" i="7" s="1"/>
  <c r="N44" i="7"/>
  <c r="M50" i="7"/>
  <c r="M70" i="7"/>
  <c r="M76" i="7"/>
  <c r="M64" i="7"/>
  <c r="N36" i="2"/>
  <c r="E16" i="4" s="1"/>
  <c r="E17" i="4" s="1"/>
  <c r="N20" i="2"/>
  <c r="N22" i="2" s="1"/>
  <c r="O36" i="2"/>
  <c r="F16" i="4" s="1"/>
  <c r="F17" i="4" s="1"/>
  <c r="O20" i="2"/>
  <c r="O22" i="2" s="1"/>
  <c r="M36" i="2"/>
  <c r="D16" i="4" s="1"/>
  <c r="M20" i="2"/>
  <c r="M22" i="2" s="1"/>
  <c r="R20" i="2"/>
  <c r="R22" i="2" s="1"/>
  <c r="R36" i="2"/>
  <c r="I16" i="4" s="1"/>
  <c r="I17" i="4" s="1"/>
  <c r="H24" i="2"/>
  <c r="H26" i="2" s="1"/>
  <c r="H37" i="2"/>
  <c r="F20" i="2"/>
  <c r="F22" i="2" s="1"/>
  <c r="F36" i="2"/>
  <c r="G20" i="2"/>
  <c r="G22" i="2" s="1"/>
  <c r="G36" i="2"/>
  <c r="P20" i="2"/>
  <c r="P22" i="2" s="1"/>
  <c r="P36" i="2"/>
  <c r="G16" i="4" s="1"/>
  <c r="G17" i="4" s="1"/>
  <c r="Q20" i="2"/>
  <c r="Q22" i="2" s="1"/>
  <c r="Q36" i="2"/>
  <c r="H16" i="4" s="1"/>
  <c r="H17" i="4" s="1"/>
  <c r="C24" i="2"/>
  <c r="C26" i="2" s="1"/>
  <c r="C37" i="2"/>
  <c r="E4" i="4" l="1"/>
  <c r="E9" i="4"/>
  <c r="E14" i="4"/>
  <c r="E5" i="4"/>
  <c r="E53" i="4"/>
  <c r="E52" i="4"/>
  <c r="E54" i="4" s="1"/>
  <c r="H4" i="4"/>
  <c r="H14" i="4"/>
  <c r="H9" i="4"/>
  <c r="H5" i="4"/>
  <c r="H52" i="4"/>
  <c r="H54" i="4" s="1"/>
  <c r="H53" i="4"/>
  <c r="I4" i="4"/>
  <c r="I14" i="4"/>
  <c r="I9" i="4"/>
  <c r="I5" i="4"/>
  <c r="I53" i="4"/>
  <c r="I52" i="4"/>
  <c r="I54" i="4" s="1"/>
  <c r="G4" i="4"/>
  <c r="G9" i="4"/>
  <c r="G14" i="4"/>
  <c r="G5" i="4"/>
  <c r="G53" i="4"/>
  <c r="G52" i="4"/>
  <c r="G54" i="4" s="1"/>
  <c r="D4" i="4"/>
  <c r="D9" i="4"/>
  <c r="D5" i="4"/>
  <c r="D14" i="4"/>
  <c r="D53" i="4"/>
  <c r="D52" i="4"/>
  <c r="D17" i="4"/>
  <c r="L17" i="4" s="1"/>
  <c r="L16" i="4"/>
  <c r="M16" i="4"/>
  <c r="F4" i="4"/>
  <c r="F14" i="4"/>
  <c r="F9" i="4"/>
  <c r="F5" i="4"/>
  <c r="F53" i="4"/>
  <c r="F52" i="4"/>
  <c r="F54" i="4" s="1"/>
  <c r="F28" i="4"/>
  <c r="M56" i="7"/>
  <c r="M62" i="7" s="1"/>
  <c r="M82" i="7" s="1"/>
  <c r="M83" i="7" s="1"/>
  <c r="N70" i="7"/>
  <c r="N76" i="7"/>
  <c r="N64" i="7"/>
  <c r="N50" i="7"/>
  <c r="M24" i="2"/>
  <c r="M26" i="2" s="1"/>
  <c r="M37" i="2"/>
  <c r="O24" i="2"/>
  <c r="O26" i="2" s="1"/>
  <c r="O37" i="2"/>
  <c r="N24" i="2"/>
  <c r="N26" i="2" s="1"/>
  <c r="N37" i="2"/>
  <c r="G24" i="2"/>
  <c r="G26" i="2" s="1"/>
  <c r="G37" i="2"/>
  <c r="F24" i="2"/>
  <c r="F26" i="2" s="1"/>
  <c r="F37" i="2"/>
  <c r="Q24" i="2"/>
  <c r="Q26" i="2" s="1"/>
  <c r="Q37" i="2"/>
  <c r="P24" i="2"/>
  <c r="P26" i="2" s="1"/>
  <c r="P37" i="2"/>
  <c r="R24" i="2"/>
  <c r="R26" i="2" s="1"/>
  <c r="R37" i="2"/>
  <c r="F15" i="4" l="1"/>
  <c r="G15" i="4"/>
  <c r="H15" i="4"/>
  <c r="M4" i="4"/>
  <c r="L4" i="4"/>
  <c r="M28" i="4"/>
  <c r="L28" i="4"/>
  <c r="I15" i="4"/>
  <c r="L52" i="4"/>
  <c r="M52" i="4"/>
  <c r="D54" i="4"/>
  <c r="L53" i="4"/>
  <c r="M53" i="4"/>
  <c r="D15" i="4"/>
  <c r="M14" i="4"/>
  <c r="L14" i="4"/>
  <c r="M5" i="4"/>
  <c r="L5" i="4"/>
  <c r="M17" i="4"/>
  <c r="M9" i="4"/>
  <c r="L9" i="4"/>
  <c r="E15" i="4"/>
  <c r="N56" i="7"/>
  <c r="N62" i="7" s="1"/>
  <c r="N82" i="7" s="1"/>
  <c r="L15" i="4" l="1"/>
  <c r="M54" i="4"/>
  <c r="L54" i="4"/>
  <c r="M15" i="4"/>
  <c r="N83" i="7"/>
  <c r="N84" i="7" s="1"/>
  <c r="N85" i="7"/>
  <c r="N86" i="7" l="1"/>
  <c r="N89" i="7" s="1"/>
  <c r="N91" i="7" s="1"/>
  <c r="I11" i="7" s="1"/>
  <c r="C98" i="7" l="1"/>
  <c r="I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6" authorId="0" shapeId="0" xr:uid="{9C8CA6A5-BAF9-4019-8FCB-7CC03E3F26CB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exclusive of D&amp;A</t>
        </r>
      </text>
    </comment>
  </commentList>
</comments>
</file>

<file path=xl/sharedStrings.xml><?xml version="1.0" encoding="utf-8"?>
<sst xmlns="http://schemas.openxmlformats.org/spreadsheetml/2006/main" count="1000" uniqueCount="660">
  <si>
    <t>Walt Disney Company (DIS)</t>
  </si>
  <si>
    <t>Tickr</t>
  </si>
  <si>
    <t>DIS</t>
  </si>
  <si>
    <t>x</t>
  </si>
  <si>
    <t>Enterprise Value</t>
  </si>
  <si>
    <t>Price</t>
  </si>
  <si>
    <t>Shares</t>
  </si>
  <si>
    <t>MC</t>
  </si>
  <si>
    <t>Debt</t>
  </si>
  <si>
    <t>Cash</t>
  </si>
  <si>
    <t>EV</t>
  </si>
  <si>
    <t>Geschäftsmodell:</t>
  </si>
  <si>
    <t>Notes:</t>
  </si>
  <si>
    <t>Worldwide Entertainment Company</t>
  </si>
  <si>
    <t>225.000 Employees</t>
  </si>
  <si>
    <t>2020 Start Disney Plus</t>
  </si>
  <si>
    <t>Segments:</t>
  </si>
  <si>
    <t xml:space="preserve">Upcoming Disney Productions </t>
  </si>
  <si>
    <t>Cinematic Productions:</t>
  </si>
  <si>
    <t>Entertainment:</t>
  </si>
  <si>
    <t xml:space="preserve">includes all non-sport global film, television, d2c video streaming </t>
  </si>
  <si>
    <t>The first omen, Kingdom of the planet of the apes, Inside out 2, Deadpool and Wolverine</t>
  </si>
  <si>
    <t xml:space="preserve">-Linear Networks </t>
  </si>
  <si>
    <t>Alien Romulus, Mufasa the Lion King, Viana 2 and other</t>
  </si>
  <si>
    <t>Domestic (US): ABC Television Network; Disney, Freeform, FX, National Geographic (owned by 73%) and other</t>
  </si>
  <si>
    <t>International: Disney, Fox, FX (rebranded as Star), FX, National Geographic and pther</t>
  </si>
  <si>
    <t>Captain America: brave new world, Snow white (Schneewittchen), Marvel Thunderbolts</t>
  </si>
  <si>
    <t>50% equity investment in A+E Television (TV Chanels like A+E, History and Lifetime)</t>
  </si>
  <si>
    <t>Spiderman Sequel, The fantastic four, Marvel Blade, utopia 2, Avatar 3 and other</t>
  </si>
  <si>
    <t>D2C:</t>
  </si>
  <si>
    <t>Disney + -&gt; Global Streaming Platform (In Latin America also Star +) -&gt; general entertainment service plus sport</t>
  </si>
  <si>
    <t>Avengers 5, Mando and Grogu, Toy Story 5, Moana, Frozen 3, Avenegrs Secret Wars</t>
  </si>
  <si>
    <t>Hulu (67% owned by company) US. D2C Service: live linear streams of cable networks, major network broadcasts</t>
  </si>
  <si>
    <t>Star Wars New Jeddi Order, Untitled Dave Filoni Star Wars Movie, Untitled Tiger Wititi Star Wars Movie</t>
  </si>
  <si>
    <t>Content Sales and Licensing</t>
  </si>
  <si>
    <t>and other</t>
  </si>
  <si>
    <t>Theatrical Distribution</t>
  </si>
  <si>
    <t>Other Future Productions</t>
  </si>
  <si>
    <t>sale/licensing of film and episodic content to third parties television and video on demand</t>
  </si>
  <si>
    <t>Pirates of the Carribean 6, Star Wars Movies, Marval Movies, Avatar 5 and 6 and other</t>
  </si>
  <si>
    <t xml:space="preserve">Home entertainment distribution: DVDs and Blue Ray, video on demand, home video licenses </t>
  </si>
  <si>
    <t>Staging and licensing live entertainment events</t>
  </si>
  <si>
    <t>Music distribution</t>
  </si>
  <si>
    <t>Post production services by Industrial Light &amp; Skywalker Sound</t>
  </si>
  <si>
    <t>National Geographic magazine and online business</t>
  </si>
  <si>
    <t xml:space="preserve">30% ownership Tata Play ltd. In India -&gt; direct home satelite distrubtion </t>
  </si>
  <si>
    <t>Revenues from Entertainment:</t>
  </si>
  <si>
    <t>Affiliate fees</t>
  </si>
  <si>
    <t>Subscription fees</t>
  </si>
  <si>
    <t>Advertising</t>
  </si>
  <si>
    <t>TV/VOD distribution</t>
  </si>
  <si>
    <t>Home entertainment distribution</t>
  </si>
  <si>
    <t>Other revenue: music licensing, stage plays etc.</t>
  </si>
  <si>
    <t>Content and Production:</t>
  </si>
  <si>
    <t>Content is generally produced under follwing banners:</t>
  </si>
  <si>
    <t>ABC Siganture, Disney Branded Channels, Lucasfilm, Pixar, Marvel, FX Productions, National Geographic, Searchlight Picutres (20th Century Studios, 20th Television, Walt Disney Picures)</t>
  </si>
  <si>
    <t xml:space="preserve">Disney has around 100 years of content </t>
  </si>
  <si>
    <t>5.100 live action movies, 400 animated movies, around 190 series with more than 4 seasons, in addition 100 series and 65 movies only for D2C platforms</t>
  </si>
  <si>
    <t xml:space="preserve">In FY24 Disney plans to produce around 225 episodic and film titles </t>
  </si>
  <si>
    <t>Sports:</t>
  </si>
  <si>
    <t>ESPN (owned by 80%)</t>
  </si>
  <si>
    <t>Domestic:</t>
  </si>
  <si>
    <t>8 ESPN branded tv channels</t>
  </si>
  <si>
    <t>ESPN on ABC</t>
  </si>
  <si>
    <t>ESPN+ (Streaming platform)</t>
  </si>
  <si>
    <t>International:</t>
  </si>
  <si>
    <t xml:space="preserve">ESPN branded channels outside the us </t>
  </si>
  <si>
    <t xml:space="preserve">Star branded sport channel in India </t>
  </si>
  <si>
    <t>Revenues from Sports:</t>
  </si>
  <si>
    <t>Other revenue: pay per view events etc.</t>
  </si>
  <si>
    <t>Experiences</t>
  </si>
  <si>
    <t>Park and Experiences</t>
  </si>
  <si>
    <t>Themeparks and Ressorts (Walt Disney Ressort in Florida, Disney Ressort in California)</t>
  </si>
  <si>
    <t xml:space="preserve">Experiences (Disney Cruise Line, Disney Vacation Club, National Geograhic Expiditions and Adventures by Disney, Aulani - Ressort and Spa in Hawaii) </t>
  </si>
  <si>
    <t>Disneyland Paris</t>
  </si>
  <si>
    <t>Hong Kong Disney Ressort (48% ownership)</t>
  </si>
  <si>
    <t>Shang Hai Disney Resort (43% ownership)</t>
  </si>
  <si>
    <t>Tokiyo Disney Ressort</t>
  </si>
  <si>
    <t>Consumer Proucts:</t>
  </si>
  <si>
    <t>Merchandise Licesning Operations: Toys, appereal, games, home decoration and furnsihings, asseciors, helath and beauty products, food, books, stationary, footwear, magazines and cosumer electronics</t>
  </si>
  <si>
    <t>Disney licenses characters for use on third party products and earns royalties (fixed % the wholesale or retail)</t>
  </si>
  <si>
    <t>Some of them are: Mickey and friends, Star Wars, Spiderman, Avengers, Frozen, Winnie Pooh,Toy Story</t>
  </si>
  <si>
    <t>Retail: Disney has Disneyshop branded internet shops and reatail stores (40 in Japan, 20 in North America, 2 in Europe, 1 in China) to sell Disney branded products</t>
  </si>
  <si>
    <t>Management:</t>
  </si>
  <si>
    <t>CEO</t>
  </si>
  <si>
    <t>Robert Iger (Since 2022)</t>
  </si>
  <si>
    <t>Interim CFO</t>
  </si>
  <si>
    <t>Kevin Lansberry (since 2023)</t>
  </si>
  <si>
    <t>CCO (Compliance)</t>
  </si>
  <si>
    <t>Horracio Guiterrez (Since 2022)</t>
  </si>
  <si>
    <t>CHRO</t>
  </si>
  <si>
    <t>Sonia L Coleman (Since 2023)</t>
  </si>
  <si>
    <t>CCO (Communication)</t>
  </si>
  <si>
    <t>Kristina Schake (Since 2023)</t>
  </si>
  <si>
    <t>Main</t>
  </si>
  <si>
    <t>FY20</t>
  </si>
  <si>
    <t>FY21</t>
  </si>
  <si>
    <t>FY22</t>
  </si>
  <si>
    <t>FY23</t>
  </si>
  <si>
    <t xml:space="preserve">Entertainment </t>
  </si>
  <si>
    <t>Linear Networks (Subscriptions)</t>
  </si>
  <si>
    <t>ABC Network</t>
  </si>
  <si>
    <t>Disney Channel</t>
  </si>
  <si>
    <t xml:space="preserve">Disney Junior </t>
  </si>
  <si>
    <t>Disney XD</t>
  </si>
  <si>
    <t>Freeform</t>
  </si>
  <si>
    <t>FX</t>
  </si>
  <si>
    <t>FXX</t>
  </si>
  <si>
    <t>FXM</t>
  </si>
  <si>
    <t xml:space="preserve">National Geographic </t>
  </si>
  <si>
    <t>National Geographic Wild</t>
  </si>
  <si>
    <t>A&amp;E</t>
  </si>
  <si>
    <t xml:space="preserve">History </t>
  </si>
  <si>
    <t>Lifetime</t>
  </si>
  <si>
    <t>LMN</t>
  </si>
  <si>
    <t>FYI</t>
  </si>
  <si>
    <t>ESPN</t>
  </si>
  <si>
    <t>ESPN2</t>
  </si>
  <si>
    <t>ESPNU</t>
  </si>
  <si>
    <t>ESPNEWS</t>
  </si>
  <si>
    <t>ESPN (international)</t>
  </si>
  <si>
    <t>?</t>
  </si>
  <si>
    <t>SEC Network</t>
  </si>
  <si>
    <t>ACC Network</t>
  </si>
  <si>
    <t>D2C</t>
  </si>
  <si>
    <t xml:space="preserve">Paid Supscribers </t>
  </si>
  <si>
    <t xml:space="preserve">Disney + </t>
  </si>
  <si>
    <t>US and Canda</t>
  </si>
  <si>
    <t>International (Excluding Disney + Hotstar)</t>
  </si>
  <si>
    <t>Disney + Core</t>
  </si>
  <si>
    <t>Netflix</t>
  </si>
  <si>
    <t>Prime Video</t>
  </si>
  <si>
    <t>Paramount +</t>
  </si>
  <si>
    <t>HBO Plus</t>
  </si>
  <si>
    <t>Apple Tv +</t>
  </si>
  <si>
    <t>Disney + Hotstar</t>
  </si>
  <si>
    <t>Total</t>
  </si>
  <si>
    <t>Hulu</t>
  </si>
  <si>
    <t>Average Montly Revenue per User</t>
  </si>
  <si>
    <t>Disney +</t>
  </si>
  <si>
    <t>Other Income:</t>
  </si>
  <si>
    <t>DraftKings</t>
  </si>
  <si>
    <t>Other net</t>
  </si>
  <si>
    <t>Segment Resluts</t>
  </si>
  <si>
    <t xml:space="preserve">Sports and Entetainment combined </t>
  </si>
  <si>
    <t>Revenues:</t>
  </si>
  <si>
    <t>Entertainment</t>
  </si>
  <si>
    <t>Sports</t>
  </si>
  <si>
    <t>Eliminations</t>
  </si>
  <si>
    <t>Content License Early Determination)</t>
  </si>
  <si>
    <t>Operating Profit:</t>
  </si>
  <si>
    <t xml:space="preserve">Other </t>
  </si>
  <si>
    <t>% of Revenue</t>
  </si>
  <si>
    <t>Revnue Growth %</t>
  </si>
  <si>
    <t>n.a.</t>
  </si>
  <si>
    <t>Operating Margin</t>
  </si>
  <si>
    <t>Branchenanalyse</t>
  </si>
  <si>
    <t>5 Forces Model Michael E. Porter</t>
  </si>
  <si>
    <t>1. Bedrohung durch Substitute</t>
  </si>
  <si>
    <t>2. Bedrohung durch neu Marktteilnehmer</t>
  </si>
  <si>
    <t>3. Verhandlungsmacht der Käufer</t>
  </si>
  <si>
    <t>4. Verhandlungsmacht der Lieferanten</t>
  </si>
  <si>
    <t>5. Intensität der Wettbewerbsintensität</t>
  </si>
  <si>
    <t>Burggraben (Economic Moats)</t>
  </si>
  <si>
    <t>1. Intangible Assets: Marken, Patente, Zulassungen etc.</t>
  </si>
  <si>
    <t>2. Wechselkosten (Hohe Consumer Switching Costs)</t>
  </si>
  <si>
    <t>3. Netzwerkeffekte (Wert des Produktes/Dienstleistung steigt mit Nutzerzahl -&gt; V = N^2 - N)</t>
  </si>
  <si>
    <t>4. Kostenvorteil (Cost of Advantages)</t>
  </si>
  <si>
    <t>5. Gutes Management</t>
  </si>
  <si>
    <t>6. Geografische Vorteile</t>
  </si>
  <si>
    <t>7. Minimale effiziente Größe -&gt; kleine Unternehmen sind teilweise effizeinter</t>
  </si>
  <si>
    <t>Anhaltende vs. Reinvestment Moats:</t>
  </si>
  <si>
    <t>Anhaltendes Moat: Unternehmen erzielt hohe Kapitalrenditen kann diese aber nicht vielversprechen anlegen</t>
  </si>
  <si>
    <t>Reinvestment Moats: Gleiche Vorteile wie anhaltende Moats aber können auch vielversprechen anlegen</t>
  </si>
  <si>
    <t>Alte Moats -&gt; Über Jahre hohe ROICs, hohe Flow Through Marge, Margen erhöhen sich wenn das Netzwerk wächst, langfristige Wettbewerbsvorteile, reproduzierbares und skaliebares Geschäftsmodell -&gt; Hohes TAM</t>
  </si>
  <si>
    <t>Wertschöpfer vs. Wertzerstörer</t>
  </si>
  <si>
    <t xml:space="preserve">Kapitalkosten vs. Kapital Rendite </t>
  </si>
  <si>
    <t>-&gt; WACC vs. ROIC</t>
  </si>
  <si>
    <t>Value Falle: Umsatz wächst weniger als COGS und OpEx</t>
  </si>
  <si>
    <t>J/N</t>
  </si>
  <si>
    <t xml:space="preserve">Value Stock: Average Grower aber kann kosten regulieren </t>
  </si>
  <si>
    <t>Growth Stocks: Umsatzwachstum wächst mehr als COGS und OpEx</t>
  </si>
  <si>
    <t>Compounder: Umsatz und COGS wachsen, OpEx nicht</t>
  </si>
  <si>
    <t>"Perfect Stock": Umsatz wächst, COGS und OpEx nicht</t>
  </si>
  <si>
    <t>Spawner Aktien:</t>
  </si>
  <si>
    <t>1. Adjacent Spawner -&gt; Expensasion innerhalb des eigenen Geschäfts</t>
  </si>
  <si>
    <t>2. Embrionic Spawners -&gt; Kleine Unternehmen erwerben und wachsen lassen</t>
  </si>
  <si>
    <t>3. Clowners -&gt; Keine Innovationen, sondern kopieren was bereits existiert</t>
  </si>
  <si>
    <t>4. Non.Adjacent Spawner -&gt; Gründen, kaufen neuer unabhängiger Unternehmen</t>
  </si>
  <si>
    <t>Apex Spawner -&gt; Vereint alle 4 Arten</t>
  </si>
  <si>
    <t>h</t>
  </si>
  <si>
    <t>p</t>
  </si>
  <si>
    <t>FY18</t>
  </si>
  <si>
    <t>FY19</t>
  </si>
  <si>
    <t>FY24</t>
  </si>
  <si>
    <t>Q123</t>
  </si>
  <si>
    <t>Q223</t>
  </si>
  <si>
    <t>Q323</t>
  </si>
  <si>
    <t>Q423</t>
  </si>
  <si>
    <t>Q124</t>
  </si>
  <si>
    <t>Q224</t>
  </si>
  <si>
    <t>Services</t>
  </si>
  <si>
    <t>Products</t>
  </si>
  <si>
    <t>Cost of Services</t>
  </si>
  <si>
    <t>Cost of Products</t>
  </si>
  <si>
    <t>COGS</t>
  </si>
  <si>
    <t>Gross Profit</t>
  </si>
  <si>
    <t>SG&amp;A</t>
  </si>
  <si>
    <t>D&amp;A</t>
  </si>
  <si>
    <t>Operating Expenses</t>
  </si>
  <si>
    <t>Operating Profit</t>
  </si>
  <si>
    <t>Other income (net)</t>
  </si>
  <si>
    <t>Interest Expenses (net)</t>
  </si>
  <si>
    <t>Profit before Taxes</t>
  </si>
  <si>
    <t>Tax Expenses</t>
  </si>
  <si>
    <t>Profit After Taxes</t>
  </si>
  <si>
    <t>Loss from discontinued operations</t>
  </si>
  <si>
    <t>Net Income</t>
  </si>
  <si>
    <t>Shares out.</t>
  </si>
  <si>
    <t>EPS</t>
  </si>
  <si>
    <t>Service Revenue Growth YoY</t>
  </si>
  <si>
    <t>Product Revenue Growth YoY</t>
  </si>
  <si>
    <t>Revenue Growth YoY</t>
  </si>
  <si>
    <t>Gross Margin Services</t>
  </si>
  <si>
    <t>Gross Margin Products</t>
  </si>
  <si>
    <t>Gross Margin</t>
  </si>
  <si>
    <t>Tax Rate</t>
  </si>
  <si>
    <t>Net Income Margin</t>
  </si>
  <si>
    <t>Balance Sheet</t>
  </si>
  <si>
    <t>Cash and Cash Equivalents</t>
  </si>
  <si>
    <t>Receivables net</t>
  </si>
  <si>
    <t>Inventories</t>
  </si>
  <si>
    <t>Content Advances</t>
  </si>
  <si>
    <t>Other Current Assets</t>
  </si>
  <si>
    <t>Total Current Assets</t>
  </si>
  <si>
    <t>Produced and licensded Contet Cost</t>
  </si>
  <si>
    <t>Investments</t>
  </si>
  <si>
    <t>Parks, Resorts and Property:</t>
  </si>
  <si>
    <t>Attractions, Buildings and Equipments</t>
  </si>
  <si>
    <t>Accumalted Depreciation</t>
  </si>
  <si>
    <t>Park and Resorts Total</t>
  </si>
  <si>
    <t>Project in progress</t>
  </si>
  <si>
    <t>Land</t>
  </si>
  <si>
    <t>Total PP&amp;E</t>
  </si>
  <si>
    <t>Intangibles net</t>
  </si>
  <si>
    <t>Goodwill</t>
  </si>
  <si>
    <t>Other Assets</t>
  </si>
  <si>
    <t>Total Non-Current Assets</t>
  </si>
  <si>
    <t>Total Assets</t>
  </si>
  <si>
    <t>Current Liabilites:</t>
  </si>
  <si>
    <t>Accounts Payable and Accrued Expenses</t>
  </si>
  <si>
    <t>Current Portion of Borrowings</t>
  </si>
  <si>
    <t>Deffered Revenue</t>
  </si>
  <si>
    <t>Total Current Laibilities</t>
  </si>
  <si>
    <t>Borrowings</t>
  </si>
  <si>
    <t>Deffered Income Tax net</t>
  </si>
  <si>
    <t>Other long-term Liabilities</t>
  </si>
  <si>
    <t>Commitments and Contingencies</t>
  </si>
  <si>
    <t>Redeemable non-controlling Interest</t>
  </si>
  <si>
    <t>Total non-current Liabilities</t>
  </si>
  <si>
    <t>Total Liabilities</t>
  </si>
  <si>
    <t>Preferred Stock</t>
  </si>
  <si>
    <t>Commom Stock</t>
  </si>
  <si>
    <t>Retained Earnings</t>
  </si>
  <si>
    <t>Accumaltive other comprehensive loss</t>
  </si>
  <si>
    <t>Treassury Stock</t>
  </si>
  <si>
    <t>Total Disney's Shareholders Equity</t>
  </si>
  <si>
    <t>Non-Controlling Interest</t>
  </si>
  <si>
    <t>Total Equity</t>
  </si>
  <si>
    <t>Total Liabilities and Equity</t>
  </si>
  <si>
    <t>Cashflow Statement</t>
  </si>
  <si>
    <t>Operating Acivities:</t>
  </si>
  <si>
    <t>Net Income from continuing operations</t>
  </si>
  <si>
    <t>Impairments Goodwill and licensed content</t>
  </si>
  <si>
    <t>Net Gain/Loss on investments</t>
  </si>
  <si>
    <t>Deferred Income Tax</t>
  </si>
  <si>
    <t>Equity in Income of Investees</t>
  </si>
  <si>
    <t>Cash Distribution received from equity investees</t>
  </si>
  <si>
    <t>Net Change in produced and licensed content costs</t>
  </si>
  <si>
    <t>Equity based compensations</t>
  </si>
  <si>
    <t>Net change in operating lease right of use assets/liabilties</t>
  </si>
  <si>
    <t>Pension amortization</t>
  </si>
  <si>
    <t>Changes in WC:</t>
  </si>
  <si>
    <t xml:space="preserve">Receivables </t>
  </si>
  <si>
    <t>Other assets</t>
  </si>
  <si>
    <t>Accounts Payables and other liabilites</t>
  </si>
  <si>
    <t>Income taxes</t>
  </si>
  <si>
    <t>CFFO</t>
  </si>
  <si>
    <t>Investing Activities:</t>
  </si>
  <si>
    <t>CapEx</t>
  </si>
  <si>
    <t>Proceeds from sale of investments</t>
  </si>
  <si>
    <t>other net</t>
  </si>
  <si>
    <t>CFFI</t>
  </si>
  <si>
    <t>Financing Activities:</t>
  </si>
  <si>
    <t>Commercial paper payment net</t>
  </si>
  <si>
    <t>Reducing of borrowings</t>
  </si>
  <si>
    <t>Dividends</t>
  </si>
  <si>
    <t>Repurchases of Common Stock</t>
  </si>
  <si>
    <t>Proceeds from excersice of stock options</t>
  </si>
  <si>
    <t>Contribution from / sales of non-controlling interests</t>
  </si>
  <si>
    <t>Aquisition of non-controlling interests</t>
  </si>
  <si>
    <t>other</t>
  </si>
  <si>
    <t>CFFF</t>
  </si>
  <si>
    <t>Impact of exchange rates</t>
  </si>
  <si>
    <t>Cashflow from discontinued Operations</t>
  </si>
  <si>
    <t>Change in Cash</t>
  </si>
  <si>
    <t>Cash BoP</t>
  </si>
  <si>
    <t>Cash EoP</t>
  </si>
  <si>
    <t>Average</t>
  </si>
  <si>
    <t>Median</t>
  </si>
  <si>
    <t>Beschreibung/Former</t>
  </si>
  <si>
    <t>Etragskennzahlen</t>
  </si>
  <si>
    <t>Eigenkapitalrendite (ROE)</t>
  </si>
  <si>
    <t>Net Income/Book Value of Equity</t>
  </si>
  <si>
    <t>Umsatzrendite</t>
  </si>
  <si>
    <t>Net Income/Revenue</t>
  </si>
  <si>
    <t>EBIT-Marge</t>
  </si>
  <si>
    <t>EBIT/Revenue</t>
  </si>
  <si>
    <t>EBITDA-Marge</t>
  </si>
  <si>
    <t>EBITDA/Revenue</t>
  </si>
  <si>
    <t>Kapitalumschlag</t>
  </si>
  <si>
    <t>Revenue/Total Liabilties and Equity</t>
  </si>
  <si>
    <t>Return on Capital</t>
  </si>
  <si>
    <t>(Net Income+Interest paid on debt)/Total Liabilies and Equity</t>
  </si>
  <si>
    <t>Return on Assets</t>
  </si>
  <si>
    <t>EBIT/Total Assets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</si>
  <si>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</si>
  <si>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</si>
  <si>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</si>
  <si>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</si>
  <si>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Umsatzverdienstrate</t>
  </si>
  <si>
    <t>Operativer Cahsflow/Revenue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</si>
  <si>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</si>
  <si>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</si>
  <si>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</si>
  <si>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</si>
  <si>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</si>
  <si>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</si>
  <si>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</si>
  <si>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</si>
  <si>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</si>
  <si>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</si>
  <si>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</si>
  <si>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</si>
  <si>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Dynamischer Verschuldungsgrad</t>
  </si>
  <si>
    <t>Net Debt/Free Cashflow</t>
  </si>
  <si>
    <t>Net Debt / EBITDA</t>
  </si>
  <si>
    <t>Net Debt/EBITDA</t>
  </si>
  <si>
    <t>Sachinvestitionsquote</t>
  </si>
  <si>
    <t>CapEx/CFFO</t>
  </si>
  <si>
    <t>Anlageabnutzungsgrad</t>
  </si>
  <si>
    <t>Kummulierte Abschreibungen / Historischen Anschafungskosten</t>
  </si>
  <si>
    <t>Accumlated Depreciation/Cost of fixed Assets</t>
  </si>
  <si>
    <t>Wachstumsquote</t>
  </si>
  <si>
    <t>CapEx/Depreciation</t>
  </si>
  <si>
    <t>Cash Burn Rate</t>
  </si>
  <si>
    <t>Book Value of Equity/Absolute value of Loss</t>
  </si>
  <si>
    <t>Umlaufintensität</t>
  </si>
  <si>
    <t>Short term Assets/Total Assets</t>
  </si>
  <si>
    <t>Anlageintensität</t>
  </si>
  <si>
    <t>Long term Assets/Total Assets</t>
  </si>
  <si>
    <t>Anlagedeckungsgrad I</t>
  </si>
  <si>
    <t>Book Value of Equity/Long term Assets</t>
  </si>
  <si>
    <t>Anlagedeckungsgrad II</t>
  </si>
  <si>
    <t>Book Value of Equity + Long Term Borrowings/Long Term Assets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</si>
  <si>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</si>
  <si>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</si>
  <si>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</si>
  <si>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</si>
  <si>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</si>
  <si>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</si>
  <si>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</si>
  <si>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Liquidität 1.Grades</t>
  </si>
  <si>
    <t>Cash and Cash Equivalents/Short term liabilites</t>
  </si>
  <si>
    <t>Liquidität 2.Grades</t>
  </si>
  <si>
    <t>(Cash and Cash Equivalents + Accounts Receivables) /Short term liabilities</t>
  </si>
  <si>
    <t>Liquidität 3.Grades</t>
  </si>
  <si>
    <t>Short term assets/short term liabilites</t>
  </si>
  <si>
    <t>Vorratsintensität</t>
  </si>
  <si>
    <t>Inventory/Balance Sheet Total</t>
  </si>
  <si>
    <t>Umschlaghäufigkeit der Vorräte</t>
  </si>
  <si>
    <t>Cogs/Inventory</t>
  </si>
  <si>
    <t>Lagedauer</t>
  </si>
  <si>
    <t>Umschlaghäufigkeit der Vorräte/360</t>
  </si>
  <si>
    <t>Geldumschlag</t>
  </si>
  <si>
    <t>Cash Conversion Cycle = Debitorenlaufzeit + Lagedauer - Kreditorenlaufzeit</t>
  </si>
  <si>
    <t>Auftragsrate</t>
  </si>
  <si>
    <t>Auftragsbestand/Revenue LTM</t>
  </si>
  <si>
    <t>Book to Bill Ratio</t>
  </si>
  <si>
    <t>Auftragseingang/Revenue</t>
  </si>
  <si>
    <t>Bewertungskennzahlen</t>
  </si>
  <si>
    <t>Equitymultiplikatoren:</t>
  </si>
  <si>
    <t>Market Cap</t>
  </si>
  <si>
    <t>KGV</t>
  </si>
  <si>
    <t>Share Price/EPS</t>
  </si>
  <si>
    <t>Einstandsrendite</t>
  </si>
  <si>
    <t>EPS/Share Price</t>
  </si>
  <si>
    <t>PEG Ratio</t>
  </si>
  <si>
    <t>P/E Ratio / Growth</t>
  </si>
  <si>
    <t>KBV</t>
  </si>
  <si>
    <t>Market Cap/Book Vakue of Equity</t>
  </si>
  <si>
    <t>KTBV</t>
  </si>
  <si>
    <t>Market Cap / Tangible Book Value</t>
  </si>
  <si>
    <t>KCV</t>
  </si>
  <si>
    <t>Share Price/Cashflow per share</t>
  </si>
  <si>
    <t>KUV</t>
  </si>
  <si>
    <t>Share Price/Revenue per Share</t>
  </si>
  <si>
    <t>Entitymultipliaktoren</t>
  </si>
  <si>
    <t>EV/EBITDA</t>
  </si>
  <si>
    <t>EV/EBIT</t>
  </si>
  <si>
    <t>EV/FCF</t>
  </si>
  <si>
    <t>EV/Sales</t>
  </si>
  <si>
    <t>EV/Revenue</t>
  </si>
  <si>
    <t>Switches</t>
  </si>
  <si>
    <t>Revenue Growth</t>
  </si>
  <si>
    <t>Optimistic Case</t>
  </si>
  <si>
    <t>Base Case</t>
  </si>
  <si>
    <t>Conservative Case</t>
  </si>
  <si>
    <t>EBIT-Margin</t>
  </si>
  <si>
    <t>CapEX</t>
  </si>
  <si>
    <t>WACC</t>
  </si>
  <si>
    <t xml:space="preserve">Tax Rate </t>
  </si>
  <si>
    <t>Change in WC</t>
  </si>
  <si>
    <t>TGR</t>
  </si>
  <si>
    <t>Valuation Assumtions</t>
  </si>
  <si>
    <t>Share Price</t>
  </si>
  <si>
    <t>Fair Share Price</t>
  </si>
  <si>
    <t>Upside</t>
  </si>
  <si>
    <t>Revenue Bulid</t>
  </si>
  <si>
    <t>FY25</t>
  </si>
  <si>
    <t>FY26</t>
  </si>
  <si>
    <t>FY27</t>
  </si>
  <si>
    <t>FY28</t>
  </si>
  <si>
    <t xml:space="preserve">Revenue </t>
  </si>
  <si>
    <t>Growth(%)</t>
  </si>
  <si>
    <t>EBIT</t>
  </si>
  <si>
    <t>EBIT-Margin(%)</t>
  </si>
  <si>
    <t>Taxes</t>
  </si>
  <si>
    <t>Tax-Rate r (%)</t>
  </si>
  <si>
    <t>Nopat</t>
  </si>
  <si>
    <t xml:space="preserve">% of Revenue </t>
  </si>
  <si>
    <t>Free Cashflow</t>
  </si>
  <si>
    <t>Model</t>
  </si>
  <si>
    <t>Optmistic Case</t>
  </si>
  <si>
    <t xml:space="preserve">Base Case </t>
  </si>
  <si>
    <t>Present Value of FCF</t>
  </si>
  <si>
    <t>Sum of Present Value of FCF</t>
  </si>
  <si>
    <t xml:space="preserve">Terminal Value </t>
  </si>
  <si>
    <t>(-)Debt</t>
  </si>
  <si>
    <t>(+)Cash</t>
  </si>
  <si>
    <t xml:space="preserve">Equity Value </t>
  </si>
  <si>
    <t>Number of Shares</t>
  </si>
  <si>
    <t>Sensitivity Analysis</t>
  </si>
  <si>
    <t>Entity Methode</t>
  </si>
  <si>
    <t>CAPM</t>
  </si>
  <si>
    <t>Alternative Kapitalkosten</t>
  </si>
  <si>
    <t>Equity Verfahren</t>
  </si>
  <si>
    <t>Riskfree Rate</t>
  </si>
  <si>
    <t xml:space="preserve">Cahsflow to Equity </t>
  </si>
  <si>
    <t>=Jahresüberschuss + Abschreibungen - Änderung Rückstellung - CapEx - Change in WC</t>
  </si>
  <si>
    <t>Disney Default Risk</t>
  </si>
  <si>
    <t>Country Risk Premium</t>
  </si>
  <si>
    <t xml:space="preserve">Ajusted Present Value </t>
  </si>
  <si>
    <t xml:space="preserve">Cost of Debt </t>
  </si>
  <si>
    <t>Pretax WACC</t>
  </si>
  <si>
    <t>Tax Shield = Debt * Debt Interest Rate * Tax Rate = Debt Interests * Tax Rate</t>
  </si>
  <si>
    <t xml:space="preserve">Beta </t>
  </si>
  <si>
    <t>Risikoaufschlag</t>
  </si>
  <si>
    <t>Value = Sum of FCFs + Value of Tax Shield</t>
  </si>
  <si>
    <t>Equity Risk Premium</t>
  </si>
  <si>
    <t>Cost of Equity</t>
  </si>
  <si>
    <t xml:space="preserve">Cost of Equity </t>
  </si>
  <si>
    <t xml:space="preserve">% of Debt </t>
  </si>
  <si>
    <t>% of Equity</t>
  </si>
  <si>
    <t>S&amp;P500 Returns</t>
  </si>
  <si>
    <t>Disney Monthly Returns</t>
  </si>
  <si>
    <t>S&amp;P500 Monthly Returns</t>
  </si>
  <si>
    <t>Year</t>
  </si>
  <si>
    <t>Return</t>
  </si>
  <si>
    <t>Date</t>
  </si>
  <si>
    <t>Close</t>
  </si>
  <si>
    <t>Change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</si>
  <si>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</si>
  <si>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</si>
  <si>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</si>
  <si>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</si>
  <si>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</si>
  <si>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</si>
  <si>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</si>
  <si>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</si>
  <si>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</si>
  <si>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</si>
  <si>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</si>
  <si>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</si>
  <si>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</si>
  <si>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</si>
  <si>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</si>
  <si>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</si>
  <si>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</si>
  <si>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</si>
  <si>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</si>
  <si>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Jan 1, 2021</t>
  </si>
  <si>
    <t>Feb 1, 2021</t>
  </si>
  <si>
    <t>Mar 1, 2021</t>
  </si>
  <si>
    <t>Apr 1, 2021</t>
  </si>
  <si>
    <t>May 1, 2021</t>
  </si>
  <si>
    <t>Jun 1, 2021</t>
  </si>
  <si>
    <t>Jul 1, 2021</t>
  </si>
  <si>
    <t>Aug 1, 2021</t>
  </si>
  <si>
    <t>Sep 1, 2021</t>
  </si>
  <si>
    <t>Oct 1, 2021</t>
  </si>
  <si>
    <t>Nov 1, 2021</t>
  </si>
  <si>
    <t>Dec 1, 2021</t>
  </si>
  <si>
    <t>Jan 1, 2022</t>
  </si>
  <si>
    <t>Feb 1, 2022</t>
  </si>
  <si>
    <t>Mar 1, 2022</t>
  </si>
  <si>
    <t>Apr 1, 2022</t>
  </si>
  <si>
    <t>May 1, 2022</t>
  </si>
  <si>
    <t>Jun 1, 2022</t>
  </si>
  <si>
    <t>Jul 1, 2022</t>
  </si>
  <si>
    <t>Aug 1, 2022</t>
  </si>
  <si>
    <t>Sep 1, 2022</t>
  </si>
  <si>
    <t>Oct 1, 2022</t>
  </si>
  <si>
    <t>Nov 1, 2022</t>
  </si>
  <si>
    <t>Dec 1, 2022</t>
  </si>
  <si>
    <t>Jan 1, 2023</t>
  </si>
  <si>
    <t>Feb 1, 2023</t>
  </si>
  <si>
    <t>Mar 1, 2023</t>
  </si>
  <si>
    <t>Apr 1, 2023</t>
  </si>
  <si>
    <t>May 1, 2023</t>
  </si>
  <si>
    <t>Jun 1, 2023</t>
  </si>
  <si>
    <t>Jul 1, 2023</t>
  </si>
  <si>
    <t>Aug 1, 2023</t>
  </si>
  <si>
    <t>Sep 1, 2023</t>
  </si>
  <si>
    <t>Oct 1, 2023</t>
  </si>
  <si>
    <t>Nov 1, 2023</t>
  </si>
  <si>
    <t>Dec 1, 2023</t>
  </si>
  <si>
    <t>Jan 1, 2024</t>
  </si>
  <si>
    <t>Feb 1, 2024</t>
  </si>
  <si>
    <t>Mar 1, 2024</t>
  </si>
  <si>
    <t>Apr 1, 2024</t>
  </si>
  <si>
    <t>May 1, 2024</t>
  </si>
  <si>
    <t>May 23, 2024</t>
  </si>
  <si>
    <t>Faires KGV</t>
  </si>
  <si>
    <t>Punkte</t>
  </si>
  <si>
    <t>Sockel KGV</t>
  </si>
  <si>
    <t>Finazielle Stabilität:</t>
  </si>
  <si>
    <t>Gearing, Dynamische Verschuldung, etc.</t>
  </si>
  <si>
    <t xml:space="preserve">-maximal 3 Punkte </t>
  </si>
  <si>
    <t>0/3</t>
  </si>
  <si>
    <t>Marktposition  und Rentabiltität</t>
  </si>
  <si>
    <t>5 Forces Model und ROCE</t>
  </si>
  <si>
    <t>Markposition</t>
  </si>
  <si>
    <t>Wert</t>
  </si>
  <si>
    <t>ROCE</t>
  </si>
  <si>
    <t>Schwach</t>
  </si>
  <si>
    <t>0-5%</t>
  </si>
  <si>
    <t>Mittel</t>
  </si>
  <si>
    <t>0-1</t>
  </si>
  <si>
    <t>5-10%</t>
  </si>
  <si>
    <t>Gut</t>
  </si>
  <si>
    <t>1-2</t>
  </si>
  <si>
    <t>10-15%</t>
  </si>
  <si>
    <t>Sehr Gut</t>
  </si>
  <si>
    <t>2-3</t>
  </si>
  <si>
    <t>15-20%</t>
  </si>
  <si>
    <t>Hevorragend</t>
  </si>
  <si>
    <t>3-4</t>
  </si>
  <si>
    <t>&gt;20%</t>
  </si>
  <si>
    <t>Wachstum</t>
  </si>
  <si>
    <t>Wachstumsannäherungen:</t>
  </si>
  <si>
    <t>1. ROCE * Reinvestitionsrate</t>
  </si>
  <si>
    <t>2. Entwicklung der Branchen prognostizeiren -&gt; Marktanteil bestimmen</t>
  </si>
  <si>
    <t>3. Historisches Wachstum: CAGR = (Gewinn Jahr n/Gewinn Jahr 1)^(1/n-1)-1</t>
  </si>
  <si>
    <t>negative</t>
  </si>
  <si>
    <t>negativ</t>
  </si>
  <si>
    <t>0-3%</t>
  </si>
  <si>
    <t>0-0,5</t>
  </si>
  <si>
    <t>3-5%</t>
  </si>
  <si>
    <t>0,5-1</t>
  </si>
  <si>
    <t>5-7%</t>
  </si>
  <si>
    <t>7-10%</t>
  </si>
  <si>
    <t>4-5</t>
  </si>
  <si>
    <t>20-25%</t>
  </si>
  <si>
    <t>5-6</t>
  </si>
  <si>
    <t>Individualität</t>
  </si>
  <si>
    <t>-&gt; Möglicher KGV Aufschlug</t>
  </si>
  <si>
    <t>Unternehmenswert</t>
  </si>
  <si>
    <t>EPS*faires KGV</t>
  </si>
  <si>
    <t xml:space="preserve">Gesamt Risiko </t>
  </si>
  <si>
    <t>= operativer * finazieller Hebel</t>
  </si>
  <si>
    <t xml:space="preserve">Operativer Hebel </t>
  </si>
  <si>
    <t>(EBIT + Fixkosten)/(EBIT)</t>
  </si>
  <si>
    <t>Finazieller Hebel</t>
  </si>
  <si>
    <t>(EBIT)/(EBIT-Finanzaufwand)</t>
  </si>
  <si>
    <t>Aufschlag auf Cost of Equity:</t>
  </si>
  <si>
    <t>Gesamtrisiko</t>
  </si>
  <si>
    <t>Aufschlag</t>
  </si>
  <si>
    <t>0-2</t>
  </si>
  <si>
    <t>4-5%</t>
  </si>
  <si>
    <t>2-4</t>
  </si>
  <si>
    <t>5-6%</t>
  </si>
  <si>
    <t>4-6</t>
  </si>
  <si>
    <t>6-7%</t>
  </si>
  <si>
    <t>6-8</t>
  </si>
  <si>
    <t>7-8%</t>
  </si>
  <si>
    <t>8-10</t>
  </si>
  <si>
    <t>8-9%</t>
  </si>
  <si>
    <t>10-12</t>
  </si>
  <si>
    <t>9-10%</t>
  </si>
  <si>
    <t>12-14</t>
  </si>
  <si>
    <t>10-11%</t>
  </si>
  <si>
    <t>14-16</t>
  </si>
  <si>
    <t>11-12%</t>
  </si>
  <si>
    <t>16-18</t>
  </si>
  <si>
    <t>12-13%</t>
  </si>
  <si>
    <t>18-20</t>
  </si>
  <si>
    <t>13-14%</t>
  </si>
  <si>
    <t>Faires KBV</t>
  </si>
  <si>
    <t>Korrelation KBV und ROE</t>
  </si>
  <si>
    <t>(ROE-Wachstum)/(Cost of Equity - Wachstum)</t>
  </si>
  <si>
    <t xml:space="preserve">Unternehmenswert </t>
  </si>
  <si>
    <t>BVPS * faires KBV</t>
  </si>
  <si>
    <t>Faires EV/Sales</t>
  </si>
  <si>
    <t>korreliert mit EBIT-Marge</t>
  </si>
  <si>
    <t>Peer Group bilden</t>
  </si>
  <si>
    <t>EBIT Marge</t>
  </si>
  <si>
    <t>Regression für Peer Group bilden</t>
  </si>
  <si>
    <t>A</t>
  </si>
  <si>
    <t>B</t>
  </si>
  <si>
    <t>usw</t>
  </si>
  <si>
    <t>RPS * faires EV/Sales</t>
  </si>
  <si>
    <t>Faires EV/EBIT</t>
  </si>
  <si>
    <t>korreliert mir ROCE</t>
  </si>
  <si>
    <t>EBITPS * faires EV/EBIT</t>
  </si>
  <si>
    <t>Bewertungsansatz Columbia University</t>
  </si>
  <si>
    <t>1.Liquidationswert</t>
  </si>
  <si>
    <t>Worst Case</t>
  </si>
  <si>
    <t>Item</t>
  </si>
  <si>
    <t xml:space="preserve">Adjusted Value </t>
  </si>
  <si>
    <t xml:space="preserve">Cash and Cash Equivalents </t>
  </si>
  <si>
    <t>Account Receivables</t>
  </si>
  <si>
    <t>Inventory</t>
  </si>
  <si>
    <t>PP&amp;E</t>
  </si>
  <si>
    <t>Liabilties</t>
  </si>
  <si>
    <t>Mando &amp; Grogu -&gt; Star Wars</t>
  </si>
  <si>
    <t xml:space="preserve">Series: Sceleton Crew, Acolyte </t>
  </si>
  <si>
    <t>FQ424</t>
  </si>
  <si>
    <t>2019 Acqusition of  20th Centry Fox 71 billion USD</t>
  </si>
  <si>
    <t>numbers in mio USD</t>
  </si>
  <si>
    <t>IR</t>
  </si>
  <si>
    <t>SEC</t>
  </si>
  <si>
    <t>Founded: 1923</t>
  </si>
  <si>
    <t>Minority  Interest</t>
  </si>
  <si>
    <t>NI to Company</t>
  </si>
  <si>
    <t>Earnings of subsidaries</t>
  </si>
  <si>
    <t>Restructuring &amp; Impairment</t>
  </si>
  <si>
    <t>Revenue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</si>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</sst>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.00;[Red]#,##0.00"/>
    <numFmt numFmtId="166" formatCode="#,##0.000;[Red]#,##0.000"/>
    <numFmt numFmtId="167" formatCode="0.0%"/>
    <numFmt numFmtId="168" formatCode="0.000"/>
    <numFmt numFmtId="169" formatCode="0.0"/>
    <numFmt numFmtId="170" formatCode="#,##0;[Red]#,##0"/>
    <numFmt numFmtId="171" formatCode="#,##0;\(#,##0\)"/>
    <numFmt numFmtId="172" formatCode="#,##0.00;\(#,##0.00\)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9" fontId="0" fillId="0" borderId="0" xfId="2" applyFont="1"/>
    <xf numFmtId="0" fontId="6" fillId="0" borderId="0" xfId="0" applyFont="1"/>
    <xf numFmtId="9" fontId="0" fillId="0" borderId="0" xfId="2" applyFon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0" xfId="0" quotePrefix="1" applyFont="1"/>
    <xf numFmtId="9" fontId="2" fillId="0" borderId="0" xfId="2" applyFont="1"/>
    <xf numFmtId="9" fontId="7" fillId="0" borderId="0" xfId="2" applyFont="1"/>
    <xf numFmtId="166" fontId="0" fillId="0" borderId="0" xfId="0" applyNumberFormat="1" applyAlignment="1">
      <alignment horizontal="left"/>
    </xf>
    <xf numFmtId="165" fontId="0" fillId="0" borderId="0" xfId="0" applyNumberFormat="1"/>
    <xf numFmtId="165" fontId="2" fillId="0" borderId="0" xfId="0" applyNumberFormat="1" applyFont="1"/>
    <xf numFmtId="167" fontId="0" fillId="0" borderId="0" xfId="2" applyNumberFormat="1" applyFont="1"/>
    <xf numFmtId="167" fontId="0" fillId="0" borderId="0" xfId="0" applyNumberFormat="1"/>
    <xf numFmtId="2" fontId="0" fillId="0" borderId="0" xfId="2" applyNumberFormat="1" applyFon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9" fillId="0" borderId="0" xfId="0" applyNumberFormat="1" applyFont="1"/>
    <xf numFmtId="0" fontId="10" fillId="0" borderId="0" xfId="0" applyFont="1" applyAlignment="1">
      <alignment horizontal="left" indent="1"/>
    </xf>
    <xf numFmtId="9" fontId="9" fillId="0" borderId="0" xfId="2" applyFont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164" fontId="11" fillId="0" borderId="0" xfId="0" applyNumberFormat="1" applyFont="1"/>
    <xf numFmtId="0" fontId="0" fillId="0" borderId="0" xfId="0" quotePrefix="1"/>
    <xf numFmtId="0" fontId="0" fillId="0" borderId="0" xfId="0" quotePrefix="1" applyAlignment="1">
      <alignment horizontal="right"/>
    </xf>
    <xf numFmtId="0" fontId="8" fillId="2" borderId="0" xfId="0" applyFont="1" applyFill="1"/>
    <xf numFmtId="0" fontId="12" fillId="2" borderId="0" xfId="0" applyFont="1" applyFill="1"/>
    <xf numFmtId="9" fontId="12" fillId="2" borderId="0" xfId="2" applyFont="1" applyFill="1"/>
    <xf numFmtId="0" fontId="13" fillId="2" borderId="0" xfId="0" applyFont="1" applyFill="1"/>
    <xf numFmtId="0" fontId="14" fillId="2" borderId="0" xfId="0" applyFont="1" applyFill="1"/>
    <xf numFmtId="0" fontId="0" fillId="3" borderId="1" xfId="0" applyFill="1" applyBorder="1"/>
    <xf numFmtId="0" fontId="0" fillId="0" borderId="2" xfId="0" applyBorder="1"/>
    <xf numFmtId="0" fontId="0" fillId="4" borderId="0" xfId="0" applyFill="1"/>
    <xf numFmtId="0" fontId="8" fillId="5" borderId="0" xfId="0" applyFont="1" applyFill="1"/>
    <xf numFmtId="164" fontId="8" fillId="5" borderId="0" xfId="0" applyNumberFormat="1" applyFont="1" applyFill="1"/>
    <xf numFmtId="0" fontId="8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9" fontId="0" fillId="3" borderId="1" xfId="2" applyFont="1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12" fillId="2" borderId="0" xfId="0" applyFont="1" applyFill="1" applyAlignment="1">
      <alignment horizontal="center"/>
    </xf>
    <xf numFmtId="0" fontId="0" fillId="0" borderId="3" xfId="0" quotePrefix="1" applyBorder="1"/>
    <xf numFmtId="2" fontId="0" fillId="3" borderId="1" xfId="2" applyNumberFormat="1" applyFont="1" applyFill="1" applyBorder="1"/>
    <xf numFmtId="9" fontId="8" fillId="5" borderId="4" xfId="0" applyNumberFormat="1" applyFont="1" applyFill="1" applyBorder="1"/>
    <xf numFmtId="9" fontId="8" fillId="5" borderId="3" xfId="0" applyNumberFormat="1" applyFont="1" applyFill="1" applyBorder="1"/>
    <xf numFmtId="2" fontId="15" fillId="5" borderId="0" xfId="0" applyNumberFormat="1" applyFont="1" applyFill="1"/>
    <xf numFmtId="2" fontId="0" fillId="6" borderId="0" xfId="0" applyNumberFormat="1" applyFill="1"/>
    <xf numFmtId="0" fontId="0" fillId="0" borderId="0" xfId="0" applyAlignment="1">
      <alignment horizontal="left" indent="14"/>
    </xf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170" fontId="0" fillId="0" borderId="0" xfId="0" applyNumberFormat="1"/>
    <xf numFmtId="170" fontId="0" fillId="0" borderId="0" xfId="0" applyNumberFormat="1" applyAlignment="1">
      <alignment wrapText="1"/>
    </xf>
    <xf numFmtId="9" fontId="2" fillId="0" borderId="0" xfId="2" applyFont="1" applyAlignment="1">
      <alignment horizontal="right"/>
    </xf>
    <xf numFmtId="171" fontId="0" fillId="0" borderId="0" xfId="0" applyNumberFormat="1"/>
    <xf numFmtId="171" fontId="2" fillId="0" borderId="0" xfId="0" applyNumberFormat="1" applyFont="1"/>
    <xf numFmtId="171" fontId="0" fillId="0" borderId="0" xfId="0" applyNumberFormat="1" applyAlignment="1">
      <alignment wrapText="1"/>
    </xf>
    <xf numFmtId="171" fontId="0" fillId="0" borderId="0" xfId="2" applyNumberFormat="1" applyFont="1"/>
    <xf numFmtId="171" fontId="0" fillId="0" borderId="0" xfId="0" applyNumberFormat="1" applyAlignment="1">
      <alignment horizontal="right"/>
    </xf>
    <xf numFmtId="172" fontId="0" fillId="0" borderId="0" xfId="0" applyNumberForma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1E9D2"/>
      <color rgb="FFE1CEAD"/>
      <color rgb="FFF5F5DC"/>
      <color rgb="FFD1BC8A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11113</xdr:colOff>
      <xdr:row>1</xdr:row>
      <xdr:rowOff>185737</xdr:rowOff>
    </xdr:from>
    <xdr:to>
      <xdr:col>19</xdr:col>
      <xdr:colOff>23813</xdr:colOff>
      <xdr:row>44</xdr:row>
      <xdr:rowOff>173037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9E2AE3-A8CE-420E-25A9-8E6219238343}"/>
            </a:ext>
          </a:extLst>
        </xdr:cNvPr>
        <xdr:cNvCxnSpPr/>
      </xdr:nvCxnSpPr>
      <xdr:spPr>
        <a:xfrm>
          <a:off x="8135938" y="376237"/>
          <a:ext cx="12700" cy="9131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0</xdr:row>
      <xdr:rowOff>177800</xdr:rowOff>
    </xdr:from>
    <xdr:to>
      <xdr:col>8</xdr:col>
      <xdr:colOff>603250</xdr:colOff>
      <xdr:row>62</xdr:row>
      <xdr:rowOff>146050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DE6DA1-63DA-056E-70C4-CF8E8C0D7CD8}"/>
            </a:ext>
          </a:extLst>
        </xdr:cNvPr>
        <xdr:cNvCxnSpPr/>
      </xdr:nvCxnSpPr>
      <xdr:spPr>
        <a:xfrm>
          <a:off x="6731000" y="177800"/>
          <a:ext cx="0" cy="9912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43</xdr:row>
      <xdr:rowOff>0</xdr:rowOff>
    </xdr:from>
    <xdr:to>
      <xdr:col>9</xdr:col>
      <xdr:colOff>6350</xdr:colOff>
      <xdr:row>84</xdr:row>
      <xdr:rowOff>177800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7639E5-8D78-F0D9-A772-4AC5FB16681E}"/>
            </a:ext>
          </a:extLst>
        </xdr:cNvPr>
        <xdr:cNvCxnSpPr/>
      </xdr:nvCxnSpPr>
      <xdr:spPr>
        <a:xfrm flipH="1">
          <a:off x="6064250" y="5334000"/>
          <a:ext cx="12700" cy="441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744489&amp;owner=exclude" TargetMode="External"/><Relationship Id="rId1" Type="http://schemas.openxmlformats.org/officeDocument/2006/relationships/hyperlink" Target="https://thewaltdisneycompany.com/investor-relation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D49C-C17C-400F-AC7B-86170714D797}">
  <dimension ref="A1:R85"/>
  <sheetViews>
    <sheetView tabSelected="1" topLeftCell="C1" zoomScale="200" zoomScaleNormal="200" workbookViewId="0">
      <selection activeCell="K3" sqref="K3"/>
    </sheetView>
  </sheetViews>
  <sheetFormatPr defaultRowHeight="15" x14ac:dyDescent="0.25"/>
  <cols>
    <col min="1" max="1" width="4.7109375" customWidth="1"/>
    <col min="4" max="4" width="9.5703125" bestFit="1" customWidth="1"/>
    <col min="13" max="13" width="9.28515625" bestFit="1" customWidth="1"/>
  </cols>
  <sheetData>
    <row r="1" spans="1:14" x14ac:dyDescent="0.25">
      <c r="A1" s="2" t="s">
        <v>0</v>
      </c>
    </row>
    <row r="2" spans="1:14" x14ac:dyDescent="0.25">
      <c r="A2" t="s">
        <v>649</v>
      </c>
      <c r="J2" t="s">
        <v>5</v>
      </c>
      <c r="K2" s="63">
        <v>85.1</v>
      </c>
    </row>
    <row r="3" spans="1:14" x14ac:dyDescent="0.25">
      <c r="J3" t="s">
        <v>6</v>
      </c>
      <c r="K3" s="64">
        <v>1807.788865</v>
      </c>
      <c r="L3" s="25" t="s">
        <v>647</v>
      </c>
      <c r="N3" s="1"/>
    </row>
    <row r="4" spans="1:14" x14ac:dyDescent="0.25">
      <c r="A4" s="4"/>
      <c r="B4" t="s">
        <v>1</v>
      </c>
      <c r="C4" t="s">
        <v>2</v>
      </c>
      <c r="D4" s="1"/>
      <c r="J4" t="s">
        <v>7</v>
      </c>
      <c r="K4" s="63">
        <f>K3*K2</f>
        <v>153842.83241149999</v>
      </c>
      <c r="N4" s="1"/>
    </row>
    <row r="5" spans="1:14" x14ac:dyDescent="0.25">
      <c r="B5" s="1" t="s">
        <v>650</v>
      </c>
      <c r="J5" t="s">
        <v>9</v>
      </c>
      <c r="K5" s="63">
        <v>5486</v>
      </c>
      <c r="L5" s="25" t="s">
        <v>647</v>
      </c>
    </row>
    <row r="6" spans="1:14" x14ac:dyDescent="0.25">
      <c r="B6" s="1" t="s">
        <v>651</v>
      </c>
      <c r="J6" t="s">
        <v>8</v>
      </c>
      <c r="K6" s="63">
        <f>6620+38688</f>
        <v>45308</v>
      </c>
      <c r="L6" s="25" t="s">
        <v>647</v>
      </c>
    </row>
    <row r="7" spans="1:14" x14ac:dyDescent="0.25">
      <c r="J7" t="s">
        <v>10</v>
      </c>
      <c r="K7" s="63">
        <f>+K4+K6-K5</f>
        <v>193664.83241149999</v>
      </c>
    </row>
    <row r="8" spans="1:14" x14ac:dyDescent="0.25">
      <c r="D8" s="63"/>
    </row>
    <row r="9" spans="1:14" x14ac:dyDescent="0.25">
      <c r="J9" t="s">
        <v>652</v>
      </c>
    </row>
    <row r="10" spans="1:14" x14ac:dyDescent="0.25">
      <c r="B10" s="10" t="s">
        <v>11</v>
      </c>
      <c r="M10" s="10" t="s">
        <v>12</v>
      </c>
    </row>
    <row r="11" spans="1:14" x14ac:dyDescent="0.25">
      <c r="B11" t="s">
        <v>13</v>
      </c>
      <c r="M11" t="s">
        <v>648</v>
      </c>
    </row>
    <row r="12" spans="1:14" x14ac:dyDescent="0.25">
      <c r="B12" t="s">
        <v>14</v>
      </c>
      <c r="M12" t="s">
        <v>15</v>
      </c>
    </row>
    <row r="14" spans="1:14" x14ac:dyDescent="0.25">
      <c r="B14" s="10" t="s">
        <v>16</v>
      </c>
      <c r="M14" t="s">
        <v>17</v>
      </c>
    </row>
    <row r="15" spans="1:14" x14ac:dyDescent="0.25">
      <c r="M15" t="s">
        <v>18</v>
      </c>
    </row>
    <row r="16" spans="1:14" x14ac:dyDescent="0.25">
      <c r="A16" s="4" t="s">
        <v>3</v>
      </c>
      <c r="B16" s="3" t="s">
        <v>19</v>
      </c>
      <c r="M16">
        <v>2024</v>
      </c>
    </row>
    <row r="17" spans="2:18" x14ac:dyDescent="0.25">
      <c r="B17" t="s">
        <v>20</v>
      </c>
      <c r="M17" t="s">
        <v>21</v>
      </c>
    </row>
    <row r="18" spans="2:18" x14ac:dyDescent="0.25">
      <c r="B18" s="13" t="s">
        <v>22</v>
      </c>
      <c r="M18" t="s">
        <v>23</v>
      </c>
    </row>
    <row r="19" spans="2:18" x14ac:dyDescent="0.25">
      <c r="B19" t="s">
        <v>24</v>
      </c>
      <c r="M19">
        <v>2025</v>
      </c>
    </row>
    <row r="20" spans="2:18" x14ac:dyDescent="0.25">
      <c r="B20" t="s">
        <v>25</v>
      </c>
      <c r="M20" t="s">
        <v>26</v>
      </c>
    </row>
    <row r="21" spans="2:18" x14ac:dyDescent="0.25">
      <c r="B21" t="s">
        <v>27</v>
      </c>
      <c r="M21" t="s">
        <v>28</v>
      </c>
    </row>
    <row r="22" spans="2:18" x14ac:dyDescent="0.25">
      <c r="B22" s="10" t="s">
        <v>29</v>
      </c>
      <c r="M22">
        <v>2026</v>
      </c>
    </row>
    <row r="23" spans="2:18" x14ac:dyDescent="0.25">
      <c r="B23" t="s">
        <v>30</v>
      </c>
      <c r="M23" t="s">
        <v>31</v>
      </c>
    </row>
    <row r="24" spans="2:18" x14ac:dyDescent="0.25">
      <c r="B24" t="s">
        <v>32</v>
      </c>
      <c r="M24" t="s">
        <v>33</v>
      </c>
      <c r="R24" t="s">
        <v>646</v>
      </c>
    </row>
    <row r="25" spans="2:18" x14ac:dyDescent="0.25">
      <c r="B25" s="10" t="s">
        <v>34</v>
      </c>
      <c r="M25" t="s">
        <v>35</v>
      </c>
    </row>
    <row r="26" spans="2:18" x14ac:dyDescent="0.25">
      <c r="B26" t="s">
        <v>36</v>
      </c>
      <c r="M26" t="s">
        <v>37</v>
      </c>
    </row>
    <row r="27" spans="2:18" x14ac:dyDescent="0.25">
      <c r="B27" t="s">
        <v>38</v>
      </c>
      <c r="M27" t="s">
        <v>39</v>
      </c>
    </row>
    <row r="28" spans="2:18" x14ac:dyDescent="0.25">
      <c r="B28" t="s">
        <v>40</v>
      </c>
      <c r="M28" t="s">
        <v>645</v>
      </c>
    </row>
    <row r="29" spans="2:18" x14ac:dyDescent="0.25">
      <c r="B29" t="s">
        <v>41</v>
      </c>
    </row>
    <row r="30" spans="2:18" x14ac:dyDescent="0.25">
      <c r="B30" t="s">
        <v>42</v>
      </c>
    </row>
    <row r="31" spans="2:18" x14ac:dyDescent="0.25">
      <c r="B31" t="s">
        <v>43</v>
      </c>
    </row>
    <row r="32" spans="2:18" x14ac:dyDescent="0.25">
      <c r="B32" t="s">
        <v>44</v>
      </c>
    </row>
    <row r="33" spans="1:2" x14ac:dyDescent="0.25">
      <c r="B33" t="s">
        <v>45</v>
      </c>
    </row>
    <row r="34" spans="1:2" x14ac:dyDescent="0.25">
      <c r="B34" s="10" t="s">
        <v>46</v>
      </c>
    </row>
    <row r="35" spans="1:2" x14ac:dyDescent="0.25">
      <c r="B35" t="s">
        <v>47</v>
      </c>
    </row>
    <row r="36" spans="1:2" x14ac:dyDescent="0.25">
      <c r="B36" t="s">
        <v>48</v>
      </c>
    </row>
    <row r="37" spans="1:2" x14ac:dyDescent="0.25">
      <c r="B37" t="s">
        <v>49</v>
      </c>
    </row>
    <row r="38" spans="1:2" x14ac:dyDescent="0.25">
      <c r="B38" t="s">
        <v>50</v>
      </c>
    </row>
    <row r="39" spans="1:2" x14ac:dyDescent="0.25">
      <c r="B39" t="s">
        <v>36</v>
      </c>
    </row>
    <row r="40" spans="1:2" x14ac:dyDescent="0.25">
      <c r="B40" t="s">
        <v>51</v>
      </c>
    </row>
    <row r="41" spans="1:2" x14ac:dyDescent="0.25">
      <c r="B41" t="s">
        <v>52</v>
      </c>
    </row>
    <row r="42" spans="1:2" x14ac:dyDescent="0.25">
      <c r="B42" s="10" t="s">
        <v>53</v>
      </c>
    </row>
    <row r="43" spans="1:2" x14ac:dyDescent="0.25">
      <c r="B43" t="s">
        <v>54</v>
      </c>
    </row>
    <row r="44" spans="1:2" x14ac:dyDescent="0.25">
      <c r="B44" t="s">
        <v>55</v>
      </c>
    </row>
    <row r="45" spans="1:2" x14ac:dyDescent="0.25">
      <c r="B45" t="s">
        <v>56</v>
      </c>
    </row>
    <row r="46" spans="1:2" x14ac:dyDescent="0.25">
      <c r="B46" t="s">
        <v>57</v>
      </c>
    </row>
    <row r="47" spans="1:2" x14ac:dyDescent="0.25">
      <c r="B47" t="s">
        <v>58</v>
      </c>
    </row>
    <row r="48" spans="1:2" x14ac:dyDescent="0.25">
      <c r="A48" s="4" t="s">
        <v>3</v>
      </c>
      <c r="B48" s="3" t="s">
        <v>59</v>
      </c>
    </row>
    <row r="49" spans="1:2" x14ac:dyDescent="0.25">
      <c r="B49" t="s">
        <v>60</v>
      </c>
    </row>
    <row r="50" spans="1:2" x14ac:dyDescent="0.25">
      <c r="B50" t="s">
        <v>61</v>
      </c>
    </row>
    <row r="51" spans="1:2" x14ac:dyDescent="0.25">
      <c r="B51" t="s">
        <v>62</v>
      </c>
    </row>
    <row r="52" spans="1:2" x14ac:dyDescent="0.25">
      <c r="B52" t="s">
        <v>63</v>
      </c>
    </row>
    <row r="53" spans="1:2" x14ac:dyDescent="0.25">
      <c r="B53" t="s">
        <v>64</v>
      </c>
    </row>
    <row r="54" spans="1:2" x14ac:dyDescent="0.25">
      <c r="B54" t="s">
        <v>65</v>
      </c>
    </row>
    <row r="55" spans="1:2" x14ac:dyDescent="0.25">
      <c r="B55" t="s">
        <v>66</v>
      </c>
    </row>
    <row r="56" spans="1:2" x14ac:dyDescent="0.25">
      <c r="B56" t="s">
        <v>67</v>
      </c>
    </row>
    <row r="57" spans="1:2" x14ac:dyDescent="0.25">
      <c r="B57" s="10" t="s">
        <v>68</v>
      </c>
    </row>
    <row r="58" spans="1:2" x14ac:dyDescent="0.25">
      <c r="B58" t="s">
        <v>47</v>
      </c>
    </row>
    <row r="59" spans="1:2" x14ac:dyDescent="0.25">
      <c r="B59" t="s">
        <v>49</v>
      </c>
    </row>
    <row r="60" spans="1:2" x14ac:dyDescent="0.25">
      <c r="B60" t="s">
        <v>48</v>
      </c>
    </row>
    <row r="61" spans="1:2" x14ac:dyDescent="0.25">
      <c r="B61" t="s">
        <v>69</v>
      </c>
    </row>
    <row r="62" spans="1:2" x14ac:dyDescent="0.25">
      <c r="A62" s="4" t="s">
        <v>3</v>
      </c>
      <c r="B62" s="3" t="s">
        <v>70</v>
      </c>
    </row>
    <row r="63" spans="1:2" x14ac:dyDescent="0.25">
      <c r="B63" s="10" t="s">
        <v>71</v>
      </c>
    </row>
    <row r="64" spans="1:2" x14ac:dyDescent="0.25">
      <c r="B64" t="s">
        <v>61</v>
      </c>
    </row>
    <row r="65" spans="1:2" x14ac:dyDescent="0.25">
      <c r="B65" t="s">
        <v>72</v>
      </c>
    </row>
    <row r="66" spans="1:2" x14ac:dyDescent="0.25">
      <c r="B66" t="s">
        <v>73</v>
      </c>
    </row>
    <row r="67" spans="1:2" x14ac:dyDescent="0.25">
      <c r="B67" t="s">
        <v>65</v>
      </c>
    </row>
    <row r="68" spans="1:2" x14ac:dyDescent="0.25">
      <c r="B68" t="s">
        <v>74</v>
      </c>
    </row>
    <row r="69" spans="1:2" x14ac:dyDescent="0.25">
      <c r="B69" t="s">
        <v>75</v>
      </c>
    </row>
    <row r="70" spans="1:2" x14ac:dyDescent="0.25">
      <c r="B70" t="s">
        <v>76</v>
      </c>
    </row>
    <row r="71" spans="1:2" x14ac:dyDescent="0.25">
      <c r="B71" t="s">
        <v>77</v>
      </c>
    </row>
    <row r="72" spans="1:2" x14ac:dyDescent="0.25">
      <c r="B72" t="s">
        <v>35</v>
      </c>
    </row>
    <row r="73" spans="1:2" x14ac:dyDescent="0.25">
      <c r="A73" s="4" t="s">
        <v>3</v>
      </c>
      <c r="B73" s="3" t="s">
        <v>78</v>
      </c>
    </row>
    <row r="74" spans="1:2" x14ac:dyDescent="0.25">
      <c r="B74" t="s">
        <v>79</v>
      </c>
    </row>
    <row r="75" spans="1:2" x14ac:dyDescent="0.25">
      <c r="B75" t="s">
        <v>80</v>
      </c>
    </row>
    <row r="76" spans="1:2" x14ac:dyDescent="0.25">
      <c r="B76" t="s">
        <v>81</v>
      </c>
    </row>
    <row r="77" spans="1:2" x14ac:dyDescent="0.25">
      <c r="B77" t="s">
        <v>82</v>
      </c>
    </row>
    <row r="79" spans="1:2" x14ac:dyDescent="0.25">
      <c r="A79" s="4" t="s">
        <v>3</v>
      </c>
      <c r="B79" s="2" t="s">
        <v>83</v>
      </c>
    </row>
    <row r="81" spans="2:4" x14ac:dyDescent="0.25">
      <c r="B81" t="s">
        <v>84</v>
      </c>
      <c r="D81" t="s">
        <v>85</v>
      </c>
    </row>
    <row r="82" spans="2:4" x14ac:dyDescent="0.25">
      <c r="B82" t="s">
        <v>86</v>
      </c>
      <c r="D82" t="s">
        <v>87</v>
      </c>
    </row>
    <row r="83" spans="2:4" x14ac:dyDescent="0.25">
      <c r="B83" t="s">
        <v>88</v>
      </c>
      <c r="D83" t="s">
        <v>89</v>
      </c>
    </row>
    <row r="84" spans="2:4" x14ac:dyDescent="0.25">
      <c r="B84" t="s">
        <v>90</v>
      </c>
      <c r="D84" t="s">
        <v>91</v>
      </c>
    </row>
    <row r="85" spans="2:4" x14ac:dyDescent="0.25">
      <c r="B85" t="s">
        <v>92</v>
      </c>
      <c r="D85" t="s">
        <v>93</v>
      </c>
    </row>
  </sheetData>
  <hyperlinks>
    <hyperlink ref="B5" r:id="rId1" xr:uid="{58E28A06-4CA8-44BD-9A40-56A7A7C557CA}"/>
    <hyperlink ref="B6" r:id="rId2" xr:uid="{5350AF01-86B7-4A29-9284-268B5AF20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D88B-10ED-4855-B674-B6F78A98FFA3}">
  <dimension ref="A1:P76"/>
  <sheetViews>
    <sheetView zoomScale="200" zoomScaleNormal="200" workbookViewId="0">
      <pane xSplit="2" ySplit="2" topLeftCell="E36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8.7109375" defaultRowHeight="15" x14ac:dyDescent="0.25"/>
  <cols>
    <col min="1" max="1" width="4.5703125" customWidth="1"/>
    <col min="2" max="2" width="33.5703125" style="5" customWidth="1"/>
    <col min="3" max="5" width="8.7109375" style="5"/>
    <col min="6" max="6" width="8.7109375" style="5" customWidth="1"/>
    <col min="7" max="10" width="8.7109375" style="5"/>
    <col min="11" max="11" width="10.140625" style="5" customWidth="1"/>
    <col min="12" max="12" width="11.7109375" style="5" customWidth="1"/>
    <col min="13" max="16384" width="8.7109375" style="5"/>
  </cols>
  <sheetData>
    <row r="1" spans="1:16" customFormat="1" x14ac:dyDescent="0.25">
      <c r="A1" s="1" t="s">
        <v>94</v>
      </c>
    </row>
    <row r="2" spans="1:16" customFormat="1" x14ac:dyDescent="0.25">
      <c r="A2" s="1"/>
      <c r="D2" t="s">
        <v>95</v>
      </c>
      <c r="E2" t="s">
        <v>96</v>
      </c>
      <c r="F2" t="s">
        <v>97</v>
      </c>
      <c r="G2" t="s">
        <v>98</v>
      </c>
      <c r="I2" s="5"/>
      <c r="J2" s="5"/>
      <c r="L2" s="5"/>
      <c r="M2" s="5"/>
      <c r="N2" s="5"/>
      <c r="O2" s="5"/>
      <c r="P2" s="5"/>
    </row>
    <row r="3" spans="1:16" customFormat="1" x14ac:dyDescent="0.25">
      <c r="A3" s="4" t="s">
        <v>3</v>
      </c>
      <c r="B3" s="3" t="s">
        <v>99</v>
      </c>
    </row>
    <row r="4" spans="1:16" x14ac:dyDescent="0.25">
      <c r="B4" s="8" t="s">
        <v>100</v>
      </c>
    </row>
    <row r="5" spans="1:16" x14ac:dyDescent="0.25">
      <c r="B5" s="5" t="s">
        <v>101</v>
      </c>
    </row>
    <row r="6" spans="1:16" x14ac:dyDescent="0.25">
      <c r="B6" s="5" t="s">
        <v>102</v>
      </c>
      <c r="E6" s="5">
        <v>76</v>
      </c>
      <c r="G6" s="5">
        <v>71</v>
      </c>
      <c r="H6" s="5">
        <v>66</v>
      </c>
    </row>
    <row r="7" spans="1:16" x14ac:dyDescent="0.25">
      <c r="B7" s="5" t="s">
        <v>103</v>
      </c>
      <c r="E7" s="5">
        <v>57</v>
      </c>
      <c r="G7" s="5">
        <v>52</v>
      </c>
    </row>
    <row r="8" spans="1:16" x14ac:dyDescent="0.25">
      <c r="B8" s="5" t="s">
        <v>104</v>
      </c>
      <c r="E8" s="5">
        <v>56</v>
      </c>
      <c r="G8" s="5">
        <v>51</v>
      </c>
    </row>
    <row r="9" spans="1:16" x14ac:dyDescent="0.25">
      <c r="B9" s="5" t="s">
        <v>105</v>
      </c>
      <c r="E9" s="5">
        <v>76</v>
      </c>
      <c r="G9" s="5">
        <v>71</v>
      </c>
      <c r="H9" s="5">
        <v>55</v>
      </c>
    </row>
    <row r="10" spans="1:16" x14ac:dyDescent="0.25">
      <c r="B10" s="5" t="s">
        <v>106</v>
      </c>
      <c r="E10" s="5">
        <v>77</v>
      </c>
      <c r="G10" s="5">
        <v>72</v>
      </c>
      <c r="H10" s="5">
        <v>67</v>
      </c>
    </row>
    <row r="11" spans="1:16" x14ac:dyDescent="0.25">
      <c r="B11" s="5" t="s">
        <v>107</v>
      </c>
      <c r="E11" s="5">
        <v>72</v>
      </c>
      <c r="G11" s="5">
        <v>68</v>
      </c>
    </row>
    <row r="12" spans="1:16" x14ac:dyDescent="0.25">
      <c r="B12" s="5" t="s">
        <v>108</v>
      </c>
      <c r="E12" s="5">
        <v>47</v>
      </c>
      <c r="G12" s="5">
        <v>43</v>
      </c>
    </row>
    <row r="13" spans="1:16" x14ac:dyDescent="0.25">
      <c r="B13" s="5" t="s">
        <v>109</v>
      </c>
      <c r="E13" s="5">
        <v>76</v>
      </c>
      <c r="G13" s="5">
        <v>71</v>
      </c>
      <c r="H13" s="5">
        <v>66</v>
      </c>
    </row>
    <row r="14" spans="1:16" x14ac:dyDescent="0.25">
      <c r="B14" s="5" t="s">
        <v>110</v>
      </c>
      <c r="E14" s="5">
        <v>51</v>
      </c>
      <c r="G14" s="5">
        <v>42</v>
      </c>
    </row>
    <row r="15" spans="1:16" x14ac:dyDescent="0.25">
      <c r="B15" s="5" t="s">
        <v>111</v>
      </c>
      <c r="E15" s="5">
        <v>75</v>
      </c>
      <c r="G15" s="5">
        <v>65</v>
      </c>
    </row>
    <row r="16" spans="1:16" x14ac:dyDescent="0.25">
      <c r="B16" s="5" t="s">
        <v>112</v>
      </c>
      <c r="E16" s="5">
        <v>76</v>
      </c>
      <c r="G16" s="5">
        <v>65</v>
      </c>
    </row>
    <row r="17" spans="1:8" x14ac:dyDescent="0.25">
      <c r="B17" s="5" t="s">
        <v>113</v>
      </c>
      <c r="E17" s="5">
        <v>75</v>
      </c>
      <c r="G17" s="5">
        <v>65</v>
      </c>
    </row>
    <row r="18" spans="1:8" x14ac:dyDescent="0.25">
      <c r="B18" s="5" t="s">
        <v>114</v>
      </c>
      <c r="E18" s="5">
        <v>56</v>
      </c>
      <c r="G18" s="5">
        <v>49</v>
      </c>
    </row>
    <row r="19" spans="1:8" x14ac:dyDescent="0.25">
      <c r="B19" s="5" t="s">
        <v>115</v>
      </c>
      <c r="E19" s="5">
        <v>46</v>
      </c>
      <c r="G19" s="5">
        <v>37</v>
      </c>
    </row>
    <row r="20" spans="1:8" x14ac:dyDescent="0.25">
      <c r="B20" s="5" t="s">
        <v>116</v>
      </c>
      <c r="E20" s="5">
        <v>76</v>
      </c>
      <c r="G20" s="5">
        <v>71</v>
      </c>
      <c r="H20" s="5">
        <v>66</v>
      </c>
    </row>
    <row r="21" spans="1:8" x14ac:dyDescent="0.25">
      <c r="B21" s="5" t="s">
        <v>117</v>
      </c>
      <c r="E21" s="5">
        <v>76</v>
      </c>
      <c r="G21" s="5">
        <v>71</v>
      </c>
      <c r="H21" s="5">
        <v>66</v>
      </c>
    </row>
    <row r="22" spans="1:8" x14ac:dyDescent="0.25">
      <c r="B22" s="5" t="s">
        <v>118</v>
      </c>
      <c r="E22" s="5">
        <v>51</v>
      </c>
      <c r="G22" s="5">
        <v>50</v>
      </c>
      <c r="H22" s="5">
        <v>47</v>
      </c>
    </row>
    <row r="23" spans="1:8" x14ac:dyDescent="0.25">
      <c r="B23" s="5" t="s">
        <v>119</v>
      </c>
      <c r="E23" s="5">
        <v>59</v>
      </c>
      <c r="G23" s="5">
        <v>53</v>
      </c>
      <c r="H23" s="5">
        <v>50</v>
      </c>
    </row>
    <row r="24" spans="1:8" x14ac:dyDescent="0.25">
      <c r="B24" s="5" t="s">
        <v>120</v>
      </c>
      <c r="E24" s="12" t="s">
        <v>121</v>
      </c>
      <c r="G24" s="5">
        <v>59</v>
      </c>
    </row>
    <row r="25" spans="1:8" x14ac:dyDescent="0.25">
      <c r="B25" s="5" t="s">
        <v>122</v>
      </c>
      <c r="E25" s="5">
        <v>55</v>
      </c>
      <c r="G25" s="5">
        <v>48</v>
      </c>
      <c r="H25" s="5">
        <v>45</v>
      </c>
    </row>
    <row r="26" spans="1:8" x14ac:dyDescent="0.25">
      <c r="B26" s="5" t="s">
        <v>123</v>
      </c>
      <c r="E26" s="5">
        <v>42</v>
      </c>
      <c r="G26" s="5">
        <v>46</v>
      </c>
      <c r="H26" s="5">
        <v>44</v>
      </c>
    </row>
    <row r="28" spans="1:8" x14ac:dyDescent="0.25">
      <c r="A28" s="4" t="s">
        <v>3</v>
      </c>
      <c r="B28" s="7" t="s">
        <v>124</v>
      </c>
    </row>
    <row r="29" spans="1:8" x14ac:dyDescent="0.25">
      <c r="B29" s="8" t="s">
        <v>125</v>
      </c>
    </row>
    <row r="30" spans="1:8" x14ac:dyDescent="0.25">
      <c r="B30" s="5" t="s">
        <v>126</v>
      </c>
    </row>
    <row r="31" spans="1:8" x14ac:dyDescent="0.25">
      <c r="B31" s="5" t="s">
        <v>127</v>
      </c>
      <c r="F31" s="5">
        <v>46.4</v>
      </c>
      <c r="G31" s="5">
        <v>46.5</v>
      </c>
      <c r="H31" s="5">
        <v>56</v>
      </c>
    </row>
    <row r="32" spans="1:8" x14ac:dyDescent="0.25">
      <c r="B32" s="5" t="s">
        <v>128</v>
      </c>
      <c r="F32" s="5">
        <v>56.5</v>
      </c>
      <c r="G32" s="5">
        <v>66.099999999999994</v>
      </c>
      <c r="H32" s="5">
        <v>66.7</v>
      </c>
    </row>
    <row r="33" spans="1:14" x14ac:dyDescent="0.25">
      <c r="B33" s="6" t="s">
        <v>129</v>
      </c>
      <c r="F33" s="6">
        <f>F31+F32</f>
        <v>102.9</v>
      </c>
      <c r="G33" s="6">
        <f>G31+G32</f>
        <v>112.6</v>
      </c>
      <c r="H33" s="6">
        <f>H31+H32</f>
        <v>122.7</v>
      </c>
      <c r="J33" s="5" t="s">
        <v>130</v>
      </c>
      <c r="K33" s="5" t="s">
        <v>131</v>
      </c>
      <c r="L33" s="5" t="s">
        <v>132</v>
      </c>
      <c r="M33" s="5" t="s">
        <v>133</v>
      </c>
      <c r="N33" s="5" t="s">
        <v>134</v>
      </c>
    </row>
    <row r="34" spans="1:14" x14ac:dyDescent="0.25">
      <c r="B34" s="5" t="s">
        <v>135</v>
      </c>
      <c r="F34" s="5">
        <v>61.3</v>
      </c>
      <c r="G34" s="5">
        <v>37.6</v>
      </c>
      <c r="H34" s="5">
        <v>35.9</v>
      </c>
    </row>
    <row r="35" spans="1:14" x14ac:dyDescent="0.25">
      <c r="B35" s="6" t="s">
        <v>136</v>
      </c>
      <c r="D35" s="6">
        <v>73.7</v>
      </c>
      <c r="E35" s="6">
        <v>118.1</v>
      </c>
      <c r="F35" s="6">
        <f>F33+F34</f>
        <v>164.2</v>
      </c>
      <c r="G35" s="6">
        <f>G33+G34</f>
        <v>150.19999999999999</v>
      </c>
      <c r="H35" s="6">
        <f>H33+H34</f>
        <v>158.6</v>
      </c>
      <c r="J35" s="5">
        <v>260</v>
      </c>
      <c r="K35" s="5">
        <v>220</v>
      </c>
      <c r="L35" s="5">
        <v>77</v>
      </c>
      <c r="M35" s="5">
        <v>98</v>
      </c>
      <c r="N35" s="5">
        <v>50</v>
      </c>
    </row>
    <row r="36" spans="1:14" x14ac:dyDescent="0.25">
      <c r="B36" s="5" t="s">
        <v>137</v>
      </c>
      <c r="D36" s="5">
        <v>32.5</v>
      </c>
      <c r="E36" s="5">
        <v>39.700000000000003</v>
      </c>
      <c r="F36" s="5">
        <v>47.2</v>
      </c>
      <c r="G36" s="5">
        <v>48.5</v>
      </c>
      <c r="H36" s="5">
        <v>52</v>
      </c>
    </row>
    <row r="37" spans="1:14" x14ac:dyDescent="0.25">
      <c r="B37" s="8" t="s">
        <v>138</v>
      </c>
    </row>
    <row r="38" spans="1:14" x14ac:dyDescent="0.25">
      <c r="B38" s="5" t="s">
        <v>139</v>
      </c>
    </row>
    <row r="39" spans="1:14" x14ac:dyDescent="0.25">
      <c r="B39" s="5" t="s">
        <v>127</v>
      </c>
      <c r="D39" s="17"/>
      <c r="E39" s="17"/>
      <c r="F39" s="17">
        <v>6.34</v>
      </c>
      <c r="G39" s="17">
        <v>6.97</v>
      </c>
      <c r="H39" s="5">
        <v>7.89</v>
      </c>
    </row>
    <row r="40" spans="1:14" x14ac:dyDescent="0.25">
      <c r="B40" s="5" t="s">
        <v>128</v>
      </c>
      <c r="D40" s="17"/>
      <c r="E40" s="17"/>
      <c r="F40" s="17">
        <v>6.1</v>
      </c>
      <c r="G40" s="17">
        <v>5.93</v>
      </c>
      <c r="H40" s="5">
        <v>6.6</v>
      </c>
    </row>
    <row r="41" spans="1:14" x14ac:dyDescent="0.25">
      <c r="B41" s="6" t="s">
        <v>129</v>
      </c>
      <c r="D41" s="18">
        <v>4.8</v>
      </c>
      <c r="E41" s="18">
        <v>4.08</v>
      </c>
      <c r="F41" s="18">
        <v>6.22</v>
      </c>
      <c r="G41" s="18">
        <v>6.39</v>
      </c>
      <c r="H41" s="5">
        <v>7.18</v>
      </c>
    </row>
    <row r="42" spans="1:14" x14ac:dyDescent="0.25">
      <c r="B42" s="5" t="s">
        <v>135</v>
      </c>
      <c r="D42" s="17"/>
      <c r="E42" s="17"/>
      <c r="F42" s="17">
        <v>0.88</v>
      </c>
      <c r="G42" s="17">
        <v>0.66</v>
      </c>
      <c r="H42" s="5">
        <v>0.96</v>
      </c>
    </row>
    <row r="43" spans="1:14" x14ac:dyDescent="0.25">
      <c r="B43" s="5" t="s">
        <v>137</v>
      </c>
      <c r="D43" s="17">
        <v>4.3499999999999996</v>
      </c>
      <c r="E43" s="17">
        <v>4.57</v>
      </c>
      <c r="F43" s="17">
        <v>12.72</v>
      </c>
      <c r="G43" s="17">
        <v>12.17</v>
      </c>
      <c r="H43" s="5">
        <v>12.35</v>
      </c>
    </row>
    <row r="45" spans="1:14" x14ac:dyDescent="0.25">
      <c r="A45" s="4" t="s">
        <v>3</v>
      </c>
      <c r="B45" s="6" t="s">
        <v>140</v>
      </c>
    </row>
    <row r="46" spans="1:14" x14ac:dyDescent="0.25">
      <c r="B46" s="5" t="s">
        <v>141</v>
      </c>
      <c r="F46" s="5">
        <v>-663</v>
      </c>
      <c r="G46" s="5">
        <v>169</v>
      </c>
    </row>
    <row r="47" spans="1:14" x14ac:dyDescent="0.25">
      <c r="B47" s="5" t="s">
        <v>142</v>
      </c>
      <c r="F47" s="5">
        <v>-4</v>
      </c>
      <c r="G47" s="5">
        <v>-73</v>
      </c>
    </row>
    <row r="48" spans="1:14" x14ac:dyDescent="0.25">
      <c r="B48" s="5" t="s">
        <v>136</v>
      </c>
      <c r="F48" s="5">
        <f>F46+F47</f>
        <v>-667</v>
      </c>
      <c r="G48" s="5">
        <f>G46+G47</f>
        <v>96</v>
      </c>
    </row>
    <row r="50" spans="1:12" x14ac:dyDescent="0.25">
      <c r="A50" s="4" t="s">
        <v>3</v>
      </c>
      <c r="B50" s="7" t="s">
        <v>143</v>
      </c>
      <c r="I50" s="5" t="s">
        <v>144</v>
      </c>
    </row>
    <row r="51" spans="1:12" x14ac:dyDescent="0.25">
      <c r="B51" s="8" t="s">
        <v>145</v>
      </c>
      <c r="I51" t="s">
        <v>95</v>
      </c>
      <c r="J51" t="s">
        <v>96</v>
      </c>
      <c r="K51" t="s">
        <v>97</v>
      </c>
      <c r="L51" t="s">
        <v>98</v>
      </c>
    </row>
    <row r="52" spans="1:12" x14ac:dyDescent="0.25">
      <c r="B52" s="5" t="s">
        <v>146</v>
      </c>
      <c r="D52" s="5">
        <v>48350</v>
      </c>
      <c r="E52" s="5">
        <v>50866</v>
      </c>
      <c r="F52" s="5">
        <v>39569</v>
      </c>
      <c r="G52" s="5">
        <v>40635</v>
      </c>
      <c r="I52" s="5">
        <f>D52</f>
        <v>48350</v>
      </c>
      <c r="J52" s="5">
        <f>E52</f>
        <v>50866</v>
      </c>
      <c r="K52" s="5">
        <f>F52+F53</f>
        <v>56839</v>
      </c>
      <c r="L52" s="5">
        <f>G52+G53</f>
        <v>57746</v>
      </c>
    </row>
    <row r="53" spans="1:12" x14ac:dyDescent="0.25">
      <c r="B53" s="5" t="s">
        <v>147</v>
      </c>
      <c r="D53" s="5">
        <v>0</v>
      </c>
      <c r="E53" s="5">
        <v>0</v>
      </c>
      <c r="F53" s="5">
        <v>17270</v>
      </c>
      <c r="G53" s="5">
        <v>17111</v>
      </c>
    </row>
    <row r="54" spans="1:12" x14ac:dyDescent="0.25">
      <c r="B54" s="5" t="s">
        <v>70</v>
      </c>
      <c r="D54" s="5">
        <v>17038</v>
      </c>
      <c r="E54" s="5">
        <v>16552</v>
      </c>
      <c r="F54" s="5">
        <v>28085</v>
      </c>
      <c r="G54" s="5">
        <v>32549</v>
      </c>
    </row>
    <row r="55" spans="1:12" x14ac:dyDescent="0.25">
      <c r="B55" s="5" t="s">
        <v>148</v>
      </c>
      <c r="D55" s="5">
        <v>0</v>
      </c>
      <c r="E55" s="5">
        <v>0</v>
      </c>
      <c r="F55" s="5">
        <v>-1179</v>
      </c>
      <c r="G55" s="5">
        <v>-1397</v>
      </c>
    </row>
    <row r="56" spans="1:12" x14ac:dyDescent="0.25">
      <c r="B56" s="5" t="s">
        <v>149</v>
      </c>
      <c r="D56" s="5">
        <v>0</v>
      </c>
      <c r="E56" s="5">
        <v>0</v>
      </c>
      <c r="F56" s="5">
        <v>-1023</v>
      </c>
      <c r="G56" s="5">
        <v>0</v>
      </c>
    </row>
    <row r="57" spans="1:12" x14ac:dyDescent="0.25">
      <c r="B57" s="6" t="s">
        <v>136</v>
      </c>
      <c r="C57" s="6"/>
      <c r="D57" s="6">
        <f t="shared" ref="D57:E57" si="0">SUM(D52:D56)</f>
        <v>65388</v>
      </c>
      <c r="E57" s="6">
        <f t="shared" si="0"/>
        <v>67418</v>
      </c>
      <c r="F57" s="6">
        <f>SUM(F52:F56)</f>
        <v>82722</v>
      </c>
      <c r="G57" s="6">
        <f>SUM(G52:G56)</f>
        <v>88898</v>
      </c>
    </row>
    <row r="58" spans="1:12" x14ac:dyDescent="0.25">
      <c r="B58" s="8" t="s">
        <v>150</v>
      </c>
      <c r="I58" s="5" t="s">
        <v>144</v>
      </c>
    </row>
    <row r="59" spans="1:12" x14ac:dyDescent="0.25">
      <c r="B59" s="5" t="s">
        <v>146</v>
      </c>
      <c r="D59" s="5">
        <v>7653</v>
      </c>
      <c r="E59" s="5">
        <v>7295</v>
      </c>
      <c r="F59" s="5">
        <v>2126</v>
      </c>
      <c r="G59" s="5">
        <v>1444</v>
      </c>
      <c r="I59" t="s">
        <v>95</v>
      </c>
      <c r="J59" t="s">
        <v>96</v>
      </c>
      <c r="K59" t="s">
        <v>97</v>
      </c>
      <c r="L59" t="s">
        <v>98</v>
      </c>
    </row>
    <row r="60" spans="1:12" x14ac:dyDescent="0.25">
      <c r="B60" s="5" t="s">
        <v>147</v>
      </c>
      <c r="D60" s="5">
        <v>0</v>
      </c>
      <c r="E60" s="5">
        <v>0</v>
      </c>
      <c r="F60" s="5">
        <v>2710</v>
      </c>
      <c r="G60" s="5">
        <v>2465</v>
      </c>
      <c r="I60" s="5">
        <f>D59</f>
        <v>7653</v>
      </c>
      <c r="J60" s="5">
        <f>E59</f>
        <v>7295</v>
      </c>
      <c r="K60" s="5">
        <f>F59+F60</f>
        <v>4836</v>
      </c>
      <c r="L60" s="5">
        <f>G59+G60</f>
        <v>3909</v>
      </c>
    </row>
    <row r="61" spans="1:12" x14ac:dyDescent="0.25">
      <c r="B61" s="5" t="s">
        <v>70</v>
      </c>
      <c r="D61" s="5">
        <v>455</v>
      </c>
      <c r="E61" s="5">
        <v>471</v>
      </c>
      <c r="F61" s="5">
        <v>7285</v>
      </c>
      <c r="G61" s="5">
        <v>8954</v>
      </c>
    </row>
    <row r="62" spans="1:12" x14ac:dyDescent="0.25">
      <c r="B62" s="5" t="s">
        <v>151</v>
      </c>
      <c r="D62" s="5">
        <v>0</v>
      </c>
      <c r="E62" s="5">
        <v>0</v>
      </c>
      <c r="F62" s="5">
        <f>-1023-1159-237-667-1397-2353</f>
        <v>-6836</v>
      </c>
      <c r="G62" s="5">
        <f>-1147-3836+96-1209-1998</f>
        <v>-8094</v>
      </c>
    </row>
    <row r="63" spans="1:12" x14ac:dyDescent="0.25">
      <c r="B63" s="6" t="s">
        <v>136</v>
      </c>
      <c r="D63" s="6">
        <f>SUM(D59:D62)</f>
        <v>8108</v>
      </c>
      <c r="E63" s="6">
        <f>SUM(E59:E62)</f>
        <v>7766</v>
      </c>
      <c r="F63" s="6">
        <f>SUM(F59:F62)</f>
        <v>5285</v>
      </c>
      <c r="G63" s="6">
        <f>SUM(G59:G62)</f>
        <v>4769</v>
      </c>
    </row>
    <row r="64" spans="1:12" x14ac:dyDescent="0.25">
      <c r="B64" s="8" t="s">
        <v>152</v>
      </c>
      <c r="D64" s="6"/>
      <c r="E64" s="6"/>
      <c r="F64" s="6"/>
      <c r="G64" s="6"/>
    </row>
    <row r="65" spans="2:9" x14ac:dyDescent="0.25">
      <c r="B65" s="5" t="s">
        <v>146</v>
      </c>
      <c r="D65" s="9">
        <f t="shared" ref="D65:F65" si="1">D52/$G$57</f>
        <v>0.54388175212040768</v>
      </c>
      <c r="E65" s="9">
        <f t="shared" si="1"/>
        <v>0.57218385115525661</v>
      </c>
      <c r="F65" s="9">
        <f t="shared" si="1"/>
        <v>0.44510562667326597</v>
      </c>
      <c r="G65" s="9">
        <f>G52/$G$57</f>
        <v>0.45709689756799926</v>
      </c>
    </row>
    <row r="66" spans="2:9" x14ac:dyDescent="0.25">
      <c r="B66" s="5" t="s">
        <v>147</v>
      </c>
      <c r="D66" s="9">
        <f t="shared" ref="D66:G66" si="2">D53/$G$57</f>
        <v>0</v>
      </c>
      <c r="E66" s="9">
        <f t="shared" si="2"/>
        <v>0</v>
      </c>
      <c r="F66" s="9">
        <f t="shared" si="2"/>
        <v>0.19426758757227383</v>
      </c>
      <c r="G66" s="9">
        <f t="shared" si="2"/>
        <v>0.19247902090035771</v>
      </c>
    </row>
    <row r="67" spans="2:9" x14ac:dyDescent="0.25">
      <c r="B67" s="5" t="s">
        <v>70</v>
      </c>
      <c r="D67" s="9">
        <f t="shared" ref="D67:G67" si="3">D54/$G$57</f>
        <v>0.19165785506985533</v>
      </c>
      <c r="E67" s="9">
        <f t="shared" si="3"/>
        <v>0.18619091543116831</v>
      </c>
      <c r="F67" s="9">
        <f t="shared" si="3"/>
        <v>0.31592386780355014</v>
      </c>
      <c r="G67" s="9">
        <f t="shared" si="3"/>
        <v>0.36613872078111992</v>
      </c>
    </row>
    <row r="68" spans="2:9" x14ac:dyDescent="0.25">
      <c r="B68" s="8" t="s">
        <v>153</v>
      </c>
      <c r="D68" s="9"/>
      <c r="E68" s="9"/>
      <c r="F68" s="9"/>
      <c r="G68" s="9"/>
    </row>
    <row r="69" spans="2:9" x14ac:dyDescent="0.25">
      <c r="B69" s="5" t="s">
        <v>146</v>
      </c>
      <c r="D69" s="11" t="s">
        <v>154</v>
      </c>
      <c r="E69" s="9">
        <f t="shared" ref="E69:F69" si="4">E52/D52-1</f>
        <v>5.2037228541882197E-2</v>
      </c>
      <c r="F69" s="9">
        <f t="shared" si="4"/>
        <v>-0.22209334329414543</v>
      </c>
      <c r="G69" s="9">
        <f>G52/F52-1</f>
        <v>2.6940281533523791E-2</v>
      </c>
    </row>
    <row r="70" spans="2:9" x14ac:dyDescent="0.25">
      <c r="B70" s="5" t="s">
        <v>147</v>
      </c>
      <c r="D70" s="11" t="s">
        <v>154</v>
      </c>
      <c r="E70" s="9" t="e">
        <f t="shared" ref="E70:G70" si="5">E53/D53-1</f>
        <v>#DIV/0!</v>
      </c>
      <c r="F70" s="9" t="e">
        <f t="shared" si="5"/>
        <v>#DIV/0!</v>
      </c>
      <c r="G70" s="9">
        <f t="shared" si="5"/>
        <v>-9.2067168500289398E-3</v>
      </c>
    </row>
    <row r="71" spans="2:9" x14ac:dyDescent="0.25">
      <c r="B71" s="5" t="s">
        <v>70</v>
      </c>
      <c r="D71" s="11" t="s">
        <v>154</v>
      </c>
      <c r="E71" s="9">
        <f t="shared" ref="E71:G71" si="6">E54/D54-1</f>
        <v>-2.8524474703603753E-2</v>
      </c>
      <c r="F71" s="9">
        <f t="shared" si="6"/>
        <v>0.69677380376993714</v>
      </c>
      <c r="G71" s="9">
        <f t="shared" si="6"/>
        <v>0.15894605661385075</v>
      </c>
    </row>
    <row r="72" spans="2:9" x14ac:dyDescent="0.25">
      <c r="B72" s="8" t="s">
        <v>155</v>
      </c>
      <c r="D72" s="9"/>
      <c r="E72" s="9"/>
      <c r="F72" s="9"/>
      <c r="G72" s="9"/>
    </row>
    <row r="73" spans="2:9" x14ac:dyDescent="0.25">
      <c r="B73" s="5" t="s">
        <v>146</v>
      </c>
      <c r="D73" s="15">
        <f t="shared" ref="D73:F73" si="7">D59/D52</f>
        <v>0.15828335056876938</v>
      </c>
      <c r="E73" s="15">
        <f t="shared" si="7"/>
        <v>0.14341603428616365</v>
      </c>
      <c r="F73" s="15">
        <f t="shared" si="7"/>
        <v>5.3728929212262126E-2</v>
      </c>
      <c r="G73" s="15">
        <f>G59/G52</f>
        <v>3.5535868094007626E-2</v>
      </c>
      <c r="I73" s="16"/>
    </row>
    <row r="74" spans="2:9" x14ac:dyDescent="0.25">
      <c r="B74" s="5" t="s">
        <v>147</v>
      </c>
      <c r="D74" s="15" t="e">
        <f t="shared" ref="D74:G74" si="8">D60/D53</f>
        <v>#DIV/0!</v>
      </c>
      <c r="E74" s="15" t="e">
        <f t="shared" si="8"/>
        <v>#DIV/0!</v>
      </c>
      <c r="F74" s="15">
        <f t="shared" si="8"/>
        <v>0.15691951360741169</v>
      </c>
      <c r="G74" s="15">
        <f t="shared" si="8"/>
        <v>0.14405937700894161</v>
      </c>
    </row>
    <row r="75" spans="2:9" x14ac:dyDescent="0.25">
      <c r="B75" s="5" t="s">
        <v>70</v>
      </c>
      <c r="D75" s="15">
        <f t="shared" ref="D75:G75" si="9">D61/D54</f>
        <v>2.6705012325390305E-2</v>
      </c>
      <c r="E75" s="15">
        <f t="shared" si="9"/>
        <v>2.8455775737071049E-2</v>
      </c>
      <c r="F75" s="15">
        <f t="shared" si="9"/>
        <v>0.259391134057326</v>
      </c>
      <c r="G75" s="15">
        <f t="shared" si="9"/>
        <v>0.27509293680297398</v>
      </c>
    </row>
    <row r="76" spans="2:9" x14ac:dyDescent="0.25">
      <c r="B76" s="6" t="s">
        <v>136</v>
      </c>
      <c r="D76" s="14">
        <f>D63/D57</f>
        <v>0.12399828714748884</v>
      </c>
      <c r="E76" s="14">
        <f>E63/E57</f>
        <v>0.11519178854311905</v>
      </c>
      <c r="F76" s="14">
        <f>F63/F57</f>
        <v>6.3888687410845968E-2</v>
      </c>
      <c r="G76" s="14">
        <f>G63/G57</f>
        <v>5.3645751310490673E-2</v>
      </c>
    </row>
  </sheetData>
  <hyperlinks>
    <hyperlink ref="A1" location="Main!A1" display="Main" xr:uid="{803A35A7-668D-4FD6-9F3B-AFED52C45C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A363-75D9-47B2-8E24-D134897828F4}">
  <dimension ref="A1:J45"/>
  <sheetViews>
    <sheetView showGridLines="0" topLeftCell="A7" zoomScale="200" zoomScaleNormal="200" workbookViewId="0">
      <selection activeCell="B29" sqref="B29"/>
    </sheetView>
  </sheetViews>
  <sheetFormatPr defaultRowHeight="15" x14ac:dyDescent="0.25"/>
  <cols>
    <col min="1" max="1" width="4.42578125" customWidth="1"/>
  </cols>
  <sheetData>
    <row r="1" spans="1:2" x14ac:dyDescent="0.25">
      <c r="A1" s="1" t="s">
        <v>94</v>
      </c>
    </row>
    <row r="3" spans="1:2" x14ac:dyDescent="0.25">
      <c r="B3" s="2" t="s">
        <v>156</v>
      </c>
    </row>
    <row r="6" spans="1:2" x14ac:dyDescent="0.25">
      <c r="A6" s="4" t="s">
        <v>3</v>
      </c>
      <c r="B6" s="3" t="s">
        <v>157</v>
      </c>
    </row>
    <row r="8" spans="1:2" x14ac:dyDescent="0.25">
      <c r="B8" t="s">
        <v>158</v>
      </c>
    </row>
    <row r="9" spans="1:2" x14ac:dyDescent="0.25">
      <c r="B9" t="s">
        <v>159</v>
      </c>
    </row>
    <row r="10" spans="1:2" x14ac:dyDescent="0.25">
      <c r="B10" t="s">
        <v>160</v>
      </c>
    </row>
    <row r="11" spans="1:2" x14ac:dyDescent="0.25">
      <c r="B11" t="s">
        <v>161</v>
      </c>
    </row>
    <row r="12" spans="1:2" x14ac:dyDescent="0.25">
      <c r="B12" t="s">
        <v>162</v>
      </c>
    </row>
    <row r="15" spans="1:2" x14ac:dyDescent="0.25">
      <c r="A15" s="4" t="s">
        <v>3</v>
      </c>
      <c r="B15" s="3" t="s">
        <v>163</v>
      </c>
    </row>
    <row r="16" spans="1:2" x14ac:dyDescent="0.25">
      <c r="B16" t="s">
        <v>164</v>
      </c>
    </row>
    <row r="17" spans="1:6" x14ac:dyDescent="0.25">
      <c r="B17" t="s">
        <v>165</v>
      </c>
    </row>
    <row r="18" spans="1:6" x14ac:dyDescent="0.25">
      <c r="B18" t="s">
        <v>166</v>
      </c>
    </row>
    <row r="19" spans="1:6" x14ac:dyDescent="0.25">
      <c r="B19" t="s">
        <v>167</v>
      </c>
    </row>
    <row r="20" spans="1:6" x14ac:dyDescent="0.25">
      <c r="B20" t="s">
        <v>168</v>
      </c>
    </row>
    <row r="21" spans="1:6" x14ac:dyDescent="0.25">
      <c r="B21" t="s">
        <v>169</v>
      </c>
    </row>
    <row r="22" spans="1:6" x14ac:dyDescent="0.25">
      <c r="B22" t="s">
        <v>170</v>
      </c>
    </row>
    <row r="24" spans="1:6" x14ac:dyDescent="0.25">
      <c r="B24" s="10" t="s">
        <v>171</v>
      </c>
    </row>
    <row r="25" spans="1:6" x14ac:dyDescent="0.25">
      <c r="B25" t="s">
        <v>172</v>
      </c>
    </row>
    <row r="26" spans="1:6" x14ac:dyDescent="0.25">
      <c r="B26" t="s">
        <v>173</v>
      </c>
    </row>
    <row r="27" spans="1:6" x14ac:dyDescent="0.25">
      <c r="B27" t="s">
        <v>174</v>
      </c>
    </row>
    <row r="29" spans="1:6" x14ac:dyDescent="0.25">
      <c r="A29" s="4" t="s">
        <v>3</v>
      </c>
      <c r="B29" s="3" t="s">
        <v>175</v>
      </c>
    </row>
    <row r="31" spans="1:6" x14ac:dyDescent="0.25">
      <c r="B31" t="s">
        <v>176</v>
      </c>
      <c r="F31" s="35" t="s">
        <v>177</v>
      </c>
    </row>
    <row r="33" spans="2:10" x14ac:dyDescent="0.25">
      <c r="B33" t="s">
        <v>178</v>
      </c>
      <c r="J33" t="s">
        <v>179</v>
      </c>
    </row>
    <row r="34" spans="2:10" x14ac:dyDescent="0.25">
      <c r="B34" t="s">
        <v>180</v>
      </c>
      <c r="J34" t="s">
        <v>179</v>
      </c>
    </row>
    <row r="35" spans="2:10" x14ac:dyDescent="0.25">
      <c r="B35" t="s">
        <v>181</v>
      </c>
      <c r="J35" t="s">
        <v>179</v>
      </c>
    </row>
    <row r="36" spans="2:10" x14ac:dyDescent="0.25">
      <c r="B36" t="s">
        <v>182</v>
      </c>
      <c r="J36" t="s">
        <v>179</v>
      </c>
    </row>
    <row r="37" spans="2:10" x14ac:dyDescent="0.25">
      <c r="B37" t="s">
        <v>183</v>
      </c>
      <c r="J37" t="s">
        <v>179</v>
      </c>
    </row>
    <row r="39" spans="2:10" x14ac:dyDescent="0.25">
      <c r="B39" s="10" t="s">
        <v>184</v>
      </c>
    </row>
    <row r="40" spans="2:10" x14ac:dyDescent="0.25">
      <c r="B40" t="s">
        <v>185</v>
      </c>
      <c r="J40" t="s">
        <v>179</v>
      </c>
    </row>
    <row r="41" spans="2:10" x14ac:dyDescent="0.25">
      <c r="B41" t="s">
        <v>186</v>
      </c>
      <c r="J41" t="s">
        <v>179</v>
      </c>
    </row>
    <row r="42" spans="2:10" x14ac:dyDescent="0.25">
      <c r="B42" t="s">
        <v>187</v>
      </c>
      <c r="J42" t="s">
        <v>179</v>
      </c>
    </row>
    <row r="43" spans="2:10" x14ac:dyDescent="0.25">
      <c r="B43" t="s">
        <v>188</v>
      </c>
      <c r="J43" t="s">
        <v>179</v>
      </c>
    </row>
    <row r="45" spans="2:10" x14ac:dyDescent="0.25">
      <c r="B45" t="s">
        <v>189</v>
      </c>
    </row>
  </sheetData>
  <hyperlinks>
    <hyperlink ref="A1" location="Main!A1" display="Main" xr:uid="{88B75D62-1E38-4FB4-8366-D12FE2375D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2B5-9041-465B-B3B8-67223B3D15F9}">
  <dimension ref="A1:AR141"/>
  <sheetViews>
    <sheetView zoomScale="200" zoomScaleNormal="200" workbookViewId="0">
      <pane xSplit="2" ySplit="2" topLeftCell="P33" activePane="bottomRight" state="frozen"/>
      <selection pane="topRight" activeCell="C1" sqref="C1"/>
      <selection pane="bottomLeft" activeCell="A3" sqref="A3"/>
      <selection pane="bottomRight" activeCell="S44" sqref="S44"/>
    </sheetView>
  </sheetViews>
  <sheetFormatPr defaultColWidth="8.7109375" defaultRowHeight="15" x14ac:dyDescent="0.25"/>
  <cols>
    <col min="1" max="1" width="4.5703125" customWidth="1"/>
    <col min="2" max="2" width="33.7109375" style="5" customWidth="1"/>
    <col min="3" max="13" width="8.7109375" style="5"/>
    <col min="14" max="14" width="8.85546875" style="5" bestFit="1" customWidth="1"/>
    <col min="15" max="15" width="8.7109375" style="5"/>
    <col min="16" max="18" width="8.85546875" style="5" bestFit="1" customWidth="1"/>
    <col min="19" max="16384" width="8.7109375" style="5"/>
  </cols>
  <sheetData>
    <row r="1" spans="1:44" customFormat="1" x14ac:dyDescent="0.25">
      <c r="A1" s="1" t="s">
        <v>94</v>
      </c>
      <c r="M1" s="25" t="s">
        <v>190</v>
      </c>
      <c r="N1" s="25" t="s">
        <v>190</v>
      </c>
      <c r="O1" s="25" t="s">
        <v>190</v>
      </c>
      <c r="P1" s="25" t="s">
        <v>190</v>
      </c>
      <c r="Q1" s="25" t="s">
        <v>190</v>
      </c>
      <c r="R1" s="25" t="s">
        <v>190</v>
      </c>
      <c r="S1" s="25" t="s">
        <v>191</v>
      </c>
      <c r="U1" s="5"/>
      <c r="V1" s="5"/>
      <c r="W1" s="5"/>
      <c r="X1" s="5"/>
      <c r="Y1" s="5"/>
      <c r="Z1" s="5"/>
      <c r="AA1" s="5"/>
      <c r="AB1" s="5"/>
    </row>
    <row r="2" spans="1:44" customFormat="1" x14ac:dyDescent="0.25">
      <c r="A2" s="1"/>
      <c r="C2" s="25" t="s">
        <v>195</v>
      </c>
      <c r="D2" s="25" t="s">
        <v>196</v>
      </c>
      <c r="E2" s="25" t="s">
        <v>197</v>
      </c>
      <c r="F2" s="25" t="s">
        <v>198</v>
      </c>
      <c r="G2" s="25" t="s">
        <v>199</v>
      </c>
      <c r="H2" s="25" t="s">
        <v>200</v>
      </c>
      <c r="I2" s="25" t="s">
        <v>658</v>
      </c>
      <c r="J2" s="25" t="s">
        <v>659</v>
      </c>
      <c r="M2" s="25" t="s">
        <v>192</v>
      </c>
      <c r="N2" s="25" t="s">
        <v>193</v>
      </c>
      <c r="O2" s="25" t="s">
        <v>95</v>
      </c>
      <c r="P2" s="25" t="s">
        <v>96</v>
      </c>
      <c r="Q2" s="25" t="s">
        <v>97</v>
      </c>
      <c r="R2" s="25" t="s">
        <v>98</v>
      </c>
      <c r="S2" s="25" t="s">
        <v>194</v>
      </c>
      <c r="U2" s="5"/>
      <c r="V2" s="5"/>
      <c r="W2" s="5"/>
      <c r="X2" s="5"/>
      <c r="Y2" s="5"/>
      <c r="Z2" s="5"/>
      <c r="AA2" s="5"/>
      <c r="AB2" s="5"/>
    </row>
    <row r="3" spans="1:44" x14ac:dyDescent="0.25">
      <c r="B3" s="5" t="s">
        <v>201</v>
      </c>
      <c r="C3" s="66">
        <f>40583-D3</f>
        <v>20997</v>
      </c>
      <c r="D3" s="66">
        <v>19586</v>
      </c>
      <c r="E3" s="66">
        <v>20008</v>
      </c>
      <c r="F3" s="66">
        <f>R3-SUM(C3:E3)</f>
        <v>18971</v>
      </c>
      <c r="G3" s="66">
        <f>40732-H3</f>
        <v>20975</v>
      </c>
      <c r="H3" s="66">
        <v>19757</v>
      </c>
      <c r="I3" s="66"/>
      <c r="J3" s="66"/>
      <c r="K3" s="66"/>
      <c r="L3" s="66"/>
      <c r="M3" s="66">
        <v>50869</v>
      </c>
      <c r="N3" s="66">
        <v>60579</v>
      </c>
      <c r="O3" s="66">
        <v>59265</v>
      </c>
      <c r="P3" s="66">
        <v>61768</v>
      </c>
      <c r="Q3" s="66">
        <v>74200</v>
      </c>
      <c r="R3" s="66">
        <v>79562</v>
      </c>
      <c r="S3" s="66">
        <v>81841</v>
      </c>
      <c r="T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</row>
    <row r="4" spans="1:44" x14ac:dyDescent="0.25">
      <c r="B4" s="5" t="s">
        <v>202</v>
      </c>
      <c r="C4" s="66">
        <f>4744-D4</f>
        <v>2515</v>
      </c>
      <c r="D4" s="66">
        <v>2229</v>
      </c>
      <c r="E4" s="66">
        <v>2322</v>
      </c>
      <c r="F4" s="66">
        <f>R4-SUM(C4:E4)</f>
        <v>2270</v>
      </c>
      <c r="G4" s="66">
        <f>4900-H4</f>
        <v>2574</v>
      </c>
      <c r="H4" s="66">
        <v>2326</v>
      </c>
      <c r="I4" s="66"/>
      <c r="J4" s="66"/>
      <c r="K4" s="66"/>
      <c r="L4" s="66"/>
      <c r="M4" s="66">
        <v>8565</v>
      </c>
      <c r="N4" s="66">
        <v>9028</v>
      </c>
      <c r="O4" s="66">
        <v>6123</v>
      </c>
      <c r="P4" s="66">
        <v>5650</v>
      </c>
      <c r="Q4" s="66">
        <v>8522</v>
      </c>
      <c r="R4" s="66">
        <v>9336</v>
      </c>
      <c r="S4" s="66">
        <v>9520</v>
      </c>
      <c r="T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</row>
    <row r="5" spans="1:44" x14ac:dyDescent="0.25">
      <c r="B5" s="6" t="s">
        <v>657</v>
      </c>
      <c r="C5" s="67">
        <f t="shared" ref="C5:H5" si="0">C3+C4</f>
        <v>23512</v>
      </c>
      <c r="D5" s="67">
        <f t="shared" si="0"/>
        <v>21815</v>
      </c>
      <c r="E5" s="67">
        <f t="shared" si="0"/>
        <v>22330</v>
      </c>
      <c r="F5" s="67">
        <f t="shared" si="0"/>
        <v>21241</v>
      </c>
      <c r="G5" s="67">
        <f t="shared" si="0"/>
        <v>23549</v>
      </c>
      <c r="H5" s="67">
        <f t="shared" si="0"/>
        <v>22083</v>
      </c>
      <c r="I5" s="66"/>
      <c r="J5" s="66"/>
      <c r="K5" s="66"/>
      <c r="L5" s="66"/>
      <c r="M5" s="67">
        <f t="shared" ref="M5:Q5" si="1">M3+M4</f>
        <v>59434</v>
      </c>
      <c r="N5" s="67">
        <f t="shared" si="1"/>
        <v>69607</v>
      </c>
      <c r="O5" s="67">
        <f t="shared" si="1"/>
        <v>65388</v>
      </c>
      <c r="P5" s="67">
        <f t="shared" si="1"/>
        <v>67418</v>
      </c>
      <c r="Q5" s="67">
        <f t="shared" si="1"/>
        <v>82722</v>
      </c>
      <c r="R5" s="67">
        <f>R3+R4</f>
        <v>88898</v>
      </c>
      <c r="S5" s="67">
        <f>+S3+S4</f>
        <v>91361</v>
      </c>
      <c r="T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1:44" x14ac:dyDescent="0.25">
      <c r="B6" s="5" t="s">
        <v>203</v>
      </c>
      <c r="C6" s="66">
        <f>27941-D6</f>
        <v>14781</v>
      </c>
      <c r="D6" s="66">
        <v>13160</v>
      </c>
      <c r="E6" s="66">
        <v>12974</v>
      </c>
      <c r="F6" s="66">
        <f>R6-SUM(C6:E6)</f>
        <v>12224</v>
      </c>
      <c r="G6" s="66">
        <f>26585-H6</f>
        <v>13922</v>
      </c>
      <c r="H6" s="66">
        <v>12663</v>
      </c>
      <c r="I6" s="66"/>
      <c r="J6" s="66"/>
      <c r="K6" s="66"/>
      <c r="L6" s="66"/>
      <c r="M6" s="66">
        <v>27528</v>
      </c>
      <c r="N6" s="66">
        <v>36493</v>
      </c>
      <c r="O6" s="66">
        <v>39406</v>
      </c>
      <c r="P6" s="66">
        <v>41129</v>
      </c>
      <c r="Q6" s="66">
        <v>48962</v>
      </c>
      <c r="R6" s="66">
        <v>53139</v>
      </c>
      <c r="S6" s="66">
        <v>52509</v>
      </c>
      <c r="T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</row>
    <row r="7" spans="1:44" x14ac:dyDescent="0.25">
      <c r="B7" s="5" t="s">
        <v>204</v>
      </c>
      <c r="C7" s="66">
        <f>3061-D7</f>
        <v>1605</v>
      </c>
      <c r="D7" s="66">
        <v>1456</v>
      </c>
      <c r="E7" s="66">
        <v>1497</v>
      </c>
      <c r="F7" s="66">
        <f>R7-SUM(C7:E7)</f>
        <v>1504</v>
      </c>
      <c r="G7" s="66">
        <f>3174-H7</f>
        <v>1665</v>
      </c>
      <c r="H7" s="66">
        <v>1509</v>
      </c>
      <c r="I7" s="66"/>
      <c r="J7" s="66"/>
      <c r="K7" s="66"/>
      <c r="L7" s="66"/>
      <c r="M7" s="66">
        <v>5198</v>
      </c>
      <c r="N7" s="66">
        <v>5568</v>
      </c>
      <c r="O7" s="66">
        <v>4474</v>
      </c>
      <c r="P7" s="66">
        <v>4002</v>
      </c>
      <c r="Q7" s="66">
        <v>5439</v>
      </c>
      <c r="R7" s="66">
        <v>6062</v>
      </c>
      <c r="S7" s="66">
        <v>6189</v>
      </c>
      <c r="T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</row>
    <row r="8" spans="1:44" x14ac:dyDescent="0.25">
      <c r="B8" s="5" t="s">
        <v>205</v>
      </c>
      <c r="C8" s="66">
        <f t="shared" ref="C8:H8" si="2">C6+C7</f>
        <v>16386</v>
      </c>
      <c r="D8" s="66">
        <f t="shared" si="2"/>
        <v>14616</v>
      </c>
      <c r="E8" s="66">
        <f t="shared" si="2"/>
        <v>14471</v>
      </c>
      <c r="F8" s="66">
        <f>R8-SUM(C8:E8)</f>
        <v>13728</v>
      </c>
      <c r="G8" s="66">
        <f t="shared" si="2"/>
        <v>15587</v>
      </c>
      <c r="H8" s="66">
        <f t="shared" si="2"/>
        <v>14172</v>
      </c>
      <c r="I8" s="66"/>
      <c r="J8" s="66"/>
      <c r="K8" s="66"/>
      <c r="L8" s="66"/>
      <c r="M8" s="66">
        <f t="shared" ref="M8:Q8" si="3">M6+M7</f>
        <v>32726</v>
      </c>
      <c r="N8" s="66">
        <f t="shared" si="3"/>
        <v>42061</v>
      </c>
      <c r="O8" s="66">
        <f t="shared" si="3"/>
        <v>43880</v>
      </c>
      <c r="P8" s="66">
        <f t="shared" si="3"/>
        <v>45131</v>
      </c>
      <c r="Q8" s="66">
        <f t="shared" si="3"/>
        <v>54401</v>
      </c>
      <c r="R8" s="66">
        <f>R6+R7</f>
        <v>59201</v>
      </c>
      <c r="S8" s="66">
        <f>S6+S7</f>
        <v>58698</v>
      </c>
      <c r="T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</row>
    <row r="9" spans="1:44" x14ac:dyDescent="0.25">
      <c r="B9" s="5" t="s">
        <v>206</v>
      </c>
      <c r="C9" s="66">
        <f t="shared" ref="C9:H9" si="4">C5-C8</f>
        <v>7126</v>
      </c>
      <c r="D9" s="66">
        <f t="shared" si="4"/>
        <v>7199</v>
      </c>
      <c r="E9" s="66">
        <f t="shared" si="4"/>
        <v>7859</v>
      </c>
      <c r="F9" s="66">
        <f t="shared" si="4"/>
        <v>7513</v>
      </c>
      <c r="G9" s="66">
        <f t="shared" si="4"/>
        <v>7962</v>
      </c>
      <c r="H9" s="66">
        <f t="shared" si="4"/>
        <v>7911</v>
      </c>
      <c r="I9" s="66"/>
      <c r="J9" s="66"/>
      <c r="K9" s="66"/>
      <c r="L9" s="66"/>
      <c r="M9" s="66">
        <f t="shared" ref="M9:S9" si="5">M5-M8</f>
        <v>26708</v>
      </c>
      <c r="N9" s="66">
        <f t="shared" si="5"/>
        <v>27546</v>
      </c>
      <c r="O9" s="66">
        <f t="shared" si="5"/>
        <v>21508</v>
      </c>
      <c r="P9" s="66">
        <f t="shared" si="5"/>
        <v>22287</v>
      </c>
      <c r="Q9" s="66">
        <f t="shared" si="5"/>
        <v>28321</v>
      </c>
      <c r="R9" s="66">
        <f t="shared" si="5"/>
        <v>29697</v>
      </c>
      <c r="S9" s="66">
        <f t="shared" si="5"/>
        <v>32663</v>
      </c>
      <c r="T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</row>
    <row r="10" spans="1:44" x14ac:dyDescent="0.25">
      <c r="B10" s="5" t="s">
        <v>207</v>
      </c>
      <c r="C10" s="66">
        <f>7441-D10</f>
        <v>3827</v>
      </c>
      <c r="D10" s="66">
        <v>3614</v>
      </c>
      <c r="E10" s="66">
        <v>3874</v>
      </c>
      <c r="F10" s="66">
        <f>R10-SUM(C10:E10)</f>
        <v>4021</v>
      </c>
      <c r="G10" s="66">
        <f>7573-H10</f>
        <v>3783</v>
      </c>
      <c r="H10" s="66">
        <v>3790</v>
      </c>
      <c r="I10" s="66"/>
      <c r="J10" s="66"/>
      <c r="K10" s="66"/>
      <c r="L10" s="66"/>
      <c r="M10" s="66">
        <v>8860</v>
      </c>
      <c r="N10" s="66">
        <v>11549</v>
      </c>
      <c r="O10" s="66">
        <v>12369</v>
      </c>
      <c r="P10" s="66">
        <v>13517</v>
      </c>
      <c r="Q10" s="66">
        <v>16388</v>
      </c>
      <c r="R10" s="66">
        <v>15336</v>
      </c>
      <c r="S10" s="66">
        <v>15759</v>
      </c>
      <c r="T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</row>
    <row r="11" spans="1:44" x14ac:dyDescent="0.25">
      <c r="B11" s="5" t="s">
        <v>208</v>
      </c>
      <c r="C11" s="66">
        <f>2616-D11</f>
        <v>1306</v>
      </c>
      <c r="D11" s="66">
        <v>1310</v>
      </c>
      <c r="E11" s="66">
        <v>1344</v>
      </c>
      <c r="F11" s="66">
        <f>R11-SUM(C11:E11)</f>
        <v>1409</v>
      </c>
      <c r="G11" s="66">
        <f>2485-H11</f>
        <v>1243</v>
      </c>
      <c r="H11" s="66">
        <v>1242</v>
      </c>
      <c r="I11" s="66"/>
      <c r="J11" s="66"/>
      <c r="K11" s="66"/>
      <c r="L11" s="66"/>
      <c r="M11" s="66">
        <v>3011</v>
      </c>
      <c r="N11" s="66">
        <v>4167</v>
      </c>
      <c r="O11" s="66">
        <v>5345</v>
      </c>
      <c r="P11" s="66">
        <v>5111</v>
      </c>
      <c r="Q11" s="66">
        <v>5163</v>
      </c>
      <c r="R11" s="66">
        <v>5369</v>
      </c>
      <c r="S11" s="66">
        <v>4990</v>
      </c>
      <c r="T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</row>
    <row r="12" spans="1:44" x14ac:dyDescent="0.25">
      <c r="B12" s="5" t="s">
        <v>209</v>
      </c>
      <c r="C12" s="66">
        <f t="shared" ref="C12:H12" si="6">C10+C11</f>
        <v>5133</v>
      </c>
      <c r="D12" s="66">
        <f t="shared" si="6"/>
        <v>4924</v>
      </c>
      <c r="E12" s="66">
        <f t="shared" si="6"/>
        <v>5218</v>
      </c>
      <c r="F12" s="66">
        <f>R12-SUM(C12:E12)</f>
        <v>5430</v>
      </c>
      <c r="G12" s="66">
        <f t="shared" si="6"/>
        <v>5026</v>
      </c>
      <c r="H12" s="66">
        <f t="shared" si="6"/>
        <v>5032</v>
      </c>
      <c r="I12" s="66"/>
      <c r="J12" s="66"/>
      <c r="K12" s="66"/>
      <c r="L12" s="66"/>
      <c r="M12" s="66">
        <f t="shared" ref="M12:Q12" si="7">M10+M11</f>
        <v>11871</v>
      </c>
      <c r="N12" s="66">
        <f t="shared" si="7"/>
        <v>15716</v>
      </c>
      <c r="O12" s="66">
        <f t="shared" si="7"/>
        <v>17714</v>
      </c>
      <c r="P12" s="66">
        <f t="shared" si="7"/>
        <v>18628</v>
      </c>
      <c r="Q12" s="66">
        <f t="shared" si="7"/>
        <v>21551</v>
      </c>
      <c r="R12" s="66">
        <f>R10+R11</f>
        <v>20705</v>
      </c>
      <c r="S12" s="66">
        <f>S10+S11</f>
        <v>20749</v>
      </c>
      <c r="T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</row>
    <row r="13" spans="1:44" x14ac:dyDescent="0.25">
      <c r="B13" s="5" t="s">
        <v>210</v>
      </c>
      <c r="C13" s="66">
        <f t="shared" ref="C13" si="8">C9-C12</f>
        <v>1993</v>
      </c>
      <c r="D13" s="66">
        <f t="shared" ref="D13" si="9">D9-D12</f>
        <v>2275</v>
      </c>
      <c r="E13" s="66">
        <f t="shared" ref="E13" si="10">E9-E12</f>
        <v>2641</v>
      </c>
      <c r="F13" s="66">
        <f t="shared" ref="F13" si="11">F9-F12</f>
        <v>2083</v>
      </c>
      <c r="G13" s="66">
        <f t="shared" ref="G13" si="12">G9-G12</f>
        <v>2936</v>
      </c>
      <c r="H13" s="66">
        <f>H9-H12</f>
        <v>2879</v>
      </c>
      <c r="I13" s="66"/>
      <c r="J13" s="66"/>
      <c r="K13" s="66"/>
      <c r="L13" s="66"/>
      <c r="M13" s="66">
        <f t="shared" ref="M13:Q13" si="13">M9-M12</f>
        <v>14837</v>
      </c>
      <c r="N13" s="66">
        <f t="shared" si="13"/>
        <v>11830</v>
      </c>
      <c r="O13" s="66">
        <f t="shared" si="13"/>
        <v>3794</v>
      </c>
      <c r="P13" s="66">
        <f t="shared" si="13"/>
        <v>3659</v>
      </c>
      <c r="Q13" s="66">
        <f t="shared" si="13"/>
        <v>6770</v>
      </c>
      <c r="R13" s="66">
        <f>R9-R12</f>
        <v>8992</v>
      </c>
      <c r="S13" s="66">
        <f>S9-S12</f>
        <v>11914</v>
      </c>
      <c r="T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</row>
    <row r="14" spans="1:44" x14ac:dyDescent="0.25">
      <c r="B14" s="5" t="s">
        <v>656</v>
      </c>
      <c r="C14" s="66">
        <f>221-D14</f>
        <v>69</v>
      </c>
      <c r="D14" s="66">
        <v>152</v>
      </c>
      <c r="E14" s="66">
        <v>2650</v>
      </c>
      <c r="F14" s="66">
        <f>R14-SUM(C14:E14)</f>
        <v>1021</v>
      </c>
      <c r="G14" s="66">
        <f>H14-2052</f>
        <v>0</v>
      </c>
      <c r="H14" s="66">
        <v>2052</v>
      </c>
      <c r="I14" s="66"/>
      <c r="J14" s="66"/>
      <c r="K14" s="66"/>
      <c r="L14" s="66"/>
      <c r="M14" s="66">
        <v>33</v>
      </c>
      <c r="N14" s="66">
        <v>1183</v>
      </c>
      <c r="O14" s="66">
        <v>5735</v>
      </c>
      <c r="P14" s="66">
        <v>654</v>
      </c>
      <c r="Q14" s="66">
        <v>237</v>
      </c>
      <c r="R14" s="66">
        <v>3892</v>
      </c>
      <c r="S14" s="66">
        <v>3595</v>
      </c>
      <c r="T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</row>
    <row r="15" spans="1:44" x14ac:dyDescent="0.25">
      <c r="B15" s="5" t="s">
        <v>211</v>
      </c>
      <c r="C15" s="66">
        <f>107-D15</f>
        <v>-42</v>
      </c>
      <c r="D15" s="66">
        <v>149</v>
      </c>
      <c r="E15" s="66">
        <v>-11</v>
      </c>
      <c r="F15" s="66">
        <f>R15-SUM(C15:E15)</f>
        <v>0</v>
      </c>
      <c r="G15" s="66">
        <v>0</v>
      </c>
      <c r="H15" s="66">
        <v>0</v>
      </c>
      <c r="I15" s="66"/>
      <c r="J15" s="66"/>
      <c r="K15" s="66"/>
      <c r="L15" s="66"/>
      <c r="M15" s="66">
        <v>601</v>
      </c>
      <c r="N15" s="66">
        <v>4357</v>
      </c>
      <c r="O15" s="66">
        <v>1038</v>
      </c>
      <c r="P15" s="66">
        <v>201</v>
      </c>
      <c r="Q15" s="66">
        <v>-667</v>
      </c>
      <c r="R15" s="66">
        <v>96</v>
      </c>
      <c r="S15" s="66">
        <v>-65</v>
      </c>
      <c r="T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</row>
    <row r="16" spans="1:44" x14ac:dyDescent="0.25">
      <c r="B16" s="5" t="s">
        <v>212</v>
      </c>
      <c r="C16" s="66">
        <f>622-D16</f>
        <v>300</v>
      </c>
      <c r="D16" s="66">
        <v>322</v>
      </c>
      <c r="E16" s="66">
        <v>305</v>
      </c>
      <c r="F16" s="66">
        <f>R16-SUM(C16:E16)</f>
        <v>282</v>
      </c>
      <c r="G16" s="66">
        <f>557-H16</f>
        <v>246</v>
      </c>
      <c r="H16" s="66">
        <v>311</v>
      </c>
      <c r="I16" s="66"/>
      <c r="J16" s="66"/>
      <c r="K16" s="66"/>
      <c r="L16" s="66"/>
      <c r="M16" s="66">
        <v>574</v>
      </c>
      <c r="N16" s="66">
        <v>978</v>
      </c>
      <c r="O16" s="66">
        <v>1491</v>
      </c>
      <c r="P16" s="66">
        <v>1406</v>
      </c>
      <c r="Q16" s="66">
        <v>1397</v>
      </c>
      <c r="R16" s="66">
        <v>1209</v>
      </c>
      <c r="S16" s="66">
        <v>1260</v>
      </c>
      <c r="T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</row>
    <row r="17" spans="2:44" x14ac:dyDescent="0.25">
      <c r="B17" s="5" t="s">
        <v>655</v>
      </c>
      <c r="C17" s="66">
        <f>364-D17</f>
        <v>191</v>
      </c>
      <c r="D17" s="66">
        <v>173</v>
      </c>
      <c r="E17" s="66">
        <v>191</v>
      </c>
      <c r="F17" s="66">
        <f>R17-SUM(C17:E17)</f>
        <v>227</v>
      </c>
      <c r="G17" s="66">
        <f>322-H17</f>
        <v>181</v>
      </c>
      <c r="H17" s="66">
        <v>141</v>
      </c>
      <c r="I17" s="66"/>
      <c r="J17" s="66"/>
      <c r="K17" s="66"/>
      <c r="L17" s="66"/>
      <c r="M17" s="66">
        <v>-102</v>
      </c>
      <c r="N17" s="66">
        <v>-103</v>
      </c>
      <c r="O17" s="66">
        <v>651</v>
      </c>
      <c r="P17" s="66">
        <v>761</v>
      </c>
      <c r="Q17" s="66">
        <v>816</v>
      </c>
      <c r="R17" s="66">
        <v>782</v>
      </c>
      <c r="S17" s="66">
        <v>575</v>
      </c>
      <c r="T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</row>
    <row r="18" spans="2:44" x14ac:dyDescent="0.25">
      <c r="B18" s="5" t="s">
        <v>213</v>
      </c>
      <c r="C18" s="66">
        <f t="shared" ref="C18:H18" si="14">C13-C14+C15-C16+C17</f>
        <v>1773</v>
      </c>
      <c r="D18" s="66">
        <f t="shared" si="14"/>
        <v>2123</v>
      </c>
      <c r="E18" s="66">
        <f t="shared" si="14"/>
        <v>-134</v>
      </c>
      <c r="F18" s="66">
        <f t="shared" si="14"/>
        <v>1007</v>
      </c>
      <c r="G18" s="66">
        <f t="shared" si="14"/>
        <v>2871</v>
      </c>
      <c r="H18" s="66">
        <f t="shared" si="14"/>
        <v>657</v>
      </c>
      <c r="I18" s="66"/>
      <c r="J18" s="66"/>
      <c r="K18" s="66"/>
      <c r="L18" s="66"/>
      <c r="M18" s="66">
        <f t="shared" ref="M18:O18" si="15">M13-M14+M15-M16+M17</f>
        <v>14729</v>
      </c>
      <c r="N18" s="66">
        <f t="shared" si="15"/>
        <v>13923</v>
      </c>
      <c r="O18" s="66">
        <f t="shared" si="15"/>
        <v>-1743</v>
      </c>
      <c r="P18" s="66">
        <f t="shared" ref="P18:Q18" si="16">P13-P14+P15-P16+P17</f>
        <v>2561</v>
      </c>
      <c r="Q18" s="66">
        <f t="shared" si="16"/>
        <v>5285</v>
      </c>
      <c r="R18" s="66">
        <f>R13-R14+R15-R16+R17</f>
        <v>4769</v>
      </c>
      <c r="S18" s="66">
        <f>S13-S14+S15-S16+S17</f>
        <v>7569</v>
      </c>
      <c r="T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</row>
    <row r="19" spans="2:44" x14ac:dyDescent="0.25">
      <c r="B19" s="5" t="s">
        <v>214</v>
      </c>
      <c r="C19" s="66">
        <f>1047-D19</f>
        <v>412</v>
      </c>
      <c r="D19" s="66">
        <v>635</v>
      </c>
      <c r="E19" s="66">
        <v>19</v>
      </c>
      <c r="F19" s="66">
        <f>R19-SUM(C19:E19)</f>
        <v>313</v>
      </c>
      <c r="G19" s="66">
        <f>1161-H19</f>
        <v>720</v>
      </c>
      <c r="H19" s="66">
        <v>441</v>
      </c>
      <c r="I19" s="66"/>
      <c r="J19" s="66"/>
      <c r="K19" s="66"/>
      <c r="L19" s="66"/>
      <c r="M19" s="66">
        <v>1663</v>
      </c>
      <c r="N19" s="66">
        <v>3026</v>
      </c>
      <c r="O19" s="66">
        <v>699</v>
      </c>
      <c r="P19" s="66">
        <v>25</v>
      </c>
      <c r="Q19" s="66">
        <v>1732</v>
      </c>
      <c r="R19" s="66">
        <v>1379</v>
      </c>
      <c r="S19" s="66">
        <v>1796</v>
      </c>
      <c r="T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</row>
    <row r="20" spans="2:44" x14ac:dyDescent="0.25">
      <c r="B20" s="5" t="s">
        <v>215</v>
      </c>
      <c r="C20" s="66">
        <f t="shared" ref="C20:H20" si="17">C18-C19</f>
        <v>1361</v>
      </c>
      <c r="D20" s="66">
        <f t="shared" si="17"/>
        <v>1488</v>
      </c>
      <c r="E20" s="66">
        <f t="shared" si="17"/>
        <v>-153</v>
      </c>
      <c r="F20" s="66">
        <f t="shared" si="17"/>
        <v>694</v>
      </c>
      <c r="G20" s="66">
        <f t="shared" si="17"/>
        <v>2151</v>
      </c>
      <c r="H20" s="66">
        <f t="shared" si="17"/>
        <v>216</v>
      </c>
      <c r="I20" s="66"/>
      <c r="J20" s="66"/>
      <c r="K20" s="66"/>
      <c r="L20" s="66"/>
      <c r="M20" s="66">
        <f t="shared" ref="M20" si="18">M18-M19</f>
        <v>13066</v>
      </c>
      <c r="N20" s="66">
        <f t="shared" ref="N20:O20" si="19">N18-N19</f>
        <v>10897</v>
      </c>
      <c r="O20" s="66">
        <f t="shared" si="19"/>
        <v>-2442</v>
      </c>
      <c r="P20" s="66">
        <f t="shared" ref="P20:Q20" si="20">P18-P19</f>
        <v>2536</v>
      </c>
      <c r="Q20" s="66">
        <f t="shared" si="20"/>
        <v>3553</v>
      </c>
      <c r="R20" s="66">
        <f>R18-R19</f>
        <v>3390</v>
      </c>
      <c r="S20" s="66">
        <f>S18-S19</f>
        <v>5773</v>
      </c>
      <c r="T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</row>
    <row r="21" spans="2:44" x14ac:dyDescent="0.25">
      <c r="B21" s="5" t="s">
        <v>216</v>
      </c>
      <c r="C21" s="66">
        <v>0</v>
      </c>
      <c r="D21" s="66">
        <v>0</v>
      </c>
      <c r="E21" s="66">
        <v>0</v>
      </c>
      <c r="F21" s="66">
        <f>SUM(C21:E21)</f>
        <v>0</v>
      </c>
      <c r="G21" s="66">
        <v>0</v>
      </c>
      <c r="H21" s="66">
        <v>0</v>
      </c>
      <c r="I21" s="66"/>
      <c r="J21" s="66"/>
      <c r="K21" s="66"/>
      <c r="L21" s="66"/>
      <c r="M21" s="66">
        <v>0</v>
      </c>
      <c r="N21" s="66">
        <v>-687</v>
      </c>
      <c r="O21" s="66">
        <v>32</v>
      </c>
      <c r="P21" s="66">
        <v>29</v>
      </c>
      <c r="Q21" s="66">
        <v>48</v>
      </c>
      <c r="R21" s="66">
        <v>0</v>
      </c>
      <c r="S21" s="66">
        <v>0</v>
      </c>
      <c r="T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</row>
    <row r="22" spans="2:44" x14ac:dyDescent="0.25">
      <c r="B22" s="5" t="s">
        <v>217</v>
      </c>
      <c r="C22" s="66">
        <f t="shared" ref="C22" si="21">C20-C21</f>
        <v>1361</v>
      </c>
      <c r="D22" s="66">
        <f t="shared" ref="D22" si="22">D20-D21</f>
        <v>1488</v>
      </c>
      <c r="E22" s="66">
        <f t="shared" ref="E22" si="23">E20-E21</f>
        <v>-153</v>
      </c>
      <c r="F22" s="66">
        <f t="shared" ref="F22" si="24">F20-F21</f>
        <v>694</v>
      </c>
      <c r="G22" s="66">
        <f t="shared" ref="G22" si="25">G20-G21</f>
        <v>2151</v>
      </c>
      <c r="H22" s="66">
        <f>H20-H21</f>
        <v>216</v>
      </c>
      <c r="I22" s="66"/>
      <c r="J22" s="66"/>
      <c r="K22" s="66"/>
      <c r="L22" s="66"/>
      <c r="M22" s="66">
        <f t="shared" ref="M22:Q22" si="26">M20-M21</f>
        <v>13066</v>
      </c>
      <c r="N22" s="66">
        <f t="shared" si="26"/>
        <v>11584</v>
      </c>
      <c r="O22" s="66">
        <f t="shared" si="26"/>
        <v>-2474</v>
      </c>
      <c r="P22" s="66">
        <f t="shared" si="26"/>
        <v>2507</v>
      </c>
      <c r="Q22" s="66">
        <f t="shared" si="26"/>
        <v>3505</v>
      </c>
      <c r="R22" s="66">
        <f>R20-R21</f>
        <v>3390</v>
      </c>
      <c r="S22" s="66">
        <f>S20-S21</f>
        <v>5773</v>
      </c>
      <c r="T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</row>
    <row r="23" spans="2:44" x14ac:dyDescent="0.25">
      <c r="B23" s="5" t="s">
        <v>653</v>
      </c>
      <c r="C23" s="66">
        <f>299-D23</f>
        <v>82</v>
      </c>
      <c r="D23" s="66">
        <v>217</v>
      </c>
      <c r="E23" s="66">
        <v>307</v>
      </c>
      <c r="F23" s="66">
        <f>R23-SUM(C23:E23)</f>
        <v>430</v>
      </c>
      <c r="G23" s="66">
        <f>476-H23</f>
        <v>240</v>
      </c>
      <c r="H23" s="66">
        <v>236</v>
      </c>
      <c r="I23" s="66"/>
      <c r="J23" s="66"/>
      <c r="K23" s="66"/>
      <c r="L23" s="66"/>
      <c r="M23" s="66">
        <v>468</v>
      </c>
      <c r="N23" s="66">
        <f>472+58</f>
        <v>530</v>
      </c>
      <c r="O23" s="66">
        <v>390</v>
      </c>
      <c r="P23" s="66">
        <v>512</v>
      </c>
      <c r="Q23" s="66">
        <v>360</v>
      </c>
      <c r="R23" s="66">
        <v>1036</v>
      </c>
      <c r="S23" s="66">
        <v>801</v>
      </c>
      <c r="T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</row>
    <row r="24" spans="2:44" x14ac:dyDescent="0.25">
      <c r="B24" s="5" t="s">
        <v>654</v>
      </c>
      <c r="C24" s="66">
        <f t="shared" ref="C24" si="27">C22-C23</f>
        <v>1279</v>
      </c>
      <c r="D24" s="66">
        <f t="shared" ref="D24" si="28">D22-D23</f>
        <v>1271</v>
      </c>
      <c r="E24" s="66">
        <f t="shared" ref="E24" si="29">E22-E23</f>
        <v>-460</v>
      </c>
      <c r="F24" s="66">
        <f t="shared" ref="F24" si="30">F22-F23</f>
        <v>264</v>
      </c>
      <c r="G24" s="66">
        <f t="shared" ref="G24" si="31">G22-G23</f>
        <v>1911</v>
      </c>
      <c r="H24" s="66">
        <f>H22-H23</f>
        <v>-20</v>
      </c>
      <c r="I24" s="66"/>
      <c r="J24" s="66"/>
      <c r="K24" s="66"/>
      <c r="L24" s="66"/>
      <c r="M24" s="66">
        <f t="shared" ref="M24:Q24" si="32">M22-M23</f>
        <v>12598</v>
      </c>
      <c r="N24" s="66">
        <f t="shared" si="32"/>
        <v>11054</v>
      </c>
      <c r="O24" s="66">
        <f t="shared" si="32"/>
        <v>-2864</v>
      </c>
      <c r="P24" s="66">
        <f t="shared" si="32"/>
        <v>1995</v>
      </c>
      <c r="Q24" s="66">
        <f t="shared" si="32"/>
        <v>3145</v>
      </c>
      <c r="R24" s="66">
        <f>R22-R23</f>
        <v>2354</v>
      </c>
      <c r="S24" s="66">
        <f>S22-S23</f>
        <v>4972</v>
      </c>
      <c r="T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</row>
    <row r="25" spans="2:44" x14ac:dyDescent="0.25"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</row>
    <row r="26" spans="2:44" x14ac:dyDescent="0.25">
      <c r="B26" s="5" t="s">
        <v>219</v>
      </c>
      <c r="C26" s="66">
        <f>+C24/C27</f>
        <v>0.69878646922396526</v>
      </c>
      <c r="D26" s="66">
        <f t="shared" ref="D26:H26" si="33">+D24/D27</f>
        <v>0.69441563908026571</v>
      </c>
      <c r="E26" s="66">
        <f t="shared" si="33"/>
        <v>-0.25132273326272403</v>
      </c>
      <c r="F26" s="66">
        <f t="shared" si="33"/>
        <v>0.14423739474208508</v>
      </c>
      <c r="G26" s="66">
        <f t="shared" si="33"/>
        <v>1.0482720789906748</v>
      </c>
      <c r="H26" s="66">
        <f t="shared" si="33"/>
        <v>-1.0970927043335162E-2</v>
      </c>
      <c r="I26" s="66"/>
      <c r="J26" s="66"/>
      <c r="K26" s="66"/>
      <c r="L26" s="66"/>
      <c r="M26" s="71">
        <f>+M24/M27</f>
        <v>6.9895760980718507</v>
      </c>
      <c r="N26" s="71">
        <f t="shared" ref="N26:S26" si="34">+N24/N27</f>
        <v>6.1329396878938116</v>
      </c>
      <c r="O26" s="71">
        <f t="shared" si="34"/>
        <v>-1.5818965312995295</v>
      </c>
      <c r="P26" s="71">
        <f t="shared" si="34"/>
        <v>1.0975674478963606</v>
      </c>
      <c r="Q26" s="71">
        <f t="shared" si="34"/>
        <v>1.7246182373554058</v>
      </c>
      <c r="R26" s="71">
        <f t="shared" si="34"/>
        <v>1.2908589286914547</v>
      </c>
      <c r="S26" s="71">
        <f t="shared" si="34"/>
        <v>2.7273724629731211</v>
      </c>
      <c r="T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</row>
    <row r="27" spans="2:44" x14ac:dyDescent="0.25">
      <c r="B27" s="5" t="s">
        <v>218</v>
      </c>
      <c r="C27" s="66">
        <v>1830.3159209999999</v>
      </c>
      <c r="D27" s="66">
        <v>1830.3159209999999</v>
      </c>
      <c r="E27" s="66">
        <v>1830.3159209999999</v>
      </c>
      <c r="F27" s="66">
        <v>1830.3159209999999</v>
      </c>
      <c r="G27" s="66">
        <v>1823</v>
      </c>
      <c r="H27" s="66">
        <v>1823</v>
      </c>
      <c r="I27" s="66"/>
      <c r="J27" s="66"/>
      <c r="K27" s="66"/>
      <c r="L27" s="66"/>
      <c r="M27" s="66">
        <v>1802.398289</v>
      </c>
      <c r="N27" s="66">
        <v>1802.398289</v>
      </c>
      <c r="O27" s="68">
        <v>1810.4850369999999</v>
      </c>
      <c r="P27" s="66">
        <v>1817.6559480000001</v>
      </c>
      <c r="Q27" s="66">
        <v>1823.5919879999999</v>
      </c>
      <c r="R27" s="66">
        <v>1823.5919879999999</v>
      </c>
      <c r="S27" s="66">
        <v>1823</v>
      </c>
      <c r="T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</row>
    <row r="28" spans="2:44" x14ac:dyDescent="0.25"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</row>
    <row r="29" spans="2:44" x14ac:dyDescent="0.25">
      <c r="B29" s="5" t="s">
        <v>220</v>
      </c>
      <c r="C29" s="70" t="s">
        <v>154</v>
      </c>
      <c r="D29" s="70" t="s">
        <v>154</v>
      </c>
      <c r="E29" s="70" t="s">
        <v>154</v>
      </c>
      <c r="F29" s="70" t="s">
        <v>154</v>
      </c>
      <c r="G29" s="69">
        <f t="shared" ref="G29:H31" si="35">G3/C3-1</f>
        <v>-1.0477687288660276E-3</v>
      </c>
      <c r="H29" s="69">
        <f t="shared" si="35"/>
        <v>8.7307260287960986E-3</v>
      </c>
      <c r="I29" s="66"/>
      <c r="J29" s="66"/>
      <c r="K29" s="66"/>
      <c r="L29" s="66"/>
      <c r="M29" s="11" t="s">
        <v>154</v>
      </c>
      <c r="N29" s="9">
        <f t="shared" ref="N29:S31" si="36">N3/M3-1</f>
        <v>0.19088246279659526</v>
      </c>
      <c r="O29" s="9">
        <f t="shared" si="36"/>
        <v>-2.1690684890803724E-2</v>
      </c>
      <c r="P29" s="9">
        <f t="shared" si="36"/>
        <v>4.2234033577997154E-2</v>
      </c>
      <c r="Q29" s="9">
        <f t="shared" si="36"/>
        <v>0.20126926563916592</v>
      </c>
      <c r="R29" s="9">
        <f t="shared" si="36"/>
        <v>7.2264150943396332E-2</v>
      </c>
      <c r="S29" s="9">
        <f t="shared" si="36"/>
        <v>2.8644327694125282E-2</v>
      </c>
      <c r="T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</row>
    <row r="30" spans="2:44" x14ac:dyDescent="0.25">
      <c r="B30" s="5" t="s">
        <v>221</v>
      </c>
      <c r="C30" s="70" t="s">
        <v>154</v>
      </c>
      <c r="D30" s="70" t="s">
        <v>154</v>
      </c>
      <c r="E30" s="70" t="s">
        <v>154</v>
      </c>
      <c r="F30" s="70" t="s">
        <v>154</v>
      </c>
      <c r="G30" s="69">
        <f t="shared" si="35"/>
        <v>2.3459244532803236E-2</v>
      </c>
      <c r="H30" s="69">
        <f t="shared" si="35"/>
        <v>4.3517272319425704E-2</v>
      </c>
      <c r="I30" s="66"/>
      <c r="J30" s="66"/>
      <c r="K30" s="66"/>
      <c r="L30" s="66"/>
      <c r="M30" s="11" t="s">
        <v>154</v>
      </c>
      <c r="N30" s="9">
        <f t="shared" si="36"/>
        <v>5.4057209573846965E-2</v>
      </c>
      <c r="O30" s="9">
        <f t="shared" si="36"/>
        <v>-0.32177669472751436</v>
      </c>
      <c r="P30" s="9">
        <f t="shared" si="36"/>
        <v>-7.7249714192389352E-2</v>
      </c>
      <c r="Q30" s="9">
        <f t="shared" si="36"/>
        <v>0.50831858407079644</v>
      </c>
      <c r="R30" s="9">
        <f t="shared" si="36"/>
        <v>9.5517484158648136E-2</v>
      </c>
      <c r="S30" s="9">
        <f t="shared" si="36"/>
        <v>1.9708654670094194E-2</v>
      </c>
      <c r="T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</row>
    <row r="31" spans="2:44" x14ac:dyDescent="0.25">
      <c r="B31" s="6" t="s">
        <v>222</v>
      </c>
      <c r="C31" s="70" t="s">
        <v>154</v>
      </c>
      <c r="D31" s="70" t="s">
        <v>154</v>
      </c>
      <c r="E31" s="70" t="s">
        <v>154</v>
      </c>
      <c r="F31" s="70" t="s">
        <v>154</v>
      </c>
      <c r="G31" s="69">
        <f t="shared" si="35"/>
        <v>1.5736645117387926E-3</v>
      </c>
      <c r="H31" s="69">
        <f t="shared" si="35"/>
        <v>1.2285124914049872E-2</v>
      </c>
      <c r="I31" s="66"/>
      <c r="J31" s="66"/>
      <c r="K31" s="67"/>
      <c r="L31" s="67"/>
      <c r="M31" s="65" t="s">
        <v>154</v>
      </c>
      <c r="N31" s="14">
        <f t="shared" si="36"/>
        <v>0.1711646532287916</v>
      </c>
      <c r="O31" s="14">
        <f t="shared" si="36"/>
        <v>-6.0611720085623544E-2</v>
      </c>
      <c r="P31" s="14">
        <f t="shared" si="36"/>
        <v>3.1045451764849741E-2</v>
      </c>
      <c r="Q31" s="14">
        <f t="shared" si="36"/>
        <v>0.22700169094307165</v>
      </c>
      <c r="R31" s="14">
        <f t="shared" si="36"/>
        <v>7.4659703585503223E-2</v>
      </c>
      <c r="S31" s="14">
        <f t="shared" si="36"/>
        <v>2.7705910144210311E-2</v>
      </c>
      <c r="T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</row>
    <row r="32" spans="2:44" x14ac:dyDescent="0.25">
      <c r="B32" s="5" t="s">
        <v>223</v>
      </c>
      <c r="C32" s="69">
        <f t="shared" ref="C32:H33" si="37">(C3-C6)/C3</f>
        <v>0.29604229175596514</v>
      </c>
      <c r="D32" s="69">
        <f t="shared" si="37"/>
        <v>0.32809149392423159</v>
      </c>
      <c r="E32" s="69">
        <f t="shared" si="37"/>
        <v>0.35155937624950018</v>
      </c>
      <c r="F32" s="69">
        <f t="shared" si="37"/>
        <v>0.3556480944599652</v>
      </c>
      <c r="G32" s="69">
        <f t="shared" si="37"/>
        <v>0.33625744934445767</v>
      </c>
      <c r="H32" s="69">
        <f t="shared" si="37"/>
        <v>0.35906261072025103</v>
      </c>
      <c r="I32" s="66"/>
      <c r="J32" s="66"/>
      <c r="K32" s="66"/>
      <c r="L32" s="66"/>
      <c r="M32" s="9">
        <f t="shared" ref="M32:S33" si="38">(M3-M6)/M3</f>
        <v>0.45884526922094004</v>
      </c>
      <c r="N32" s="9">
        <f t="shared" si="38"/>
        <v>0.39759652684923819</v>
      </c>
      <c r="O32" s="9">
        <f t="shared" si="38"/>
        <v>0.33508816333417701</v>
      </c>
      <c r="P32" s="9">
        <f t="shared" si="38"/>
        <v>0.33413741743297498</v>
      </c>
      <c r="Q32" s="9">
        <f t="shared" si="38"/>
        <v>0.34013477088948785</v>
      </c>
      <c r="R32" s="9">
        <f t="shared" si="38"/>
        <v>0.33210577914079586</v>
      </c>
      <c r="S32" s="9">
        <f t="shared" si="38"/>
        <v>0.35840226781197687</v>
      </c>
      <c r="T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</row>
    <row r="33" spans="1:44" x14ac:dyDescent="0.25">
      <c r="B33" s="5" t="s">
        <v>224</v>
      </c>
      <c r="C33" s="69">
        <f t="shared" si="37"/>
        <v>0.36182902584493043</v>
      </c>
      <c r="D33" s="69">
        <f t="shared" si="37"/>
        <v>0.34679228353521757</v>
      </c>
      <c r="E33" s="69">
        <f t="shared" si="37"/>
        <v>0.355297157622739</v>
      </c>
      <c r="F33" s="69">
        <f t="shared" si="37"/>
        <v>0.33744493392070485</v>
      </c>
      <c r="G33" s="69">
        <f t="shared" si="37"/>
        <v>0.35314685314685312</v>
      </c>
      <c r="H33" s="69">
        <f t="shared" si="37"/>
        <v>0.35124677558039552</v>
      </c>
      <c r="I33" s="66"/>
      <c r="J33" s="66"/>
      <c r="K33" s="66"/>
      <c r="L33" s="66"/>
      <c r="M33" s="9">
        <f t="shared" si="38"/>
        <v>0.39311150029188557</v>
      </c>
      <c r="N33" s="9">
        <f t="shared" si="38"/>
        <v>0.38325210456358</v>
      </c>
      <c r="O33" s="9">
        <f t="shared" si="38"/>
        <v>0.26931242854809734</v>
      </c>
      <c r="P33" s="9">
        <f t="shared" si="38"/>
        <v>0.29168141592920355</v>
      </c>
      <c r="Q33" s="9">
        <f t="shared" si="38"/>
        <v>0.36176953766721426</v>
      </c>
      <c r="R33" s="9">
        <f t="shared" si="38"/>
        <v>0.35068551842330764</v>
      </c>
      <c r="S33" s="9">
        <f t="shared" si="38"/>
        <v>0.34989495798319326</v>
      </c>
      <c r="T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</row>
    <row r="34" spans="1:44" x14ac:dyDescent="0.25">
      <c r="B34" s="5" t="s">
        <v>225</v>
      </c>
      <c r="C34" s="69">
        <f t="shared" ref="C34:H34" si="39">C9/C5</f>
        <v>0.30307927866621298</v>
      </c>
      <c r="D34" s="69">
        <f t="shared" si="39"/>
        <v>0.3300022920009168</v>
      </c>
      <c r="E34" s="69">
        <f t="shared" si="39"/>
        <v>0.35194805194805195</v>
      </c>
      <c r="F34" s="69">
        <f t="shared" si="39"/>
        <v>0.35370274469186952</v>
      </c>
      <c r="G34" s="69">
        <f t="shared" si="39"/>
        <v>0.3381035288122638</v>
      </c>
      <c r="H34" s="69">
        <f t="shared" si="39"/>
        <v>0.35823936965086267</v>
      </c>
      <c r="I34" s="66"/>
      <c r="J34" s="66"/>
      <c r="K34" s="66"/>
      <c r="L34" s="66"/>
      <c r="M34" s="9">
        <f t="shared" ref="M34:S34" si="40">M9/M5</f>
        <v>0.44937241309688059</v>
      </c>
      <c r="N34" s="9">
        <f t="shared" si="40"/>
        <v>0.39573606102834485</v>
      </c>
      <c r="O34" s="9">
        <f t="shared" si="40"/>
        <v>0.32892885544748274</v>
      </c>
      <c r="P34" s="9">
        <f t="shared" si="40"/>
        <v>0.33057937049452668</v>
      </c>
      <c r="Q34" s="9">
        <f t="shared" si="40"/>
        <v>0.34236357921713689</v>
      </c>
      <c r="R34" s="9">
        <f t="shared" si="40"/>
        <v>0.33405700915656145</v>
      </c>
      <c r="S34" s="9">
        <f t="shared" si="40"/>
        <v>0.35751578901281728</v>
      </c>
      <c r="T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</row>
    <row r="35" spans="1:44" x14ac:dyDescent="0.25">
      <c r="B35" s="5" t="s">
        <v>155</v>
      </c>
      <c r="C35" s="69">
        <f t="shared" ref="C35:H35" si="41">C13/C5</f>
        <v>8.4765226267437904E-2</v>
      </c>
      <c r="D35" s="69">
        <f t="shared" si="41"/>
        <v>0.10428604171441669</v>
      </c>
      <c r="E35" s="69">
        <f t="shared" si="41"/>
        <v>0.11827138378862517</v>
      </c>
      <c r="F35" s="69">
        <f t="shared" si="41"/>
        <v>9.8065062850148293E-2</v>
      </c>
      <c r="G35" s="69">
        <f t="shared" si="41"/>
        <v>0.12467620705762453</v>
      </c>
      <c r="H35" s="69">
        <f t="shared" si="41"/>
        <v>0.13037177919666712</v>
      </c>
      <c r="I35" s="66"/>
      <c r="J35" s="66"/>
      <c r="K35" s="66"/>
      <c r="L35" s="66"/>
      <c r="M35" s="9">
        <f t="shared" ref="M35:S35" si="42">M13/M5</f>
        <v>0.24963825419793384</v>
      </c>
      <c r="N35" s="9">
        <f t="shared" si="42"/>
        <v>0.16995417127587742</v>
      </c>
      <c r="O35" s="9">
        <f t="shared" si="42"/>
        <v>5.8022878815684832E-2</v>
      </c>
      <c r="P35" s="9">
        <f t="shared" si="42"/>
        <v>5.4273339464238041E-2</v>
      </c>
      <c r="Q35" s="9">
        <f t="shared" si="42"/>
        <v>8.1840381035274773E-2</v>
      </c>
      <c r="R35" s="9">
        <f t="shared" si="42"/>
        <v>0.10114963216270333</v>
      </c>
      <c r="S35" s="9">
        <f t="shared" si="42"/>
        <v>0.13040575300182791</v>
      </c>
      <c r="T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</row>
    <row r="36" spans="1:44" x14ac:dyDescent="0.25">
      <c r="B36" s="5" t="s">
        <v>226</v>
      </c>
      <c r="C36" s="69">
        <f t="shared" ref="C36:H36" si="43">C19/C18</f>
        <v>0.2323745064861816</v>
      </c>
      <c r="D36" s="69">
        <f t="shared" si="43"/>
        <v>0.29910504003768251</v>
      </c>
      <c r="E36" s="69">
        <f t="shared" si="43"/>
        <v>-0.1417910447761194</v>
      </c>
      <c r="F36" s="69">
        <f t="shared" si="43"/>
        <v>0.31082423038728896</v>
      </c>
      <c r="G36" s="69">
        <f t="shared" si="43"/>
        <v>0.2507836990595611</v>
      </c>
      <c r="H36" s="69">
        <f t="shared" si="43"/>
        <v>0.67123287671232879</v>
      </c>
      <c r="I36" s="66"/>
      <c r="J36" s="66"/>
      <c r="K36" s="66"/>
      <c r="L36" s="66"/>
      <c r="M36" s="9">
        <f t="shared" ref="M36:S36" si="44">M19/M18</f>
        <v>0.1129065109647634</v>
      </c>
      <c r="N36" s="9">
        <f t="shared" si="44"/>
        <v>0.21733821733821734</v>
      </c>
      <c r="O36" s="9">
        <f t="shared" si="44"/>
        <v>-0.40103270223752152</v>
      </c>
      <c r="P36" s="9">
        <f t="shared" si="44"/>
        <v>9.7618117922686452E-3</v>
      </c>
      <c r="Q36" s="9">
        <f t="shared" si="44"/>
        <v>0.32771996215704824</v>
      </c>
      <c r="R36" s="9">
        <f t="shared" si="44"/>
        <v>0.28915915286223526</v>
      </c>
      <c r="S36" s="9">
        <f t="shared" si="44"/>
        <v>0.23728365702206369</v>
      </c>
      <c r="T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</row>
    <row r="37" spans="1:44" x14ac:dyDescent="0.25">
      <c r="B37" s="5" t="s">
        <v>227</v>
      </c>
      <c r="C37" s="69">
        <f t="shared" ref="C37:H37" si="45">C22/C5</f>
        <v>5.7885335148009524E-2</v>
      </c>
      <c r="D37" s="69">
        <f t="shared" si="45"/>
        <v>6.8209947283978917E-2</v>
      </c>
      <c r="E37" s="69">
        <f t="shared" si="45"/>
        <v>-6.8517689207344377E-3</v>
      </c>
      <c r="F37" s="69">
        <f t="shared" si="45"/>
        <v>3.2672661362459395E-2</v>
      </c>
      <c r="G37" s="69">
        <f t="shared" si="45"/>
        <v>9.1341458236018511E-2</v>
      </c>
      <c r="H37" s="69">
        <f t="shared" si="45"/>
        <v>9.7812797174296976E-3</v>
      </c>
      <c r="I37" s="66"/>
      <c r="J37" s="66"/>
      <c r="K37" s="66"/>
      <c r="L37" s="66"/>
      <c r="M37" s="9">
        <f t="shared" ref="M37:S37" si="46">M22/M5</f>
        <v>0.21984049533936803</v>
      </c>
      <c r="N37" s="9">
        <f t="shared" si="46"/>
        <v>0.16642004396109586</v>
      </c>
      <c r="O37" s="9">
        <f t="shared" si="46"/>
        <v>-3.7835688505536182E-2</v>
      </c>
      <c r="P37" s="9">
        <f t="shared" si="46"/>
        <v>3.7185914740870393E-2</v>
      </c>
      <c r="Q37" s="9">
        <f t="shared" si="46"/>
        <v>4.2370832426682138E-2</v>
      </c>
      <c r="R37" s="9">
        <f t="shared" si="46"/>
        <v>3.8133591306891042E-2</v>
      </c>
      <c r="S37" s="9">
        <f t="shared" si="46"/>
        <v>6.3188888037565269E-2</v>
      </c>
      <c r="T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</row>
    <row r="38" spans="1:44" x14ac:dyDescent="0.25"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</row>
    <row r="39" spans="1:44" x14ac:dyDescent="0.25"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</row>
    <row r="40" spans="1:44" x14ac:dyDescent="0.25">
      <c r="A40" s="4" t="s">
        <v>3</v>
      </c>
      <c r="B40" s="7" t="s">
        <v>228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</row>
    <row r="41" spans="1:44" x14ac:dyDescent="0.25">
      <c r="B41" s="5" t="s">
        <v>229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>
        <v>4150</v>
      </c>
      <c r="N41" s="66">
        <v>5418</v>
      </c>
      <c r="O41" s="66">
        <v>17914</v>
      </c>
      <c r="P41" s="66">
        <v>15959</v>
      </c>
      <c r="Q41" s="66">
        <v>11615</v>
      </c>
      <c r="R41" s="66">
        <v>14182</v>
      </c>
      <c r="S41" s="66"/>
      <c r="T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</row>
    <row r="42" spans="1:44" x14ac:dyDescent="0.25">
      <c r="B42" s="5" t="s">
        <v>230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>
        <v>9334</v>
      </c>
      <c r="N42" s="66">
        <v>15481</v>
      </c>
      <c r="O42" s="66">
        <v>12708</v>
      </c>
      <c r="P42" s="66">
        <v>13367</v>
      </c>
      <c r="Q42" s="66">
        <v>12652</v>
      </c>
      <c r="R42" s="66">
        <v>12330</v>
      </c>
      <c r="S42" s="66"/>
      <c r="T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</row>
    <row r="43" spans="1:44" x14ac:dyDescent="0.25">
      <c r="B43" s="5" t="s">
        <v>231</v>
      </c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>
        <v>1392</v>
      </c>
      <c r="N43" s="66">
        <v>1649</v>
      </c>
      <c r="O43" s="66">
        <v>1583</v>
      </c>
      <c r="P43" s="66">
        <v>1331</v>
      </c>
      <c r="Q43" s="66">
        <v>1742</v>
      </c>
      <c r="R43" s="66">
        <v>1963</v>
      </c>
      <c r="S43" s="66"/>
      <c r="T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</row>
    <row r="44" spans="1:44" x14ac:dyDescent="0.25">
      <c r="B44" s="5" t="s">
        <v>232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>
        <v>1314</v>
      </c>
      <c r="N44" s="66">
        <v>4597</v>
      </c>
      <c r="O44" s="66">
        <v>2171</v>
      </c>
      <c r="P44" s="66">
        <v>2183</v>
      </c>
      <c r="Q44" s="66">
        <v>1890</v>
      </c>
      <c r="R44" s="66">
        <v>3002</v>
      </c>
      <c r="S44" s="66"/>
      <c r="T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</row>
    <row r="45" spans="1:44" x14ac:dyDescent="0.25">
      <c r="B45" s="5" t="s">
        <v>233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>
        <v>635</v>
      </c>
      <c r="N45" s="66">
        <v>979</v>
      </c>
      <c r="O45" s="66">
        <v>875</v>
      </c>
      <c r="P45" s="66">
        <v>817</v>
      </c>
      <c r="Q45" s="66">
        <v>1199</v>
      </c>
      <c r="R45" s="66">
        <v>1286</v>
      </c>
      <c r="S45" s="66"/>
      <c r="T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</row>
    <row r="46" spans="1:44" x14ac:dyDescent="0.25">
      <c r="B46" s="5" t="s">
        <v>234</v>
      </c>
      <c r="C46" s="67">
        <f t="shared" ref="C46" si="47">SUM(C41:C45)</f>
        <v>0</v>
      </c>
      <c r="D46" s="67">
        <f t="shared" ref="D46" si="48">SUM(D41:D45)</f>
        <v>0</v>
      </c>
      <c r="E46" s="67">
        <f t="shared" ref="E46" si="49">SUM(E41:E45)</f>
        <v>0</v>
      </c>
      <c r="F46" s="67">
        <f t="shared" ref="F46" si="50">SUM(F41:F45)</f>
        <v>0</v>
      </c>
      <c r="G46" s="67">
        <f t="shared" ref="G46" si="51">SUM(G41:G45)</f>
        <v>0</v>
      </c>
      <c r="H46" s="67">
        <f>SUM(H41:H45)</f>
        <v>0</v>
      </c>
      <c r="I46" s="66"/>
      <c r="J46" s="66"/>
      <c r="K46" s="66"/>
      <c r="L46" s="66"/>
      <c r="M46" s="66">
        <f t="shared" ref="M46:Q46" si="52">SUM(M41:M45)</f>
        <v>16825</v>
      </c>
      <c r="N46" s="66">
        <f t="shared" si="52"/>
        <v>28124</v>
      </c>
      <c r="O46" s="66">
        <f t="shared" si="52"/>
        <v>35251</v>
      </c>
      <c r="P46" s="66">
        <f t="shared" si="52"/>
        <v>33657</v>
      </c>
      <c r="Q46" s="66">
        <f t="shared" si="52"/>
        <v>29098</v>
      </c>
      <c r="R46" s="66">
        <f>SUM(R41:R45)</f>
        <v>32763</v>
      </c>
      <c r="S46" s="66"/>
      <c r="T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</row>
    <row r="47" spans="1:44" x14ac:dyDescent="0.25">
      <c r="B47" s="5" t="s">
        <v>235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>
        <v>7888</v>
      </c>
      <c r="N47" s="66">
        <v>22810</v>
      </c>
      <c r="O47" s="66">
        <v>25022</v>
      </c>
      <c r="P47" s="66">
        <v>29549</v>
      </c>
      <c r="Q47" s="66">
        <v>35777</v>
      </c>
      <c r="R47" s="66">
        <v>33591</v>
      </c>
      <c r="S47" s="66"/>
      <c r="T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</row>
    <row r="48" spans="1:44" x14ac:dyDescent="0.25">
      <c r="B48" s="5" t="s">
        <v>236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>
        <v>2899</v>
      </c>
      <c r="N48" s="66">
        <v>3224</v>
      </c>
      <c r="O48" s="66">
        <v>3903</v>
      </c>
      <c r="P48" s="66">
        <v>3935</v>
      </c>
      <c r="Q48" s="66">
        <v>3218</v>
      </c>
      <c r="R48" s="66">
        <v>3080</v>
      </c>
      <c r="S48" s="66"/>
      <c r="T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</row>
    <row r="49" spans="2:44" x14ac:dyDescent="0.25">
      <c r="B49" s="5" t="s">
        <v>237</v>
      </c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</row>
    <row r="50" spans="2:44" x14ac:dyDescent="0.25">
      <c r="B50" s="5" t="s">
        <v>238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>
        <v>55238</v>
      </c>
      <c r="N50" s="66">
        <v>58589</v>
      </c>
      <c r="O50" s="66">
        <v>62111</v>
      </c>
      <c r="P50" s="66">
        <v>64892</v>
      </c>
      <c r="Q50" s="66">
        <v>66998</v>
      </c>
      <c r="R50" s="66">
        <v>70090</v>
      </c>
      <c r="S50" s="66"/>
      <c r="T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</row>
    <row r="51" spans="2:44" x14ac:dyDescent="0.25">
      <c r="B51" s="5" t="s">
        <v>239</v>
      </c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>
        <v>-30764</v>
      </c>
      <c r="N51" s="66">
        <v>-32415</v>
      </c>
      <c r="O51" s="66">
        <v>-35517</v>
      </c>
      <c r="P51" s="66">
        <v>-37920</v>
      </c>
      <c r="Q51" s="66">
        <v>-39356</v>
      </c>
      <c r="R51" s="66">
        <v>-42610</v>
      </c>
      <c r="S51" s="66"/>
      <c r="T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</row>
    <row r="52" spans="2:44" x14ac:dyDescent="0.25">
      <c r="B52" s="5" t="s">
        <v>240</v>
      </c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>
        <f t="shared" ref="M52:P52" si="53">M50+M51</f>
        <v>24474</v>
      </c>
      <c r="N52" s="66">
        <f t="shared" si="53"/>
        <v>26174</v>
      </c>
      <c r="O52" s="66">
        <f t="shared" si="53"/>
        <v>26594</v>
      </c>
      <c r="P52" s="66">
        <f t="shared" si="53"/>
        <v>26972</v>
      </c>
      <c r="Q52" s="66">
        <f>Q50+Q51</f>
        <v>27642</v>
      </c>
      <c r="R52" s="66">
        <f>R50+R51</f>
        <v>27480</v>
      </c>
      <c r="S52" s="66"/>
      <c r="T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</row>
    <row r="53" spans="2:44" x14ac:dyDescent="0.25">
      <c r="B53" s="5" t="s">
        <v>241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>
        <v>3942</v>
      </c>
      <c r="N53" s="66">
        <v>4264</v>
      </c>
      <c r="O53" s="66">
        <v>4449</v>
      </c>
      <c r="P53" s="66">
        <v>4521</v>
      </c>
      <c r="Q53" s="66">
        <v>4814</v>
      </c>
      <c r="R53" s="66">
        <v>6285</v>
      </c>
      <c r="S53" s="66"/>
      <c r="T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</row>
    <row r="54" spans="2:44" x14ac:dyDescent="0.25">
      <c r="B54" s="5" t="s">
        <v>242</v>
      </c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>
        <v>1124</v>
      </c>
      <c r="N54" s="66">
        <v>1165</v>
      </c>
      <c r="O54" s="66">
        <v>1035</v>
      </c>
      <c r="P54" s="66">
        <v>1131</v>
      </c>
      <c r="Q54" s="66">
        <v>1140</v>
      </c>
      <c r="R54" s="66">
        <v>1176</v>
      </c>
      <c r="S54" s="66"/>
      <c r="T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</row>
    <row r="55" spans="2:44" x14ac:dyDescent="0.25">
      <c r="B55" s="5" t="s">
        <v>243</v>
      </c>
      <c r="C55" s="66">
        <f t="shared" ref="C55" si="54">C52+C53+C54</f>
        <v>0</v>
      </c>
      <c r="D55" s="66">
        <f t="shared" ref="D55" si="55">D52+D53+D54</f>
        <v>0</v>
      </c>
      <c r="E55" s="66">
        <f t="shared" ref="E55" si="56">E52+E53+E54</f>
        <v>0</v>
      </c>
      <c r="F55" s="66">
        <f t="shared" ref="F55" si="57">F52+F53+F54</f>
        <v>0</v>
      </c>
      <c r="G55" s="66">
        <f>G52+G53+G54</f>
        <v>0</v>
      </c>
      <c r="H55" s="66">
        <f>H52+H53+H54</f>
        <v>0</v>
      </c>
      <c r="I55" s="66"/>
      <c r="J55" s="66"/>
      <c r="K55" s="66"/>
      <c r="L55" s="66"/>
      <c r="M55" s="66">
        <f t="shared" ref="M55:P55" si="58">M52+M53+M54</f>
        <v>29540</v>
      </c>
      <c r="N55" s="66">
        <f t="shared" si="58"/>
        <v>31603</v>
      </c>
      <c r="O55" s="66">
        <f t="shared" si="58"/>
        <v>32078</v>
      </c>
      <c r="P55" s="66">
        <f t="shared" si="58"/>
        <v>32624</v>
      </c>
      <c r="Q55" s="66">
        <f>Q52+Q53+Q54</f>
        <v>33596</v>
      </c>
      <c r="R55" s="66">
        <f>R52+R53+R54</f>
        <v>34941</v>
      </c>
      <c r="S55" s="66"/>
      <c r="T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</row>
    <row r="56" spans="2:44" x14ac:dyDescent="0.25">
      <c r="B56" s="5" t="s">
        <v>244</v>
      </c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>
        <v>6812</v>
      </c>
      <c r="N56" s="66">
        <v>23215</v>
      </c>
      <c r="O56" s="66">
        <v>19173</v>
      </c>
      <c r="P56" s="66">
        <v>17115</v>
      </c>
      <c r="Q56" s="66">
        <v>14837</v>
      </c>
      <c r="R56" s="66">
        <v>13061</v>
      </c>
      <c r="S56" s="66"/>
      <c r="T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</row>
    <row r="57" spans="2:44" x14ac:dyDescent="0.25">
      <c r="B57" s="5" t="s">
        <v>245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>
        <v>31269</v>
      </c>
      <c r="N57" s="66">
        <v>80293</v>
      </c>
      <c r="O57" s="66">
        <v>77689</v>
      </c>
      <c r="P57" s="66">
        <v>78071</v>
      </c>
      <c r="Q57" s="66">
        <v>77897</v>
      </c>
      <c r="R57" s="66">
        <v>77067</v>
      </c>
      <c r="S57" s="66"/>
      <c r="T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</row>
    <row r="58" spans="2:44" x14ac:dyDescent="0.25">
      <c r="B58" s="5" t="s">
        <v>246</v>
      </c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>
        <v>3365</v>
      </c>
      <c r="N58" s="66">
        <v>4715</v>
      </c>
      <c r="O58" s="66">
        <v>8433</v>
      </c>
      <c r="P58" s="66">
        <v>8658</v>
      </c>
      <c r="Q58" s="66">
        <v>9208</v>
      </c>
      <c r="R58" s="66">
        <v>11076</v>
      </c>
      <c r="S58" s="66"/>
      <c r="T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</row>
    <row r="59" spans="2:44" x14ac:dyDescent="0.25">
      <c r="B59" s="5" t="s">
        <v>247</v>
      </c>
      <c r="C59" s="66">
        <f t="shared" ref="C59" si="59">C55+C56+C57+C58+C47+C48</f>
        <v>0</v>
      </c>
      <c r="D59" s="66">
        <f t="shared" ref="D59" si="60">D55+D56+D57+D58+D47+D48</f>
        <v>0</v>
      </c>
      <c r="E59" s="66">
        <f t="shared" ref="E59" si="61">E55+E56+E57+E58+E47+E48</f>
        <v>0</v>
      </c>
      <c r="F59" s="66">
        <f t="shared" ref="F59" si="62">F55+F56+F57+F58+F47+F48</f>
        <v>0</v>
      </c>
      <c r="G59" s="66">
        <f t="shared" ref="G59" si="63">G55+G56+G57+G58+G47+G48</f>
        <v>0</v>
      </c>
      <c r="H59" s="66">
        <f>H55+H56+H57+H58+H47+H48</f>
        <v>0</v>
      </c>
      <c r="I59" s="66"/>
      <c r="J59" s="66"/>
      <c r="K59" s="66"/>
      <c r="L59" s="66"/>
      <c r="M59" s="66">
        <f t="shared" ref="M59:Q59" si="64">M55+M56+M57+M58+M47+M48</f>
        <v>81773</v>
      </c>
      <c r="N59" s="66">
        <f>N55+N56+N57+N58+N47+N48</f>
        <v>165860</v>
      </c>
      <c r="O59" s="66">
        <f t="shared" si="64"/>
        <v>166298</v>
      </c>
      <c r="P59" s="66">
        <f t="shared" si="64"/>
        <v>169952</v>
      </c>
      <c r="Q59" s="66">
        <f t="shared" si="64"/>
        <v>174533</v>
      </c>
      <c r="R59" s="66">
        <f>R55+R56+R57+R58+R47+R48</f>
        <v>172816</v>
      </c>
      <c r="S59" s="66"/>
      <c r="T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</row>
    <row r="60" spans="2:44" x14ac:dyDescent="0.25">
      <c r="B60" s="6" t="s">
        <v>248</v>
      </c>
      <c r="C60" s="66"/>
      <c r="D60" s="66"/>
      <c r="E60" s="66"/>
      <c r="F60" s="66"/>
      <c r="G60" s="66"/>
      <c r="H60" s="66"/>
      <c r="I60" s="66"/>
      <c r="J60" s="66"/>
      <c r="K60" s="67"/>
      <c r="L60" s="67"/>
      <c r="M60" s="67">
        <f t="shared" ref="M60:P60" si="65">M59+M46</f>
        <v>98598</v>
      </c>
      <c r="N60" s="67">
        <f>N59+N46</f>
        <v>193984</v>
      </c>
      <c r="O60" s="67">
        <f t="shared" si="65"/>
        <v>201549</v>
      </c>
      <c r="P60" s="67">
        <f t="shared" si="65"/>
        <v>203609</v>
      </c>
      <c r="Q60" s="67">
        <f>Q59+Q46</f>
        <v>203631</v>
      </c>
      <c r="R60" s="67">
        <f>R59+R46</f>
        <v>205579</v>
      </c>
      <c r="S60" s="66"/>
      <c r="T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</row>
    <row r="61" spans="2:44" x14ac:dyDescent="0.25">
      <c r="B61" s="5" t="s">
        <v>249</v>
      </c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</row>
    <row r="62" spans="2:44" x14ac:dyDescent="0.25">
      <c r="B62" s="5" t="s">
        <v>250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>
        <v>9479</v>
      </c>
      <c r="N62" s="66">
        <v>17762</v>
      </c>
      <c r="O62" s="66">
        <v>16801</v>
      </c>
      <c r="P62" s="66">
        <v>20894</v>
      </c>
      <c r="Q62" s="66">
        <v>20213</v>
      </c>
      <c r="R62" s="66">
        <v>20671</v>
      </c>
      <c r="S62" s="66"/>
      <c r="T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</row>
    <row r="63" spans="2:44" x14ac:dyDescent="0.25">
      <c r="B63" s="5" t="s">
        <v>251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>
        <v>3790</v>
      </c>
      <c r="N63" s="66">
        <v>8857</v>
      </c>
      <c r="O63" s="66">
        <v>5711</v>
      </c>
      <c r="P63" s="66">
        <v>5866</v>
      </c>
      <c r="Q63" s="66">
        <v>3070</v>
      </c>
      <c r="R63" s="66">
        <v>4330</v>
      </c>
      <c r="S63" s="66"/>
      <c r="T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</row>
    <row r="64" spans="2:44" x14ac:dyDescent="0.25">
      <c r="B64" s="5" t="s">
        <v>252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>
        <v>4591</v>
      </c>
      <c r="N64" s="66">
        <v>4722</v>
      </c>
      <c r="O64" s="66">
        <v>4116</v>
      </c>
      <c r="P64" s="66">
        <v>4317</v>
      </c>
      <c r="Q64" s="66">
        <v>5790</v>
      </c>
      <c r="R64" s="66">
        <v>6138</v>
      </c>
      <c r="S64" s="66"/>
      <c r="T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</row>
    <row r="65" spans="2:44" x14ac:dyDescent="0.25">
      <c r="B65" s="5" t="s">
        <v>253</v>
      </c>
      <c r="C65" s="66">
        <f t="shared" ref="C65" si="66">SUM(C62:C64)</f>
        <v>0</v>
      </c>
      <c r="D65" s="66">
        <f t="shared" ref="D65" si="67">SUM(D62:D64)</f>
        <v>0</v>
      </c>
      <c r="E65" s="66">
        <f t="shared" ref="E65" si="68">SUM(E62:E64)</f>
        <v>0</v>
      </c>
      <c r="F65" s="66">
        <f t="shared" ref="F65" si="69">SUM(F62:F64)</f>
        <v>0</v>
      </c>
      <c r="G65" s="66">
        <f t="shared" ref="G65" si="70">SUM(G62:G64)</f>
        <v>0</v>
      </c>
      <c r="H65" s="66">
        <f>SUM(H62:H64)</f>
        <v>0</v>
      </c>
      <c r="I65" s="66"/>
      <c r="J65" s="66"/>
      <c r="K65" s="66"/>
      <c r="L65" s="66"/>
      <c r="M65" s="66">
        <f t="shared" ref="M65:Q65" si="71">SUM(M62:M64)</f>
        <v>17860</v>
      </c>
      <c r="N65" s="66">
        <f t="shared" si="71"/>
        <v>31341</v>
      </c>
      <c r="O65" s="66">
        <f t="shared" si="71"/>
        <v>26628</v>
      </c>
      <c r="P65" s="66">
        <f t="shared" si="71"/>
        <v>31077</v>
      </c>
      <c r="Q65" s="66">
        <f t="shared" si="71"/>
        <v>29073</v>
      </c>
      <c r="R65" s="66">
        <f>SUM(R62:R64)</f>
        <v>31139</v>
      </c>
      <c r="S65" s="66"/>
      <c r="T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</row>
    <row r="66" spans="2:44" x14ac:dyDescent="0.25">
      <c r="B66" s="5" t="s">
        <v>254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>
        <v>17084</v>
      </c>
      <c r="N66" s="66">
        <v>38129</v>
      </c>
      <c r="O66" s="66">
        <v>52917</v>
      </c>
      <c r="P66" s="66">
        <v>48540</v>
      </c>
      <c r="Q66" s="66">
        <v>45299</v>
      </c>
      <c r="R66" s="66">
        <v>42101</v>
      </c>
      <c r="S66" s="66"/>
      <c r="T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</row>
    <row r="67" spans="2:44" x14ac:dyDescent="0.25">
      <c r="B67" s="5" t="s">
        <v>255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>
        <v>3109</v>
      </c>
      <c r="N67" s="66">
        <v>7902</v>
      </c>
      <c r="O67" s="66">
        <v>7288</v>
      </c>
      <c r="P67" s="66">
        <v>7246</v>
      </c>
      <c r="Q67" s="66">
        <v>8363</v>
      </c>
      <c r="R67" s="66">
        <v>7258</v>
      </c>
      <c r="S67" s="66"/>
      <c r="T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</row>
    <row r="68" spans="2:44" x14ac:dyDescent="0.25">
      <c r="B68" s="5" t="s">
        <v>256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>
        <v>6590</v>
      </c>
      <c r="N68" s="66">
        <v>13760</v>
      </c>
      <c r="O68" s="66">
        <v>17204</v>
      </c>
      <c r="P68" s="66">
        <v>14522</v>
      </c>
      <c r="Q68" s="66">
        <v>12518</v>
      </c>
      <c r="R68" s="66">
        <v>12069</v>
      </c>
      <c r="S68" s="66"/>
      <c r="T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</row>
    <row r="69" spans="2:44" x14ac:dyDescent="0.25">
      <c r="B69" s="5" t="s">
        <v>257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/>
      <c r="T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</row>
    <row r="70" spans="2:44" x14ac:dyDescent="0.25">
      <c r="B70" s="5" t="s">
        <v>258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>
        <v>1123</v>
      </c>
      <c r="N70" s="66">
        <v>8963</v>
      </c>
      <c r="O70" s="66">
        <v>9249</v>
      </c>
      <c r="P70" s="66">
        <v>9213</v>
      </c>
      <c r="Q70" s="66">
        <v>9499</v>
      </c>
      <c r="R70" s="66">
        <v>9055</v>
      </c>
      <c r="S70" s="66"/>
      <c r="T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</row>
    <row r="71" spans="2:44" x14ac:dyDescent="0.25">
      <c r="B71" s="5" t="s">
        <v>259</v>
      </c>
      <c r="C71" s="66">
        <f t="shared" ref="C71" si="72">SUM(C66:C70)</f>
        <v>0</v>
      </c>
      <c r="D71" s="66">
        <f t="shared" ref="D71" si="73">SUM(D66:D70)</f>
        <v>0</v>
      </c>
      <c r="E71" s="66">
        <f t="shared" ref="E71" si="74">SUM(E66:E70)</f>
        <v>0</v>
      </c>
      <c r="F71" s="66">
        <f t="shared" ref="F71" si="75">SUM(F66:F70)</f>
        <v>0</v>
      </c>
      <c r="G71" s="66">
        <f t="shared" ref="G71" si="76">SUM(G66:G70)</f>
        <v>0</v>
      </c>
      <c r="H71" s="66">
        <f>SUM(H66:H70)</f>
        <v>0</v>
      </c>
      <c r="I71" s="66"/>
      <c r="J71" s="66"/>
      <c r="K71" s="66"/>
      <c r="L71" s="66"/>
      <c r="M71" s="66">
        <f t="shared" ref="M71:N71" si="77">SUM(M66:M70)</f>
        <v>27906</v>
      </c>
      <c r="N71" s="66">
        <f t="shared" si="77"/>
        <v>68754</v>
      </c>
      <c r="O71" s="66">
        <f t="shared" ref="O71:P71" si="78">SUM(O66:O70)</f>
        <v>86658</v>
      </c>
      <c r="P71" s="66">
        <f t="shared" si="78"/>
        <v>79521</v>
      </c>
      <c r="Q71" s="66">
        <f t="shared" ref="Q71" si="79">SUM(Q66:Q70)</f>
        <v>75679</v>
      </c>
      <c r="R71" s="66">
        <f>SUM(R66:R70)</f>
        <v>70483</v>
      </c>
      <c r="S71" s="66"/>
      <c r="T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</row>
    <row r="72" spans="2:44" x14ac:dyDescent="0.25">
      <c r="B72" s="6" t="s">
        <v>260</v>
      </c>
      <c r="C72" s="67">
        <f t="shared" ref="C72:H72" si="80">C71+C65</f>
        <v>0</v>
      </c>
      <c r="D72" s="67">
        <f t="shared" si="80"/>
        <v>0</v>
      </c>
      <c r="E72" s="67">
        <f t="shared" si="80"/>
        <v>0</v>
      </c>
      <c r="F72" s="67">
        <f t="shared" si="80"/>
        <v>0</v>
      </c>
      <c r="G72" s="67">
        <f t="shared" si="80"/>
        <v>0</v>
      </c>
      <c r="H72" s="67">
        <f t="shared" si="80"/>
        <v>0</v>
      </c>
      <c r="I72" s="66"/>
      <c r="J72" s="66"/>
      <c r="K72" s="66"/>
      <c r="L72" s="66"/>
      <c r="M72" s="67">
        <f t="shared" ref="M72:R72" si="81">M71+M65</f>
        <v>45766</v>
      </c>
      <c r="N72" s="67">
        <f t="shared" si="81"/>
        <v>100095</v>
      </c>
      <c r="O72" s="67">
        <f t="shared" si="81"/>
        <v>113286</v>
      </c>
      <c r="P72" s="67">
        <f t="shared" si="81"/>
        <v>110598</v>
      </c>
      <c r="Q72" s="67">
        <f t="shared" si="81"/>
        <v>104752</v>
      </c>
      <c r="R72" s="67">
        <f t="shared" si="81"/>
        <v>101622</v>
      </c>
      <c r="S72" s="66"/>
      <c r="T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</row>
    <row r="73" spans="2:44" x14ac:dyDescent="0.25">
      <c r="B73" s="5" t="s">
        <v>261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/>
      <c r="T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</row>
    <row r="74" spans="2:44" x14ac:dyDescent="0.25">
      <c r="B74" s="5" t="s">
        <v>262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>
        <v>36779</v>
      </c>
      <c r="N74" s="66">
        <v>53907</v>
      </c>
      <c r="O74" s="66">
        <v>54497</v>
      </c>
      <c r="P74" s="66">
        <v>55471</v>
      </c>
      <c r="Q74" s="66">
        <v>56398</v>
      </c>
      <c r="R74" s="66">
        <v>57383</v>
      </c>
      <c r="S74" s="66"/>
      <c r="T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</row>
    <row r="75" spans="2:44" x14ac:dyDescent="0.25">
      <c r="B75" s="5" t="s">
        <v>263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>
        <v>82679</v>
      </c>
      <c r="N75" s="66">
        <v>42494</v>
      </c>
      <c r="O75" s="66">
        <v>38315</v>
      </c>
      <c r="P75" s="66">
        <v>40429</v>
      </c>
      <c r="Q75" s="66">
        <v>43636</v>
      </c>
      <c r="R75" s="66">
        <v>46093</v>
      </c>
      <c r="S75" s="66"/>
      <c r="T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</row>
    <row r="76" spans="2:44" x14ac:dyDescent="0.25">
      <c r="B76" s="5" t="s">
        <v>264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>
        <v>-3097</v>
      </c>
      <c r="N76" s="66">
        <v>-6617</v>
      </c>
      <c r="O76" s="66">
        <v>-8322</v>
      </c>
      <c r="P76" s="66">
        <v>-6440</v>
      </c>
      <c r="Q76" s="66">
        <v>-4119</v>
      </c>
      <c r="R76" s="66">
        <v>-3292</v>
      </c>
      <c r="S76" s="66"/>
      <c r="T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</row>
    <row r="77" spans="2:44" x14ac:dyDescent="0.25">
      <c r="B77" s="5" t="s">
        <v>265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>
        <v>-67588</v>
      </c>
      <c r="N77" s="66">
        <v>-907</v>
      </c>
      <c r="O77" s="66">
        <v>-907</v>
      </c>
      <c r="P77" s="66">
        <v>-907</v>
      </c>
      <c r="Q77" s="66">
        <v>-907</v>
      </c>
      <c r="R77" s="66">
        <v>-907</v>
      </c>
      <c r="S77" s="66"/>
      <c r="T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</row>
    <row r="78" spans="2:44" x14ac:dyDescent="0.25">
      <c r="B78" s="5" t="s">
        <v>266</v>
      </c>
      <c r="C78" s="67">
        <f t="shared" ref="C78:H78" si="82">SUM(C73:C77)</f>
        <v>0</v>
      </c>
      <c r="D78" s="67">
        <f t="shared" si="82"/>
        <v>0</v>
      </c>
      <c r="E78" s="67">
        <f t="shared" si="82"/>
        <v>0</v>
      </c>
      <c r="F78" s="67">
        <f t="shared" si="82"/>
        <v>0</v>
      </c>
      <c r="G78" s="67">
        <f t="shared" si="82"/>
        <v>0</v>
      </c>
      <c r="H78" s="67">
        <f t="shared" si="82"/>
        <v>0</v>
      </c>
      <c r="I78" s="66"/>
      <c r="J78" s="66"/>
      <c r="K78" s="66"/>
      <c r="L78" s="66"/>
      <c r="M78" s="67">
        <f t="shared" ref="M78:R78" si="83">SUM(M73:M77)</f>
        <v>48773</v>
      </c>
      <c r="N78" s="67">
        <f t="shared" si="83"/>
        <v>88877</v>
      </c>
      <c r="O78" s="67">
        <f t="shared" si="83"/>
        <v>83583</v>
      </c>
      <c r="P78" s="67">
        <f t="shared" si="83"/>
        <v>88553</v>
      </c>
      <c r="Q78" s="67">
        <f t="shared" si="83"/>
        <v>95008</v>
      </c>
      <c r="R78" s="67">
        <f t="shared" si="83"/>
        <v>99277</v>
      </c>
      <c r="S78" s="66"/>
      <c r="T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</row>
    <row r="79" spans="2:44" x14ac:dyDescent="0.25">
      <c r="B79" s="5" t="s">
        <v>267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>
        <v>4059</v>
      </c>
      <c r="N79" s="66">
        <v>5012</v>
      </c>
      <c r="O79" s="66">
        <v>4680</v>
      </c>
      <c r="P79" s="66">
        <v>4458</v>
      </c>
      <c r="Q79" s="66">
        <v>3871</v>
      </c>
      <c r="R79" s="66">
        <v>4680</v>
      </c>
      <c r="S79" s="66"/>
      <c r="T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</row>
    <row r="80" spans="2:44" x14ac:dyDescent="0.25">
      <c r="B80" s="5" t="s">
        <v>268</v>
      </c>
      <c r="C80" s="67">
        <f t="shared" ref="C80" si="84">C78+C79</f>
        <v>0</v>
      </c>
      <c r="D80" s="67">
        <f t="shared" ref="D80" si="85">D78+D79</f>
        <v>0</v>
      </c>
      <c r="E80" s="67">
        <f t="shared" ref="E80" si="86">E78+E79</f>
        <v>0</v>
      </c>
      <c r="F80" s="67">
        <f t="shared" ref="F80" si="87">F78+F79</f>
        <v>0</v>
      </c>
      <c r="G80" s="67">
        <f t="shared" ref="G80" si="88">G78+G79</f>
        <v>0</v>
      </c>
      <c r="H80" s="67">
        <f>H78+H79</f>
        <v>0</v>
      </c>
      <c r="I80" s="66"/>
      <c r="J80" s="66"/>
      <c r="K80" s="66"/>
      <c r="L80" s="66"/>
      <c r="M80" s="66">
        <f t="shared" ref="M80:Q80" si="89">M78+M79</f>
        <v>52832</v>
      </c>
      <c r="N80" s="66">
        <f t="shared" si="89"/>
        <v>93889</v>
      </c>
      <c r="O80" s="66">
        <f t="shared" si="89"/>
        <v>88263</v>
      </c>
      <c r="P80" s="66">
        <f t="shared" si="89"/>
        <v>93011</v>
      </c>
      <c r="Q80" s="66">
        <f t="shared" si="89"/>
        <v>98879</v>
      </c>
      <c r="R80" s="66">
        <f>R78+R79</f>
        <v>103957</v>
      </c>
      <c r="S80" s="66"/>
      <c r="T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</row>
    <row r="81" spans="1:44" x14ac:dyDescent="0.25">
      <c r="B81" s="6" t="s">
        <v>269</v>
      </c>
      <c r="C81" s="67">
        <f t="shared" ref="C81:H81" si="90">C80+C72</f>
        <v>0</v>
      </c>
      <c r="D81" s="67">
        <f t="shared" si="90"/>
        <v>0</v>
      </c>
      <c r="E81" s="67">
        <f t="shared" si="90"/>
        <v>0</v>
      </c>
      <c r="F81" s="67">
        <f t="shared" si="90"/>
        <v>0</v>
      </c>
      <c r="G81" s="67">
        <f t="shared" si="90"/>
        <v>0</v>
      </c>
      <c r="H81" s="67">
        <f t="shared" si="90"/>
        <v>0</v>
      </c>
      <c r="I81" s="66"/>
      <c r="J81" s="66"/>
      <c r="K81" s="66"/>
      <c r="L81" s="66"/>
      <c r="M81" s="67">
        <f t="shared" ref="M81:R81" si="91">M80+M72</f>
        <v>98598</v>
      </c>
      <c r="N81" s="67">
        <f t="shared" si="91"/>
        <v>193984</v>
      </c>
      <c r="O81" s="67">
        <f t="shared" si="91"/>
        <v>201549</v>
      </c>
      <c r="P81" s="67">
        <f t="shared" si="91"/>
        <v>203609</v>
      </c>
      <c r="Q81" s="67">
        <f t="shared" si="91"/>
        <v>203631</v>
      </c>
      <c r="R81" s="67">
        <f t="shared" si="91"/>
        <v>205579</v>
      </c>
      <c r="S81" s="66"/>
      <c r="T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</row>
    <row r="82" spans="1:44" x14ac:dyDescent="0.25"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</row>
    <row r="83" spans="1:44" x14ac:dyDescent="0.25">
      <c r="A83" s="4" t="s">
        <v>3</v>
      </c>
      <c r="B83" s="7" t="s">
        <v>270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</row>
    <row r="84" spans="1:44" x14ac:dyDescent="0.25">
      <c r="B84" s="5" t="s">
        <v>271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</row>
    <row r="85" spans="1:44" x14ac:dyDescent="0.25">
      <c r="B85" s="5" t="s">
        <v>272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>
        <v>13066</v>
      </c>
      <c r="N85" s="66">
        <v>10897</v>
      </c>
      <c r="O85" s="66">
        <v>-2442</v>
      </c>
      <c r="P85" s="66">
        <v>2536</v>
      </c>
      <c r="Q85" s="66">
        <v>3553</v>
      </c>
      <c r="R85" s="66">
        <v>3390</v>
      </c>
      <c r="S85" s="66"/>
      <c r="T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</row>
    <row r="86" spans="1:44" x14ac:dyDescent="0.25">
      <c r="B86" s="5" t="s">
        <v>208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>
        <v>3011</v>
      </c>
      <c r="N86" s="66">
        <v>4167</v>
      </c>
      <c r="O86" s="66">
        <v>5345</v>
      </c>
      <c r="P86" s="66">
        <v>5111</v>
      </c>
      <c r="Q86" s="66">
        <v>5163</v>
      </c>
      <c r="R86" s="66">
        <v>5369</v>
      </c>
      <c r="S86" s="66"/>
      <c r="T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</row>
    <row r="87" spans="1:44" x14ac:dyDescent="0.25">
      <c r="B87" s="5" t="s">
        <v>273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>
        <v>0</v>
      </c>
      <c r="N87" s="66">
        <v>0</v>
      </c>
      <c r="O87" s="66">
        <v>4953</v>
      </c>
      <c r="P87" s="66">
        <v>0</v>
      </c>
      <c r="Q87" s="66">
        <v>0</v>
      </c>
      <c r="R87" s="66">
        <v>2987</v>
      </c>
      <c r="S87" s="66"/>
      <c r="T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</row>
    <row r="88" spans="1:44" x14ac:dyDescent="0.25">
      <c r="B88" s="5" t="s">
        <v>274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>
        <v>-560</v>
      </c>
      <c r="N88" s="66">
        <v>-4733</v>
      </c>
      <c r="O88" s="66">
        <v>-920</v>
      </c>
      <c r="P88" s="66">
        <v>-332</v>
      </c>
      <c r="Q88" s="66">
        <v>714</v>
      </c>
      <c r="R88" s="66">
        <v>-166</v>
      </c>
      <c r="S88" s="66"/>
      <c r="T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</row>
    <row r="89" spans="1:44" x14ac:dyDescent="0.25">
      <c r="B89" s="5" t="s">
        <v>275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>
        <v>-1573</v>
      </c>
      <c r="N89" s="66">
        <v>117</v>
      </c>
      <c r="O89" s="66">
        <v>-392</v>
      </c>
      <c r="P89" s="66">
        <v>-1241</v>
      </c>
      <c r="Q89" s="66">
        <v>200</v>
      </c>
      <c r="R89" s="66">
        <v>-1346</v>
      </c>
      <c r="S89" s="66"/>
      <c r="T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</row>
    <row r="90" spans="1:44" x14ac:dyDescent="0.25">
      <c r="B90" s="5" t="s">
        <v>276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>
        <v>102</v>
      </c>
      <c r="N90" s="66">
        <v>103</v>
      </c>
      <c r="O90" s="66">
        <v>-651</v>
      </c>
      <c r="P90" s="66">
        <v>-761</v>
      </c>
      <c r="Q90" s="66">
        <v>-816</v>
      </c>
      <c r="R90" s="66">
        <v>-782</v>
      </c>
      <c r="S90" s="66"/>
      <c r="T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</row>
    <row r="91" spans="1:44" x14ac:dyDescent="0.25">
      <c r="B91" s="5" t="s">
        <v>277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>
        <v>775</v>
      </c>
      <c r="N91" s="66">
        <v>754</v>
      </c>
      <c r="O91" s="66">
        <v>774</v>
      </c>
      <c r="P91" s="66">
        <v>754</v>
      </c>
      <c r="Q91" s="66">
        <v>779</v>
      </c>
      <c r="R91" s="66">
        <v>720</v>
      </c>
      <c r="S91" s="66"/>
      <c r="T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</row>
    <row r="92" spans="1:44" x14ac:dyDescent="0.25">
      <c r="B92" s="5" t="s">
        <v>278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>
        <v>-523</v>
      </c>
      <c r="N92" s="66">
        <v>-542</v>
      </c>
      <c r="O92" s="66">
        <v>397</v>
      </c>
      <c r="P92" s="66">
        <v>-4301</v>
      </c>
      <c r="Q92" s="66">
        <v>-6271</v>
      </c>
      <c r="R92" s="66">
        <v>-1908</v>
      </c>
      <c r="S92" s="66"/>
      <c r="T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</row>
    <row r="93" spans="1:44" x14ac:dyDescent="0.25">
      <c r="B93" s="5" t="s">
        <v>279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>
        <v>393</v>
      </c>
      <c r="N93" s="66">
        <v>711</v>
      </c>
      <c r="O93" s="66">
        <v>525</v>
      </c>
      <c r="P93" s="66">
        <v>600</v>
      </c>
      <c r="Q93" s="66">
        <v>977</v>
      </c>
      <c r="R93" s="66">
        <v>1143</v>
      </c>
      <c r="S93" s="66"/>
      <c r="T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</row>
    <row r="94" spans="1:44" x14ac:dyDescent="0.25">
      <c r="B94" s="5" t="s">
        <v>280</v>
      </c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>
        <v>0</v>
      </c>
      <c r="N94" s="66">
        <v>0</v>
      </c>
      <c r="O94" s="66">
        <v>31</v>
      </c>
      <c r="P94" s="66">
        <v>0</v>
      </c>
      <c r="Q94" s="66">
        <v>0</v>
      </c>
      <c r="R94" s="66">
        <v>0</v>
      </c>
      <c r="S94" s="66"/>
      <c r="T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</row>
    <row r="95" spans="1:44" x14ac:dyDescent="0.25">
      <c r="B95" s="5" t="s">
        <v>281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>
        <v>0</v>
      </c>
      <c r="N95" s="66">
        <v>0</v>
      </c>
      <c r="O95" s="66">
        <v>0</v>
      </c>
      <c r="P95" s="66">
        <v>816</v>
      </c>
      <c r="Q95" s="66">
        <v>620</v>
      </c>
      <c r="R95" s="66">
        <v>4</v>
      </c>
      <c r="S95" s="66"/>
      <c r="T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</row>
    <row r="96" spans="1:44" x14ac:dyDescent="0.25">
      <c r="B96" s="5" t="s">
        <v>142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>
        <v>441</v>
      </c>
      <c r="N96" s="66">
        <v>154</v>
      </c>
      <c r="O96" s="66">
        <v>641</v>
      </c>
      <c r="P96" s="66">
        <v>190</v>
      </c>
      <c r="Q96" s="66">
        <v>595</v>
      </c>
      <c r="R96" s="66">
        <v>278</v>
      </c>
      <c r="S96" s="66"/>
      <c r="T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</row>
    <row r="97" spans="2:44" x14ac:dyDescent="0.25">
      <c r="B97" s="5" t="s">
        <v>282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</row>
    <row r="98" spans="2:44" x14ac:dyDescent="0.25">
      <c r="B98" s="5" t="s">
        <v>283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>
        <v>-720</v>
      </c>
      <c r="N98" s="66">
        <v>55</v>
      </c>
      <c r="O98" s="66">
        <v>1943</v>
      </c>
      <c r="P98" s="66">
        <v>-357</v>
      </c>
      <c r="Q98" s="66">
        <v>605</v>
      </c>
      <c r="R98" s="66">
        <v>358</v>
      </c>
      <c r="S98" s="66"/>
      <c r="T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</row>
    <row r="99" spans="2:44" x14ac:dyDescent="0.25">
      <c r="B99" s="5" t="s">
        <v>231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>
        <v>-17</v>
      </c>
      <c r="N99" s="66">
        <v>-223</v>
      </c>
      <c r="O99" s="66">
        <v>14</v>
      </c>
      <c r="P99" s="66">
        <v>252</v>
      </c>
      <c r="Q99" s="66">
        <v>-420</v>
      </c>
      <c r="R99" s="66">
        <v>-183</v>
      </c>
      <c r="S99" s="66"/>
      <c r="T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</row>
    <row r="100" spans="2:44" x14ac:dyDescent="0.25">
      <c r="B100" s="5" t="s">
        <v>284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>
        <v>-927</v>
      </c>
      <c r="N100" s="66">
        <v>932</v>
      </c>
      <c r="O100" s="66">
        <v>-157</v>
      </c>
      <c r="P100" s="66">
        <v>171</v>
      </c>
      <c r="Q100" s="66">
        <v>-707</v>
      </c>
      <c r="R100" s="66">
        <v>-201</v>
      </c>
      <c r="S100" s="66"/>
      <c r="T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</row>
    <row r="101" spans="2:44" x14ac:dyDescent="0.25">
      <c r="B101" s="5" t="s">
        <v>285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>
        <v>235</v>
      </c>
      <c r="N101" s="66">
        <v>191</v>
      </c>
      <c r="O101" s="66">
        <v>-2293</v>
      </c>
      <c r="P101" s="66">
        <v>2410</v>
      </c>
      <c r="Q101" s="66">
        <v>964</v>
      </c>
      <c r="R101" s="66">
        <v>-1142</v>
      </c>
      <c r="S101" s="66"/>
      <c r="T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</row>
    <row r="102" spans="2:44" x14ac:dyDescent="0.25">
      <c r="B102" s="5" t="s">
        <v>286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>
        <v>592</v>
      </c>
      <c r="N102" s="66">
        <v>-6599</v>
      </c>
      <c r="O102" s="66">
        <v>-152</v>
      </c>
      <c r="P102" s="66">
        <v>-282</v>
      </c>
      <c r="Q102" s="66">
        <v>46</v>
      </c>
      <c r="R102" s="66">
        <v>1345</v>
      </c>
      <c r="S102" s="66"/>
      <c r="T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</row>
    <row r="103" spans="2:44" x14ac:dyDescent="0.25">
      <c r="B103" s="5" t="s">
        <v>287</v>
      </c>
      <c r="C103" s="67">
        <f t="shared" ref="C103" si="92">SUM(C85:C96)+SUM(C98:C102)</f>
        <v>0</v>
      </c>
      <c r="D103" s="67">
        <f t="shared" ref="D103" si="93">SUM(D85:D96)+SUM(D98:D102)</f>
        <v>0</v>
      </c>
      <c r="E103" s="67">
        <f t="shared" ref="E103" si="94">SUM(E85:E96)+SUM(E98:E102)</f>
        <v>0</v>
      </c>
      <c r="F103" s="67">
        <f t="shared" ref="F103" si="95">SUM(F85:F96)+SUM(F98:F102)</f>
        <v>0</v>
      </c>
      <c r="G103" s="67">
        <f t="shared" ref="G103" si="96">SUM(G85:G96)+SUM(G98:G102)</f>
        <v>0</v>
      </c>
      <c r="H103" s="67">
        <f>SUM(H85:H96)+SUM(H98:H102)</f>
        <v>0</v>
      </c>
      <c r="I103" s="66"/>
      <c r="J103" s="66"/>
      <c r="K103" s="66"/>
      <c r="L103" s="66"/>
      <c r="M103" s="67">
        <f t="shared" ref="M103:Q103" si="97">SUM(M85:M96)+SUM(M98:M102)</f>
        <v>14295</v>
      </c>
      <c r="N103" s="67">
        <f t="shared" si="97"/>
        <v>5984</v>
      </c>
      <c r="O103" s="67">
        <f>SUM(O85:O96)+SUM(O98:O102)</f>
        <v>7616</v>
      </c>
      <c r="P103" s="67">
        <f t="shared" si="97"/>
        <v>5566</v>
      </c>
      <c r="Q103" s="67">
        <f t="shared" si="97"/>
        <v>6002</v>
      </c>
      <c r="R103" s="67">
        <f>SUM(R85:R96)+SUM(R98:R102)</f>
        <v>9866</v>
      </c>
      <c r="S103" s="66"/>
      <c r="T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</row>
    <row r="104" spans="2:44" x14ac:dyDescent="0.25">
      <c r="B104" s="5" t="s">
        <v>288</v>
      </c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</row>
    <row r="105" spans="2:44" x14ac:dyDescent="0.25">
      <c r="B105" s="5" t="s">
        <v>289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>
        <v>-4465</v>
      </c>
      <c r="N105" s="66">
        <v>-4876</v>
      </c>
      <c r="O105" s="66">
        <v>-4022</v>
      </c>
      <c r="P105" s="66">
        <v>-3578</v>
      </c>
      <c r="Q105" s="66">
        <v>-4943</v>
      </c>
      <c r="R105" s="66">
        <v>-4969</v>
      </c>
      <c r="S105" s="66"/>
      <c r="T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</row>
    <row r="106" spans="2:44" x14ac:dyDescent="0.25">
      <c r="B106" s="5" t="s">
        <v>290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>
        <v>-1581</v>
      </c>
      <c r="N106" s="66">
        <v>-9901</v>
      </c>
      <c r="O106" s="66">
        <v>0</v>
      </c>
      <c r="P106" s="66">
        <v>337</v>
      </c>
      <c r="Q106" s="66">
        <v>52</v>
      </c>
      <c r="R106" s="66">
        <v>458</v>
      </c>
      <c r="S106" s="66"/>
      <c r="T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</row>
    <row r="107" spans="2:44" x14ac:dyDescent="0.25">
      <c r="B107" s="5" t="s">
        <v>291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>
        <v>710</v>
      </c>
      <c r="N107" s="66">
        <v>-319</v>
      </c>
      <c r="O107" s="66">
        <v>172</v>
      </c>
      <c r="P107" s="66">
        <v>70</v>
      </c>
      <c r="Q107" s="66">
        <v>-117</v>
      </c>
      <c r="R107" s="66">
        <v>-130</v>
      </c>
      <c r="S107" s="66"/>
      <c r="T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</row>
    <row r="108" spans="2:44" x14ac:dyDescent="0.25">
      <c r="B108" s="5" t="s">
        <v>292</v>
      </c>
      <c r="C108" s="67">
        <f t="shared" ref="C108" si="98">SUM(C105:C107)</f>
        <v>0</v>
      </c>
      <c r="D108" s="67">
        <f t="shared" ref="D108" si="99">SUM(D105:D107)</f>
        <v>0</v>
      </c>
      <c r="E108" s="67">
        <f t="shared" ref="E108" si="100">SUM(E105:E107)</f>
        <v>0</v>
      </c>
      <c r="F108" s="67">
        <f t="shared" ref="F108" si="101">SUM(F105:F107)</f>
        <v>0</v>
      </c>
      <c r="G108" s="67">
        <f t="shared" ref="G108" si="102">SUM(G105:G107)</f>
        <v>0</v>
      </c>
      <c r="H108" s="67">
        <f>SUM(H105:H107)</f>
        <v>0</v>
      </c>
      <c r="I108" s="66"/>
      <c r="J108" s="66"/>
      <c r="K108" s="66"/>
      <c r="L108" s="66"/>
      <c r="M108" s="67">
        <f t="shared" ref="M108:Q108" si="103">SUM(M105:M107)</f>
        <v>-5336</v>
      </c>
      <c r="N108" s="67">
        <f t="shared" si="103"/>
        <v>-15096</v>
      </c>
      <c r="O108" s="67">
        <f t="shared" si="103"/>
        <v>-3850</v>
      </c>
      <c r="P108" s="67">
        <f t="shared" si="103"/>
        <v>-3171</v>
      </c>
      <c r="Q108" s="67">
        <f t="shared" si="103"/>
        <v>-5008</v>
      </c>
      <c r="R108" s="67">
        <f>SUM(R105:R107)</f>
        <v>-4641</v>
      </c>
      <c r="S108" s="66"/>
      <c r="T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</row>
    <row r="109" spans="2:44" x14ac:dyDescent="0.25">
      <c r="B109" s="5" t="s">
        <v>293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</row>
    <row r="110" spans="2:44" x14ac:dyDescent="0.25">
      <c r="B110" s="5" t="s">
        <v>294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>
        <v>-1768</v>
      </c>
      <c r="N110" s="66">
        <v>4318</v>
      </c>
      <c r="O110" s="66">
        <v>-3354</v>
      </c>
      <c r="P110" s="66">
        <v>-26</v>
      </c>
      <c r="Q110" s="66">
        <v>-334</v>
      </c>
      <c r="R110" s="66">
        <v>-191</v>
      </c>
      <c r="S110" s="66"/>
      <c r="T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</row>
    <row r="111" spans="2:44" x14ac:dyDescent="0.25">
      <c r="B111" s="5" t="s">
        <v>254</v>
      </c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>
        <v>1056</v>
      </c>
      <c r="N111" s="66">
        <v>38240</v>
      </c>
      <c r="O111" s="66">
        <v>18120</v>
      </c>
      <c r="P111" s="66">
        <v>64</v>
      </c>
      <c r="Q111" s="66">
        <v>333</v>
      </c>
      <c r="R111" s="66">
        <v>83</v>
      </c>
      <c r="S111" s="66"/>
      <c r="T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</row>
    <row r="112" spans="2:44" x14ac:dyDescent="0.25">
      <c r="B112" s="5" t="s">
        <v>295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>
        <v>-1871</v>
      </c>
      <c r="N112" s="66">
        <v>-38881</v>
      </c>
      <c r="O112" s="66">
        <v>-3533</v>
      </c>
      <c r="P112" s="66">
        <v>-3737</v>
      </c>
      <c r="Q112" s="66">
        <v>-4016</v>
      </c>
      <c r="R112" s="66">
        <v>-1675</v>
      </c>
      <c r="S112" s="66"/>
      <c r="T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</row>
    <row r="113" spans="2:44" x14ac:dyDescent="0.25">
      <c r="B113" s="5" t="s">
        <v>296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>
        <v>-2515</v>
      </c>
      <c r="N113" s="66">
        <v>-2895</v>
      </c>
      <c r="O113" s="66">
        <v>-1587</v>
      </c>
      <c r="P113" s="66">
        <v>0</v>
      </c>
      <c r="Q113" s="66">
        <v>0</v>
      </c>
      <c r="R113" s="66">
        <v>0</v>
      </c>
      <c r="S113" s="66"/>
      <c r="T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</row>
    <row r="114" spans="2:44" x14ac:dyDescent="0.25">
      <c r="B114" s="5" t="s">
        <v>297</v>
      </c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>
        <v>-3577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/>
      <c r="T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</row>
    <row r="115" spans="2:44" x14ac:dyDescent="0.25">
      <c r="B115" s="5" t="s">
        <v>298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>
        <v>210</v>
      </c>
      <c r="N115" s="66">
        <v>318</v>
      </c>
      <c r="O115" s="66">
        <v>305</v>
      </c>
      <c r="P115" s="66">
        <v>435</v>
      </c>
      <c r="Q115" s="66">
        <v>127</v>
      </c>
      <c r="R115" s="66">
        <v>52</v>
      </c>
      <c r="S115" s="66"/>
      <c r="T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</row>
    <row r="116" spans="2:44" x14ac:dyDescent="0.25">
      <c r="B116" s="5" t="s">
        <v>299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>
        <v>399</v>
      </c>
      <c r="N116" s="66">
        <v>737</v>
      </c>
      <c r="O116" s="66">
        <v>94</v>
      </c>
      <c r="P116" s="66">
        <v>91</v>
      </c>
      <c r="Q116" s="66">
        <v>74</v>
      </c>
      <c r="R116" s="66">
        <v>735</v>
      </c>
      <c r="S116" s="66"/>
      <c r="T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</row>
    <row r="117" spans="2:44" x14ac:dyDescent="0.25">
      <c r="B117" s="5" t="s">
        <v>300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>
        <v>0</v>
      </c>
      <c r="N117" s="66">
        <v>-1430</v>
      </c>
      <c r="O117" s="66">
        <v>0</v>
      </c>
      <c r="P117" s="66">
        <v>-350</v>
      </c>
      <c r="Q117" s="66">
        <v>0</v>
      </c>
      <c r="R117" s="66">
        <v>-900</v>
      </c>
      <c r="S117" s="66"/>
      <c r="T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</row>
    <row r="118" spans="2:44" x14ac:dyDescent="0.25">
      <c r="B118" s="5" t="s">
        <v>301</v>
      </c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>
        <v>-777</v>
      </c>
      <c r="N118" s="66">
        <v>-871</v>
      </c>
      <c r="O118" s="66">
        <v>-1565</v>
      </c>
      <c r="P118" s="66">
        <v>-862</v>
      </c>
      <c r="Q118" s="66">
        <v>-913</v>
      </c>
      <c r="R118" s="66">
        <v>-828</v>
      </c>
      <c r="S118" s="66"/>
      <c r="T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</row>
    <row r="119" spans="2:44" x14ac:dyDescent="0.25">
      <c r="B119" s="5" t="s">
        <v>302</v>
      </c>
      <c r="C119" s="67">
        <f t="shared" ref="C119" si="104">SUM(C110:C118)</f>
        <v>0</v>
      </c>
      <c r="D119" s="67">
        <f t="shared" ref="D119" si="105">SUM(D110:D118)</f>
        <v>0</v>
      </c>
      <c r="E119" s="67">
        <f t="shared" ref="E119" si="106">SUM(E110:E118)</f>
        <v>0</v>
      </c>
      <c r="F119" s="67">
        <f t="shared" ref="F119" si="107">SUM(F110:F118)</f>
        <v>0</v>
      </c>
      <c r="G119" s="67">
        <f t="shared" ref="G119" si="108">SUM(G110:G118)</f>
        <v>0</v>
      </c>
      <c r="H119" s="67">
        <f>SUM(H110:H118)</f>
        <v>0</v>
      </c>
      <c r="I119" s="66"/>
      <c r="J119" s="66"/>
      <c r="K119" s="66"/>
      <c r="L119" s="66"/>
      <c r="M119" s="67">
        <f t="shared" ref="M119" si="109">SUM(M110:M118)</f>
        <v>-8843</v>
      </c>
      <c r="N119" s="67">
        <f t="shared" ref="N119:O119" si="110">SUM(N110:N118)</f>
        <v>-464</v>
      </c>
      <c r="O119" s="67">
        <f t="shared" si="110"/>
        <v>8480</v>
      </c>
      <c r="P119" s="67">
        <f t="shared" ref="P119:Q119" si="111">SUM(P110:P118)</f>
        <v>-4385</v>
      </c>
      <c r="Q119" s="67">
        <f t="shared" si="111"/>
        <v>-4729</v>
      </c>
      <c r="R119" s="67">
        <f>SUM(R110:R118)</f>
        <v>-2724</v>
      </c>
      <c r="S119" s="66"/>
      <c r="T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</row>
    <row r="120" spans="2:44" x14ac:dyDescent="0.25">
      <c r="B120" s="5" t="s">
        <v>303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>
        <v>0</v>
      </c>
      <c r="N120" s="66">
        <v>10974</v>
      </c>
      <c r="O120" s="66">
        <v>215</v>
      </c>
      <c r="P120" s="66">
        <v>30</v>
      </c>
      <c r="Q120" s="66">
        <v>-603</v>
      </c>
      <c r="R120" s="66">
        <v>73</v>
      </c>
      <c r="S120" s="66"/>
      <c r="T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</row>
    <row r="121" spans="2:44" x14ac:dyDescent="0.25">
      <c r="B121" s="5" t="s">
        <v>304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>
        <v>-25</v>
      </c>
      <c r="N121" s="66">
        <v>-98</v>
      </c>
      <c r="O121" s="66">
        <v>38</v>
      </c>
      <c r="P121" s="66">
        <v>9</v>
      </c>
      <c r="Q121" s="66">
        <v>-4</v>
      </c>
      <c r="R121" s="66">
        <v>0</v>
      </c>
      <c r="S121" s="66"/>
      <c r="T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</row>
    <row r="122" spans="2:44" x14ac:dyDescent="0.25">
      <c r="B122" s="6" t="s">
        <v>305</v>
      </c>
      <c r="C122" s="67">
        <f t="shared" ref="C122" si="112">C103+C108+C119+C120+C121</f>
        <v>0</v>
      </c>
      <c r="D122" s="67">
        <f t="shared" ref="D122" si="113">D103+D108+D119+D120+D121</f>
        <v>0</v>
      </c>
      <c r="E122" s="67">
        <f t="shared" ref="E122" si="114">E103+E108+E119+E120+E121</f>
        <v>0</v>
      </c>
      <c r="F122" s="67">
        <f t="shared" ref="F122" si="115">F103+F108+F119+F120+F121</f>
        <v>0</v>
      </c>
      <c r="G122" s="67">
        <f>G103+G108+G119+G120+G121</f>
        <v>0</v>
      </c>
      <c r="H122" s="67">
        <f>H103+H108+H119+H120+H121</f>
        <v>0</v>
      </c>
      <c r="I122" s="66"/>
      <c r="J122" s="66"/>
      <c r="K122" s="66"/>
      <c r="L122" s="66"/>
      <c r="M122" s="67">
        <f t="shared" ref="M122:P122" si="116">M103+M108+M119+M120+M121</f>
        <v>91</v>
      </c>
      <c r="N122" s="67">
        <f t="shared" si="116"/>
        <v>1300</v>
      </c>
      <c r="O122" s="67">
        <f>O103+O108+O119+O120+O121</f>
        <v>12499</v>
      </c>
      <c r="P122" s="67">
        <f t="shared" si="116"/>
        <v>-1951</v>
      </c>
      <c r="Q122" s="67">
        <f>Q103+Q108+Q119+Q120+Q121</f>
        <v>-4342</v>
      </c>
      <c r="R122" s="67">
        <f>R103+R108+R119+R120+R121</f>
        <v>2574</v>
      </c>
      <c r="S122" s="66"/>
      <c r="T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</row>
    <row r="123" spans="2:44" x14ac:dyDescent="0.25">
      <c r="B123" s="5" t="s">
        <v>306</v>
      </c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</row>
    <row r="124" spans="2:44" x14ac:dyDescent="0.25">
      <c r="B124" s="5" t="s">
        <v>307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>
        <f>M125-M122</f>
        <v>4064</v>
      </c>
      <c r="N124" s="66">
        <f>N125-N122</f>
        <v>4155</v>
      </c>
      <c r="O124" s="66">
        <v>5455</v>
      </c>
      <c r="P124" s="66">
        <f>P125-P122</f>
        <v>17954</v>
      </c>
      <c r="Q124" s="66">
        <v>16003</v>
      </c>
      <c r="R124" s="66">
        <v>11661</v>
      </c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</row>
    <row r="125" spans="2:44" x14ac:dyDescent="0.25"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>
        <f>N124</f>
        <v>4155</v>
      </c>
      <c r="N125" s="66">
        <f>O124</f>
        <v>5455</v>
      </c>
      <c r="O125" s="66">
        <f>O124+O122</f>
        <v>17954</v>
      </c>
      <c r="P125" s="66">
        <f>Q124</f>
        <v>16003</v>
      </c>
      <c r="Q125" s="66">
        <f>Q124+Q122</f>
        <v>11661</v>
      </c>
      <c r="R125" s="66">
        <f>R124+R122</f>
        <v>14235</v>
      </c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</row>
    <row r="126" spans="2:44" x14ac:dyDescent="0.25"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</row>
    <row r="127" spans="2:44" x14ac:dyDescent="0.25"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</row>
    <row r="128" spans="2:44" x14ac:dyDescent="0.25"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</row>
    <row r="129" spans="3:44" x14ac:dyDescent="0.25"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</row>
    <row r="130" spans="3:44" x14ac:dyDescent="0.25"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</row>
    <row r="131" spans="3:44" x14ac:dyDescent="0.25"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</row>
    <row r="132" spans="3:44" x14ac:dyDescent="0.25"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</row>
    <row r="133" spans="3:44" x14ac:dyDescent="0.25"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</row>
    <row r="134" spans="3:44" x14ac:dyDescent="0.25"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</row>
    <row r="135" spans="3:44" x14ac:dyDescent="0.25"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</row>
    <row r="136" spans="3:44" x14ac:dyDescent="0.25"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</row>
    <row r="137" spans="3:44" x14ac:dyDescent="0.25"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</row>
    <row r="138" spans="3:44" x14ac:dyDescent="0.25"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</row>
    <row r="139" spans="3:44" x14ac:dyDescent="0.25"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</row>
    <row r="140" spans="3:44" x14ac:dyDescent="0.25"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</row>
    <row r="141" spans="3:44" x14ac:dyDescent="0.25"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</row>
  </sheetData>
  <hyperlinks>
    <hyperlink ref="A1" location="Main!A1" display="Main" xr:uid="{17268701-4BB0-4FB2-90AC-F11E4BF32FEA}"/>
  </hyperlink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090A-7F00-436E-9BA4-98094DAF0708}">
  <dimension ref="A1:Q63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5" x14ac:dyDescent="0.25"/>
  <cols>
    <col min="1" max="1" width="4.5703125" customWidth="1"/>
    <col min="2" max="2" width="31.85546875" customWidth="1"/>
  </cols>
  <sheetData>
    <row r="1" spans="1:16" x14ac:dyDescent="0.25">
      <c r="A1" s="1" t="s">
        <v>94</v>
      </c>
      <c r="D1" t="s">
        <v>190</v>
      </c>
      <c r="E1" t="s">
        <v>190</v>
      </c>
      <c r="F1" t="s">
        <v>190</v>
      </c>
      <c r="G1" t="s">
        <v>190</v>
      </c>
      <c r="H1" t="s">
        <v>190</v>
      </c>
      <c r="I1" t="s">
        <v>190</v>
      </c>
      <c r="J1" t="s">
        <v>191</v>
      </c>
      <c r="L1" t="s">
        <v>190</v>
      </c>
      <c r="M1" t="s">
        <v>191</v>
      </c>
    </row>
    <row r="2" spans="1:16" x14ac:dyDescent="0.25">
      <c r="A2" s="1"/>
      <c r="D2" t="s">
        <v>192</v>
      </c>
      <c r="E2" t="s">
        <v>193</v>
      </c>
      <c r="F2" t="s">
        <v>95</v>
      </c>
      <c r="G2" t="s">
        <v>96</v>
      </c>
      <c r="H2" t="s">
        <v>97</v>
      </c>
      <c r="I2" t="s">
        <v>98</v>
      </c>
      <c r="J2" t="s">
        <v>194</v>
      </c>
      <c r="L2" t="s">
        <v>308</v>
      </c>
      <c r="M2" t="s">
        <v>309</v>
      </c>
      <c r="P2" t="s">
        <v>310</v>
      </c>
    </row>
    <row r="3" spans="1:16" x14ac:dyDescent="0.25">
      <c r="A3" s="4" t="s">
        <v>3</v>
      </c>
      <c r="B3" s="3" t="s">
        <v>311</v>
      </c>
    </row>
    <row r="4" spans="1:16" x14ac:dyDescent="0.25">
      <c r="B4" t="s">
        <v>312</v>
      </c>
      <c r="C4" s="19"/>
      <c r="D4" s="19">
        <f>Model!M22/Model!M80</f>
        <v>0.24731223500908539</v>
      </c>
      <c r="E4" s="19">
        <f>Model!N22/Model!N80</f>
        <v>0.12337973564528326</v>
      </c>
      <c r="F4" s="19">
        <f>Model!O22/Model!O80</f>
        <v>-2.8029865288965932E-2</v>
      </c>
      <c r="G4" s="19">
        <f>Model!P22/Model!P80</f>
        <v>2.6953801163303266E-2</v>
      </c>
      <c r="H4" s="19">
        <f>Model!Q22/Model!Q80</f>
        <v>3.5447364961215221E-2</v>
      </c>
      <c r="I4" s="19">
        <f>Model!R22/Model!R80</f>
        <v>3.2609636676702865E-2</v>
      </c>
      <c r="J4" s="19">
        <f>Model!S22/Model!R80</f>
        <v>5.5532575968910224E-2</v>
      </c>
      <c r="L4" s="20">
        <f>AVERAGE(D4:I4)</f>
        <v>7.2945484694437332E-2</v>
      </c>
      <c r="M4" s="20">
        <f>AVERAGE(D4:J4)</f>
        <v>7.0457926305076315E-2</v>
      </c>
      <c r="P4" t="s">
        <v>313</v>
      </c>
    </row>
    <row r="5" spans="1:16" x14ac:dyDescent="0.25">
      <c r="B5" t="s">
        <v>314</v>
      </c>
      <c r="D5" s="19">
        <f>Model!M22/Model!M5</f>
        <v>0.21984049533936803</v>
      </c>
      <c r="E5" s="19">
        <f>Model!N22/Model!N5</f>
        <v>0.16642004396109586</v>
      </c>
      <c r="F5" s="19">
        <f>Model!O22/Model!O5</f>
        <v>-3.7835688505536182E-2</v>
      </c>
      <c r="G5" s="19">
        <f>Model!P22/Model!P5</f>
        <v>3.7185914740870393E-2</v>
      </c>
      <c r="H5" s="19">
        <f>Model!Q22/Model!Q5</f>
        <v>4.2370832426682138E-2</v>
      </c>
      <c r="I5" s="19">
        <f>Model!R22/Model!R5</f>
        <v>3.8133591306891042E-2</v>
      </c>
      <c r="J5" s="19">
        <f>Model!S22/Model!S5</f>
        <v>6.3188888037565269E-2</v>
      </c>
      <c r="L5" s="20">
        <f>AVERAGE(D5:I5)</f>
        <v>7.7685864878228553E-2</v>
      </c>
      <c r="M5" s="20">
        <f t="shared" ref="M5:M12" si="0">AVERAGE(D5:J5)</f>
        <v>7.5614868186705222E-2</v>
      </c>
      <c r="P5" t="s">
        <v>315</v>
      </c>
    </row>
    <row r="6" spans="1:16" x14ac:dyDescent="0.25">
      <c r="B6" t="s">
        <v>316</v>
      </c>
      <c r="D6" s="19">
        <f>Model!M13/Model!M5</f>
        <v>0.24963825419793384</v>
      </c>
      <c r="E6" s="19">
        <f>Model!N13/Model!N5</f>
        <v>0.16995417127587742</v>
      </c>
      <c r="F6" s="19">
        <f>Model!O13/Model!O5</f>
        <v>5.8022878815684832E-2</v>
      </c>
      <c r="G6" s="19">
        <f>Model!P13/Model!P5</f>
        <v>5.4273339464238041E-2</v>
      </c>
      <c r="H6" s="19">
        <f>Model!Q13/Model!Q5</f>
        <v>8.1840381035274773E-2</v>
      </c>
      <c r="I6" s="19">
        <f>Model!R13/Model!R5</f>
        <v>0.10114963216270333</v>
      </c>
      <c r="J6" s="19">
        <f>Model!S13/Model!S5</f>
        <v>0.13040575300182791</v>
      </c>
      <c r="L6" s="20">
        <f t="shared" ref="L6:L17" si="1">AVERAGE(D6:I6)</f>
        <v>0.11914644282528537</v>
      </c>
      <c r="M6" s="20">
        <f t="shared" si="0"/>
        <v>0.1207549157076486</v>
      </c>
      <c r="P6" t="s">
        <v>317</v>
      </c>
    </row>
    <row r="7" spans="1:16" x14ac:dyDescent="0.25">
      <c r="B7" t="s">
        <v>318</v>
      </c>
      <c r="D7" s="19">
        <f>(Model!M13+Model!M11)/Model!M5</f>
        <v>0.30029949187333849</v>
      </c>
      <c r="E7" s="19">
        <f>(Model!N13+Model!N11)/Model!N5</f>
        <v>0.22981884005918946</v>
      </c>
      <c r="F7" s="19">
        <f>(Model!O13+Model!O11)/Model!O5</f>
        <v>0.13976570624579435</v>
      </c>
      <c r="G7" s="19">
        <f>(Model!P13+Model!P11)/Model!P5</f>
        <v>0.1300839538402207</v>
      </c>
      <c r="H7" s="19">
        <f>(Model!Q13+Model!Q11)/Model!Q5</f>
        <v>0.14425424917192525</v>
      </c>
      <c r="I7" s="19">
        <f>(Model!R13+Model!R11)/Model!R5</f>
        <v>0.16154469166910393</v>
      </c>
      <c r="J7" s="19">
        <f>(Model!S13+Model!S11)/Model!S5</f>
        <v>0.18502424448068649</v>
      </c>
      <c r="L7" s="20">
        <f t="shared" si="1"/>
        <v>0.18429448880992869</v>
      </c>
      <c r="M7" s="20">
        <f>AVERAGE(D7:J7)</f>
        <v>0.18439873962003692</v>
      </c>
      <c r="P7" t="s">
        <v>319</v>
      </c>
    </row>
    <row r="8" spans="1:16" x14ac:dyDescent="0.25">
      <c r="B8" t="s">
        <v>320</v>
      </c>
      <c r="D8" s="21">
        <f>Model!M5/Model!M81</f>
        <v>0.60279113166595666</v>
      </c>
      <c r="E8" s="21">
        <f>Model!N5/Model!N81</f>
        <v>0.35882856318046852</v>
      </c>
      <c r="F8" s="21">
        <f>Model!O5/Model!O81</f>
        <v>0.32442731048032986</v>
      </c>
      <c r="G8" s="21">
        <f>Model!P5/Model!P81</f>
        <v>0.3311150292963474</v>
      </c>
      <c r="H8" s="21">
        <f>Model!Q5/Model!Q81</f>
        <v>0.40623480707750786</v>
      </c>
      <c r="I8" s="21">
        <f>Model!R5/Model!R81</f>
        <v>0.4324274366545221</v>
      </c>
      <c r="J8" s="21">
        <f>Model!S5/Model!R81</f>
        <v>0.44440823235836346</v>
      </c>
      <c r="L8" s="22">
        <f t="shared" si="1"/>
        <v>0.40930404639252199</v>
      </c>
      <c r="M8" s="22">
        <f t="shared" si="0"/>
        <v>0.41431893010192794</v>
      </c>
      <c r="P8" t="s">
        <v>321</v>
      </c>
    </row>
    <row r="9" spans="1:16" x14ac:dyDescent="0.25">
      <c r="B9" t="s">
        <v>322</v>
      </c>
      <c r="D9" s="19">
        <f>(Model!M22+Model!M16)/Model!M60</f>
        <v>0.13833952007140105</v>
      </c>
      <c r="E9" s="19">
        <f>(Model!N22+Model!N16)/Model!N60</f>
        <v>6.4757918178818874E-2</v>
      </c>
      <c r="F9" s="19">
        <f>(Model!O22+Model!O16)/Model!O60</f>
        <v>-4.8772258855166737E-3</v>
      </c>
      <c r="G9" s="19">
        <f>(Model!P22+Model!P16)/Model!P60</f>
        <v>1.921820744662564E-2</v>
      </c>
      <c r="H9" s="19">
        <f>(Model!Q22+Model!Q16)/Model!Q60</f>
        <v>2.4072955493024146E-2</v>
      </c>
      <c r="I9" s="19">
        <f>(Model!R22+Model!R16)/Model!R60</f>
        <v>2.2370962014602661E-2</v>
      </c>
      <c r="J9" s="19">
        <f>(Model!S22+Model!S16)/Model!R60</f>
        <v>3.4210692726397152E-2</v>
      </c>
      <c r="L9" s="20">
        <f t="shared" si="1"/>
        <v>4.3980389553159284E-2</v>
      </c>
      <c r="M9" s="20">
        <f t="shared" si="0"/>
        <v>4.2584718577907556E-2</v>
      </c>
      <c r="P9" t="s">
        <v>323</v>
      </c>
    </row>
    <row r="10" spans="1:16" x14ac:dyDescent="0.25">
      <c r="B10" t="s">
        <v>324</v>
      </c>
      <c r="D10" s="19">
        <f>Model!M13/Model!M60</f>
        <v>0.15047972575508631</v>
      </c>
      <c r="E10" s="19">
        <f>Model!N13/Model!N60</f>
        <v>6.0984411085450344E-2</v>
      </c>
      <c r="F10" s="19">
        <f>Model!O13/Model!O60</f>
        <v>1.8824206520498737E-2</v>
      </c>
      <c r="G10" s="19">
        <f>Model!P13/Model!P60</f>
        <v>1.7970718386711784E-2</v>
      </c>
      <c r="H10" s="19">
        <f>Model!Q13/Model!Q60</f>
        <v>3.3246411401014579E-2</v>
      </c>
      <c r="I10" s="19">
        <f>Model!R13/Model!R60</f>
        <v>4.3739876154665604E-2</v>
      </c>
      <c r="J10" s="19">
        <f>Model!S13/Model!R60</f>
        <v>5.7953390180903688E-2</v>
      </c>
      <c r="L10" s="20">
        <f t="shared" si="1"/>
        <v>5.4207558217237904E-2</v>
      </c>
      <c r="M10" s="20">
        <f t="shared" si="0"/>
        <v>5.4742677069190157E-2</v>
      </c>
      <c r="P10" t="s">
        <v>325</v>
      </c>
    </row>
    <row r="11" spans="1:16" x14ac:dyDescent="0.25">
      <c r="B11" t="s">
        <v>326</v>
      </c>
      <c r="D11" s="19">
        <f>Model!M13/(Model!M59+SUM(Model!M42:M48)-Model!M62)</f>
        <v>0.13178955596415026</v>
      </c>
      <c r="E11" s="19">
        <f>Model!N13/(Model!N59+SUM(Model!N42:N48)-Model!N62)</f>
        <v>5.2586659080200208E-2</v>
      </c>
      <c r="F11" s="19">
        <f>Model!O13/(Model!O59+SUM(Model!O42:O48)-Model!O62)</f>
        <v>1.6423531448855028E-2</v>
      </c>
      <c r="G11" s="19">
        <f>Model!P13/(Model!P59+SUM(Model!P42:P48)-Model!P62)</f>
        <v>1.5643638011603397E-2</v>
      </c>
      <c r="H11" s="19">
        <f>Model!Q13/(Model!Q59+SUM(Model!Q42:Q48)-Model!Q62)</f>
        <v>2.8220562243638909E-2</v>
      </c>
      <c r="I11" s="19">
        <f>Model!R13/(Model!R59+SUM(Model!R42:R48)-Model!R62)</f>
        <v>3.7441705529646901E-2</v>
      </c>
      <c r="J11" s="19">
        <f>Model!S13/(Model!R59+SUM(Model!R42:R48)-Model!R62)</f>
        <v>4.9608594270486341E-2</v>
      </c>
      <c r="L11" s="20">
        <f t="shared" si="1"/>
        <v>4.7017608713015781E-2</v>
      </c>
      <c r="M11" s="20">
        <f t="shared" si="0"/>
        <v>4.7387749506940149E-2</v>
      </c>
      <c r="P11" t="s">
        <v>327</v>
      </c>
    </row>
    <row r="12" spans="1:16" x14ac:dyDescent="0.25">
      <c r="B12" t="s">
        <v>328</v>
      </c>
      <c r="D12" s="19">
        <f>(Model!M13-Model!M19)/(Model!M72+Model!M80-Model!M41)</f>
        <v>0.13948416059630697</v>
      </c>
      <c r="E12" s="19">
        <f>(Model!N13-Model!N19)/(Model!N72+Model!N80-Model!N41)</f>
        <v>4.6689222871567515E-2</v>
      </c>
      <c r="F12" s="19">
        <f>(Model!O13-Model!O19)/(Model!O72+Model!O80-Model!O41)</f>
        <v>1.6854085550140223E-2</v>
      </c>
      <c r="G12" s="19">
        <f>(Model!P13-Model!P19)/(Model!P72+Model!P80-Model!P41)</f>
        <v>1.9365840660804691E-2</v>
      </c>
      <c r="H12" s="19">
        <f>(Model!Q13-Model!Q19)/(Model!Q72+Model!Q80-Model!Q41)</f>
        <v>2.6237396883593035E-2</v>
      </c>
      <c r="I12" s="19">
        <f>(Model!R13-Model!R19)/(Model!R72+Model!R80-Model!R41)</f>
        <v>3.9775963050622531E-2</v>
      </c>
      <c r="J12" s="19">
        <f>(Model!S13-Model!S19)/(Model!R72+Model!R80-Model!R41)</f>
        <v>5.2863942486036875E-2</v>
      </c>
      <c r="L12" s="20">
        <f t="shared" si="1"/>
        <v>4.8067778268839158E-2</v>
      </c>
      <c r="M12" s="20">
        <f t="shared" si="0"/>
        <v>4.8752944585581694E-2</v>
      </c>
      <c r="P12" t="s">
        <v>329</v>
      </c>
    </row>
    <row r="13" spans="1:16" x14ac:dyDescent="0.25">
      <c r="B13" t="s">
        <v>330</v>
      </c>
      <c r="D13" s="19">
        <f>Model!M103/Model!M5</f>
        <v>0.24051889490863815</v>
      </c>
      <c r="E13" s="19">
        <f>Model!N103/Model!N5</f>
        <v>8.5968365250621348E-2</v>
      </c>
      <c r="F13" s="19">
        <f>Model!O103/Model!O5</f>
        <v>0.1164739707591607</v>
      </c>
      <c r="G13" s="19">
        <f>Model!P103/Model!P5</f>
        <v>8.2559553828354448E-2</v>
      </c>
      <c r="H13" s="19">
        <f>Model!Q103/Model!Q5</f>
        <v>7.2556272817388356E-2</v>
      </c>
      <c r="I13" s="19">
        <f>Model!R103/Model!R5</f>
        <v>0.11098112443474543</v>
      </c>
      <c r="J13" s="19">
        <f>Model!R103/Model!S5</f>
        <v>0.10798918575759897</v>
      </c>
      <c r="L13" s="20">
        <f t="shared" si="1"/>
        <v>0.11817636366648472</v>
      </c>
      <c r="M13" s="20">
        <f>AVERAGE(D13:J13)</f>
        <v>0.1167210525366439</v>
      </c>
      <c r="P13" t="s">
        <v>331</v>
      </c>
    </row>
    <row r="14" spans="1:16" x14ac:dyDescent="0.25">
      <c r="B14" t="s">
        <v>332</v>
      </c>
      <c r="D14" s="19">
        <f>1-(Model!M113/Model!M22)</f>
        <v>1.1924843104240013</v>
      </c>
      <c r="E14" s="19">
        <f>1-(Model!N113/Model!N22)</f>
        <v>1.2499136740331491</v>
      </c>
      <c r="F14" s="19">
        <f>1-(Model!O113/Model!O22)</f>
        <v>0.35852869846402591</v>
      </c>
      <c r="G14" s="19">
        <f>1-(Model!P113/Model!P22)</f>
        <v>1</v>
      </c>
      <c r="H14" s="19">
        <f>1-(Model!Q113/Model!Q22)</f>
        <v>1</v>
      </c>
      <c r="I14" s="19">
        <f>1-(Model!R113/Model!R22)</f>
        <v>1</v>
      </c>
      <c r="J14" s="19">
        <f>1-(Model!S113/Model!S22)</f>
        <v>1</v>
      </c>
      <c r="L14" s="20">
        <f t="shared" si="1"/>
        <v>0.96682111382019598</v>
      </c>
      <c r="M14" s="20">
        <f t="shared" ref="M14:M17" si="2">AVERAGE(D14:J14)</f>
        <v>0.97156095470302517</v>
      </c>
      <c r="P14" t="s">
        <v>333</v>
      </c>
    </row>
    <row r="15" spans="1:16" x14ac:dyDescent="0.25">
      <c r="B15" t="s">
        <v>334</v>
      </c>
      <c r="D15" s="19">
        <f t="shared" ref="D15:H15" si="3">D14*D4</f>
        <v>0.29491596002422776</v>
      </c>
      <c r="E15" s="19">
        <f t="shared" si="3"/>
        <v>0.1542140186816347</v>
      </c>
      <c r="F15" s="19">
        <f t="shared" si="3"/>
        <v>-1.0049511120174933E-2</v>
      </c>
      <c r="G15" s="19">
        <f t="shared" si="3"/>
        <v>2.6953801163303266E-2</v>
      </c>
      <c r="H15" s="19">
        <f t="shared" si="3"/>
        <v>3.5447364961215221E-2</v>
      </c>
      <c r="I15" s="19">
        <f>I14*I4</f>
        <v>3.2609636676702865E-2</v>
      </c>
      <c r="J15" s="19">
        <f>J14*J4</f>
        <v>5.5532575968910224E-2</v>
      </c>
      <c r="L15" s="20">
        <f t="shared" si="1"/>
        <v>8.9015211731151497E-2</v>
      </c>
      <c r="M15" s="20">
        <f t="shared" si="2"/>
        <v>8.423197805083131E-2</v>
      </c>
      <c r="P15" t="s">
        <v>335</v>
      </c>
    </row>
    <row r="16" spans="1:16" x14ac:dyDescent="0.25">
      <c r="B16" t="s">
        <v>336</v>
      </c>
      <c r="D16" s="19">
        <f>(-Model!M105+SUM(Model!M98:M102))/(Model!M13*(1-Model!M36))</f>
        <v>0.27564606052642809</v>
      </c>
      <c r="E16" s="19">
        <f>(-Model!N105+SUM(Model!N98:N102))/(Model!N13*(1-Model!N36))</f>
        <v>-8.2947317892715713E-2</v>
      </c>
      <c r="F16" s="19">
        <f>(-Model!O105+SUM(Model!O98:O102))/(Model!O13*(1-Model!O36))</f>
        <v>0.63530966390744992</v>
      </c>
      <c r="G16" s="19">
        <f>(-Model!P105+SUM(Model!P98:P102))/(Model!P13*(1-Model!P36))</f>
        <v>1.5930310551830629</v>
      </c>
      <c r="H16" s="19">
        <f>(-Model!Q105+SUM(Model!Q98:Q102))/(Model!Q13*(1-Model!Q36))</f>
        <v>1.193276034025379</v>
      </c>
      <c r="I16" s="19">
        <f>(-Model!R105+SUM(Model!R98:R102))/(Model!R13*(1-Model!R36))</f>
        <v>0.80508383722272958</v>
      </c>
      <c r="J16" s="19"/>
      <c r="L16" s="20">
        <f t="shared" si="1"/>
        <v>0.73656655549538907</v>
      </c>
      <c r="M16" s="20">
        <f t="shared" si="2"/>
        <v>0.73656655549538907</v>
      </c>
      <c r="P16" t="s">
        <v>337</v>
      </c>
    </row>
    <row r="17" spans="1:17" x14ac:dyDescent="0.25">
      <c r="B17" t="s">
        <v>334</v>
      </c>
      <c r="D17" s="19">
        <f t="shared" ref="D17:H17" si="4">D16*D12</f>
        <v>3.8448259374207649E-2</v>
      </c>
      <c r="E17" s="19">
        <f t="shared" si="4"/>
        <v>-3.8727458116917641E-3</v>
      </c>
      <c r="F17" s="19">
        <f t="shared" si="4"/>
        <v>1.0707563426326993E-2</v>
      </c>
      <c r="G17" s="19">
        <f t="shared" si="4"/>
        <v>3.085038558238876E-2</v>
      </c>
      <c r="H17" s="19">
        <f t="shared" si="4"/>
        <v>3.1308456896403734E-2</v>
      </c>
      <c r="I17" s="19">
        <f>I16*I12</f>
        <v>3.2022984962024693E-2</v>
      </c>
      <c r="J17" s="19"/>
      <c r="L17" s="20">
        <f t="shared" si="1"/>
        <v>2.3244150738276678E-2</v>
      </c>
      <c r="M17" s="20">
        <f t="shared" si="2"/>
        <v>2.3244150738276678E-2</v>
      </c>
      <c r="P17" t="s">
        <v>338</v>
      </c>
    </row>
    <row r="18" spans="1:17" x14ac:dyDescent="0.25">
      <c r="D18" s="19"/>
      <c r="E18" s="19"/>
      <c r="F18" s="19"/>
      <c r="G18" s="19"/>
      <c r="H18" s="19"/>
      <c r="I18" s="19"/>
      <c r="J18" s="19"/>
      <c r="L18" s="20"/>
      <c r="M18" s="20"/>
    </row>
    <row r="19" spans="1:17" x14ac:dyDescent="0.25">
      <c r="M19" s="20"/>
    </row>
    <row r="20" spans="1:17" x14ac:dyDescent="0.25">
      <c r="A20" s="4" t="s">
        <v>3</v>
      </c>
      <c r="B20" s="3" t="s">
        <v>339</v>
      </c>
      <c r="M20" s="20"/>
    </row>
    <row r="21" spans="1:17" x14ac:dyDescent="0.25">
      <c r="B21" t="s">
        <v>340</v>
      </c>
      <c r="D21" s="19">
        <f>Model!M80/Model!M81</f>
        <v>0.53583236982494575</v>
      </c>
      <c r="E21" s="19">
        <f>Model!N80/Model!N81</f>
        <v>0.4840038353678654</v>
      </c>
      <c r="F21" s="19">
        <f>Model!O80/Model!O81</f>
        <v>0.43792328416414866</v>
      </c>
      <c r="G21" s="19">
        <f>Model!P80/Model!P81</f>
        <v>0.45681183051829732</v>
      </c>
      <c r="H21" s="19">
        <f>Model!Q80/Model!Q81</f>
        <v>0.48557930766926449</v>
      </c>
      <c r="I21" s="19">
        <f>Model!R80/Model!R81</f>
        <v>0.50567908200740352</v>
      </c>
      <c r="L21" s="20">
        <f t="shared" ref="L21:L33" si="5">AVERAGE(D21:I21)</f>
        <v>0.48430495159198755</v>
      </c>
      <c r="M21" s="20">
        <f t="shared" ref="M21:M29" si="6">AVERAGE(D21:J21)</f>
        <v>0.48430495159198755</v>
      </c>
      <c r="P21" t="s">
        <v>341</v>
      </c>
    </row>
    <row r="22" spans="1:17" x14ac:dyDescent="0.25">
      <c r="B22" t="s">
        <v>342</v>
      </c>
      <c r="D22" s="9">
        <f>(Model!M63+Model!M66-Model!M41)/Model!M80</f>
        <v>0.31655057540884313</v>
      </c>
      <c r="E22" s="9">
        <f>(Model!N63+Model!N66-Model!N41)/Model!N80</f>
        <v>0.44273557072713521</v>
      </c>
      <c r="F22" s="9">
        <f>(Model!O63+Model!O66-Model!O41)/Model!O80</f>
        <v>0.461280491259078</v>
      </c>
      <c r="G22" s="9">
        <f>(Model!P63+Model!P66-Model!P41)/Model!P80</f>
        <v>0.41335971014181117</v>
      </c>
      <c r="H22" s="9">
        <f>(Model!Q63+Model!Q66-Model!Q41)/Model!Q80</f>
        <v>0.3717068336047088</v>
      </c>
      <c r="I22" s="9">
        <f>(Model!R63+Model!R66-Model!R41)/Model!R80</f>
        <v>0.31021480035014476</v>
      </c>
      <c r="L22" s="20">
        <f t="shared" si="5"/>
        <v>0.38597466358195348</v>
      </c>
      <c r="M22" s="20">
        <f t="shared" si="6"/>
        <v>0.38597466358195348</v>
      </c>
      <c r="P22" t="s">
        <v>343</v>
      </c>
    </row>
    <row r="23" spans="1:17" x14ac:dyDescent="0.25">
      <c r="B23" t="s">
        <v>344</v>
      </c>
      <c r="D23" s="22">
        <f>(Model!M66+Model!M63-Model!M41)/(Model!M13-Model!M19+Model!M11+SUM(Model!M98:M102)+Model!M105)</f>
        <v>1.5367086281356244</v>
      </c>
      <c r="E23" s="22">
        <f>(Model!N66+Model!N63-Model!N41)/(Model!N13-Model!N19+Model!N11+SUM(Model!N98:N102)+Model!N105)</f>
        <v>16.959608323133416</v>
      </c>
      <c r="F23" s="22">
        <f>(Model!O66+Model!O63-Model!O41)/(Model!O13-Model!O19+Model!O11+SUM(Model!O98:O102)+Model!O105)</f>
        <v>10.790882586800954</v>
      </c>
      <c r="G23" s="22">
        <f>(Model!P66+Model!P63-Model!P41)/(Model!P13-Model!P19+Model!P11+SUM(Model!P98:P102)+Model!P105)</f>
        <v>5.2230675180002715</v>
      </c>
      <c r="H23" s="22">
        <f>(Model!Q66+Model!Q63-Model!Q41)/(Model!Q13-Model!Q19+Model!Q11+SUM(Model!Q98:Q102)+Model!Q105)</f>
        <v>6.3964497041420119</v>
      </c>
      <c r="I23" s="22">
        <f>(Model!R66+Model!R63-Model!R41)/(Model!R13-Model!R19+Model!R11+SUM(Model!R98:R102)+Model!R105)</f>
        <v>3.9376068376068378</v>
      </c>
      <c r="L23" s="22">
        <f t="shared" si="5"/>
        <v>7.474053932969853</v>
      </c>
      <c r="M23" s="22">
        <f t="shared" si="6"/>
        <v>7.474053932969853</v>
      </c>
      <c r="P23" t="s">
        <v>345</v>
      </c>
    </row>
    <row r="24" spans="1:17" x14ac:dyDescent="0.25">
      <c r="B24" t="s">
        <v>346</v>
      </c>
      <c r="D24" s="22">
        <f>(Model!M63+Model!M66-Model!M41)/(Model!M13+Model!M11)</f>
        <v>0.93702375616315559</v>
      </c>
      <c r="E24" s="22">
        <f>(Model!N63+Model!N66-Model!N41)/(Model!N13+Model!N11)</f>
        <v>2.5984872163530661</v>
      </c>
      <c r="F24" s="22">
        <f>(Model!O63+Model!O66-Model!O41)/(Model!O13+Model!O11)</f>
        <v>4.4549731918152968</v>
      </c>
      <c r="G24" s="22">
        <f>(Model!P63+Model!P66-Model!P41)/(Model!P13+Model!P11)</f>
        <v>4.3839224629418476</v>
      </c>
      <c r="H24" s="22">
        <f>(Model!Q63+Model!Q66-Model!Q41)/(Model!Q13+Model!Q11)</f>
        <v>3.0800301684404592</v>
      </c>
      <c r="I24" s="22">
        <f>(Model!R63+Model!R66-Model!R41)/(Model!R13+Model!R11)</f>
        <v>2.245595710605111</v>
      </c>
      <c r="L24" s="22">
        <f t="shared" si="5"/>
        <v>2.9500054177198227</v>
      </c>
      <c r="M24" s="22">
        <f t="shared" si="6"/>
        <v>2.9500054177198227</v>
      </c>
      <c r="P24" t="s">
        <v>347</v>
      </c>
    </row>
    <row r="25" spans="1:17" x14ac:dyDescent="0.25">
      <c r="B25" t="s">
        <v>348</v>
      </c>
      <c r="D25" s="19">
        <f>(-Model!M105)/Model!M103</f>
        <v>0.31234697446659671</v>
      </c>
      <c r="E25" s="19">
        <f>(-Model!N105)/Model!N103</f>
        <v>0.81483957219251335</v>
      </c>
      <c r="F25" s="19">
        <f>(-Model!O105)/Model!O103</f>
        <v>0.52809873949579833</v>
      </c>
      <c r="G25" s="19">
        <f>(-Model!P105)/Model!P103</f>
        <v>0.64283147682357167</v>
      </c>
      <c r="H25" s="19">
        <f>(-Model!Q105)/Model!Q103</f>
        <v>0.82355881372875706</v>
      </c>
      <c r="I25" s="19">
        <f>(-Model!R105)/Model!R103</f>
        <v>0.50364889519562128</v>
      </c>
      <c r="L25" s="22">
        <f t="shared" si="5"/>
        <v>0.60422074531714298</v>
      </c>
      <c r="M25" s="22">
        <f t="shared" si="6"/>
        <v>0.60422074531714298</v>
      </c>
      <c r="N25" s="22"/>
      <c r="O25" s="22"/>
      <c r="P25" s="22" t="s">
        <v>349</v>
      </c>
      <c r="Q25" s="22"/>
    </row>
    <row r="26" spans="1:17" x14ac:dyDescent="0.25">
      <c r="B26" t="s">
        <v>350</v>
      </c>
      <c r="D26" t="s">
        <v>351</v>
      </c>
      <c r="L26" s="20"/>
      <c r="M26" s="20"/>
      <c r="P26" t="s">
        <v>352</v>
      </c>
    </row>
    <row r="27" spans="1:17" x14ac:dyDescent="0.25">
      <c r="B27" t="s">
        <v>353</v>
      </c>
      <c r="D27" s="22">
        <f>(-Model!M105)/Model!M86</f>
        <v>1.4828960478246429</v>
      </c>
      <c r="E27" s="22">
        <f>(-Model!N105)/Model!N86</f>
        <v>1.1701463882889369</v>
      </c>
      <c r="F27" s="22">
        <f>(-Model!O105)/Model!O86</f>
        <v>0.75247895229186157</v>
      </c>
      <c r="G27" s="22">
        <f>(-Model!P105)/Model!P86</f>
        <v>0.70005869692819411</v>
      </c>
      <c r="H27" s="22">
        <f>(-Model!Q105)/Model!Q86</f>
        <v>0.95738911485570399</v>
      </c>
      <c r="I27" s="22">
        <f>(-Model!R105)/Model!R86</f>
        <v>0.92549823058297631</v>
      </c>
      <c r="L27" s="20">
        <f t="shared" si="5"/>
        <v>0.99807790512871908</v>
      </c>
      <c r="M27" s="20">
        <f t="shared" si="6"/>
        <v>0.99807790512871908</v>
      </c>
      <c r="P27" t="s">
        <v>354</v>
      </c>
    </row>
    <row r="28" spans="1:17" x14ac:dyDescent="0.25">
      <c r="B28" t="s">
        <v>355</v>
      </c>
      <c r="D28">
        <v>0</v>
      </c>
      <c r="E28">
        <v>0</v>
      </c>
      <c r="F28" s="22">
        <f>Model!O80/(-Model!O22)</f>
        <v>35.676232821341955</v>
      </c>
      <c r="G28">
        <v>0</v>
      </c>
      <c r="H28">
        <v>0</v>
      </c>
      <c r="I28">
        <v>0</v>
      </c>
      <c r="L28" s="22">
        <f>AVERAGE(D28:I28)</f>
        <v>5.9460388035569922</v>
      </c>
      <c r="M28" s="22">
        <f>MEDIAN(D28:I28)</f>
        <v>0</v>
      </c>
      <c r="P28" t="s">
        <v>356</v>
      </c>
    </row>
    <row r="29" spans="1:17" x14ac:dyDescent="0.25">
      <c r="B29" t="s">
        <v>357</v>
      </c>
      <c r="D29" s="19">
        <f>Model!M46/Model!M60</f>
        <v>0.1706424065396864</v>
      </c>
      <c r="E29" s="19">
        <f>Model!N46/Model!N60</f>
        <v>0.14498102936324644</v>
      </c>
      <c r="F29" s="19">
        <f>Model!O46/Model!O60</f>
        <v>0.17490039642965236</v>
      </c>
      <c r="G29" s="19">
        <f>Model!P46/Model!P60</f>
        <v>0.16530212318708898</v>
      </c>
      <c r="H29" s="19">
        <f>Model!Q46/Model!Q60</f>
        <v>0.14289572805712294</v>
      </c>
      <c r="I29" s="19">
        <f>Model!R46/Model!R60</f>
        <v>0.15936939084244986</v>
      </c>
      <c r="L29" s="20">
        <f t="shared" si="5"/>
        <v>0.15968184573654115</v>
      </c>
      <c r="M29" s="20">
        <f t="shared" si="6"/>
        <v>0.15968184573654115</v>
      </c>
      <c r="P29" t="s">
        <v>358</v>
      </c>
    </row>
    <row r="30" spans="1:17" x14ac:dyDescent="0.25">
      <c r="B30" t="s">
        <v>359</v>
      </c>
      <c r="D30" s="19">
        <f>Model!M59/Model!M60</f>
        <v>0.82935759346031357</v>
      </c>
      <c r="E30" s="19">
        <f>Model!N59/Model!N60</f>
        <v>0.85501897063675358</v>
      </c>
      <c r="F30" s="19">
        <f>Model!O59/Model!O60</f>
        <v>0.82509960357034762</v>
      </c>
      <c r="G30" s="19">
        <f>Model!P59/Model!P60</f>
        <v>0.83469787681291097</v>
      </c>
      <c r="H30" s="19">
        <f>Model!Q59/Model!Q60</f>
        <v>0.85710427194287708</v>
      </c>
      <c r="I30" s="19">
        <f>Model!R59/Model!R60</f>
        <v>0.84063060915755017</v>
      </c>
      <c r="L30" s="20">
        <f t="shared" si="5"/>
        <v>0.84031815426345879</v>
      </c>
      <c r="M30" s="20">
        <f>MEDIAN(D30:I30)</f>
        <v>0.83766424298523057</v>
      </c>
      <c r="P30" t="s">
        <v>360</v>
      </c>
    </row>
    <row r="31" spans="1:17" x14ac:dyDescent="0.25">
      <c r="B31" t="s">
        <v>361</v>
      </c>
      <c r="D31" s="19">
        <f>Model!M80/Model!M59</f>
        <v>0.64608122485416952</v>
      </c>
      <c r="E31" s="19">
        <f>Model!N80/Model!N59</f>
        <v>0.56607379717834316</v>
      </c>
      <c r="F31" s="19">
        <f>Model!O80/Model!O59</f>
        <v>0.53075202347592876</v>
      </c>
      <c r="G31" s="19">
        <f>Model!P80/Model!P59</f>
        <v>0.54727805498022974</v>
      </c>
      <c r="H31" s="19">
        <f>Model!Q80/Model!Q59</f>
        <v>0.56653469544441448</v>
      </c>
      <c r="I31" s="19">
        <f>Model!R80/Model!R59</f>
        <v>0.60154731043421905</v>
      </c>
      <c r="L31" s="20">
        <f t="shared" si="5"/>
        <v>0.57637785106121742</v>
      </c>
      <c r="M31" s="20">
        <f>MEDIAN(D31:I31)</f>
        <v>0.56630424631137877</v>
      </c>
      <c r="P31" t="s">
        <v>362</v>
      </c>
    </row>
    <row r="32" spans="1:17" x14ac:dyDescent="0.25">
      <c r="B32" t="s">
        <v>363</v>
      </c>
      <c r="D32" s="19">
        <f>(Model!M66+Model!M80)/Model!M59</f>
        <v>0.8550010394629034</v>
      </c>
      <c r="E32" s="19">
        <f>(Model!N66+Model!N80)/Model!N59</f>
        <v>0.79596044857108406</v>
      </c>
      <c r="F32" s="19">
        <f>(Model!O66+Model!O80)/Model!O59</f>
        <v>0.84895789486343798</v>
      </c>
      <c r="G32" s="19">
        <f>(Model!P66+Model!P80)/Model!P59</f>
        <v>0.83288810958388249</v>
      </c>
      <c r="H32" s="19">
        <f>(Model!Q66+Model!Q80)/Model!Q59</f>
        <v>0.82607873582646263</v>
      </c>
      <c r="I32" s="19">
        <f>(Model!R66+Model!R80)/Model!R59</f>
        <v>0.84516479955559676</v>
      </c>
      <c r="L32" s="20">
        <f t="shared" si="5"/>
        <v>0.83400850464389453</v>
      </c>
      <c r="M32" s="20">
        <f>MEDIAN(D32:I32)</f>
        <v>0.83902645456973968</v>
      </c>
      <c r="P32" t="s">
        <v>364</v>
      </c>
    </row>
    <row r="33" spans="1:16" x14ac:dyDescent="0.25">
      <c r="B33" t="s">
        <v>365</v>
      </c>
      <c r="D33" s="19">
        <f>Model!M57/Model!M80</f>
        <v>0.59185720775287709</v>
      </c>
      <c r="E33" s="19">
        <f>Model!N57/Model!N80</f>
        <v>0.85519070391632668</v>
      </c>
      <c r="F33" s="19">
        <f>Model!O57/Model!O80</f>
        <v>0.88019895086276245</v>
      </c>
      <c r="G33" s="19">
        <f>Model!P57/Model!P80</f>
        <v>0.83937383750309102</v>
      </c>
      <c r="H33" s="19">
        <f>Model!Q57/Model!Q80</f>
        <v>0.78780125203531592</v>
      </c>
      <c r="I33" s="19">
        <f>Model!R57/Model!R80</f>
        <v>0.74133535981223009</v>
      </c>
      <c r="L33" s="20">
        <f t="shared" si="5"/>
        <v>0.78262621864710047</v>
      </c>
      <c r="M33" s="20">
        <f>MEDIAN(D33:I33)</f>
        <v>0.81358754476920347</v>
      </c>
      <c r="P33" t="s">
        <v>366</v>
      </c>
    </row>
    <row r="35" spans="1:16" x14ac:dyDescent="0.25">
      <c r="A35" s="4" t="s">
        <v>3</v>
      </c>
      <c r="B35" s="3" t="s">
        <v>367</v>
      </c>
    </row>
    <row r="36" spans="1:16" x14ac:dyDescent="0.25">
      <c r="B36" t="s">
        <v>368</v>
      </c>
      <c r="D36" s="22">
        <f>Model!M42/Model!M5*360</f>
        <v>56.537335531850452</v>
      </c>
      <c r="E36" s="22">
        <f>Model!N42/Model!N5*360</f>
        <v>80.066085307512168</v>
      </c>
      <c r="F36" s="22">
        <f>Model!O42/Model!O5*360</f>
        <v>69.965131216737021</v>
      </c>
      <c r="G36" s="22">
        <f>Model!P42/Model!P5*360</f>
        <v>71.377376961642284</v>
      </c>
      <c r="H36" s="22">
        <f>Model!Q42/Model!Q5*360</f>
        <v>55.060564299702612</v>
      </c>
      <c r="I36" s="22">
        <f>Model!R42/Model!R5*360</f>
        <v>49.931382033341585</v>
      </c>
      <c r="L36" s="22">
        <f t="shared" ref="L36:L44" si="7">AVERAGE(D36:I36)</f>
        <v>63.822979225131029</v>
      </c>
      <c r="M36" s="22">
        <f t="shared" ref="M36:M44" si="8">MEDIAN(D36:I36)</f>
        <v>63.251233374293733</v>
      </c>
      <c r="P36" t="s">
        <v>369</v>
      </c>
    </row>
    <row r="37" spans="1:16" x14ac:dyDescent="0.25">
      <c r="B37" t="s">
        <v>370</v>
      </c>
      <c r="D37" s="21">
        <f>Model!M62/Model!M5*360</f>
        <v>57.415620688494798</v>
      </c>
      <c r="E37" s="21">
        <f>Model!N62/Model!N5*360</f>
        <v>91.863174680707388</v>
      </c>
      <c r="F37" s="21">
        <f>Model!O62/Model!O5*360</f>
        <v>92.499541200220222</v>
      </c>
      <c r="G37" s="21">
        <f>Model!P62/Model!P5*360</f>
        <v>111.57020380313863</v>
      </c>
      <c r="H37" s="21">
        <f>Model!Q62/Model!Q5*360</f>
        <v>87.965474722564736</v>
      </c>
      <c r="I37" s="21">
        <f>Model!R62/Model!R5*360</f>
        <v>83.708969830592366</v>
      </c>
      <c r="L37" s="22">
        <f t="shared" si="7"/>
        <v>87.503830820953041</v>
      </c>
      <c r="M37" s="22">
        <f t="shared" si="8"/>
        <v>89.914324701636062</v>
      </c>
      <c r="P37" t="s">
        <v>371</v>
      </c>
    </row>
    <row r="38" spans="1:16" x14ac:dyDescent="0.25">
      <c r="B38" t="s">
        <v>372</v>
      </c>
      <c r="D38" s="19">
        <f>Model!M41/Model!M65</f>
        <v>0.23236282194848823</v>
      </c>
      <c r="E38" s="19">
        <f>Model!N41/Model!N65</f>
        <v>0.17287259500335025</v>
      </c>
      <c r="F38" s="19">
        <f>Model!O41/Model!O65</f>
        <v>0.67275048820790151</v>
      </c>
      <c r="G38" s="19">
        <f>Model!P41/Model!P65</f>
        <v>0.51353090710171512</v>
      </c>
      <c r="H38" s="19">
        <f>Model!Q41/Model!Q65</f>
        <v>0.39951157431293638</v>
      </c>
      <c r="I38" s="19">
        <f>Model!R41/Model!R65</f>
        <v>0.45544172902148433</v>
      </c>
      <c r="L38" s="20">
        <f t="shared" si="7"/>
        <v>0.40774501926597934</v>
      </c>
      <c r="M38" s="20">
        <f t="shared" si="8"/>
        <v>0.42747665166721038</v>
      </c>
      <c r="P38" t="s">
        <v>373</v>
      </c>
    </row>
    <row r="39" spans="1:16" x14ac:dyDescent="0.25">
      <c r="B39" t="s">
        <v>374</v>
      </c>
      <c r="D39" s="19">
        <f>(Model!M46-Model!M43)/Model!M65</f>
        <v>0.86410974244120942</v>
      </c>
      <c r="E39" s="19">
        <f>(Model!N46-Model!N43)/Model!N65</f>
        <v>0.84474011677993688</v>
      </c>
      <c r="F39" s="19">
        <f>(Model!O46-Model!O43)/Model!O65</f>
        <v>1.2643833558660058</v>
      </c>
      <c r="G39" s="19">
        <f>(Model!P46-Model!P43)/Model!P65</f>
        <v>1.0401904945779836</v>
      </c>
      <c r="H39" s="19">
        <f>(Model!Q46-Model!Q43)/Model!Q65</f>
        <v>0.94094176727547896</v>
      </c>
      <c r="I39" s="19">
        <f>(Model!R46-Model!R43)/Model!R65</f>
        <v>0.98911333055011397</v>
      </c>
      <c r="L39" s="20">
        <f t="shared" si="7"/>
        <v>0.99057980124845491</v>
      </c>
      <c r="M39" s="20">
        <f t="shared" si="8"/>
        <v>0.96502754891279641</v>
      </c>
      <c r="P39" t="s">
        <v>375</v>
      </c>
    </row>
    <row r="40" spans="1:16" x14ac:dyDescent="0.25">
      <c r="B40" t="s">
        <v>376</v>
      </c>
      <c r="D40" s="19">
        <f>Model!M46/Model!M65</f>
        <v>0.94204927211646139</v>
      </c>
      <c r="E40" s="19">
        <f>Model!N46/Model!N65</f>
        <v>0.89735490252385053</v>
      </c>
      <c r="F40" s="19">
        <f>Model!O46/Model!O65</f>
        <v>1.3238320564818988</v>
      </c>
      <c r="G40" s="19">
        <f>Model!P46/Model!P65</f>
        <v>1.0830195964861473</v>
      </c>
      <c r="H40" s="19">
        <f>Model!Q46/Model!Q65</f>
        <v>1.000859904378633</v>
      </c>
      <c r="I40" s="19">
        <f>Model!R46/Model!R65</f>
        <v>1.0521532483380969</v>
      </c>
      <c r="L40" s="20">
        <f t="shared" si="7"/>
        <v>1.0498781633875147</v>
      </c>
      <c r="M40" s="20">
        <f t="shared" si="8"/>
        <v>1.026506576358365</v>
      </c>
      <c r="P40" t="s">
        <v>377</v>
      </c>
    </row>
    <row r="41" spans="1:16" x14ac:dyDescent="0.25">
      <c r="B41" t="s">
        <v>378</v>
      </c>
      <c r="D41" s="19">
        <f>Model!M43/Model!M60</f>
        <v>1.4117933426641515E-2</v>
      </c>
      <c r="E41" s="19">
        <f>Model!N43/Model!N60</f>
        <v>8.5007010887495869E-3</v>
      </c>
      <c r="F41" s="19">
        <f>Model!O43/Model!O60</f>
        <v>7.8541694575512654E-3</v>
      </c>
      <c r="G41" s="19">
        <f>Model!P43/Model!P60</f>
        <v>6.5370391289186628E-3</v>
      </c>
      <c r="H41" s="19">
        <f>Model!Q43/Model!Q60</f>
        <v>8.5546896101281241E-3</v>
      </c>
      <c r="I41" s="19">
        <f>Model!R43/Model!R60</f>
        <v>9.5486406685507761E-3</v>
      </c>
      <c r="L41" s="20">
        <f t="shared" si="7"/>
        <v>9.1855288967566551E-3</v>
      </c>
      <c r="M41" s="20">
        <f t="shared" si="8"/>
        <v>8.5276953494388547E-3</v>
      </c>
      <c r="P41" t="s">
        <v>379</v>
      </c>
    </row>
    <row r="42" spans="1:16" x14ac:dyDescent="0.25">
      <c r="B42" t="s">
        <v>380</v>
      </c>
      <c r="D42" s="22">
        <f>Model!M8/Model!M43</f>
        <v>23.510057471264368</v>
      </c>
      <c r="E42" s="22">
        <f>Model!N8/Model!N43</f>
        <v>25.506973923590056</v>
      </c>
      <c r="F42" s="22">
        <f>Model!O8/Model!O43</f>
        <v>27.719519898926091</v>
      </c>
      <c r="G42" s="22">
        <f>Model!P8/Model!P43</f>
        <v>33.907588279489104</v>
      </c>
      <c r="H42" s="22">
        <f>Model!Q8/Model!Q43</f>
        <v>31.229047072330655</v>
      </c>
      <c r="I42" s="22">
        <f>Model!R8/Model!R43</f>
        <v>30.15843097300051</v>
      </c>
      <c r="L42" s="22">
        <f t="shared" si="7"/>
        <v>28.6719362697668</v>
      </c>
      <c r="M42" s="22">
        <f t="shared" si="8"/>
        <v>28.9389754359633</v>
      </c>
      <c r="P42" t="s">
        <v>381</v>
      </c>
    </row>
    <row r="43" spans="1:16" x14ac:dyDescent="0.25">
      <c r="B43" t="s">
        <v>382</v>
      </c>
      <c r="D43" s="22">
        <f t="shared" ref="D43:H43" si="9">360/D42</f>
        <v>15.312595489824604</v>
      </c>
      <c r="E43" s="22">
        <f t="shared" si="9"/>
        <v>14.113787118708542</v>
      </c>
      <c r="F43" s="22">
        <f t="shared" si="9"/>
        <v>12.987237921604375</v>
      </c>
      <c r="G43" s="22">
        <f t="shared" si="9"/>
        <v>10.61709246415989</v>
      </c>
      <c r="H43" s="22">
        <f t="shared" si="9"/>
        <v>11.527729269682542</v>
      </c>
      <c r="I43" s="22">
        <f>360/I42</f>
        <v>11.936960524315468</v>
      </c>
      <c r="L43" s="22">
        <f t="shared" si="7"/>
        <v>12.749233798049238</v>
      </c>
      <c r="M43" s="22">
        <f t="shared" si="8"/>
        <v>12.462099222959921</v>
      </c>
      <c r="P43" t="s">
        <v>383</v>
      </c>
    </row>
    <row r="44" spans="1:16" x14ac:dyDescent="0.25">
      <c r="B44" t="s">
        <v>384</v>
      </c>
      <c r="D44" s="22">
        <f t="shared" ref="D44:H44" si="10">D36+D43-D37</f>
        <v>14.434310333180264</v>
      </c>
      <c r="E44" s="22">
        <f t="shared" si="10"/>
        <v>2.3166977455133235</v>
      </c>
      <c r="F44" s="22">
        <f t="shared" si="10"/>
        <v>-9.5471720618788254</v>
      </c>
      <c r="G44" s="22">
        <f t="shared" si="10"/>
        <v>-29.575734377336445</v>
      </c>
      <c r="H44" s="22">
        <f t="shared" si="10"/>
        <v>-21.377181153179578</v>
      </c>
      <c r="I44" s="22">
        <f>I36+I43-I37</f>
        <v>-21.840627272935315</v>
      </c>
      <c r="L44" s="22">
        <f t="shared" si="7"/>
        <v>-10.931617797772764</v>
      </c>
      <c r="M44" s="22">
        <f t="shared" si="8"/>
        <v>-15.462176607529202</v>
      </c>
      <c r="P44" t="s">
        <v>385</v>
      </c>
    </row>
    <row r="45" spans="1:16" x14ac:dyDescent="0.25">
      <c r="B45" t="s">
        <v>386</v>
      </c>
      <c r="D45" s="25" t="s">
        <v>154</v>
      </c>
      <c r="E45" s="25" t="s">
        <v>154</v>
      </c>
      <c r="F45" s="25" t="s">
        <v>154</v>
      </c>
      <c r="G45" s="25" t="s">
        <v>154</v>
      </c>
      <c r="H45" s="25" t="s">
        <v>154</v>
      </c>
      <c r="I45" s="25" t="s">
        <v>154</v>
      </c>
      <c r="J45" s="25"/>
      <c r="K45" s="25"/>
      <c r="L45" s="25" t="s">
        <v>154</v>
      </c>
      <c r="M45" s="25" t="s">
        <v>154</v>
      </c>
      <c r="P45" t="s">
        <v>387</v>
      </c>
    </row>
    <row r="46" spans="1:16" x14ac:dyDescent="0.25">
      <c r="B46" t="s">
        <v>388</v>
      </c>
      <c r="D46" s="25" t="s">
        <v>154</v>
      </c>
      <c r="E46" s="25" t="s">
        <v>154</v>
      </c>
      <c r="F46" s="25" t="s">
        <v>154</v>
      </c>
      <c r="G46" s="25" t="s">
        <v>154</v>
      </c>
      <c r="H46" s="25" t="s">
        <v>154</v>
      </c>
      <c r="I46" s="25" t="s">
        <v>154</v>
      </c>
      <c r="J46" s="25"/>
      <c r="K46" s="25"/>
      <c r="L46" s="25" t="s">
        <v>154</v>
      </c>
      <c r="M46" s="25" t="s">
        <v>154</v>
      </c>
      <c r="P46" t="s">
        <v>389</v>
      </c>
    </row>
    <row r="48" spans="1:16" x14ac:dyDescent="0.25">
      <c r="A48" s="4" t="s">
        <v>3</v>
      </c>
      <c r="B48" s="3" t="s">
        <v>390</v>
      </c>
    </row>
    <row r="49" spans="2:16" x14ac:dyDescent="0.25">
      <c r="B49" s="10" t="s">
        <v>391</v>
      </c>
      <c r="L49" s="25"/>
    </row>
    <row r="50" spans="2:16" x14ac:dyDescent="0.25">
      <c r="B50" t="s">
        <v>392</v>
      </c>
      <c r="D50" s="26">
        <f>116.94*Model!M27</f>
        <v>210772.45591565999</v>
      </c>
      <c r="E50" s="26">
        <f>130.32*Model!N27</f>
        <v>234888.54502247999</v>
      </c>
      <c r="F50" s="26">
        <f>124.08*Model!O27</f>
        <v>224644.98339096</v>
      </c>
      <c r="G50" s="24">
        <f>169.17*Model!P27</f>
        <v>307492.85672316002</v>
      </c>
      <c r="H50" s="26">
        <f>94.3*Model!Q27</f>
        <v>171964.72446839997</v>
      </c>
      <c r="I50" s="26">
        <f>81.01*Model!R27</f>
        <v>147729.18694787999</v>
      </c>
      <c r="J50" s="26" t="e">
        <f>Main!#REF!</f>
        <v>#REF!</v>
      </c>
      <c r="L50" s="27">
        <f>AVERAGE(D50:I50)</f>
        <v>216248.79207809002</v>
      </c>
      <c r="M50" s="27" t="e">
        <f>AVERAGE(E50:J50)</f>
        <v>#REF!</v>
      </c>
    </row>
    <row r="51" spans="2:16" x14ac:dyDescent="0.25">
      <c r="B51" t="s">
        <v>10</v>
      </c>
      <c r="D51" s="26">
        <f>D50+Model!M66+Model!M63-Model!M41</f>
        <v>227496.45591565999</v>
      </c>
      <c r="E51" s="26">
        <f>E50+Model!N66+Model!N63-Model!N41</f>
        <v>276456.54502247996</v>
      </c>
      <c r="F51" s="26">
        <f>F50+Model!O66+Model!O63-Model!O41</f>
        <v>265358.98339096003</v>
      </c>
      <c r="G51" s="26">
        <f>G50+Model!P66+Model!P63-Model!P41</f>
        <v>345939.85672316002</v>
      </c>
      <c r="H51" s="26">
        <f>H50+Model!Q66+Model!Q63-Model!Q41</f>
        <v>208718.72446839997</v>
      </c>
      <c r="I51" s="26">
        <f>I50+Model!R66+Model!R63-Model!R41</f>
        <v>179978.18694787999</v>
      </c>
      <c r="L51" s="27">
        <f>AVERAGE(D51:I51)</f>
        <v>250658.12541142336</v>
      </c>
      <c r="M51" s="27">
        <f>AVERAGE(E51:J51)</f>
        <v>255290.459310576</v>
      </c>
    </row>
    <row r="52" spans="2:16" x14ac:dyDescent="0.25">
      <c r="B52" t="s">
        <v>393</v>
      </c>
      <c r="D52" s="22">
        <f>D50/Model!M22</f>
        <v>16.13136812457217</v>
      </c>
      <c r="E52" s="22">
        <f>E50/Model!N22</f>
        <v>20.276980751249997</v>
      </c>
      <c r="F52" s="22">
        <f>F50/Model!O22</f>
        <v>-90.80233766813258</v>
      </c>
      <c r="G52" s="22">
        <f>G50/Model!P22</f>
        <v>122.65371229483846</v>
      </c>
      <c r="H52" s="22">
        <f>H50/Model!Q22</f>
        <v>49.062688864022817</v>
      </c>
      <c r="I52" s="22">
        <f>I50/Model!R22</f>
        <v>43.577931253061948</v>
      </c>
      <c r="J52" s="22" t="e">
        <f>Main!#REF!/Model!S22</f>
        <v>#REF!</v>
      </c>
      <c r="L52" s="22">
        <f t="shared" ref="L52:L63" si="11">AVERAGE(D52:I52)</f>
        <v>26.816723936602134</v>
      </c>
      <c r="M52" s="22">
        <f>MEDIAN(D52:I52)</f>
        <v>31.927456002155971</v>
      </c>
      <c r="P52" t="s">
        <v>394</v>
      </c>
    </row>
    <row r="53" spans="2:16" x14ac:dyDescent="0.25">
      <c r="B53" t="s">
        <v>395</v>
      </c>
      <c r="D53" s="9">
        <f>Model!M22/Ratios!D50</f>
        <v>6.1991022229338749E-2</v>
      </c>
      <c r="E53" s="9">
        <f>Model!N22/Ratios!E50</f>
        <v>4.9317006918712679E-2</v>
      </c>
      <c r="F53" s="9">
        <f>Model!O22/Ratios!F50</f>
        <v>-1.101293232840363E-2</v>
      </c>
      <c r="G53" s="9">
        <f>Model!P22/Ratios!G50</f>
        <v>8.1530349248310711E-3</v>
      </c>
      <c r="H53" s="9">
        <f>Model!Q22/Ratios!H50</f>
        <v>2.0382087145111406E-2</v>
      </c>
      <c r="I53" s="9">
        <f>Model!R22/Ratios!I50</f>
        <v>2.2947394959914172E-2</v>
      </c>
      <c r="J53" s="9" t="e">
        <f>Model!S22/Main!#REF!</f>
        <v>#REF!</v>
      </c>
      <c r="L53" s="9">
        <f t="shared" si="11"/>
        <v>2.5296268974917407E-2</v>
      </c>
      <c r="M53" s="9">
        <f t="shared" ref="M53:M63" si="12">MEDIAN(D53:I53)</f>
        <v>2.1664741052512787E-2</v>
      </c>
      <c r="P53" t="s">
        <v>396</v>
      </c>
    </row>
    <row r="54" spans="2:16" x14ac:dyDescent="0.25">
      <c r="B54" t="s">
        <v>397</v>
      </c>
      <c r="D54" s="24">
        <f>Ratios!D52/(Model!N22/Model!M22-1)</f>
        <v>-142.22163017251006</v>
      </c>
      <c r="E54" s="24">
        <f>Ratios!E52/(Model!O22/Model!N22-1)</f>
        <v>-16.708532154110113</v>
      </c>
      <c r="F54" s="24">
        <f>Ratios!F52/(Model!P22/Model!O22-1)</f>
        <v>45.100378115029116</v>
      </c>
      <c r="G54" s="24">
        <f>Ratios!G52/(Model!Q22/Model!P22-1)</f>
        <v>308.10907487290586</v>
      </c>
      <c r="H54" s="24">
        <f>Ratios!H52/(Model!R22/Model!Q22-1)</f>
        <v>-1495.3454301600002</v>
      </c>
      <c r="I54" s="24">
        <f>Ratios!I52/(Model!S22/Model!R22-1)</f>
        <v>61.992944585765834</v>
      </c>
      <c r="J54" s="25" t="s">
        <v>154</v>
      </c>
      <c r="L54" s="24">
        <f t="shared" si="11"/>
        <v>-206.51219915215327</v>
      </c>
      <c r="M54" s="24">
        <f t="shared" si="12"/>
        <v>14.195922980459503</v>
      </c>
      <c r="P54" t="s">
        <v>398</v>
      </c>
    </row>
    <row r="55" spans="2:16" x14ac:dyDescent="0.25">
      <c r="B55" t="s">
        <v>399</v>
      </c>
      <c r="D55" s="22">
        <f>D50/Model!M80</f>
        <v>3.9894847046422619</v>
      </c>
      <c r="E55" s="22">
        <f>E50/Model!N80</f>
        <v>2.501768524773722</v>
      </c>
      <c r="F55" s="22">
        <f>F50/Model!O80</f>
        <v>2.5451772927609531</v>
      </c>
      <c r="G55" s="22">
        <f>G50/Model!P80</f>
        <v>3.3059837731360808</v>
      </c>
      <c r="H55" s="22">
        <f>H50/Model!Q80</f>
        <v>1.7391430381415667</v>
      </c>
      <c r="I55" s="22">
        <f>I50/Model!R80</f>
        <v>1.421060505284685</v>
      </c>
      <c r="J55" s="22" t="e">
        <f>Main!#REF!/Model!R80</f>
        <v>#REF!</v>
      </c>
      <c r="L55" s="22">
        <f t="shared" si="11"/>
        <v>2.5837696397898782</v>
      </c>
      <c r="M55" s="22">
        <f t="shared" si="12"/>
        <v>2.5234729087673378</v>
      </c>
      <c r="P55" t="s">
        <v>400</v>
      </c>
    </row>
    <row r="56" spans="2:16" x14ac:dyDescent="0.25">
      <c r="B56" t="s">
        <v>401</v>
      </c>
      <c r="D56" s="22">
        <f>D50/(Model!M60-Model!M56-Model!M57-Model!M72)</f>
        <v>14.288689303481798</v>
      </c>
      <c r="E56" s="22">
        <f>E50/(Model!N60-Model!N56-Model!N57-Model!N72)</f>
        <v>-24.419227052966004</v>
      </c>
      <c r="F56" s="22">
        <f>F50/(Model!O60-Model!O56-Model!O57-Model!O72)</f>
        <v>-26.124547434697057</v>
      </c>
      <c r="G56" s="22">
        <f>G50/(Model!P60-Model!P56-Model!P57-Model!P72)</f>
        <v>-141.37602607961381</v>
      </c>
      <c r="H56" s="22">
        <f>H50/(Model!Q60-Model!Q56-Model!Q57-Model!Q72)</f>
        <v>27.984495438307562</v>
      </c>
      <c r="I56" s="22">
        <f>I50/(Model!R60-Model!R56-Model!R57-Model!R72)</f>
        <v>10.682564679143828</v>
      </c>
      <c r="J56" s="22"/>
      <c r="L56" s="22">
        <f t="shared" si="11"/>
        <v>-23.16067519105728</v>
      </c>
      <c r="M56" s="22">
        <f t="shared" si="12"/>
        <v>-6.8683311869110888</v>
      </c>
      <c r="P56" t="s">
        <v>402</v>
      </c>
    </row>
    <row r="57" spans="2:16" x14ac:dyDescent="0.25">
      <c r="B57" t="s">
        <v>403</v>
      </c>
      <c r="D57" s="22">
        <f>D50/Model!M103</f>
        <v>14.744487996898215</v>
      </c>
      <c r="E57" s="22">
        <f>E50/Model!N103</f>
        <v>39.252764876751336</v>
      </c>
      <c r="F57" s="22">
        <f>F50/Model!O103</f>
        <v>29.496452651123949</v>
      </c>
      <c r="G57" s="22">
        <f>G50/Model!P103</f>
        <v>55.244853884865257</v>
      </c>
      <c r="H57" s="22">
        <f>H50/Model!Q103</f>
        <v>28.651236999066974</v>
      </c>
      <c r="I57" s="22">
        <f>I50/Model!R103</f>
        <v>14.973564458532332</v>
      </c>
      <c r="J57" s="25" t="s">
        <v>154</v>
      </c>
      <c r="L57" s="22">
        <f t="shared" si="11"/>
        <v>30.393893477873011</v>
      </c>
      <c r="M57" s="22">
        <f t="shared" si="12"/>
        <v>29.073844825095463</v>
      </c>
      <c r="P57" t="s">
        <v>404</v>
      </c>
    </row>
    <row r="58" spans="2:16" x14ac:dyDescent="0.25">
      <c r="B58" t="s">
        <v>405</v>
      </c>
      <c r="D58" s="22">
        <f>Ratios!D50/Model!M5</f>
        <v>3.5463279590076384</v>
      </c>
      <c r="E58" s="22">
        <f>Ratios!E50/Model!N5</f>
        <v>3.3744960280213196</v>
      </c>
      <c r="F58" s="22">
        <f>Ratios!F50/Model!O5</f>
        <v>3.435568963585979</v>
      </c>
      <c r="G58" s="22">
        <f>Ratios!G50/Model!P5</f>
        <v>4.5609904880471097</v>
      </c>
      <c r="H58" s="22">
        <f>Ratios!H50/Model!Q5</f>
        <v>2.0788269682599547</v>
      </c>
      <c r="I58" s="22">
        <f>Ratios!I50/Model!R5</f>
        <v>1.6617830204040585</v>
      </c>
      <c r="J58" s="22">
        <f>I50/Model!S5</f>
        <v>1.61698303376583</v>
      </c>
      <c r="L58" s="22">
        <f t="shared" si="11"/>
        <v>3.1096655712210097</v>
      </c>
      <c r="M58" s="22">
        <f t="shared" si="12"/>
        <v>3.4050324958036491</v>
      </c>
      <c r="P58" t="s">
        <v>406</v>
      </c>
    </row>
    <row r="59" spans="2:16" x14ac:dyDescent="0.25">
      <c r="B59" s="10" t="s">
        <v>407</v>
      </c>
    </row>
    <row r="60" spans="2:16" x14ac:dyDescent="0.25">
      <c r="B60" t="s">
        <v>408</v>
      </c>
      <c r="D60" s="22">
        <f>D51/(Model!M13+Model!M11)</f>
        <v>12.746327651034289</v>
      </c>
      <c r="E60" s="22">
        <f>E51/(Model!N13+Model!N11)</f>
        <v>17.281774396604362</v>
      </c>
      <c r="F60" s="22">
        <f>F51/(Model!O13+Model!O11)</f>
        <v>29.035888323772845</v>
      </c>
      <c r="G60" s="22">
        <f>G51/(Model!P13+Model!P11)</f>
        <v>39.445821747224635</v>
      </c>
      <c r="H60" s="22">
        <f>H51/(Model!Q13+Model!Q11)</f>
        <v>17.490884477365288</v>
      </c>
      <c r="I60" s="22">
        <f>I51/(Model!R13+Model!R11)</f>
        <v>12.532427195033771</v>
      </c>
      <c r="L60" s="22">
        <f t="shared" si="11"/>
        <v>21.422187298505861</v>
      </c>
      <c r="M60" s="22">
        <f t="shared" si="12"/>
        <v>17.386329436984823</v>
      </c>
      <c r="P60" t="s">
        <v>408</v>
      </c>
    </row>
    <row r="61" spans="2:16" x14ac:dyDescent="0.25">
      <c r="B61" t="s">
        <v>409</v>
      </c>
      <c r="D61" s="23">
        <f>D51/Model!M13</f>
        <v>15.333049532631932</v>
      </c>
      <c r="E61" s="23">
        <f>E51/Model!N13</f>
        <v>23.369107778738798</v>
      </c>
      <c r="F61" s="23">
        <f>F51/Model!O13</f>
        <v>69.941745754074859</v>
      </c>
      <c r="G61" s="23">
        <f>G51/Model!P13</f>
        <v>94.544918481322767</v>
      </c>
      <c r="H61" s="23">
        <f>H51/Model!Q13</f>
        <v>30.829944530044308</v>
      </c>
      <c r="I61" s="23">
        <f>I51/Model!R13</f>
        <v>20.01536776555605</v>
      </c>
      <c r="L61" s="22">
        <f t="shared" si="11"/>
        <v>42.339022307061448</v>
      </c>
      <c r="M61" s="22">
        <f t="shared" si="12"/>
        <v>27.099526154391555</v>
      </c>
      <c r="P61" t="s">
        <v>409</v>
      </c>
    </row>
    <row r="62" spans="2:16" x14ac:dyDescent="0.25">
      <c r="B62" t="s">
        <v>410</v>
      </c>
      <c r="D62" s="22">
        <f>D51/(Model!M13+Model!M11-Model!M19+SUM(Model!M98:M102)+Model!M105)</f>
        <v>20.903836801953503</v>
      </c>
      <c r="E62" s="22">
        <f>E51/(Model!N13+Model!N11-Model!N19+SUM(Model!N98:N102)+Model!N105)</f>
        <v>112.79336802222764</v>
      </c>
      <c r="F62" s="22">
        <f>F51/(Model!O13+Model!O11-Model!O19+SUM(Model!O98:O102)+Model!O105)</f>
        <v>70.33103190855023</v>
      </c>
      <c r="G62" s="22">
        <f>G51/(Model!P13+Model!P11-Model!P19+SUM(Model!P98:P102)+Model!P105)</f>
        <v>46.99631255578862</v>
      </c>
      <c r="H62" s="22">
        <f>H51/(Model!Q13+Model!Q11-Model!Q19+SUM(Model!Q98:Q102)+Model!Q105)</f>
        <v>36.32417759631047</v>
      </c>
      <c r="I62" s="22">
        <f>I51/(Model!R13+Model!R11-Model!R19+SUM(Model!R98:R102)+Model!R105)</f>
        <v>21.975358601694747</v>
      </c>
      <c r="L62" s="22">
        <f t="shared" si="11"/>
        <v>51.554014247754196</v>
      </c>
      <c r="M62" s="22">
        <f t="shared" si="12"/>
        <v>41.660245076049549</v>
      </c>
      <c r="P62" t="s">
        <v>410</v>
      </c>
    </row>
    <row r="63" spans="2:16" x14ac:dyDescent="0.25">
      <c r="B63" t="s">
        <v>411</v>
      </c>
      <c r="D63">
        <f>D51/Model!M5</f>
        <v>3.8277157168566811</v>
      </c>
      <c r="E63">
        <f>E51/Model!N5</f>
        <v>3.9716773459922128</v>
      </c>
      <c r="F63">
        <f>F51/Model!O5</f>
        <v>4.0582214380461252</v>
      </c>
      <c r="G63">
        <f>G51/Model!P5</f>
        <v>5.131268455355543</v>
      </c>
      <c r="H63">
        <f>H51/Model!Q5</f>
        <v>2.5231344076352116</v>
      </c>
      <c r="I63">
        <f>I51/Model!R5</f>
        <v>2.0245470870872233</v>
      </c>
      <c r="L63" s="22">
        <f t="shared" si="11"/>
        <v>3.5894274084954998</v>
      </c>
      <c r="M63" s="22">
        <f t="shared" si="12"/>
        <v>3.8996965314244472</v>
      </c>
      <c r="P63" t="s">
        <v>412</v>
      </c>
    </row>
  </sheetData>
  <hyperlinks>
    <hyperlink ref="A1" location="Main!A1" display="Main" xr:uid="{3BF27B89-CB0E-489F-83CC-8E43BA29786D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7AD-5075-49B5-933C-EE295E841751}">
  <dimension ref="A1:V105"/>
  <sheetViews>
    <sheetView showGridLines="0" zoomScale="150" zoomScaleNormal="150" workbookViewId="0">
      <selection activeCell="B28" sqref="B28"/>
    </sheetView>
  </sheetViews>
  <sheetFormatPr defaultRowHeight="15" x14ac:dyDescent="0.25"/>
  <cols>
    <col min="1" max="1" width="4.5703125" customWidth="1"/>
    <col min="2" max="2" width="24.7109375" customWidth="1"/>
    <col min="11" max="11" width="9.42578125" customWidth="1"/>
    <col min="12" max="12" width="9.140625" customWidth="1"/>
    <col min="13" max="13" width="9.7109375" customWidth="1"/>
    <col min="14" max="14" width="10.140625" customWidth="1"/>
  </cols>
  <sheetData>
    <row r="1" spans="1:22" x14ac:dyDescent="0.25">
      <c r="A1" s="1" t="s">
        <v>94</v>
      </c>
    </row>
    <row r="3" spans="1:22" x14ac:dyDescent="0.25">
      <c r="A3" s="4" t="s">
        <v>3</v>
      </c>
      <c r="B3" s="37" t="s">
        <v>413</v>
      </c>
      <c r="C3" s="40"/>
      <c r="D3" s="40"/>
      <c r="E3" s="41"/>
      <c r="F3" s="40"/>
      <c r="G3" s="40"/>
      <c r="H3" s="40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2" x14ac:dyDescent="0.25">
      <c r="B4" t="s">
        <v>414</v>
      </c>
      <c r="D4" s="42">
        <v>2</v>
      </c>
      <c r="G4" t="s">
        <v>208</v>
      </c>
      <c r="I4" s="42">
        <v>2</v>
      </c>
      <c r="L4" s="2" t="s">
        <v>415</v>
      </c>
      <c r="P4" s="2" t="s">
        <v>416</v>
      </c>
      <c r="T4" s="2" t="s">
        <v>417</v>
      </c>
    </row>
    <row r="5" spans="1:22" x14ac:dyDescent="0.25">
      <c r="B5" t="s">
        <v>418</v>
      </c>
      <c r="D5" s="42">
        <v>2</v>
      </c>
      <c r="G5" t="s">
        <v>419</v>
      </c>
      <c r="I5" s="42">
        <v>2</v>
      </c>
      <c r="L5" t="s">
        <v>420</v>
      </c>
      <c r="N5" s="49" t="e">
        <f>R5-2%</f>
        <v>#REF!</v>
      </c>
      <c r="P5" t="s">
        <v>420</v>
      </c>
      <c r="R5" s="49" t="e">
        <f>'Discount Rate'!C14</f>
        <v>#REF!</v>
      </c>
      <c r="T5" t="s">
        <v>420</v>
      </c>
      <c r="U5" s="43"/>
      <c r="V5" s="49" t="e">
        <f>R5+2%</f>
        <v>#REF!</v>
      </c>
    </row>
    <row r="6" spans="1:22" x14ac:dyDescent="0.25">
      <c r="B6" t="s">
        <v>421</v>
      </c>
      <c r="D6" s="42">
        <v>2</v>
      </c>
      <c r="G6" t="s">
        <v>422</v>
      </c>
      <c r="I6" s="42">
        <v>2</v>
      </c>
      <c r="L6" t="s">
        <v>423</v>
      </c>
      <c r="N6" s="49">
        <f>R6+1%</f>
        <v>4.5000000000000005E-2</v>
      </c>
      <c r="P6" t="s">
        <v>423</v>
      </c>
      <c r="R6" s="49">
        <v>3.5000000000000003E-2</v>
      </c>
      <c r="T6" t="s">
        <v>423</v>
      </c>
      <c r="U6" s="43"/>
      <c r="V6" s="49">
        <f>R6-1%</f>
        <v>2.5000000000000001E-2</v>
      </c>
    </row>
    <row r="7" spans="1:22" x14ac:dyDescent="0.25">
      <c r="B7" t="s">
        <v>420</v>
      </c>
      <c r="D7" s="42">
        <v>2</v>
      </c>
      <c r="G7" t="s">
        <v>423</v>
      </c>
      <c r="I7" s="42">
        <v>2</v>
      </c>
    </row>
    <row r="9" spans="1:22" x14ac:dyDescent="0.25">
      <c r="B9" s="2" t="s">
        <v>424</v>
      </c>
    </row>
    <row r="10" spans="1:22" x14ac:dyDescent="0.25">
      <c r="B10" t="s">
        <v>420</v>
      </c>
      <c r="C10" s="43"/>
      <c r="D10" s="49" t="e">
        <f>CHOOSE(D7,N5,R5,V5)</f>
        <v>#REF!</v>
      </c>
      <c r="G10" t="s">
        <v>425</v>
      </c>
      <c r="I10" s="54">
        <f>Main!D8</f>
        <v>0</v>
      </c>
      <c r="L10" t="s">
        <v>426</v>
      </c>
      <c r="N10" s="54">
        <v>300</v>
      </c>
      <c r="P10" t="s">
        <v>426</v>
      </c>
      <c r="R10" s="54">
        <v>82.16</v>
      </c>
      <c r="T10" t="s">
        <v>426</v>
      </c>
      <c r="V10" s="54">
        <v>14.67</v>
      </c>
    </row>
    <row r="11" spans="1:22" x14ac:dyDescent="0.25">
      <c r="B11" t="s">
        <v>423</v>
      </c>
      <c r="C11" s="43"/>
      <c r="D11" s="49">
        <f>CHOOSE(I7,N6,R6,V6)</f>
        <v>3.5000000000000003E-2</v>
      </c>
      <c r="G11" t="s">
        <v>426</v>
      </c>
      <c r="I11" s="54" t="e">
        <f ca="1">N91</f>
        <v>#REF!</v>
      </c>
      <c r="L11" t="s">
        <v>427</v>
      </c>
      <c r="N11" s="49" t="e">
        <f>N10/I10-1</f>
        <v>#DIV/0!</v>
      </c>
      <c r="P11" t="s">
        <v>427</v>
      </c>
      <c r="R11" s="49" t="e">
        <f>R10/I10-1</f>
        <v>#DIV/0!</v>
      </c>
      <c r="T11" t="s">
        <v>427</v>
      </c>
      <c r="V11" s="49" t="e">
        <f>V10/I10-1</f>
        <v>#DIV/0!</v>
      </c>
    </row>
    <row r="12" spans="1:22" x14ac:dyDescent="0.25">
      <c r="G12" t="s">
        <v>427</v>
      </c>
      <c r="I12" s="49" t="e">
        <f ca="1">I11/I10-1</f>
        <v>#REF!</v>
      </c>
    </row>
    <row r="17" spans="1:18" x14ac:dyDescent="0.25">
      <c r="I17" s="31">
        <v>1</v>
      </c>
      <c r="J17" s="31">
        <v>2</v>
      </c>
      <c r="K17" s="31">
        <v>3</v>
      </c>
      <c r="L17" s="31">
        <v>4</v>
      </c>
      <c r="M17" s="31">
        <v>5</v>
      </c>
      <c r="N17" s="31"/>
    </row>
    <row r="18" spans="1:18" x14ac:dyDescent="0.25">
      <c r="C18" s="44" t="s">
        <v>190</v>
      </c>
      <c r="D18" s="44" t="s">
        <v>190</v>
      </c>
      <c r="E18" s="44" t="s">
        <v>190</v>
      </c>
      <c r="F18" s="44" t="s">
        <v>190</v>
      </c>
      <c r="G18" s="44" t="s">
        <v>190</v>
      </c>
      <c r="H18" s="44" t="s">
        <v>190</v>
      </c>
      <c r="I18" s="44" t="s">
        <v>191</v>
      </c>
      <c r="J18" s="44" t="s">
        <v>191</v>
      </c>
      <c r="K18" s="44" t="s">
        <v>191</v>
      </c>
      <c r="L18" s="44" t="s">
        <v>191</v>
      </c>
      <c r="M18" s="44" t="s">
        <v>191</v>
      </c>
      <c r="N18" s="44"/>
      <c r="O18" s="5"/>
      <c r="P18" s="5"/>
      <c r="Q18" s="5"/>
      <c r="R18" s="5"/>
    </row>
    <row r="19" spans="1:18" x14ac:dyDescent="0.25">
      <c r="A19" s="4" t="s">
        <v>3</v>
      </c>
      <c r="B19" s="37" t="s">
        <v>428</v>
      </c>
      <c r="C19" s="38" t="s">
        <v>192</v>
      </c>
      <c r="D19" s="38" t="s">
        <v>193</v>
      </c>
      <c r="E19" s="38" t="s">
        <v>95</v>
      </c>
      <c r="F19" s="38" t="s">
        <v>96</v>
      </c>
      <c r="G19" s="38" t="s">
        <v>97</v>
      </c>
      <c r="H19" s="38" t="s">
        <v>98</v>
      </c>
      <c r="I19" s="38" t="s">
        <v>194</v>
      </c>
      <c r="J19" s="38" t="s">
        <v>429</v>
      </c>
      <c r="K19" s="38" t="s">
        <v>430</v>
      </c>
      <c r="L19" s="38" t="s">
        <v>431</v>
      </c>
      <c r="M19" s="38" t="s">
        <v>432</v>
      </c>
      <c r="N19" s="38"/>
      <c r="O19" s="5"/>
      <c r="P19" s="5"/>
      <c r="Q19" s="5"/>
      <c r="R19" s="5"/>
    </row>
    <row r="20" spans="1:18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B21" t="s">
        <v>433</v>
      </c>
      <c r="C21" s="5"/>
      <c r="D21" s="5">
        <f>Model!M5</f>
        <v>59434</v>
      </c>
      <c r="E21" s="5">
        <f>Model!N5</f>
        <v>69607</v>
      </c>
      <c r="F21" s="5">
        <f>Model!O5</f>
        <v>65388</v>
      </c>
      <c r="G21" s="5">
        <f>Model!P5</f>
        <v>67418</v>
      </c>
      <c r="H21" s="5">
        <f>Model!Q5</f>
        <v>82722</v>
      </c>
      <c r="I21" s="5">
        <f>Model!R5</f>
        <v>88898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B22" t="s">
        <v>434</v>
      </c>
      <c r="C22" s="5"/>
      <c r="D22" s="5"/>
      <c r="E22" s="9">
        <f>E21/D21-1</f>
        <v>0.1711646532287916</v>
      </c>
      <c r="F22" s="9">
        <f t="shared" ref="F22:I22" si="0">F21/E21-1</f>
        <v>-6.0611720085623544E-2</v>
      </c>
      <c r="G22" s="9">
        <f t="shared" si="0"/>
        <v>3.1045451764849741E-2</v>
      </c>
      <c r="H22" s="9">
        <f t="shared" si="0"/>
        <v>0.22700169094307165</v>
      </c>
      <c r="I22" s="9">
        <f t="shared" si="0"/>
        <v>7.4659703585503223E-2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B24" t="s">
        <v>435</v>
      </c>
      <c r="C24" s="5"/>
      <c r="D24" s="5">
        <f>Model!M13</f>
        <v>14837</v>
      </c>
      <c r="E24" s="5">
        <f>Model!N13</f>
        <v>11830</v>
      </c>
      <c r="F24" s="5">
        <f>Model!O13</f>
        <v>3794</v>
      </c>
      <c r="G24" s="5">
        <f>Model!P13</f>
        <v>3659</v>
      </c>
      <c r="H24" s="5">
        <f>Model!Q13</f>
        <v>6770</v>
      </c>
      <c r="I24" s="5">
        <f>Model!R13</f>
        <v>8992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B25" t="s">
        <v>436</v>
      </c>
      <c r="C25" s="5"/>
      <c r="D25" s="9">
        <f>D24/D21</f>
        <v>0.24963825419793384</v>
      </c>
      <c r="E25" s="9">
        <f t="shared" ref="E25:I25" si="1">E24/E21</f>
        <v>0.16995417127587742</v>
      </c>
      <c r="F25" s="9">
        <f t="shared" si="1"/>
        <v>5.8022878815684832E-2</v>
      </c>
      <c r="G25" s="9">
        <f t="shared" si="1"/>
        <v>5.4273339464238041E-2</v>
      </c>
      <c r="H25" s="9">
        <f t="shared" si="1"/>
        <v>8.1840381035274773E-2</v>
      </c>
      <c r="I25" s="9">
        <f t="shared" si="1"/>
        <v>0.10114963216270333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B27" t="s">
        <v>437</v>
      </c>
      <c r="C27" s="5"/>
      <c r="D27" s="5">
        <f>Model!M19</f>
        <v>1663</v>
      </c>
      <c r="E27" s="5">
        <f>Model!N19</f>
        <v>3026</v>
      </c>
      <c r="F27" s="5">
        <f>Model!O19</f>
        <v>699</v>
      </c>
      <c r="G27" s="5">
        <f>Model!P19</f>
        <v>25</v>
      </c>
      <c r="H27" s="5">
        <f>Model!Q19</f>
        <v>1732</v>
      </c>
      <c r="I27" s="5">
        <f>Model!R19</f>
        <v>1379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B28" t="s">
        <v>438</v>
      </c>
      <c r="C28" s="5"/>
      <c r="D28" s="9">
        <f t="shared" ref="D28:H28" si="2">D27/D24</f>
        <v>0.1120846532317854</v>
      </c>
      <c r="E28" s="9">
        <f t="shared" si="2"/>
        <v>0.2557903634826712</v>
      </c>
      <c r="F28" s="9">
        <f t="shared" si="2"/>
        <v>0.18423827095413811</v>
      </c>
      <c r="G28" s="9">
        <f t="shared" si="2"/>
        <v>6.8324678874009288E-3</v>
      </c>
      <c r="H28" s="9">
        <f t="shared" si="2"/>
        <v>0.25583456425406204</v>
      </c>
      <c r="I28" s="9">
        <f>I27/I24</f>
        <v>0.15335854092526691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B30" s="2" t="s">
        <v>439</v>
      </c>
      <c r="C30" s="6"/>
      <c r="D30" s="6">
        <f>D24-D27</f>
        <v>13174</v>
      </c>
      <c r="E30" s="6">
        <f t="shared" ref="E30:I30" si="3">E24-E27</f>
        <v>8804</v>
      </c>
      <c r="F30" s="6">
        <f t="shared" si="3"/>
        <v>3095</v>
      </c>
      <c r="G30" s="6">
        <f t="shared" si="3"/>
        <v>3634</v>
      </c>
      <c r="H30" s="6">
        <f t="shared" si="3"/>
        <v>5038</v>
      </c>
      <c r="I30" s="6">
        <f t="shared" si="3"/>
        <v>7613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B32" t="s">
        <v>208</v>
      </c>
      <c r="C32" s="5"/>
      <c r="D32" s="5">
        <f>Model!M11</f>
        <v>3011</v>
      </c>
      <c r="E32" s="5">
        <f>Model!N11</f>
        <v>4167</v>
      </c>
      <c r="F32" s="5">
        <f>Model!O11</f>
        <v>5345</v>
      </c>
      <c r="G32" s="5">
        <f>Model!P11</f>
        <v>5111</v>
      </c>
      <c r="H32" s="5">
        <f>Model!Q11</f>
        <v>5163</v>
      </c>
      <c r="I32" s="5">
        <f>Model!R11</f>
        <v>5369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B33" t="s">
        <v>440</v>
      </c>
      <c r="C33" s="5"/>
      <c r="D33" s="9">
        <f t="shared" ref="D33:H33" si="4">D32/D21</f>
        <v>5.0661237675404654E-2</v>
      </c>
      <c r="E33" s="9">
        <f t="shared" si="4"/>
        <v>5.9864668783312022E-2</v>
      </c>
      <c r="F33" s="9">
        <f t="shared" si="4"/>
        <v>8.1742827430109494E-2</v>
      </c>
      <c r="G33" s="9">
        <f t="shared" si="4"/>
        <v>7.5810614375982674E-2</v>
      </c>
      <c r="H33" s="9">
        <f t="shared" si="4"/>
        <v>6.2413868136650466E-2</v>
      </c>
      <c r="I33" s="9">
        <f>I32/I21</f>
        <v>6.0395059506400596E-2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B35" t="s">
        <v>289</v>
      </c>
      <c r="C35" s="5"/>
      <c r="D35" s="5">
        <f>-Model!M105</f>
        <v>4465</v>
      </c>
      <c r="E35" s="5">
        <f>-Model!N105</f>
        <v>4876</v>
      </c>
      <c r="F35" s="5">
        <f>-Model!O105</f>
        <v>4022</v>
      </c>
      <c r="G35" s="5">
        <f>-Model!P105</f>
        <v>3578</v>
      </c>
      <c r="H35" s="5">
        <f>-Model!Q105</f>
        <v>4943</v>
      </c>
      <c r="I35" s="5">
        <f>-Model!R105</f>
        <v>4969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B36" t="s">
        <v>440</v>
      </c>
      <c r="C36" s="5"/>
      <c r="D36" s="9">
        <f t="shared" ref="D36:H36" si="5">D35/D21</f>
        <v>7.5125349126762456E-2</v>
      </c>
      <c r="E36" s="9">
        <f t="shared" si="5"/>
        <v>7.0050425962906032E-2</v>
      </c>
      <c r="F36" s="9">
        <f t="shared" si="5"/>
        <v>6.1509757141983236E-2</v>
      </c>
      <c r="G36" s="9">
        <f t="shared" si="5"/>
        <v>5.3071879913376252E-2</v>
      </c>
      <c r="H36" s="9">
        <f t="shared" si="5"/>
        <v>5.9754357970068422E-2</v>
      </c>
      <c r="I36" s="9">
        <f>I35/I21</f>
        <v>5.5895520709127317E-2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B38" t="s">
        <v>422</v>
      </c>
      <c r="C38" s="5"/>
      <c r="D38" s="5">
        <f>SUM(Model!M98:M102)</f>
        <v>-837</v>
      </c>
      <c r="E38" s="5">
        <f>SUM(Model!N98:N102)</f>
        <v>-5644</v>
      </c>
      <c r="F38" s="5">
        <f>SUM(Model!O98:O102)</f>
        <v>-645</v>
      </c>
      <c r="G38" s="5">
        <f>SUM(Model!P98:P102)</f>
        <v>2194</v>
      </c>
      <c r="H38" s="5">
        <f>SUM(Model!Q98:Q102)</f>
        <v>488</v>
      </c>
      <c r="I38" s="5">
        <f>SUM(Model!R98:R102)</f>
        <v>177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B39" t="s">
        <v>440</v>
      </c>
      <c r="C39" s="5"/>
      <c r="D39" s="9">
        <f t="shared" ref="D39:H39" si="6">D38/D21</f>
        <v>-1.4082848201366221E-2</v>
      </c>
      <c r="E39" s="9">
        <f t="shared" si="6"/>
        <v>-8.1083799043199678E-2</v>
      </c>
      <c r="F39" s="9">
        <f t="shared" si="6"/>
        <v>-9.8641952651862732E-3</v>
      </c>
      <c r="G39" s="9">
        <f t="shared" si="6"/>
        <v>3.2543237710997062E-2</v>
      </c>
      <c r="H39" s="9">
        <f t="shared" si="6"/>
        <v>5.8992770967819927E-3</v>
      </c>
      <c r="I39" s="9">
        <f>I38/I21</f>
        <v>1.9910459177934262E-3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B41" s="45" t="s">
        <v>441</v>
      </c>
      <c r="C41" s="46"/>
      <c r="D41" s="46">
        <f>D30+D32-D35+D38</f>
        <v>10883</v>
      </c>
      <c r="E41" s="46">
        <f t="shared" ref="E41:I41" si="7">E30+E32-E35+E38</f>
        <v>2451</v>
      </c>
      <c r="F41" s="46">
        <f t="shared" si="7"/>
        <v>3773</v>
      </c>
      <c r="G41" s="46">
        <f t="shared" si="7"/>
        <v>7361</v>
      </c>
      <c r="H41" s="46">
        <f t="shared" si="7"/>
        <v>5746</v>
      </c>
      <c r="I41" s="46">
        <f t="shared" si="7"/>
        <v>8190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4" t="s">
        <v>3</v>
      </c>
      <c r="B43" s="37" t="s">
        <v>442</v>
      </c>
      <c r="C43" s="47"/>
      <c r="D43" s="48" t="s">
        <v>192</v>
      </c>
      <c r="E43" s="48" t="s">
        <v>193</v>
      </c>
      <c r="F43" s="48" t="s">
        <v>95</v>
      </c>
      <c r="G43" s="48" t="s">
        <v>96</v>
      </c>
      <c r="H43" s="48" t="s">
        <v>97</v>
      </c>
      <c r="I43" s="48" t="s">
        <v>98</v>
      </c>
      <c r="J43" s="48" t="s">
        <v>194</v>
      </c>
      <c r="K43" s="48" t="s">
        <v>429</v>
      </c>
      <c r="L43" s="48" t="s">
        <v>430</v>
      </c>
      <c r="M43" s="48" t="s">
        <v>431</v>
      </c>
      <c r="N43" s="48" t="s">
        <v>432</v>
      </c>
      <c r="O43" s="5"/>
      <c r="P43" s="5"/>
      <c r="Q43" s="5"/>
      <c r="R43" s="5"/>
    </row>
    <row r="44" spans="1:18" x14ac:dyDescent="0.25">
      <c r="B44" t="s">
        <v>433</v>
      </c>
      <c r="C44" s="5"/>
      <c r="D44" s="5">
        <v>59434</v>
      </c>
      <c r="E44" s="5">
        <v>69607</v>
      </c>
      <c r="F44" s="5">
        <v>65388</v>
      </c>
      <c r="G44" s="5">
        <v>67418</v>
      </c>
      <c r="H44" s="5">
        <v>82722</v>
      </c>
      <c r="I44" s="5">
        <v>88898</v>
      </c>
      <c r="J44" s="28">
        <f ca="1">I44*(1+J45)</f>
        <v>97787.8</v>
      </c>
      <c r="K44" s="28">
        <f t="shared" ref="K44:N44" ca="1" si="8">J44*(1+K45)</f>
        <v>104632.94600000001</v>
      </c>
      <c r="L44" s="28">
        <f t="shared" ca="1" si="8"/>
        <v>111957.25222000002</v>
      </c>
      <c r="M44" s="28">
        <f t="shared" ca="1" si="8"/>
        <v>119794.25987540004</v>
      </c>
      <c r="N44" s="28">
        <f t="shared" ca="1" si="8"/>
        <v>128179.85806667805</v>
      </c>
      <c r="O44" s="28"/>
      <c r="P44" s="28"/>
      <c r="Q44" s="28"/>
      <c r="R44" s="5"/>
    </row>
    <row r="45" spans="1:18" x14ac:dyDescent="0.25">
      <c r="B45" t="s">
        <v>434</v>
      </c>
      <c r="D45" s="9"/>
      <c r="E45" s="9">
        <v>0.1711646532287916</v>
      </c>
      <c r="F45" s="9">
        <v>-6.0611720085623544E-2</v>
      </c>
      <c r="G45" s="9">
        <v>3.1045451764849741E-2</v>
      </c>
      <c r="H45" s="9">
        <v>0.22700169094307165</v>
      </c>
      <c r="I45" s="9">
        <v>7.4659703585503223E-2</v>
      </c>
      <c r="J45" s="30">
        <f ca="1">OFFSET(J45,$D$4,0)</f>
        <v>0.1</v>
      </c>
      <c r="K45" s="30">
        <f ca="1">OFFSET(K45,$D$4,0)</f>
        <v>7.0000000000000007E-2</v>
      </c>
      <c r="L45" s="30">
        <f ca="1">OFFSET(L45,$D$4,0)</f>
        <v>7.0000000000000007E-2</v>
      </c>
      <c r="M45" s="30">
        <f ca="1">OFFSET(M45,$D$4,0)</f>
        <v>7.0000000000000007E-2</v>
      </c>
      <c r="N45" s="30">
        <f ca="1">OFFSET(N45,$D$4,0)</f>
        <v>7.0000000000000007E-2</v>
      </c>
      <c r="O45" s="28"/>
      <c r="P45" s="28"/>
      <c r="Q45" s="28"/>
    </row>
    <row r="46" spans="1:18" x14ac:dyDescent="0.25">
      <c r="B46" s="29" t="s">
        <v>443</v>
      </c>
      <c r="J46" s="49">
        <f>J47+2%</f>
        <v>0.12000000000000001</v>
      </c>
      <c r="K46" s="49">
        <f t="shared" ref="K46:N46" si="9">K47+2%</f>
        <v>9.0000000000000011E-2</v>
      </c>
      <c r="L46" s="49">
        <f t="shared" si="9"/>
        <v>9.0000000000000011E-2</v>
      </c>
      <c r="M46" s="49">
        <f t="shared" si="9"/>
        <v>9.0000000000000011E-2</v>
      </c>
      <c r="N46" s="49">
        <f t="shared" si="9"/>
        <v>9.0000000000000011E-2</v>
      </c>
      <c r="O46" s="28"/>
      <c r="P46" s="28"/>
      <c r="Q46" s="28"/>
    </row>
    <row r="47" spans="1:18" x14ac:dyDescent="0.25">
      <c r="B47" s="29" t="s">
        <v>444</v>
      </c>
      <c r="J47" s="49">
        <v>0.1</v>
      </c>
      <c r="K47" s="49">
        <v>7.0000000000000007E-2</v>
      </c>
      <c r="L47" s="49">
        <v>7.0000000000000007E-2</v>
      </c>
      <c r="M47" s="49">
        <v>7.0000000000000007E-2</v>
      </c>
      <c r="N47" s="49">
        <v>7.0000000000000007E-2</v>
      </c>
      <c r="O47" s="28"/>
      <c r="P47" s="28"/>
      <c r="Q47" s="28"/>
    </row>
    <row r="48" spans="1:18" x14ac:dyDescent="0.25">
      <c r="B48" s="29" t="s">
        <v>417</v>
      </c>
      <c r="J48" s="49">
        <f>J47-2%</f>
        <v>0.08</v>
      </c>
      <c r="K48" s="49">
        <f t="shared" ref="K48:N48" si="10">K47-2%</f>
        <v>0.05</v>
      </c>
      <c r="L48" s="49">
        <f t="shared" si="10"/>
        <v>0.05</v>
      </c>
      <c r="M48" s="49">
        <f t="shared" si="10"/>
        <v>0.05</v>
      </c>
      <c r="N48" s="49">
        <f t="shared" si="10"/>
        <v>0.05</v>
      </c>
      <c r="O48" s="28"/>
      <c r="P48" s="28"/>
      <c r="Q48" s="28"/>
    </row>
    <row r="49" spans="2:17" x14ac:dyDescent="0.25">
      <c r="J49" s="28"/>
      <c r="K49" s="28"/>
      <c r="L49" s="28"/>
      <c r="M49" s="28"/>
      <c r="N49" s="28"/>
      <c r="O49" s="28"/>
      <c r="P49" s="28"/>
      <c r="Q49" s="28"/>
    </row>
    <row r="50" spans="2:17" x14ac:dyDescent="0.25">
      <c r="B50" t="s">
        <v>435</v>
      </c>
      <c r="D50" s="5">
        <v>14837</v>
      </c>
      <c r="E50" s="5">
        <v>11830</v>
      </c>
      <c r="F50" s="5">
        <v>3794</v>
      </c>
      <c r="G50" s="5">
        <v>3659</v>
      </c>
      <c r="H50" s="5">
        <v>6770</v>
      </c>
      <c r="I50" s="5">
        <v>8992</v>
      </c>
      <c r="J50" s="28">
        <f ca="1">J44*J51</f>
        <v>11734.536</v>
      </c>
      <c r="K50" s="28">
        <f t="shared" ref="K50:N50" ca="1" si="11">K44*K51</f>
        <v>13602.282980000002</v>
      </c>
      <c r="L50" s="28">
        <f t="shared" ca="1" si="11"/>
        <v>15674.015310800005</v>
      </c>
      <c r="M50" s="28">
        <f t="shared" ca="1" si="11"/>
        <v>17969.138981310003</v>
      </c>
      <c r="N50" s="28">
        <f t="shared" ca="1" si="11"/>
        <v>20508.777290668488</v>
      </c>
      <c r="O50" s="28"/>
      <c r="P50" s="28"/>
      <c r="Q50" s="28"/>
    </row>
    <row r="51" spans="2:17" x14ac:dyDescent="0.25">
      <c r="B51" t="s">
        <v>436</v>
      </c>
      <c r="D51" s="9">
        <v>0.24963825419793384</v>
      </c>
      <c r="E51" s="9">
        <v>0.16995417127587742</v>
      </c>
      <c r="F51" s="9">
        <v>5.8022878815684832E-2</v>
      </c>
      <c r="G51" s="9">
        <v>5.4273339464238041E-2</v>
      </c>
      <c r="H51" s="9">
        <v>8.1840381035274773E-2</v>
      </c>
      <c r="I51" s="9">
        <v>0.10114963216270333</v>
      </c>
      <c r="J51" s="30">
        <f ca="1">OFFSET(J51,$D$5,0)</f>
        <v>0.12</v>
      </c>
      <c r="K51" s="30">
        <f ca="1">OFFSET(K51,$D$5,0)</f>
        <v>0.13</v>
      </c>
      <c r="L51" s="30">
        <f ca="1">OFFSET(L51,$D$5,0)</f>
        <v>0.14000000000000001</v>
      </c>
      <c r="M51" s="30">
        <f ca="1">OFFSET(M51,$D$5,0)</f>
        <v>0.15</v>
      </c>
      <c r="N51" s="30">
        <f ca="1">OFFSET(N51,$D$5,0)</f>
        <v>0.16</v>
      </c>
      <c r="O51" s="28"/>
      <c r="P51" s="28"/>
      <c r="Q51" s="28"/>
    </row>
    <row r="52" spans="2:17" x14ac:dyDescent="0.25">
      <c r="B52" s="29" t="s">
        <v>443</v>
      </c>
      <c r="D52" s="9"/>
      <c r="E52" s="9"/>
      <c r="F52" s="9"/>
      <c r="G52" s="9"/>
      <c r="H52" s="9"/>
      <c r="I52" s="9"/>
      <c r="J52" s="49">
        <f>J53+2%</f>
        <v>0.13999999999999999</v>
      </c>
      <c r="K52" s="49">
        <f t="shared" ref="K52:N52" si="12">K53+2%</f>
        <v>0.15</v>
      </c>
      <c r="L52" s="49">
        <f t="shared" si="12"/>
        <v>0.16</v>
      </c>
      <c r="M52" s="49">
        <f t="shared" si="12"/>
        <v>0.16999999999999998</v>
      </c>
      <c r="N52" s="49">
        <f t="shared" si="12"/>
        <v>0.18</v>
      </c>
      <c r="O52" s="28"/>
      <c r="P52" s="28"/>
      <c r="Q52" s="28"/>
    </row>
    <row r="53" spans="2:17" x14ac:dyDescent="0.25">
      <c r="B53" s="29" t="s">
        <v>444</v>
      </c>
      <c r="D53" s="9"/>
      <c r="E53" s="9"/>
      <c r="F53" s="9"/>
      <c r="G53" s="9"/>
      <c r="H53" s="9"/>
      <c r="I53" s="9"/>
      <c r="J53" s="49">
        <v>0.12</v>
      </c>
      <c r="K53" s="49">
        <v>0.13</v>
      </c>
      <c r="L53" s="49">
        <v>0.14000000000000001</v>
      </c>
      <c r="M53" s="49">
        <v>0.15</v>
      </c>
      <c r="N53" s="49">
        <v>0.16</v>
      </c>
      <c r="O53" s="28"/>
      <c r="P53" s="28"/>
      <c r="Q53" s="28"/>
    </row>
    <row r="54" spans="2:17" x14ac:dyDescent="0.25">
      <c r="B54" s="29" t="s">
        <v>417</v>
      </c>
      <c r="D54" s="9"/>
      <c r="E54" s="9"/>
      <c r="F54" s="9"/>
      <c r="G54" s="9"/>
      <c r="H54" s="9"/>
      <c r="I54" s="9"/>
      <c r="J54" s="49">
        <f>J53-2%</f>
        <v>9.9999999999999992E-2</v>
      </c>
      <c r="K54" s="49">
        <f t="shared" ref="K54:N54" si="13">K53-2%</f>
        <v>0.11</v>
      </c>
      <c r="L54" s="49">
        <f t="shared" si="13"/>
        <v>0.12000000000000001</v>
      </c>
      <c r="M54" s="49">
        <f t="shared" si="13"/>
        <v>0.13</v>
      </c>
      <c r="N54" s="49">
        <f t="shared" si="13"/>
        <v>0.14000000000000001</v>
      </c>
      <c r="O54" s="28"/>
      <c r="P54" s="28"/>
      <c r="Q54" s="28"/>
    </row>
    <row r="55" spans="2:17" x14ac:dyDescent="0.25">
      <c r="J55" s="28"/>
      <c r="K55" s="28"/>
      <c r="L55" s="28"/>
      <c r="M55" s="28"/>
      <c r="N55" s="28"/>
      <c r="O55" s="28"/>
      <c r="P55" s="28"/>
      <c r="Q55" s="28"/>
    </row>
    <row r="56" spans="2:17" x14ac:dyDescent="0.25">
      <c r="B56" t="s">
        <v>437</v>
      </c>
      <c r="D56" s="5">
        <v>1663</v>
      </c>
      <c r="E56" s="5">
        <v>3026</v>
      </c>
      <c r="F56" s="5">
        <v>699</v>
      </c>
      <c r="G56" s="5">
        <v>25</v>
      </c>
      <c r="H56" s="5">
        <v>1732</v>
      </c>
      <c r="I56" s="5">
        <v>1379</v>
      </c>
      <c r="J56" s="28">
        <f ca="1">J50*J57</f>
        <v>3403.0154399999997</v>
      </c>
      <c r="K56" s="28">
        <f t="shared" ref="K56:N56" ca="1" si="14">K50*K57</f>
        <v>3944.6620642000003</v>
      </c>
      <c r="L56" s="28">
        <f t="shared" ca="1" si="14"/>
        <v>4545.4644401320011</v>
      </c>
      <c r="M56" s="28">
        <f t="shared" ca="1" si="14"/>
        <v>5211.0503045799005</v>
      </c>
      <c r="N56" s="28">
        <f t="shared" ca="1" si="14"/>
        <v>5947.5454142938606</v>
      </c>
      <c r="O56" s="28"/>
      <c r="P56" s="28"/>
      <c r="Q56" s="28"/>
    </row>
    <row r="57" spans="2:17" x14ac:dyDescent="0.25">
      <c r="B57" t="s">
        <v>438</v>
      </c>
      <c r="D57" s="9">
        <v>0.1120846532317854</v>
      </c>
      <c r="E57" s="9">
        <v>0.2557903634826712</v>
      </c>
      <c r="F57" s="9">
        <v>0.18423827095413811</v>
      </c>
      <c r="G57" s="9">
        <v>6.8324678874009288E-3</v>
      </c>
      <c r="H57" s="9">
        <v>0.25583456425406204</v>
      </c>
      <c r="I57" s="9">
        <v>0.15335854092526691</v>
      </c>
      <c r="J57" s="30">
        <f ca="1">OFFSET(J57,$D$6,0)</f>
        <v>0.28999999999999998</v>
      </c>
      <c r="K57" s="30">
        <f ca="1">OFFSET(K57,$D$6,0)</f>
        <v>0.28999999999999998</v>
      </c>
      <c r="L57" s="30">
        <f ca="1">OFFSET(L57,$D$6,0)</f>
        <v>0.28999999999999998</v>
      </c>
      <c r="M57" s="30">
        <f ca="1">OFFSET(M57,$D$6,0)</f>
        <v>0.28999999999999998</v>
      </c>
      <c r="N57" s="30">
        <f ca="1">OFFSET(N57,$D$6,0)</f>
        <v>0.28999999999999998</v>
      </c>
      <c r="O57" s="28"/>
      <c r="P57" s="28"/>
      <c r="Q57" s="28"/>
    </row>
    <row r="58" spans="2:17" x14ac:dyDescent="0.25">
      <c r="B58" s="29" t="s">
        <v>443</v>
      </c>
      <c r="D58" s="9"/>
      <c r="E58" s="9"/>
      <c r="F58" s="9"/>
      <c r="G58" s="9"/>
      <c r="H58" s="9"/>
      <c r="I58" s="9"/>
      <c r="J58" s="49">
        <f>J59-2%</f>
        <v>0.26999999999999996</v>
      </c>
      <c r="K58" s="49">
        <f t="shared" ref="K58:N58" si="15">K59-2%</f>
        <v>0.26999999999999996</v>
      </c>
      <c r="L58" s="49">
        <f t="shared" si="15"/>
        <v>0.26999999999999996</v>
      </c>
      <c r="M58" s="49">
        <f t="shared" si="15"/>
        <v>0.26999999999999996</v>
      </c>
      <c r="N58" s="49">
        <f t="shared" si="15"/>
        <v>0.26999999999999996</v>
      </c>
      <c r="O58" s="28"/>
      <c r="P58" s="28"/>
      <c r="Q58" s="28"/>
    </row>
    <row r="59" spans="2:17" x14ac:dyDescent="0.25">
      <c r="B59" s="29" t="s">
        <v>444</v>
      </c>
      <c r="D59" s="9"/>
      <c r="E59" s="9"/>
      <c r="F59" s="9"/>
      <c r="G59" s="9"/>
      <c r="H59" s="9"/>
      <c r="I59" s="9"/>
      <c r="J59" s="49">
        <v>0.28999999999999998</v>
      </c>
      <c r="K59" s="49">
        <v>0.28999999999999998</v>
      </c>
      <c r="L59" s="49">
        <v>0.28999999999999998</v>
      </c>
      <c r="M59" s="49">
        <v>0.28999999999999998</v>
      </c>
      <c r="N59" s="49">
        <v>0.28999999999999998</v>
      </c>
      <c r="O59" s="28"/>
      <c r="P59" s="28"/>
      <c r="Q59" s="28"/>
    </row>
    <row r="60" spans="2:17" x14ac:dyDescent="0.25">
      <c r="B60" s="29" t="s">
        <v>417</v>
      </c>
      <c r="D60" s="9"/>
      <c r="E60" s="9"/>
      <c r="F60" s="9"/>
      <c r="G60" s="9"/>
      <c r="H60" s="9"/>
      <c r="I60" s="9"/>
      <c r="J60" s="49">
        <f>J59+2%</f>
        <v>0.31</v>
      </c>
      <c r="K60" s="49">
        <f t="shared" ref="K60:N60" si="16">K59+2%</f>
        <v>0.31</v>
      </c>
      <c r="L60" s="49">
        <f t="shared" si="16"/>
        <v>0.31</v>
      </c>
      <c r="M60" s="49">
        <f t="shared" si="16"/>
        <v>0.31</v>
      </c>
      <c r="N60" s="49">
        <f t="shared" si="16"/>
        <v>0.31</v>
      </c>
      <c r="O60" s="28"/>
      <c r="P60" s="28"/>
      <c r="Q60" s="28"/>
    </row>
    <row r="61" spans="2:17" x14ac:dyDescent="0.25">
      <c r="J61" s="28"/>
      <c r="K61" s="28"/>
      <c r="L61" s="28"/>
      <c r="M61" s="28"/>
      <c r="N61" s="28"/>
      <c r="O61" s="28"/>
      <c r="P61" s="28"/>
      <c r="Q61" s="28"/>
    </row>
    <row r="62" spans="2:17" x14ac:dyDescent="0.25">
      <c r="B62" s="2" t="s">
        <v>439</v>
      </c>
      <c r="C62" s="2"/>
      <c r="D62" s="6">
        <v>13174</v>
      </c>
      <c r="E62" s="6">
        <v>8804</v>
      </c>
      <c r="F62" s="6">
        <v>3095</v>
      </c>
      <c r="G62" s="6">
        <v>3634</v>
      </c>
      <c r="H62" s="6">
        <v>5038</v>
      </c>
      <c r="I62" s="6">
        <v>7613</v>
      </c>
      <c r="J62" s="6">
        <f ca="1">J50-J56</f>
        <v>8331.5205600000008</v>
      </c>
      <c r="K62" s="6">
        <f t="shared" ref="K62:N62" ca="1" si="17">K50-K56</f>
        <v>9657.620915800002</v>
      </c>
      <c r="L62" s="6">
        <f t="shared" ca="1" si="17"/>
        <v>11128.550870668005</v>
      </c>
      <c r="M62" s="6">
        <f t="shared" ca="1" si="17"/>
        <v>12758.088676730102</v>
      </c>
      <c r="N62" s="6">
        <f t="shared" ca="1" si="17"/>
        <v>14561.231876374626</v>
      </c>
      <c r="O62" s="28"/>
      <c r="P62" s="28"/>
      <c r="Q62" s="28"/>
    </row>
    <row r="63" spans="2:17" x14ac:dyDescent="0.25">
      <c r="J63" s="28"/>
      <c r="K63" s="28"/>
      <c r="L63" s="28"/>
      <c r="M63" s="28"/>
      <c r="N63" s="28"/>
      <c r="O63" s="28"/>
      <c r="P63" s="28"/>
      <c r="Q63" s="28"/>
    </row>
    <row r="64" spans="2:17" x14ac:dyDescent="0.25">
      <c r="B64" t="s">
        <v>208</v>
      </c>
      <c r="D64" s="5">
        <v>3011</v>
      </c>
      <c r="E64" s="5">
        <v>4167</v>
      </c>
      <c r="F64" s="5">
        <v>5345</v>
      </c>
      <c r="G64" s="5">
        <v>5111</v>
      </c>
      <c r="H64" s="5">
        <v>5163</v>
      </c>
      <c r="I64" s="5">
        <v>5369</v>
      </c>
      <c r="J64" s="28">
        <f ca="1">J44*J65</f>
        <v>6845.1460000000006</v>
      </c>
      <c r="K64" s="28">
        <f t="shared" ref="K64:N64" ca="1" si="18">K44*K65</f>
        <v>7324.3062200000013</v>
      </c>
      <c r="L64" s="28">
        <f t="shared" ca="1" si="18"/>
        <v>7837.0076554000025</v>
      </c>
      <c r="M64" s="28">
        <f t="shared" ca="1" si="18"/>
        <v>8385.5981912780026</v>
      </c>
      <c r="N64" s="28">
        <f t="shared" ca="1" si="18"/>
        <v>8972.5900646674636</v>
      </c>
      <c r="O64" s="28"/>
      <c r="P64" s="28"/>
      <c r="Q64" s="28"/>
    </row>
    <row r="65" spans="2:17" x14ac:dyDescent="0.25">
      <c r="B65" t="s">
        <v>440</v>
      </c>
      <c r="D65" s="9">
        <v>5.0661237675404654E-2</v>
      </c>
      <c r="E65" s="9">
        <v>5.9864668783312022E-2</v>
      </c>
      <c r="F65" s="9">
        <v>8.1742827430109494E-2</v>
      </c>
      <c r="G65" s="9">
        <v>7.5810614375982674E-2</v>
      </c>
      <c r="H65" s="9">
        <v>6.2413868136650466E-2</v>
      </c>
      <c r="I65" s="9">
        <v>6.0395059506400596E-2</v>
      </c>
      <c r="J65" s="30">
        <f ca="1">OFFSET(J65,$I$4,0)</f>
        <v>7.0000000000000007E-2</v>
      </c>
      <c r="K65" s="30">
        <f ca="1">OFFSET(K65,$I$4,0)</f>
        <v>7.0000000000000007E-2</v>
      </c>
      <c r="L65" s="30">
        <f ca="1">OFFSET(L65,$I$4,0)</f>
        <v>7.0000000000000007E-2</v>
      </c>
      <c r="M65" s="30">
        <f ca="1">OFFSET(M65,$I$4,0)</f>
        <v>7.0000000000000007E-2</v>
      </c>
      <c r="N65" s="30">
        <f ca="1">OFFSET(N65,$I$4,0)</f>
        <v>7.0000000000000007E-2</v>
      </c>
      <c r="O65" s="28"/>
      <c r="P65" s="28"/>
      <c r="Q65" s="28"/>
    </row>
    <row r="66" spans="2:17" x14ac:dyDescent="0.25">
      <c r="B66" s="29" t="s">
        <v>443</v>
      </c>
      <c r="D66" s="9"/>
      <c r="E66" s="9"/>
      <c r="F66" s="9"/>
      <c r="G66" s="9"/>
      <c r="H66" s="9"/>
      <c r="I66" s="9"/>
      <c r="J66" s="49">
        <f>J67+1%</f>
        <v>0.08</v>
      </c>
      <c r="K66" s="49">
        <f t="shared" ref="K66:N66" si="19">K67+1%</f>
        <v>0.08</v>
      </c>
      <c r="L66" s="49">
        <f t="shared" si="19"/>
        <v>0.08</v>
      </c>
      <c r="M66" s="49">
        <f t="shared" si="19"/>
        <v>0.08</v>
      </c>
      <c r="N66" s="49">
        <f t="shared" si="19"/>
        <v>0.08</v>
      </c>
      <c r="O66" s="28"/>
      <c r="P66" s="28"/>
      <c r="Q66" s="28"/>
    </row>
    <row r="67" spans="2:17" x14ac:dyDescent="0.25">
      <c r="B67" s="29" t="s">
        <v>444</v>
      </c>
      <c r="D67" s="9"/>
      <c r="E67" s="9"/>
      <c r="F67" s="9"/>
      <c r="G67" s="9"/>
      <c r="H67" s="9"/>
      <c r="I67" s="9"/>
      <c r="J67" s="49">
        <v>7.0000000000000007E-2</v>
      </c>
      <c r="K67" s="49">
        <v>7.0000000000000007E-2</v>
      </c>
      <c r="L67" s="49">
        <v>7.0000000000000007E-2</v>
      </c>
      <c r="M67" s="49">
        <v>7.0000000000000007E-2</v>
      </c>
      <c r="N67" s="49">
        <v>7.0000000000000007E-2</v>
      </c>
      <c r="O67" s="28"/>
      <c r="P67" s="28"/>
      <c r="Q67" s="28"/>
    </row>
    <row r="68" spans="2:17" x14ac:dyDescent="0.25">
      <c r="B68" s="29" t="s">
        <v>417</v>
      </c>
      <c r="D68" s="9"/>
      <c r="E68" s="9"/>
      <c r="F68" s="9"/>
      <c r="G68" s="9"/>
      <c r="H68" s="9"/>
      <c r="I68" s="9"/>
      <c r="J68" s="49">
        <f>J67-1%</f>
        <v>6.0000000000000005E-2</v>
      </c>
      <c r="K68" s="49">
        <f t="shared" ref="K68:N68" si="20">K67-1%</f>
        <v>6.0000000000000005E-2</v>
      </c>
      <c r="L68" s="49">
        <f t="shared" si="20"/>
        <v>6.0000000000000005E-2</v>
      </c>
      <c r="M68" s="49">
        <f t="shared" si="20"/>
        <v>6.0000000000000005E-2</v>
      </c>
      <c r="N68" s="49">
        <f t="shared" si="20"/>
        <v>6.0000000000000005E-2</v>
      </c>
      <c r="O68" s="28"/>
      <c r="P68" s="28"/>
      <c r="Q68" s="28"/>
    </row>
    <row r="69" spans="2:17" x14ac:dyDescent="0.25">
      <c r="J69" s="28"/>
      <c r="K69" s="28"/>
      <c r="L69" s="28"/>
      <c r="M69" s="28"/>
      <c r="N69" s="28"/>
      <c r="O69" s="28"/>
      <c r="P69" s="28"/>
      <c r="Q69" s="28"/>
    </row>
    <row r="70" spans="2:17" x14ac:dyDescent="0.25">
      <c r="B70" t="s">
        <v>289</v>
      </c>
      <c r="D70" s="5">
        <v>4465</v>
      </c>
      <c r="E70" s="5">
        <v>4876</v>
      </c>
      <c r="F70" s="5">
        <v>4022</v>
      </c>
      <c r="G70" s="5">
        <v>3578</v>
      </c>
      <c r="H70" s="5">
        <v>4943</v>
      </c>
      <c r="I70" s="5">
        <v>4969</v>
      </c>
      <c r="J70" s="28">
        <f ca="1">J44*J71</f>
        <v>5867.268</v>
      </c>
      <c r="K70" s="28">
        <f t="shared" ref="K70:N70" ca="1" si="21">K44*K71</f>
        <v>6277.9767600000005</v>
      </c>
      <c r="L70" s="28">
        <f t="shared" ca="1" si="21"/>
        <v>6717.4351332000015</v>
      </c>
      <c r="M70" s="28">
        <f t="shared" ca="1" si="21"/>
        <v>7187.6555925240018</v>
      </c>
      <c r="N70" s="28">
        <f t="shared" ca="1" si="21"/>
        <v>7690.7914840006824</v>
      </c>
      <c r="O70" s="28"/>
      <c r="P70" s="28"/>
      <c r="Q70" s="28"/>
    </row>
    <row r="71" spans="2:17" x14ac:dyDescent="0.25">
      <c r="B71" t="s">
        <v>440</v>
      </c>
      <c r="D71" s="9">
        <v>7.5125349126762456E-2</v>
      </c>
      <c r="E71" s="9">
        <v>7.0050425962906032E-2</v>
      </c>
      <c r="F71" s="9">
        <v>6.1509757141983236E-2</v>
      </c>
      <c r="G71" s="9">
        <v>5.3071879913376252E-2</v>
      </c>
      <c r="H71" s="9">
        <v>5.9754357970068422E-2</v>
      </c>
      <c r="I71" s="9">
        <v>5.5895520709127317E-2</v>
      </c>
      <c r="J71" s="28">
        <f ca="1">OFFSET(J71,$I$5,0)</f>
        <v>0.06</v>
      </c>
      <c r="K71" s="28">
        <f ca="1">OFFSET(K71,$I$5,0)</f>
        <v>0.06</v>
      </c>
      <c r="L71" s="28">
        <f ca="1">OFFSET(L71,$I$5,0)</f>
        <v>0.06</v>
      </c>
      <c r="M71" s="28">
        <f ca="1">OFFSET(M71,$I$5,0)</f>
        <v>0.06</v>
      </c>
      <c r="N71" s="28">
        <f ca="1">OFFSET(N71,$I$5,0)</f>
        <v>0.06</v>
      </c>
      <c r="O71" s="28"/>
      <c r="P71" s="28"/>
      <c r="Q71" s="28"/>
    </row>
    <row r="72" spans="2:17" x14ac:dyDescent="0.25">
      <c r="B72" s="29" t="s">
        <v>443</v>
      </c>
      <c r="J72" s="49">
        <f>J73-1%</f>
        <v>4.9999999999999996E-2</v>
      </c>
      <c r="K72" s="49">
        <f t="shared" ref="K72:N72" si="22">K73-1%</f>
        <v>4.9999999999999996E-2</v>
      </c>
      <c r="L72" s="49">
        <f t="shared" si="22"/>
        <v>4.9999999999999996E-2</v>
      </c>
      <c r="M72" s="49">
        <f t="shared" si="22"/>
        <v>4.9999999999999996E-2</v>
      </c>
      <c r="N72" s="49">
        <f t="shared" si="22"/>
        <v>4.9999999999999996E-2</v>
      </c>
      <c r="O72" s="28"/>
      <c r="P72" s="28"/>
      <c r="Q72" s="28"/>
    </row>
    <row r="73" spans="2:17" x14ac:dyDescent="0.25">
      <c r="B73" s="29" t="s">
        <v>444</v>
      </c>
      <c r="J73" s="49">
        <v>0.06</v>
      </c>
      <c r="K73" s="49">
        <v>0.06</v>
      </c>
      <c r="L73" s="49">
        <v>0.06</v>
      </c>
      <c r="M73" s="49">
        <v>0.06</v>
      </c>
      <c r="N73" s="49">
        <v>0.06</v>
      </c>
      <c r="O73" s="28"/>
      <c r="P73" s="28"/>
      <c r="Q73" s="28"/>
    </row>
    <row r="74" spans="2:17" x14ac:dyDescent="0.25">
      <c r="B74" s="29" t="s">
        <v>417</v>
      </c>
      <c r="J74" s="49">
        <f>J73+1%</f>
        <v>6.9999999999999993E-2</v>
      </c>
      <c r="K74" s="49">
        <f t="shared" ref="K74:N74" si="23">K73+1%</f>
        <v>6.9999999999999993E-2</v>
      </c>
      <c r="L74" s="49">
        <f t="shared" si="23"/>
        <v>6.9999999999999993E-2</v>
      </c>
      <c r="M74" s="49">
        <f t="shared" si="23"/>
        <v>6.9999999999999993E-2</v>
      </c>
      <c r="N74" s="49">
        <f t="shared" si="23"/>
        <v>6.9999999999999993E-2</v>
      </c>
      <c r="O74" s="28"/>
      <c r="P74" s="28"/>
      <c r="Q74" s="28"/>
    </row>
    <row r="75" spans="2:17" x14ac:dyDescent="0.25">
      <c r="J75" s="28"/>
      <c r="K75" s="28"/>
      <c r="L75" s="28"/>
      <c r="M75" s="28"/>
      <c r="N75" s="28"/>
      <c r="O75" s="28"/>
      <c r="P75" s="28"/>
      <c r="Q75" s="28"/>
    </row>
    <row r="76" spans="2:17" x14ac:dyDescent="0.25">
      <c r="B76" t="s">
        <v>422</v>
      </c>
      <c r="D76" s="5">
        <v>-837</v>
      </c>
      <c r="E76" s="5">
        <v>-5644</v>
      </c>
      <c r="F76" s="5">
        <v>-645</v>
      </c>
      <c r="G76" s="5">
        <v>2194</v>
      </c>
      <c r="H76" s="5">
        <v>488</v>
      </c>
      <c r="I76" s="5">
        <v>177</v>
      </c>
      <c r="J76" s="28">
        <f ca="1">J44*J77</f>
        <v>-1955.7560000000001</v>
      </c>
      <c r="K76" s="28">
        <f t="shared" ref="K76:N76" ca="1" si="24">K44*K77</f>
        <v>-2092.6589200000003</v>
      </c>
      <c r="L76" s="28">
        <f t="shared" ca="1" si="24"/>
        <v>-2239.1450444000006</v>
      </c>
      <c r="M76" s="28">
        <f t="shared" ca="1" si="24"/>
        <v>-2395.8851975080006</v>
      </c>
      <c r="N76" s="28">
        <f t="shared" ca="1" si="24"/>
        <v>-2563.597161333561</v>
      </c>
      <c r="O76" s="28"/>
      <c r="P76" s="28"/>
      <c r="Q76" s="28"/>
    </row>
    <row r="77" spans="2:17" x14ac:dyDescent="0.25">
      <c r="B77" t="s">
        <v>440</v>
      </c>
      <c r="D77" s="9">
        <v>-1.4082848201366221E-2</v>
      </c>
      <c r="E77" s="9">
        <v>-8.1083799043199678E-2</v>
      </c>
      <c r="F77" s="9">
        <v>-9.8641952651862732E-3</v>
      </c>
      <c r="G77" s="9">
        <v>3.2543237710997062E-2</v>
      </c>
      <c r="H77" s="9">
        <v>5.8992770967819927E-3</v>
      </c>
      <c r="I77" s="9">
        <v>1.9910459177934262E-3</v>
      </c>
      <c r="J77" s="28">
        <f ca="1">OFFSET(J77,$I$6,0)</f>
        <v>-0.02</v>
      </c>
      <c r="K77" s="28">
        <f ca="1">OFFSET(K77,$I$6,0)</f>
        <v>-0.02</v>
      </c>
      <c r="L77" s="28">
        <f ca="1">OFFSET(L77,$I$6,0)</f>
        <v>-0.02</v>
      </c>
      <c r="M77" s="28">
        <f ca="1">OFFSET(M77,$I$6,0)</f>
        <v>-0.02</v>
      </c>
      <c r="N77" s="28">
        <f ca="1">OFFSET(N77,$I$6,0)</f>
        <v>-0.02</v>
      </c>
      <c r="O77" s="28"/>
      <c r="P77" s="28"/>
      <c r="Q77" s="28"/>
    </row>
    <row r="78" spans="2:17" x14ac:dyDescent="0.25">
      <c r="J78" s="49">
        <f t="shared" ref="J78:N78" si="25">J79+1%</f>
        <v>-0.01</v>
      </c>
      <c r="K78" s="49">
        <f t="shared" si="25"/>
        <v>-0.01</v>
      </c>
      <c r="L78" s="49">
        <f t="shared" si="25"/>
        <v>-0.01</v>
      </c>
      <c r="M78" s="49">
        <f t="shared" si="25"/>
        <v>-0.01</v>
      </c>
      <c r="N78" s="49">
        <f t="shared" si="25"/>
        <v>-0.01</v>
      </c>
      <c r="O78" s="28"/>
      <c r="P78" s="28"/>
      <c r="Q78" s="28"/>
    </row>
    <row r="79" spans="2:17" x14ac:dyDescent="0.25">
      <c r="B79" s="29" t="s">
        <v>443</v>
      </c>
      <c r="J79" s="49">
        <v>-0.02</v>
      </c>
      <c r="K79" s="49">
        <v>-0.02</v>
      </c>
      <c r="L79" s="49">
        <v>-0.02</v>
      </c>
      <c r="M79" s="49">
        <v>-0.02</v>
      </c>
      <c r="N79" s="49">
        <v>-0.02</v>
      </c>
      <c r="O79" s="28"/>
      <c r="P79" s="28"/>
      <c r="Q79" s="28"/>
    </row>
    <row r="80" spans="2:17" x14ac:dyDescent="0.25">
      <c r="B80" s="29" t="s">
        <v>444</v>
      </c>
      <c r="J80" s="49">
        <f>J79-1%</f>
        <v>-0.03</v>
      </c>
      <c r="K80" s="49">
        <f t="shared" ref="K80:N80" si="26">K79-1%</f>
        <v>-0.03</v>
      </c>
      <c r="L80" s="49">
        <f t="shared" si="26"/>
        <v>-0.03</v>
      </c>
      <c r="M80" s="49">
        <f t="shared" si="26"/>
        <v>-0.03</v>
      </c>
      <c r="N80" s="49">
        <f t="shared" si="26"/>
        <v>-0.03</v>
      </c>
      <c r="O80" s="28"/>
      <c r="P80" s="28"/>
      <c r="Q80" s="28"/>
    </row>
    <row r="81" spans="1:17" x14ac:dyDescent="0.25">
      <c r="B81" s="29" t="s">
        <v>417</v>
      </c>
      <c r="J81" s="28"/>
      <c r="K81" s="28"/>
      <c r="L81" s="28"/>
      <c r="M81" s="28"/>
      <c r="N81" s="28"/>
      <c r="O81" s="28"/>
      <c r="P81" s="28"/>
      <c r="Q81" s="28"/>
    </row>
    <row r="82" spans="1:17" x14ac:dyDescent="0.25">
      <c r="B82" s="45" t="s">
        <v>441</v>
      </c>
      <c r="C82" s="45"/>
      <c r="D82" s="46">
        <v>10883</v>
      </c>
      <c r="E82" s="46">
        <v>2451</v>
      </c>
      <c r="F82" s="46">
        <v>3773</v>
      </c>
      <c r="G82" s="46">
        <v>7361</v>
      </c>
      <c r="H82" s="46">
        <v>5746</v>
      </c>
      <c r="I82" s="46">
        <v>8190</v>
      </c>
      <c r="J82" s="46">
        <f ca="1">J62+J64-J70+J76</f>
        <v>7353.6425600000011</v>
      </c>
      <c r="K82" s="46">
        <f t="shared" ref="K82:N82" ca="1" si="27">K62+K64-K70+K76</f>
        <v>8611.291455800003</v>
      </c>
      <c r="L82" s="46">
        <f t="shared" ca="1" si="27"/>
        <v>10008.978348468008</v>
      </c>
      <c r="M82" s="46">
        <f t="shared" ca="1" si="27"/>
        <v>11560.1460779761</v>
      </c>
      <c r="N82" s="46">
        <f t="shared" ca="1" si="27"/>
        <v>13279.433295707848</v>
      </c>
      <c r="O82" s="28"/>
      <c r="P82" s="28"/>
      <c r="Q82" s="28"/>
    </row>
    <row r="83" spans="1:17" x14ac:dyDescent="0.25">
      <c r="B83" s="31" t="s">
        <v>445</v>
      </c>
      <c r="J83" s="34" t="e">
        <f ca="1">J82*(1-$D$10)^I17</f>
        <v>#REF!</v>
      </c>
      <c r="K83" s="34" t="e">
        <f t="shared" ref="K83:N83" ca="1" si="28">K82*(1-$D$10)^J17</f>
        <v>#REF!</v>
      </c>
      <c r="L83" s="34" t="e">
        <f t="shared" ca="1" si="28"/>
        <v>#REF!</v>
      </c>
      <c r="M83" s="34" t="e">
        <f t="shared" ca="1" si="28"/>
        <v>#REF!</v>
      </c>
      <c r="N83" s="34" t="e">
        <f t="shared" ca="1" si="28"/>
        <v>#REF!</v>
      </c>
      <c r="O83" s="28"/>
      <c r="P83" s="28"/>
      <c r="Q83" s="28"/>
    </row>
    <row r="84" spans="1:17" x14ac:dyDescent="0.25">
      <c r="B84" s="31" t="s">
        <v>446</v>
      </c>
      <c r="J84" s="34"/>
      <c r="K84" s="34"/>
      <c r="L84" s="34"/>
      <c r="M84" s="34"/>
      <c r="N84" s="34" t="e">
        <f ca="1">SUM(J83:N83)</f>
        <v>#REF!</v>
      </c>
      <c r="O84" s="28"/>
      <c r="P84" s="28"/>
      <c r="Q84" s="28"/>
    </row>
    <row r="85" spans="1:17" x14ac:dyDescent="0.25">
      <c r="B85" s="31" t="s">
        <v>447</v>
      </c>
      <c r="N85" s="34" t="e">
        <f ca="1">N82*(1+D11)/(D10-D11)/(1+D10)^5</f>
        <v>#REF!</v>
      </c>
    </row>
    <row r="86" spans="1:17" x14ac:dyDescent="0.25">
      <c r="B86" s="60" t="s">
        <v>4</v>
      </c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2" t="e">
        <f ca="1">N84+N85</f>
        <v>#REF!</v>
      </c>
    </row>
    <row r="87" spans="1:17" x14ac:dyDescent="0.25">
      <c r="B87" s="31" t="s">
        <v>448</v>
      </c>
      <c r="N87" s="5" t="e">
        <f>Main!#REF!</f>
        <v>#REF!</v>
      </c>
    </row>
    <row r="88" spans="1:17" x14ac:dyDescent="0.25">
      <c r="B88" s="31" t="s">
        <v>449</v>
      </c>
      <c r="N88" s="5" t="e">
        <f>Main!#REF!</f>
        <v>#REF!</v>
      </c>
    </row>
    <row r="89" spans="1:17" x14ac:dyDescent="0.25">
      <c r="B89" s="60" t="s">
        <v>450</v>
      </c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2" t="e">
        <f ca="1">N86-N87+N88</f>
        <v>#REF!</v>
      </c>
    </row>
    <row r="90" spans="1:17" x14ac:dyDescent="0.25">
      <c r="B90" s="31" t="s">
        <v>451</v>
      </c>
      <c r="N90" s="5" t="e">
        <f>Main!#REF!</f>
        <v>#REF!</v>
      </c>
    </row>
    <row r="91" spans="1:17" x14ac:dyDescent="0.25">
      <c r="B91" s="31" t="s">
        <v>426</v>
      </c>
      <c r="N91" s="22" t="e">
        <f ca="1">N89/N90</f>
        <v>#REF!</v>
      </c>
    </row>
    <row r="92" spans="1:17" x14ac:dyDescent="0.25">
      <c r="B92" s="31"/>
    </row>
    <row r="93" spans="1:17" x14ac:dyDescent="0.25">
      <c r="B93" s="31"/>
    </row>
    <row r="94" spans="1:17" x14ac:dyDescent="0.25">
      <c r="B94" s="31"/>
    </row>
    <row r="95" spans="1:17" x14ac:dyDescent="0.25">
      <c r="A95" s="4" t="s">
        <v>3</v>
      </c>
      <c r="B95" s="37" t="s">
        <v>452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7" spans="2:10" x14ac:dyDescent="0.25">
      <c r="G97" t="s">
        <v>423</v>
      </c>
    </row>
    <row r="98" spans="2:10" x14ac:dyDescent="0.25">
      <c r="C98" s="57" t="e">
        <f ca="1">I11</f>
        <v>#REF!</v>
      </c>
      <c r="D98" s="55">
        <f>E98-0.5%</f>
        <v>0.02</v>
      </c>
      <c r="E98" s="55">
        <f>F98-0.5%</f>
        <v>2.5000000000000001E-2</v>
      </c>
      <c r="F98" s="55">
        <f>G98-0.5%</f>
        <v>3.0000000000000002E-2</v>
      </c>
      <c r="G98" s="55">
        <f>R6</f>
        <v>3.5000000000000003E-2</v>
      </c>
      <c r="H98" s="55">
        <f>G98+0.5%</f>
        <v>0.04</v>
      </c>
      <c r="I98" s="55">
        <f>H98+0.5%</f>
        <v>4.4999999999999998E-2</v>
      </c>
      <c r="J98" s="55">
        <f>I98+0.5%</f>
        <v>4.9999999999999996E-2</v>
      </c>
    </row>
    <row r="99" spans="2:10" x14ac:dyDescent="0.25">
      <c r="C99" s="56" t="e">
        <f>C100-1%</f>
        <v>#REF!</v>
      </c>
      <c r="D99" s="22" t="e">
        <f t="dataTable" ref="D99:J105" dt2D="1" dtr="1" r1="D11" r2="D10" ca="1"/>
        <v>#REF!</v>
      </c>
      <c r="E99" s="22" t="e">
        <v>#REF!</v>
      </c>
      <c r="F99" s="22" t="e">
        <v>#REF!</v>
      </c>
      <c r="G99" s="58" t="e">
        <v>#REF!</v>
      </c>
      <c r="H99" s="22" t="e">
        <v>#REF!</v>
      </c>
      <c r="I99" s="22" t="e">
        <v>#REF!</v>
      </c>
      <c r="J99" s="22" t="e">
        <v>#REF!</v>
      </c>
    </row>
    <row r="100" spans="2:10" x14ac:dyDescent="0.25">
      <c r="C100" s="56" t="e">
        <f>C101-1%</f>
        <v>#REF!</v>
      </c>
      <c r="D100" s="22" t="e">
        <v>#REF!</v>
      </c>
      <c r="E100" s="22" t="e">
        <v>#REF!</v>
      </c>
      <c r="F100" s="22" t="e">
        <v>#REF!</v>
      </c>
      <c r="G100" s="58" t="e">
        <v>#REF!</v>
      </c>
      <c r="H100" s="22" t="e">
        <v>#REF!</v>
      </c>
      <c r="I100" s="22" t="e">
        <v>#REF!</v>
      </c>
      <c r="J100" s="22" t="e">
        <v>#REF!</v>
      </c>
    </row>
    <row r="101" spans="2:10" x14ac:dyDescent="0.25">
      <c r="C101" s="56" t="e">
        <f>C102-1%</f>
        <v>#REF!</v>
      </c>
      <c r="D101" s="22" t="e">
        <v>#REF!</v>
      </c>
      <c r="E101" s="22" t="e">
        <v>#REF!</v>
      </c>
      <c r="F101" s="22" t="e">
        <v>#REF!</v>
      </c>
      <c r="G101" s="58" t="e">
        <v>#REF!</v>
      </c>
      <c r="H101" s="22" t="e">
        <v>#REF!</v>
      </c>
      <c r="I101" s="22" t="e">
        <v>#REF!</v>
      </c>
      <c r="J101" s="22" t="e">
        <v>#REF!</v>
      </c>
    </row>
    <row r="102" spans="2:10" x14ac:dyDescent="0.25">
      <c r="B102" s="59" t="s">
        <v>420</v>
      </c>
      <c r="C102" s="56" t="e">
        <f>R5</f>
        <v>#REF!</v>
      </c>
      <c r="D102" s="58" t="e">
        <v>#REF!</v>
      </c>
      <c r="E102" s="58" t="e">
        <v>#REF!</v>
      </c>
      <c r="F102" s="58" t="e">
        <v>#REF!</v>
      </c>
      <c r="G102" s="58" t="e">
        <v>#REF!</v>
      </c>
      <c r="H102" s="58" t="e">
        <v>#REF!</v>
      </c>
      <c r="I102" s="58" t="e">
        <v>#REF!</v>
      </c>
      <c r="J102" s="58" t="e">
        <v>#REF!</v>
      </c>
    </row>
    <row r="103" spans="2:10" x14ac:dyDescent="0.25">
      <c r="C103" s="56" t="e">
        <f>C102+1%</f>
        <v>#REF!</v>
      </c>
      <c r="D103" s="22" t="e">
        <v>#REF!</v>
      </c>
      <c r="E103" s="22" t="e">
        <v>#REF!</v>
      </c>
      <c r="F103" s="22" t="e">
        <v>#REF!</v>
      </c>
      <c r="G103" s="58" t="e">
        <v>#REF!</v>
      </c>
      <c r="H103" s="22" t="e">
        <v>#REF!</v>
      </c>
      <c r="I103" s="22" t="e">
        <v>#REF!</v>
      </c>
      <c r="J103" s="22" t="e">
        <v>#REF!</v>
      </c>
    </row>
    <row r="104" spans="2:10" x14ac:dyDescent="0.25">
      <c r="C104" s="56" t="e">
        <f t="shared" ref="C104:C105" si="29">C103+1%</f>
        <v>#REF!</v>
      </c>
      <c r="D104" s="22" t="e">
        <v>#REF!</v>
      </c>
      <c r="E104" s="22" t="e">
        <v>#REF!</v>
      </c>
      <c r="F104" s="22" t="e">
        <v>#REF!</v>
      </c>
      <c r="G104" s="58" t="e">
        <v>#REF!</v>
      </c>
      <c r="H104" s="22" t="e">
        <v>#REF!</v>
      </c>
      <c r="I104" s="22" t="e">
        <v>#REF!</v>
      </c>
      <c r="J104" s="22" t="e">
        <v>#REF!</v>
      </c>
    </row>
    <row r="105" spans="2:10" x14ac:dyDescent="0.25">
      <c r="C105" s="56" t="e">
        <f t="shared" si="29"/>
        <v>#REF!</v>
      </c>
      <c r="D105" s="22" t="e">
        <v>#REF!</v>
      </c>
      <c r="E105" s="22" t="e">
        <v>#REF!</v>
      </c>
      <c r="F105" s="22" t="e">
        <v>#REF!</v>
      </c>
      <c r="G105" s="58" t="e">
        <v>#REF!</v>
      </c>
      <c r="H105" s="22" t="e">
        <v>#REF!</v>
      </c>
      <c r="I105" s="22" t="e">
        <v>#REF!</v>
      </c>
      <c r="J105" s="22" t="e">
        <v>#REF!</v>
      </c>
    </row>
  </sheetData>
  <dataConsolidate/>
  <dataValidations count="1">
    <dataValidation type="list" allowBlank="1" showInputMessage="1" showErrorMessage="1" sqref="I4:I7 D4:D7" xr:uid="{8E8EA04B-B56A-4D08-A4D8-454BC6E4F56D}">
      <formula1>"1,2,3"</formula1>
    </dataValidation>
  </dataValidations>
  <hyperlinks>
    <hyperlink ref="A1" location="Main!A1" display="Main" xr:uid="{424E7BD4-3C18-41B3-93F3-F43BA6B6FFE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2578-0151-4409-A87E-4788EAFA8053}">
  <dimension ref="A1:O118"/>
  <sheetViews>
    <sheetView workbookViewId="0">
      <selection activeCell="B21" sqref="B21"/>
    </sheetView>
  </sheetViews>
  <sheetFormatPr defaultRowHeight="15" x14ac:dyDescent="0.25"/>
  <cols>
    <col min="1" max="1" width="4.7109375" bestFit="1" customWidth="1"/>
    <col min="2" max="2" width="18.42578125" customWidth="1"/>
    <col min="6" max="6" width="19.140625" customWidth="1"/>
    <col min="8" max="8" width="10" customWidth="1"/>
    <col min="9" max="9" width="9.85546875" customWidth="1"/>
    <col min="13" max="13" width="11.42578125" customWidth="1"/>
  </cols>
  <sheetData>
    <row r="1" spans="1:11" x14ac:dyDescent="0.25">
      <c r="A1" s="1" t="s">
        <v>94</v>
      </c>
    </row>
    <row r="2" spans="1:11" x14ac:dyDescent="0.25">
      <c r="A2" s="1"/>
      <c r="C2" s="72" t="s">
        <v>453</v>
      </c>
      <c r="D2" s="72"/>
      <c r="E2" s="72"/>
    </row>
    <row r="3" spans="1:11" x14ac:dyDescent="0.25">
      <c r="A3" s="4" t="s">
        <v>3</v>
      </c>
      <c r="B3" s="3" t="s">
        <v>454</v>
      </c>
      <c r="F3" s="3" t="s">
        <v>455</v>
      </c>
      <c r="I3" t="s">
        <v>456</v>
      </c>
    </row>
    <row r="4" spans="1:11" x14ac:dyDescent="0.25">
      <c r="B4" t="s">
        <v>457</v>
      </c>
      <c r="C4" s="32">
        <v>4.41E-2</v>
      </c>
      <c r="F4" t="s">
        <v>457</v>
      </c>
      <c r="G4" s="32">
        <v>4.41E-2</v>
      </c>
      <c r="I4" t="s">
        <v>458</v>
      </c>
      <c r="K4" s="35" t="s">
        <v>459</v>
      </c>
    </row>
    <row r="5" spans="1:11" x14ac:dyDescent="0.25">
      <c r="B5" t="s">
        <v>460</v>
      </c>
      <c r="C5" s="32">
        <v>9.1999999999999998E-3</v>
      </c>
      <c r="F5" t="s">
        <v>460</v>
      </c>
      <c r="G5" s="32">
        <v>9.1999999999999998E-3</v>
      </c>
    </row>
    <row r="6" spans="1:11" x14ac:dyDescent="0.25">
      <c r="B6" t="s">
        <v>461</v>
      </c>
      <c r="C6" s="32">
        <v>0</v>
      </c>
      <c r="F6" t="s">
        <v>461</v>
      </c>
      <c r="G6" s="32">
        <v>0</v>
      </c>
      <c r="I6" t="s">
        <v>462</v>
      </c>
    </row>
    <row r="7" spans="1:11" x14ac:dyDescent="0.25">
      <c r="B7" t="s">
        <v>463</v>
      </c>
      <c r="C7" s="32">
        <f>C4+C5+C6</f>
        <v>5.33E-2</v>
      </c>
      <c r="F7" t="s">
        <v>463</v>
      </c>
      <c r="G7" s="32">
        <f>G4+G5+G6</f>
        <v>5.33E-2</v>
      </c>
      <c r="I7" t="s">
        <v>464</v>
      </c>
    </row>
    <row r="8" spans="1:11" x14ac:dyDescent="0.25">
      <c r="B8" t="s">
        <v>457</v>
      </c>
      <c r="C8" s="32">
        <f>C4</f>
        <v>4.41E-2</v>
      </c>
      <c r="F8" t="s">
        <v>457</v>
      </c>
      <c r="G8" s="32">
        <f>G4</f>
        <v>4.41E-2</v>
      </c>
      <c r="I8" t="s">
        <v>465</v>
      </c>
    </row>
    <row r="9" spans="1:11" x14ac:dyDescent="0.25">
      <c r="B9" t="s">
        <v>466</v>
      </c>
      <c r="C9" s="22">
        <f>SLOPE(J24:J83,O24:O83)</f>
        <v>1.4016021503412865</v>
      </c>
      <c r="F9" t="s">
        <v>467</v>
      </c>
      <c r="I9" t="s">
        <v>468</v>
      </c>
    </row>
    <row r="10" spans="1:11" x14ac:dyDescent="0.25">
      <c r="B10" t="s">
        <v>469</v>
      </c>
      <c r="C10" s="32">
        <v>4.5999999999999999E-2</v>
      </c>
      <c r="F10" t="s">
        <v>470</v>
      </c>
      <c r="G10" s="32">
        <f>G8+G9</f>
        <v>4.41E-2</v>
      </c>
    </row>
    <row r="11" spans="1:11" x14ac:dyDescent="0.25">
      <c r="B11" t="s">
        <v>471</v>
      </c>
      <c r="C11" s="19">
        <f>C8+C9*C10</f>
        <v>0.10857369891569918</v>
      </c>
      <c r="F11" t="s">
        <v>472</v>
      </c>
      <c r="G11" s="9">
        <v>0.1926502499734607</v>
      </c>
    </row>
    <row r="12" spans="1:11" x14ac:dyDescent="0.25">
      <c r="B12" t="s">
        <v>472</v>
      </c>
      <c r="C12" s="9" t="e">
        <f>(Model!R63+Model!R66)/(Main!#REF!+Model!R66+Model!R63)</f>
        <v>#REF!</v>
      </c>
      <c r="F12" t="s">
        <v>473</v>
      </c>
      <c r="G12" s="9">
        <v>0.8073497500265393</v>
      </c>
    </row>
    <row r="13" spans="1:11" x14ac:dyDescent="0.25">
      <c r="B13" t="s">
        <v>473</v>
      </c>
      <c r="C13" s="33" t="e">
        <f>1-C12</f>
        <v>#REF!</v>
      </c>
      <c r="F13" t="s">
        <v>420</v>
      </c>
      <c r="G13" s="32"/>
    </row>
    <row r="14" spans="1:11" x14ac:dyDescent="0.25">
      <c r="B14" t="s">
        <v>420</v>
      </c>
      <c r="C14" s="32" t="e">
        <f>(C7*C12*(1-29%))+(C11*C13)</f>
        <v>#REF!</v>
      </c>
    </row>
    <row r="20" spans="2:15" x14ac:dyDescent="0.25">
      <c r="B20" s="2" t="s">
        <v>474</v>
      </c>
      <c r="H20" s="2" t="s">
        <v>475</v>
      </c>
      <c r="M20" s="2" t="s">
        <v>476</v>
      </c>
    </row>
    <row r="22" spans="2:15" x14ac:dyDescent="0.25">
      <c r="B22" s="25" t="s">
        <v>477</v>
      </c>
      <c r="C22" t="s">
        <v>478</v>
      </c>
      <c r="H22" t="s">
        <v>479</v>
      </c>
      <c r="I22" t="s">
        <v>480</v>
      </c>
      <c r="J22" t="s">
        <v>481</v>
      </c>
      <c r="O22" t="s">
        <v>481</v>
      </c>
    </row>
    <row r="23" spans="2:15" x14ac:dyDescent="0.25">
      <c r="B23">
        <v>1928</v>
      </c>
      <c r="C23" s="32">
        <v>0.43809999999999999</v>
      </c>
      <c r="H23" t="s">
        <v>482</v>
      </c>
      <c r="I23">
        <v>139.63999999999999</v>
      </c>
      <c r="M23" t="s">
        <v>482</v>
      </c>
      <c r="N23">
        <v>2941.76</v>
      </c>
    </row>
    <row r="24" spans="2:15" x14ac:dyDescent="0.25">
      <c r="B24">
        <v>1929</v>
      </c>
      <c r="C24" s="32">
        <v>-8.3000000000000004E-2</v>
      </c>
      <c r="H24" t="s">
        <v>483</v>
      </c>
      <c r="I24">
        <v>143.01</v>
      </c>
      <c r="J24" s="9">
        <f>I24/I23-1</f>
        <v>2.4133486107132729E-2</v>
      </c>
      <c r="M24" t="s">
        <v>483</v>
      </c>
      <c r="N24">
        <v>2980.38</v>
      </c>
      <c r="O24" s="9">
        <f>N24/N23-1</f>
        <v>1.3128195366039375E-2</v>
      </c>
    </row>
    <row r="25" spans="2:15" x14ac:dyDescent="0.25">
      <c r="B25">
        <v>1930</v>
      </c>
      <c r="C25" s="32">
        <v>-0.25119999999999998</v>
      </c>
      <c r="H25" t="s">
        <v>484</v>
      </c>
      <c r="I25">
        <v>137.26</v>
      </c>
      <c r="J25" s="9">
        <f t="shared" ref="J25:J83" si="0">I25/I24-1</f>
        <v>-4.0206978532969728E-2</v>
      </c>
      <c r="M25" t="s">
        <v>484</v>
      </c>
      <c r="N25">
        <v>2926.46</v>
      </c>
      <c r="O25" s="9">
        <f t="shared" ref="O25:O83" si="1">N25/N24-1</f>
        <v>-1.8091652742267761E-2</v>
      </c>
    </row>
    <row r="26" spans="2:15" x14ac:dyDescent="0.25">
      <c r="B26">
        <v>1931</v>
      </c>
      <c r="C26" s="32">
        <v>-0.43840000000000001</v>
      </c>
      <c r="H26" t="s">
        <v>485</v>
      </c>
      <c r="I26">
        <v>130.32</v>
      </c>
      <c r="J26" s="9">
        <f t="shared" si="0"/>
        <v>-5.0560979163631004E-2</v>
      </c>
      <c r="M26" t="s">
        <v>485</v>
      </c>
      <c r="N26">
        <v>2976.74</v>
      </c>
      <c r="O26" s="9">
        <f t="shared" si="1"/>
        <v>1.7181167690656807E-2</v>
      </c>
    </row>
    <row r="27" spans="2:15" x14ac:dyDescent="0.25">
      <c r="B27">
        <v>1932</v>
      </c>
      <c r="C27" s="32">
        <v>-8.6400000000000005E-2</v>
      </c>
      <c r="H27" t="s">
        <v>486</v>
      </c>
      <c r="I27">
        <v>129.91999999999999</v>
      </c>
      <c r="J27" s="9">
        <f t="shared" si="0"/>
        <v>-3.0693677102516803E-3</v>
      </c>
      <c r="M27" t="s">
        <v>486</v>
      </c>
      <c r="N27">
        <v>3037.56</v>
      </c>
      <c r="O27" s="9">
        <f t="shared" si="1"/>
        <v>2.0431747482144935E-2</v>
      </c>
    </row>
    <row r="28" spans="2:15" x14ac:dyDescent="0.25">
      <c r="B28">
        <v>1933</v>
      </c>
      <c r="C28" s="32">
        <v>0.49980000000000002</v>
      </c>
      <c r="H28" t="s">
        <v>487</v>
      </c>
      <c r="I28">
        <v>151.58000000000001</v>
      </c>
      <c r="J28" s="9">
        <f t="shared" si="0"/>
        <v>0.16671798029556673</v>
      </c>
      <c r="M28" t="s">
        <v>487</v>
      </c>
      <c r="N28">
        <v>3140.98</v>
      </c>
      <c r="O28" s="9">
        <f t="shared" si="1"/>
        <v>3.404706409091518E-2</v>
      </c>
    </row>
    <row r="29" spans="2:15" x14ac:dyDescent="0.25">
      <c r="B29">
        <v>1934</v>
      </c>
      <c r="C29" s="32">
        <v>-1.1900000000000001E-2</v>
      </c>
      <c r="H29" t="s">
        <v>488</v>
      </c>
      <c r="I29">
        <v>144.63</v>
      </c>
      <c r="J29" s="9">
        <f t="shared" si="0"/>
        <v>-4.5850376039055396E-2</v>
      </c>
      <c r="M29" t="s">
        <v>488</v>
      </c>
      <c r="N29">
        <v>3230.78</v>
      </c>
      <c r="O29" s="9">
        <f t="shared" si="1"/>
        <v>2.8589803182446305E-2</v>
      </c>
    </row>
    <row r="30" spans="2:15" x14ac:dyDescent="0.25">
      <c r="B30">
        <v>1935</v>
      </c>
      <c r="C30" s="32">
        <v>0.46739999999999998</v>
      </c>
      <c r="H30" t="s">
        <v>489</v>
      </c>
      <c r="I30">
        <v>138.31</v>
      </c>
      <c r="J30" s="9">
        <f t="shared" si="0"/>
        <v>-4.3697711401507244E-2</v>
      </c>
      <c r="M30" t="s">
        <v>489</v>
      </c>
      <c r="N30">
        <v>3225.52</v>
      </c>
      <c r="O30" s="9">
        <f t="shared" si="1"/>
        <v>-1.6280898111292741E-3</v>
      </c>
    </row>
    <row r="31" spans="2:15" x14ac:dyDescent="0.25">
      <c r="B31">
        <v>1936</v>
      </c>
      <c r="C31" s="32">
        <v>0.31940000000000002</v>
      </c>
      <c r="H31" t="s">
        <v>490</v>
      </c>
      <c r="I31">
        <v>117.65</v>
      </c>
      <c r="J31" s="9">
        <f t="shared" si="0"/>
        <v>-0.14937459330489478</v>
      </c>
      <c r="M31" t="s">
        <v>490</v>
      </c>
      <c r="N31">
        <v>2954.22</v>
      </c>
      <c r="O31" s="9">
        <f t="shared" si="1"/>
        <v>-8.4110469009648137E-2</v>
      </c>
    </row>
    <row r="32" spans="2:15" x14ac:dyDescent="0.25">
      <c r="B32">
        <v>1937</v>
      </c>
      <c r="C32" s="32">
        <v>-0.35339999999999999</v>
      </c>
      <c r="H32" t="s">
        <v>491</v>
      </c>
      <c r="I32">
        <v>96.6</v>
      </c>
      <c r="J32" s="9">
        <f t="shared" si="0"/>
        <v>-0.17892052698682537</v>
      </c>
      <c r="M32" t="s">
        <v>491</v>
      </c>
      <c r="N32">
        <v>2584.59</v>
      </c>
      <c r="O32" s="9">
        <f t="shared" si="1"/>
        <v>-0.12511932083595656</v>
      </c>
    </row>
    <row r="33" spans="2:15" x14ac:dyDescent="0.25">
      <c r="B33">
        <v>1938</v>
      </c>
      <c r="C33" s="32">
        <v>0.2928</v>
      </c>
      <c r="H33" t="s">
        <v>492</v>
      </c>
      <c r="I33">
        <v>108.15</v>
      </c>
      <c r="J33" s="9">
        <f t="shared" si="0"/>
        <v>0.11956521739130443</v>
      </c>
      <c r="M33" t="s">
        <v>492</v>
      </c>
      <c r="N33">
        <v>2912.43</v>
      </c>
      <c r="O33" s="9">
        <f t="shared" si="1"/>
        <v>0.12684410293315374</v>
      </c>
    </row>
    <row r="34" spans="2:15" x14ac:dyDescent="0.25">
      <c r="B34">
        <v>1939</v>
      </c>
      <c r="C34" s="32">
        <v>-1.0999999999999999E-2</v>
      </c>
      <c r="H34" t="s">
        <v>493</v>
      </c>
      <c r="I34">
        <v>117.3</v>
      </c>
      <c r="J34" s="9">
        <f t="shared" si="0"/>
        <v>8.46047156726768E-2</v>
      </c>
      <c r="M34" t="s">
        <v>493</v>
      </c>
      <c r="N34">
        <v>3044.31</v>
      </c>
      <c r="O34" s="9">
        <f t="shared" si="1"/>
        <v>4.528177501261843E-2</v>
      </c>
    </row>
    <row r="35" spans="2:15" x14ac:dyDescent="0.25">
      <c r="B35">
        <v>1940</v>
      </c>
      <c r="C35" s="32">
        <v>-0.1067</v>
      </c>
      <c r="H35" t="s">
        <v>494</v>
      </c>
      <c r="I35">
        <v>111.51</v>
      </c>
      <c r="J35" s="9">
        <f t="shared" si="0"/>
        <v>-4.9360613810741638E-2</v>
      </c>
      <c r="M35" t="s">
        <v>494</v>
      </c>
      <c r="N35">
        <v>3100.29</v>
      </c>
      <c r="O35" s="9">
        <f t="shared" si="1"/>
        <v>1.8388403283502663E-2</v>
      </c>
    </row>
    <row r="36" spans="2:15" x14ac:dyDescent="0.25">
      <c r="B36">
        <v>1941</v>
      </c>
      <c r="C36" s="32">
        <v>-0.12770000000000001</v>
      </c>
      <c r="H36" t="s">
        <v>495</v>
      </c>
      <c r="I36">
        <v>116.94</v>
      </c>
      <c r="J36" s="9">
        <f t="shared" si="0"/>
        <v>4.8695184288404469E-2</v>
      </c>
      <c r="M36" t="s">
        <v>495</v>
      </c>
      <c r="N36">
        <v>3271.12</v>
      </c>
      <c r="O36" s="9">
        <f t="shared" si="1"/>
        <v>5.5101296975444303E-2</v>
      </c>
    </row>
    <row r="37" spans="2:15" x14ac:dyDescent="0.25">
      <c r="B37">
        <v>1942</v>
      </c>
      <c r="C37" s="32">
        <v>0.19170000000000001</v>
      </c>
      <c r="H37" t="s">
        <v>496</v>
      </c>
      <c r="I37">
        <v>131.87</v>
      </c>
      <c r="J37" s="9">
        <f t="shared" si="0"/>
        <v>0.12767231058662576</v>
      </c>
      <c r="M37" t="s">
        <v>496</v>
      </c>
      <c r="N37">
        <v>3500.31</v>
      </c>
      <c r="O37" s="9">
        <f t="shared" si="1"/>
        <v>7.0064687324219221E-2</v>
      </c>
    </row>
    <row r="38" spans="2:15" x14ac:dyDescent="0.25">
      <c r="B38">
        <v>1943</v>
      </c>
      <c r="C38" s="32">
        <v>0.25059999999999999</v>
      </c>
      <c r="H38" t="s">
        <v>497</v>
      </c>
      <c r="I38">
        <v>124.08</v>
      </c>
      <c r="J38" s="9">
        <f t="shared" si="0"/>
        <v>-5.9073329794494644E-2</v>
      </c>
      <c r="M38" t="s">
        <v>497</v>
      </c>
      <c r="N38">
        <v>3363</v>
      </c>
      <c r="O38" s="9">
        <f t="shared" si="1"/>
        <v>-3.9227954095494399E-2</v>
      </c>
    </row>
    <row r="39" spans="2:15" x14ac:dyDescent="0.25">
      <c r="B39">
        <v>1944</v>
      </c>
      <c r="C39" s="32">
        <v>0.1903</v>
      </c>
      <c r="H39" t="s">
        <v>498</v>
      </c>
      <c r="I39">
        <v>121.25</v>
      </c>
      <c r="J39" s="9">
        <f t="shared" si="0"/>
        <v>-2.2807865892972234E-2</v>
      </c>
      <c r="M39" t="s">
        <v>498</v>
      </c>
      <c r="N39">
        <v>3269.96</v>
      </c>
      <c r="O39" s="9">
        <f t="shared" si="1"/>
        <v>-2.7665774606006499E-2</v>
      </c>
    </row>
    <row r="40" spans="2:15" x14ac:dyDescent="0.25">
      <c r="B40">
        <v>1945</v>
      </c>
      <c r="C40" s="32">
        <v>0.35820000000000002</v>
      </c>
      <c r="H40" t="s">
        <v>499</v>
      </c>
      <c r="I40">
        <v>148.01</v>
      </c>
      <c r="J40" s="9">
        <f t="shared" si="0"/>
        <v>0.220701030927835</v>
      </c>
      <c r="M40" t="s">
        <v>499</v>
      </c>
      <c r="N40">
        <v>3621.63</v>
      </c>
      <c r="O40" s="9">
        <f t="shared" si="1"/>
        <v>0.10754565805086314</v>
      </c>
    </row>
    <row r="41" spans="2:15" x14ac:dyDescent="0.25">
      <c r="B41">
        <v>1946</v>
      </c>
      <c r="C41" s="32">
        <v>-8.43E-2</v>
      </c>
      <c r="H41" t="s">
        <v>500</v>
      </c>
      <c r="I41">
        <v>181.18</v>
      </c>
      <c r="J41" s="9">
        <f t="shared" si="0"/>
        <v>0.22410647929193983</v>
      </c>
      <c r="M41" t="s">
        <v>500</v>
      </c>
      <c r="N41">
        <v>3756.07</v>
      </c>
      <c r="O41" s="9">
        <f t="shared" si="1"/>
        <v>3.712140665943231E-2</v>
      </c>
    </row>
    <row r="42" spans="2:15" x14ac:dyDescent="0.25">
      <c r="B42">
        <v>1947</v>
      </c>
      <c r="C42" s="32">
        <v>5.1999999999999998E-2</v>
      </c>
      <c r="H42" t="s">
        <v>501</v>
      </c>
      <c r="I42">
        <v>168.17</v>
      </c>
      <c r="J42" s="9">
        <f t="shared" si="0"/>
        <v>-7.180704271994709E-2</v>
      </c>
      <c r="M42" t="s">
        <v>501</v>
      </c>
      <c r="N42">
        <v>3714.24</v>
      </c>
      <c r="O42" s="9">
        <f t="shared" si="1"/>
        <v>-1.1136640158463607E-2</v>
      </c>
    </row>
    <row r="43" spans="2:15" x14ac:dyDescent="0.25">
      <c r="B43">
        <v>1948</v>
      </c>
      <c r="C43" s="32">
        <v>5.7000000000000002E-2</v>
      </c>
      <c r="H43" t="s">
        <v>502</v>
      </c>
      <c r="I43">
        <v>189.04</v>
      </c>
      <c r="J43" s="9">
        <f t="shared" si="0"/>
        <v>0.12410061247547133</v>
      </c>
      <c r="M43" t="s">
        <v>502</v>
      </c>
      <c r="N43">
        <v>3811.15</v>
      </c>
      <c r="O43" s="9">
        <f t="shared" si="1"/>
        <v>2.6091474971999817E-2</v>
      </c>
    </row>
    <row r="44" spans="2:15" x14ac:dyDescent="0.25">
      <c r="B44">
        <v>1949</v>
      </c>
      <c r="C44" s="32">
        <v>0.183</v>
      </c>
      <c r="H44" t="s">
        <v>503</v>
      </c>
      <c r="I44">
        <v>184.52</v>
      </c>
      <c r="J44" s="9">
        <f t="shared" si="0"/>
        <v>-2.3910283537875499E-2</v>
      </c>
      <c r="M44" t="s">
        <v>503</v>
      </c>
      <c r="N44">
        <v>3972.89</v>
      </c>
      <c r="O44" s="9">
        <f t="shared" si="1"/>
        <v>4.2438634008107767E-2</v>
      </c>
    </row>
    <row r="45" spans="2:15" x14ac:dyDescent="0.25">
      <c r="B45">
        <v>1950</v>
      </c>
      <c r="C45" s="32">
        <v>0.30809999999999998</v>
      </c>
      <c r="H45" t="s">
        <v>504</v>
      </c>
      <c r="I45">
        <v>186.02</v>
      </c>
      <c r="J45" s="9">
        <f t="shared" si="0"/>
        <v>8.1292000867114744E-3</v>
      </c>
      <c r="M45" t="s">
        <v>504</v>
      </c>
      <c r="N45">
        <v>4181.17</v>
      </c>
      <c r="O45" s="9">
        <f t="shared" si="1"/>
        <v>5.242531255584737E-2</v>
      </c>
    </row>
    <row r="46" spans="2:15" x14ac:dyDescent="0.25">
      <c r="B46">
        <v>1951</v>
      </c>
      <c r="C46" s="32">
        <v>0.23680000000000001</v>
      </c>
      <c r="H46" t="s">
        <v>505</v>
      </c>
      <c r="I46">
        <v>178.65</v>
      </c>
      <c r="J46" s="9">
        <f t="shared" si="0"/>
        <v>-3.9619395763896392E-2</v>
      </c>
      <c r="M46" t="s">
        <v>505</v>
      </c>
      <c r="N46">
        <v>4204.1099999999997</v>
      </c>
      <c r="O46" s="9">
        <f t="shared" si="1"/>
        <v>5.4865025818131574E-3</v>
      </c>
    </row>
    <row r="47" spans="2:15" x14ac:dyDescent="0.25">
      <c r="B47">
        <v>1952</v>
      </c>
      <c r="C47" s="32">
        <v>0.18149999999999999</v>
      </c>
      <c r="H47" t="s">
        <v>506</v>
      </c>
      <c r="I47">
        <v>175.77</v>
      </c>
      <c r="J47" s="9">
        <f t="shared" si="0"/>
        <v>-1.6120906801007528E-2</v>
      </c>
      <c r="M47" t="s">
        <v>506</v>
      </c>
      <c r="N47">
        <v>4297.5</v>
      </c>
      <c r="O47" s="9">
        <f t="shared" si="1"/>
        <v>2.221397632316946E-2</v>
      </c>
    </row>
    <row r="48" spans="2:15" x14ac:dyDescent="0.25">
      <c r="B48">
        <v>1953</v>
      </c>
      <c r="C48" s="32">
        <v>-1.21E-2</v>
      </c>
      <c r="H48" t="s">
        <v>507</v>
      </c>
      <c r="I48">
        <v>176.02</v>
      </c>
      <c r="J48" s="9">
        <f t="shared" si="0"/>
        <v>1.4223132502702018E-3</v>
      </c>
      <c r="M48" t="s">
        <v>507</v>
      </c>
      <c r="N48">
        <v>4395.26</v>
      </c>
      <c r="O48" s="9">
        <f t="shared" si="1"/>
        <v>2.274810936591054E-2</v>
      </c>
    </row>
    <row r="49" spans="2:15" x14ac:dyDescent="0.25">
      <c r="B49">
        <v>1954</v>
      </c>
      <c r="C49" s="32">
        <v>0.52559999999999996</v>
      </c>
      <c r="H49" t="s">
        <v>508</v>
      </c>
      <c r="I49">
        <v>181.3</v>
      </c>
      <c r="J49" s="9">
        <f t="shared" si="0"/>
        <v>2.9996591296443498E-2</v>
      </c>
      <c r="M49" t="s">
        <v>508</v>
      </c>
      <c r="N49">
        <v>4522.68</v>
      </c>
      <c r="O49" s="9">
        <f t="shared" si="1"/>
        <v>2.8990321391681118E-2</v>
      </c>
    </row>
    <row r="50" spans="2:15" x14ac:dyDescent="0.25">
      <c r="B50">
        <v>1955</v>
      </c>
      <c r="C50" s="32">
        <v>0.32600000000000001</v>
      </c>
      <c r="H50" t="s">
        <v>509</v>
      </c>
      <c r="I50">
        <v>169.17</v>
      </c>
      <c r="J50" s="9">
        <f t="shared" si="0"/>
        <v>-6.6905681191395616E-2</v>
      </c>
      <c r="M50" t="s">
        <v>509</v>
      </c>
      <c r="N50">
        <v>4307.54</v>
      </c>
      <c r="O50" s="9">
        <f t="shared" si="1"/>
        <v>-4.7569140421166334E-2</v>
      </c>
    </row>
    <row r="51" spans="2:15" x14ac:dyDescent="0.25">
      <c r="B51">
        <v>1956</v>
      </c>
      <c r="C51" s="32">
        <v>7.4399999999999994E-2</v>
      </c>
      <c r="H51" t="s">
        <v>510</v>
      </c>
      <c r="I51">
        <v>169.07</v>
      </c>
      <c r="J51" s="9">
        <f t="shared" si="0"/>
        <v>-5.91121357214619E-4</v>
      </c>
      <c r="M51" t="s">
        <v>510</v>
      </c>
      <c r="N51">
        <v>4605.38</v>
      </c>
      <c r="O51" s="9">
        <f t="shared" si="1"/>
        <v>6.9143873301234615E-2</v>
      </c>
    </row>
    <row r="52" spans="2:15" x14ac:dyDescent="0.25">
      <c r="B52">
        <v>1957</v>
      </c>
      <c r="C52" s="32">
        <v>-0.1046</v>
      </c>
      <c r="H52" t="s">
        <v>511</v>
      </c>
      <c r="I52">
        <v>144.9</v>
      </c>
      <c r="J52" s="9">
        <f t="shared" si="0"/>
        <v>-0.14295853788371671</v>
      </c>
      <c r="M52" t="s">
        <v>511</v>
      </c>
      <c r="N52">
        <v>4567</v>
      </c>
      <c r="O52" s="9">
        <f t="shared" si="1"/>
        <v>-8.3337314184714906E-3</v>
      </c>
    </row>
    <row r="53" spans="2:15" x14ac:dyDescent="0.25">
      <c r="B53">
        <v>1958</v>
      </c>
      <c r="C53" s="32">
        <v>0.43719999999999998</v>
      </c>
      <c r="H53" t="s">
        <v>512</v>
      </c>
      <c r="I53">
        <v>154.88999999999999</v>
      </c>
      <c r="J53" s="9">
        <f t="shared" si="0"/>
        <v>6.8944099378881907E-2</v>
      </c>
      <c r="M53" t="s">
        <v>512</v>
      </c>
      <c r="N53">
        <v>4766.18</v>
      </c>
      <c r="O53" s="9">
        <f t="shared" si="1"/>
        <v>4.3612874972629889E-2</v>
      </c>
    </row>
    <row r="54" spans="2:15" x14ac:dyDescent="0.25">
      <c r="B54">
        <v>1959</v>
      </c>
      <c r="C54" s="32">
        <v>0.1206</v>
      </c>
      <c r="H54" t="s">
        <v>513</v>
      </c>
      <c r="I54">
        <v>142.97</v>
      </c>
      <c r="J54" s="9">
        <f t="shared" si="0"/>
        <v>-7.6957841048485909E-2</v>
      </c>
      <c r="M54" t="s">
        <v>513</v>
      </c>
      <c r="N54">
        <v>4515.55</v>
      </c>
      <c r="O54" s="9">
        <f t="shared" si="1"/>
        <v>-5.2585089106999772E-2</v>
      </c>
    </row>
    <row r="55" spans="2:15" x14ac:dyDescent="0.25">
      <c r="B55">
        <v>1960</v>
      </c>
      <c r="C55" s="32">
        <v>3.3999999999999998E-3</v>
      </c>
      <c r="H55" t="s">
        <v>514</v>
      </c>
      <c r="I55">
        <v>148.46</v>
      </c>
      <c r="J55" s="9">
        <f t="shared" si="0"/>
        <v>3.8399664265230449E-2</v>
      </c>
      <c r="M55" t="s">
        <v>514</v>
      </c>
      <c r="N55">
        <v>4373.9399999999996</v>
      </c>
      <c r="O55" s="9">
        <f t="shared" si="1"/>
        <v>-3.1360520866782648E-2</v>
      </c>
    </row>
    <row r="56" spans="2:15" x14ac:dyDescent="0.25">
      <c r="B56">
        <v>1961</v>
      </c>
      <c r="C56" s="32">
        <v>0.26640000000000003</v>
      </c>
      <c r="H56" t="s">
        <v>515</v>
      </c>
      <c r="I56">
        <v>137.16</v>
      </c>
      <c r="J56" s="9">
        <f t="shared" si="0"/>
        <v>-7.6114778391485949E-2</v>
      </c>
      <c r="M56" t="s">
        <v>515</v>
      </c>
      <c r="N56">
        <v>4530.41</v>
      </c>
      <c r="O56" s="9">
        <f t="shared" si="1"/>
        <v>3.5773238773280092E-2</v>
      </c>
    </row>
    <row r="57" spans="2:15" x14ac:dyDescent="0.25">
      <c r="B57">
        <v>1962</v>
      </c>
      <c r="C57" s="32">
        <v>-8.8099999999999998E-2</v>
      </c>
      <c r="H57" t="s">
        <v>516</v>
      </c>
      <c r="I57">
        <v>111.63</v>
      </c>
      <c r="J57" s="9">
        <f t="shared" si="0"/>
        <v>-0.18613298337707784</v>
      </c>
      <c r="M57" t="s">
        <v>516</v>
      </c>
      <c r="N57">
        <v>4131.93</v>
      </c>
      <c r="O57" s="9">
        <f t="shared" si="1"/>
        <v>-8.7956719149039353E-2</v>
      </c>
    </row>
    <row r="58" spans="2:15" x14ac:dyDescent="0.25">
      <c r="B58">
        <v>1963</v>
      </c>
      <c r="C58" s="32">
        <v>0.2261</v>
      </c>
      <c r="H58" t="s">
        <v>517</v>
      </c>
      <c r="I58">
        <v>110.44</v>
      </c>
      <c r="J58" s="9">
        <f t="shared" si="0"/>
        <v>-1.0660216787601873E-2</v>
      </c>
      <c r="M58" t="s">
        <v>517</v>
      </c>
      <c r="N58">
        <v>4132.1499999999996</v>
      </c>
      <c r="O58" s="9">
        <f t="shared" si="1"/>
        <v>5.3243883608722342E-5</v>
      </c>
    </row>
    <row r="59" spans="2:15" x14ac:dyDescent="0.25">
      <c r="B59">
        <v>1964</v>
      </c>
      <c r="C59" s="32">
        <v>0.16420000000000001</v>
      </c>
      <c r="H59" t="s">
        <v>518</v>
      </c>
      <c r="I59">
        <v>94.4</v>
      </c>
      <c r="J59" s="9">
        <f t="shared" si="0"/>
        <v>-0.14523723288663526</v>
      </c>
      <c r="M59" t="s">
        <v>518</v>
      </c>
      <c r="N59">
        <v>3785.38</v>
      </c>
      <c r="O59" s="9">
        <f t="shared" si="1"/>
        <v>-8.3919993223866451E-2</v>
      </c>
    </row>
    <row r="60" spans="2:15" x14ac:dyDescent="0.25">
      <c r="B60">
        <v>1965</v>
      </c>
      <c r="C60" s="32">
        <v>0.124</v>
      </c>
      <c r="H60" t="s">
        <v>519</v>
      </c>
      <c r="I60">
        <v>106.1</v>
      </c>
      <c r="J60" s="9">
        <f t="shared" si="0"/>
        <v>0.12394067796610164</v>
      </c>
      <c r="M60" t="s">
        <v>519</v>
      </c>
      <c r="N60">
        <v>4130.29</v>
      </c>
      <c r="O60" s="9">
        <f t="shared" si="1"/>
        <v>9.1116347632205885E-2</v>
      </c>
    </row>
    <row r="61" spans="2:15" x14ac:dyDescent="0.25">
      <c r="B61">
        <v>1966</v>
      </c>
      <c r="C61" s="32">
        <v>-9.9699999999999997E-2</v>
      </c>
      <c r="H61" t="s">
        <v>520</v>
      </c>
      <c r="I61">
        <v>112.08</v>
      </c>
      <c r="J61" s="9">
        <f t="shared" si="0"/>
        <v>5.6361922714420309E-2</v>
      </c>
      <c r="M61" t="s">
        <v>520</v>
      </c>
      <c r="N61">
        <v>3955</v>
      </c>
      <c r="O61" s="9">
        <f t="shared" si="1"/>
        <v>-4.2440119216810457E-2</v>
      </c>
    </row>
    <row r="62" spans="2:15" x14ac:dyDescent="0.25">
      <c r="B62">
        <v>1967</v>
      </c>
      <c r="C62" s="32">
        <v>0.23799999999999999</v>
      </c>
      <c r="H62" t="s">
        <v>521</v>
      </c>
      <c r="I62">
        <v>94.33</v>
      </c>
      <c r="J62" s="9">
        <f t="shared" si="0"/>
        <v>-0.15836902212705206</v>
      </c>
      <c r="M62" t="s">
        <v>521</v>
      </c>
      <c r="N62">
        <v>3585.62</v>
      </c>
      <c r="O62" s="9">
        <f t="shared" si="1"/>
        <v>-9.3395701643489315E-2</v>
      </c>
    </row>
    <row r="63" spans="2:15" x14ac:dyDescent="0.25">
      <c r="B63">
        <v>1968</v>
      </c>
      <c r="C63" s="32">
        <v>0.1081</v>
      </c>
      <c r="H63" t="s">
        <v>522</v>
      </c>
      <c r="I63">
        <v>106.54</v>
      </c>
      <c r="J63" s="9">
        <f t="shared" si="0"/>
        <v>0.12943920279868548</v>
      </c>
      <c r="M63" t="s">
        <v>522</v>
      </c>
      <c r="N63">
        <v>3871.98</v>
      </c>
      <c r="O63" s="9">
        <f t="shared" si="1"/>
        <v>7.9863454576893256E-2</v>
      </c>
    </row>
    <row r="64" spans="2:15" x14ac:dyDescent="0.25">
      <c r="B64">
        <v>1969</v>
      </c>
      <c r="C64" s="32">
        <v>-8.2400000000000001E-2</v>
      </c>
      <c r="H64" t="s">
        <v>523</v>
      </c>
      <c r="I64">
        <v>97.87</v>
      </c>
      <c r="J64" s="9">
        <f t="shared" si="0"/>
        <v>-8.1377886239909936E-2</v>
      </c>
      <c r="M64" t="s">
        <v>523</v>
      </c>
      <c r="N64">
        <v>4080.11</v>
      </c>
      <c r="O64" s="9">
        <f t="shared" si="1"/>
        <v>5.3752860293699856E-2</v>
      </c>
    </row>
    <row r="65" spans="2:15" x14ac:dyDescent="0.25">
      <c r="B65">
        <v>1970</v>
      </c>
      <c r="C65" s="32">
        <v>3.56E-2</v>
      </c>
      <c r="H65" t="s">
        <v>524</v>
      </c>
      <c r="I65">
        <v>86.88</v>
      </c>
      <c r="J65" s="9">
        <f t="shared" si="0"/>
        <v>-0.11229181567385316</v>
      </c>
      <c r="M65" t="s">
        <v>524</v>
      </c>
      <c r="N65">
        <v>3839.5</v>
      </c>
      <c r="O65" s="9">
        <f t="shared" si="1"/>
        <v>-5.8971449299161094E-2</v>
      </c>
    </row>
    <row r="66" spans="2:15" x14ac:dyDescent="0.25">
      <c r="B66">
        <v>1971</v>
      </c>
      <c r="C66" s="32">
        <v>0.14219999999999999</v>
      </c>
      <c r="H66" t="s">
        <v>525</v>
      </c>
      <c r="I66">
        <v>108.49</v>
      </c>
      <c r="J66" s="9">
        <f t="shared" si="0"/>
        <v>0.24873388581952116</v>
      </c>
      <c r="M66" t="s">
        <v>525</v>
      </c>
      <c r="N66">
        <v>4076.6</v>
      </c>
      <c r="O66" s="9">
        <f t="shared" si="1"/>
        <v>6.1752832400052027E-2</v>
      </c>
    </row>
    <row r="67" spans="2:15" x14ac:dyDescent="0.25">
      <c r="B67">
        <v>1972</v>
      </c>
      <c r="C67" s="32">
        <v>0.18759999999999999</v>
      </c>
      <c r="H67" t="s">
        <v>526</v>
      </c>
      <c r="I67">
        <v>99.61</v>
      </c>
      <c r="J67" s="9">
        <f t="shared" si="0"/>
        <v>-8.1850861830583432E-2</v>
      </c>
      <c r="M67" t="s">
        <v>526</v>
      </c>
      <c r="N67">
        <v>3970.15</v>
      </c>
      <c r="O67" s="9">
        <f t="shared" si="1"/>
        <v>-2.6112446646715304E-2</v>
      </c>
    </row>
    <row r="68" spans="2:15" x14ac:dyDescent="0.25">
      <c r="B68">
        <v>1973</v>
      </c>
      <c r="C68" s="32">
        <v>-0.1431</v>
      </c>
      <c r="H68" t="s">
        <v>527</v>
      </c>
      <c r="I68">
        <v>100.13</v>
      </c>
      <c r="J68" s="9">
        <f t="shared" si="0"/>
        <v>5.2203594016664301E-3</v>
      </c>
      <c r="M68" t="s">
        <v>527</v>
      </c>
      <c r="N68">
        <v>4109.3100000000004</v>
      </c>
      <c r="O68" s="9">
        <f t="shared" si="1"/>
        <v>3.5051572358727023E-2</v>
      </c>
    </row>
    <row r="69" spans="2:15" x14ac:dyDescent="0.25">
      <c r="B69">
        <v>1974</v>
      </c>
      <c r="C69" s="32">
        <v>-0.25900000000000001</v>
      </c>
      <c r="H69" t="s">
        <v>528</v>
      </c>
      <c r="I69">
        <v>102.5</v>
      </c>
      <c r="J69" s="9">
        <f t="shared" si="0"/>
        <v>2.3669230000998853E-2</v>
      </c>
      <c r="M69" t="s">
        <v>528</v>
      </c>
      <c r="N69">
        <v>4169.4799999999996</v>
      </c>
      <c r="O69" s="9">
        <f t="shared" si="1"/>
        <v>1.464236088297044E-2</v>
      </c>
    </row>
    <row r="70" spans="2:15" x14ac:dyDescent="0.25">
      <c r="B70">
        <v>1975</v>
      </c>
      <c r="C70" s="32">
        <v>0.37</v>
      </c>
      <c r="H70" t="s">
        <v>529</v>
      </c>
      <c r="I70">
        <v>87.96</v>
      </c>
      <c r="J70" s="9">
        <f t="shared" si="0"/>
        <v>-0.14185365853658538</v>
      </c>
      <c r="M70" t="s">
        <v>529</v>
      </c>
      <c r="N70">
        <v>4179.83</v>
      </c>
      <c r="O70" s="9">
        <f t="shared" si="1"/>
        <v>2.4823239348792381E-3</v>
      </c>
    </row>
    <row r="71" spans="2:15" x14ac:dyDescent="0.25">
      <c r="B71">
        <v>1976</v>
      </c>
      <c r="C71" s="32">
        <v>0.23830000000000001</v>
      </c>
      <c r="H71" t="s">
        <v>530</v>
      </c>
      <c r="I71">
        <v>89.28</v>
      </c>
      <c r="J71" s="9">
        <f t="shared" si="0"/>
        <v>1.5006821282401273E-2</v>
      </c>
      <c r="M71" t="s">
        <v>530</v>
      </c>
      <c r="N71">
        <v>4450.38</v>
      </c>
      <c r="O71" s="9">
        <f t="shared" si="1"/>
        <v>6.4727512841431301E-2</v>
      </c>
    </row>
    <row r="72" spans="2:15" x14ac:dyDescent="0.25">
      <c r="B72">
        <v>1977</v>
      </c>
      <c r="C72" s="32">
        <v>-6.9800000000000001E-2</v>
      </c>
      <c r="H72" t="s">
        <v>531</v>
      </c>
      <c r="I72">
        <v>88.89</v>
      </c>
      <c r="J72" s="9">
        <f t="shared" si="0"/>
        <v>-4.368279569892497E-3</v>
      </c>
      <c r="M72" t="s">
        <v>531</v>
      </c>
      <c r="N72">
        <v>4588.96</v>
      </c>
      <c r="O72" s="9">
        <f t="shared" si="1"/>
        <v>3.1138913980379268E-2</v>
      </c>
    </row>
    <row r="73" spans="2:15" x14ac:dyDescent="0.25">
      <c r="B73">
        <v>1978</v>
      </c>
      <c r="C73" s="32">
        <v>6.5100000000000005E-2</v>
      </c>
      <c r="H73" t="s">
        <v>532</v>
      </c>
      <c r="I73">
        <v>83.68</v>
      </c>
      <c r="J73" s="9">
        <f t="shared" si="0"/>
        <v>-5.8611767352908073E-2</v>
      </c>
      <c r="M73" t="s">
        <v>532</v>
      </c>
      <c r="N73">
        <v>4507.66</v>
      </c>
      <c r="O73" s="9">
        <f t="shared" si="1"/>
        <v>-1.771643248143373E-2</v>
      </c>
    </row>
    <row r="74" spans="2:15" x14ac:dyDescent="0.25">
      <c r="B74">
        <v>1979</v>
      </c>
      <c r="C74" s="32">
        <v>0.1852</v>
      </c>
      <c r="H74" t="s">
        <v>533</v>
      </c>
      <c r="I74">
        <v>81.05</v>
      </c>
      <c r="J74" s="9">
        <f t="shared" si="0"/>
        <v>-3.1429254302103415E-2</v>
      </c>
      <c r="M74" t="s">
        <v>533</v>
      </c>
      <c r="N74">
        <v>4288.05</v>
      </c>
      <c r="O74" s="9">
        <f t="shared" si="1"/>
        <v>-4.871929116215501E-2</v>
      </c>
    </row>
    <row r="75" spans="2:15" x14ac:dyDescent="0.25">
      <c r="B75">
        <v>1980</v>
      </c>
      <c r="C75" s="32">
        <v>0.31740000000000002</v>
      </c>
      <c r="H75" t="s">
        <v>534</v>
      </c>
      <c r="I75">
        <v>81.59</v>
      </c>
      <c r="J75" s="9">
        <f t="shared" si="0"/>
        <v>6.6625539790252652E-3</v>
      </c>
      <c r="M75" t="s">
        <v>534</v>
      </c>
      <c r="N75">
        <v>4193.8</v>
      </c>
      <c r="O75" s="9">
        <f t="shared" si="1"/>
        <v>-2.1979687736850106E-2</v>
      </c>
    </row>
    <row r="76" spans="2:15" x14ac:dyDescent="0.25">
      <c r="B76">
        <v>1981</v>
      </c>
      <c r="C76" s="32">
        <v>-4.7E-2</v>
      </c>
      <c r="H76" t="s">
        <v>535</v>
      </c>
      <c r="I76">
        <v>92.69</v>
      </c>
      <c r="J76" s="9">
        <f t="shared" si="0"/>
        <v>0.13604608407893126</v>
      </c>
      <c r="M76" t="s">
        <v>535</v>
      </c>
      <c r="N76">
        <v>4567.8</v>
      </c>
      <c r="O76" s="9">
        <f t="shared" si="1"/>
        <v>8.9179264628737709E-2</v>
      </c>
    </row>
    <row r="77" spans="2:15" x14ac:dyDescent="0.25">
      <c r="B77">
        <v>1982</v>
      </c>
      <c r="C77" s="32">
        <v>0.20419999999999999</v>
      </c>
      <c r="H77" t="s">
        <v>536</v>
      </c>
      <c r="I77">
        <v>90.29</v>
      </c>
      <c r="J77" s="9">
        <f t="shared" si="0"/>
        <v>-2.5892760815621862E-2</v>
      </c>
      <c r="M77" t="s">
        <v>536</v>
      </c>
      <c r="N77">
        <v>4769.83</v>
      </c>
      <c r="O77" s="9">
        <f t="shared" si="1"/>
        <v>4.4229169403213753E-2</v>
      </c>
    </row>
    <row r="78" spans="2:15" x14ac:dyDescent="0.25">
      <c r="B78">
        <v>1983</v>
      </c>
      <c r="C78" s="32">
        <v>0.22339999999999999</v>
      </c>
      <c r="H78" t="s">
        <v>537</v>
      </c>
      <c r="I78">
        <v>96.05</v>
      </c>
      <c r="J78" s="9">
        <f t="shared" si="0"/>
        <v>6.3794440137335151E-2</v>
      </c>
      <c r="M78" t="s">
        <v>537</v>
      </c>
      <c r="N78">
        <v>4845.6499999999996</v>
      </c>
      <c r="O78" s="9">
        <f t="shared" si="1"/>
        <v>1.5895744712075555E-2</v>
      </c>
    </row>
    <row r="79" spans="2:15" x14ac:dyDescent="0.25">
      <c r="B79">
        <v>1984</v>
      </c>
      <c r="C79" s="32">
        <v>6.1499999999999999E-2</v>
      </c>
      <c r="H79" t="s">
        <v>538</v>
      </c>
      <c r="I79">
        <v>111.58</v>
      </c>
      <c r="J79" s="9">
        <f t="shared" si="0"/>
        <v>0.16168662155127533</v>
      </c>
      <c r="M79" t="s">
        <v>538</v>
      </c>
      <c r="N79">
        <v>5096.2700000000004</v>
      </c>
      <c r="O79" s="9">
        <f t="shared" si="1"/>
        <v>5.1720615397315317E-2</v>
      </c>
    </row>
    <row r="80" spans="2:15" x14ac:dyDescent="0.25">
      <c r="B80">
        <v>1985</v>
      </c>
      <c r="C80" s="32">
        <v>0.31240000000000001</v>
      </c>
      <c r="H80" t="s">
        <v>539</v>
      </c>
      <c r="I80">
        <v>122.36</v>
      </c>
      <c r="J80" s="9">
        <f t="shared" si="0"/>
        <v>9.6612296110414109E-2</v>
      </c>
      <c r="M80" t="s">
        <v>539</v>
      </c>
      <c r="N80">
        <v>5254.35</v>
      </c>
      <c r="O80" s="9">
        <f t="shared" si="1"/>
        <v>3.1018764704381807E-2</v>
      </c>
    </row>
    <row r="81" spans="2:15" x14ac:dyDescent="0.25">
      <c r="B81">
        <v>1986</v>
      </c>
      <c r="C81" s="32">
        <v>0.18490000000000001</v>
      </c>
      <c r="H81" t="s">
        <v>540</v>
      </c>
      <c r="I81">
        <v>111.1</v>
      </c>
      <c r="J81" s="9">
        <f t="shared" si="0"/>
        <v>-9.202353710362865E-2</v>
      </c>
      <c r="M81" t="s">
        <v>540</v>
      </c>
      <c r="N81">
        <v>5035.6899999999996</v>
      </c>
      <c r="O81" s="9">
        <f t="shared" si="1"/>
        <v>-4.1615042774082567E-2</v>
      </c>
    </row>
    <row r="82" spans="2:15" x14ac:dyDescent="0.25">
      <c r="B82">
        <v>1987</v>
      </c>
      <c r="C82" s="32">
        <v>5.8099999999999999E-2</v>
      </c>
      <c r="H82" t="s">
        <v>541</v>
      </c>
      <c r="I82">
        <v>103.02</v>
      </c>
      <c r="J82" s="9">
        <f t="shared" si="0"/>
        <v>-7.2727272727272751E-2</v>
      </c>
      <c r="M82" t="s">
        <v>541</v>
      </c>
      <c r="N82">
        <v>5307.01</v>
      </c>
      <c r="O82" s="9">
        <f t="shared" si="1"/>
        <v>5.3879408780127536E-2</v>
      </c>
    </row>
    <row r="83" spans="2:15" x14ac:dyDescent="0.25">
      <c r="B83">
        <v>1988</v>
      </c>
      <c r="C83" s="32">
        <v>0.16539999999999999</v>
      </c>
      <c r="H83" t="s">
        <v>542</v>
      </c>
      <c r="I83">
        <v>101.31</v>
      </c>
      <c r="J83" s="9">
        <f t="shared" si="0"/>
        <v>-1.6598718695398862E-2</v>
      </c>
      <c r="M83" t="s">
        <v>542</v>
      </c>
      <c r="N83">
        <v>5314.94</v>
      </c>
      <c r="O83" s="9">
        <f t="shared" si="1"/>
        <v>1.4942500579420148E-3</v>
      </c>
    </row>
    <row r="84" spans="2:15" x14ac:dyDescent="0.25">
      <c r="B84">
        <v>1989</v>
      </c>
      <c r="C84" s="32">
        <v>0.31480000000000002</v>
      </c>
    </row>
    <row r="85" spans="2:15" x14ac:dyDescent="0.25">
      <c r="B85">
        <v>1990</v>
      </c>
      <c r="C85" s="32">
        <v>-3.0599999999999999E-2</v>
      </c>
    </row>
    <row r="86" spans="2:15" x14ac:dyDescent="0.25">
      <c r="B86">
        <v>1991</v>
      </c>
      <c r="C86" s="32">
        <v>0.30230000000000001</v>
      </c>
    </row>
    <row r="87" spans="2:15" x14ac:dyDescent="0.25">
      <c r="B87">
        <v>1992</v>
      </c>
      <c r="C87" s="32">
        <v>7.4899999999999994E-2</v>
      </c>
    </row>
    <row r="88" spans="2:15" x14ac:dyDescent="0.25">
      <c r="B88">
        <v>1993</v>
      </c>
      <c r="C88" s="32">
        <v>9.9699999999999997E-2</v>
      </c>
    </row>
    <row r="89" spans="2:15" x14ac:dyDescent="0.25">
      <c r="B89">
        <v>1994</v>
      </c>
      <c r="C89" s="32">
        <v>1.3299999999999999E-2</v>
      </c>
    </row>
    <row r="90" spans="2:15" x14ac:dyDescent="0.25">
      <c r="B90">
        <v>1995</v>
      </c>
      <c r="C90" s="32">
        <v>0.372</v>
      </c>
    </row>
    <row r="91" spans="2:15" x14ac:dyDescent="0.25">
      <c r="B91">
        <v>1996</v>
      </c>
      <c r="C91" s="32">
        <v>0.2268</v>
      </c>
    </row>
    <row r="92" spans="2:15" x14ac:dyDescent="0.25">
      <c r="B92">
        <v>1997</v>
      </c>
      <c r="C92" s="32">
        <v>0.33100000000000002</v>
      </c>
    </row>
    <row r="93" spans="2:15" x14ac:dyDescent="0.25">
      <c r="B93">
        <v>1998</v>
      </c>
      <c r="C93" s="32">
        <v>0.28339999999999999</v>
      </c>
    </row>
    <row r="94" spans="2:15" x14ac:dyDescent="0.25">
      <c r="B94">
        <v>1999</v>
      </c>
      <c r="C94" s="32">
        <v>0.2089</v>
      </c>
    </row>
    <row r="95" spans="2:15" x14ac:dyDescent="0.25">
      <c r="B95">
        <v>2000</v>
      </c>
      <c r="C95" s="32">
        <v>-9.0300000000000005E-2</v>
      </c>
    </row>
    <row r="96" spans="2:15" x14ac:dyDescent="0.25">
      <c r="B96">
        <v>2001</v>
      </c>
      <c r="C96" s="32">
        <v>-0.11849999999999999</v>
      </c>
    </row>
    <row r="97" spans="2:3" x14ac:dyDescent="0.25">
      <c r="B97">
        <v>2002</v>
      </c>
      <c r="C97" s="32">
        <v>-0.21970000000000001</v>
      </c>
    </row>
    <row r="98" spans="2:3" x14ac:dyDescent="0.25">
      <c r="B98">
        <v>2003</v>
      </c>
      <c r="C98" s="32">
        <v>0.28360000000000002</v>
      </c>
    </row>
    <row r="99" spans="2:3" x14ac:dyDescent="0.25">
      <c r="B99">
        <v>2004</v>
      </c>
      <c r="C99" s="32">
        <v>0.1074</v>
      </c>
    </row>
    <row r="100" spans="2:3" x14ac:dyDescent="0.25">
      <c r="B100">
        <v>2005</v>
      </c>
      <c r="C100" s="32">
        <v>4.8300000000000003E-2</v>
      </c>
    </row>
    <row r="101" spans="2:3" x14ac:dyDescent="0.25">
      <c r="B101">
        <v>2006</v>
      </c>
      <c r="C101" s="32">
        <v>0.15609999999999999</v>
      </c>
    </row>
    <row r="102" spans="2:3" x14ac:dyDescent="0.25">
      <c r="B102">
        <v>2007</v>
      </c>
      <c r="C102" s="32">
        <v>5.4800000000000001E-2</v>
      </c>
    </row>
    <row r="103" spans="2:3" x14ac:dyDescent="0.25">
      <c r="B103">
        <v>2008</v>
      </c>
      <c r="C103" s="32">
        <v>-0.36549999999999999</v>
      </c>
    </row>
    <row r="104" spans="2:3" x14ac:dyDescent="0.25">
      <c r="B104">
        <v>2009</v>
      </c>
      <c r="C104" s="32">
        <v>0.25940000000000002</v>
      </c>
    </row>
    <row r="105" spans="2:3" x14ac:dyDescent="0.25">
      <c r="B105">
        <v>2010</v>
      </c>
      <c r="C105" s="32">
        <v>0.1482</v>
      </c>
    </row>
    <row r="106" spans="2:3" x14ac:dyDescent="0.25">
      <c r="B106">
        <v>2011</v>
      </c>
      <c r="C106" s="32">
        <v>2.1000000000000001E-2</v>
      </c>
    </row>
    <row r="107" spans="2:3" x14ac:dyDescent="0.25">
      <c r="B107">
        <v>2012</v>
      </c>
      <c r="C107" s="32">
        <v>0.15890000000000001</v>
      </c>
    </row>
    <row r="108" spans="2:3" x14ac:dyDescent="0.25">
      <c r="B108">
        <v>2013</v>
      </c>
      <c r="C108" s="32">
        <v>0.32150000000000001</v>
      </c>
    </row>
    <row r="109" spans="2:3" x14ac:dyDescent="0.25">
      <c r="B109">
        <v>2014</v>
      </c>
      <c r="C109" s="32">
        <v>0.13519999999999999</v>
      </c>
    </row>
    <row r="110" spans="2:3" x14ac:dyDescent="0.25">
      <c r="B110">
        <v>2015</v>
      </c>
      <c r="C110" s="32">
        <v>1.38E-2</v>
      </c>
    </row>
    <row r="111" spans="2:3" x14ac:dyDescent="0.25">
      <c r="B111">
        <v>2016</v>
      </c>
      <c r="C111" s="32">
        <v>0.1177</v>
      </c>
    </row>
    <row r="112" spans="2:3" x14ac:dyDescent="0.25">
      <c r="B112">
        <v>2017</v>
      </c>
      <c r="C112" s="32">
        <v>0.21609999999999999</v>
      </c>
    </row>
    <row r="113" spans="2:3" x14ac:dyDescent="0.25">
      <c r="B113">
        <v>2018</v>
      </c>
      <c r="C113" s="32">
        <v>-4.2299999999999997E-2</v>
      </c>
    </row>
    <row r="114" spans="2:3" x14ac:dyDescent="0.25">
      <c r="B114">
        <v>2019</v>
      </c>
      <c r="C114" s="32">
        <v>0.31209999999999999</v>
      </c>
    </row>
    <row r="115" spans="2:3" x14ac:dyDescent="0.25">
      <c r="B115">
        <v>2020</v>
      </c>
      <c r="C115" s="32">
        <v>0.1802</v>
      </c>
    </row>
    <row r="116" spans="2:3" x14ac:dyDescent="0.25">
      <c r="B116">
        <v>2021</v>
      </c>
      <c r="C116" s="32">
        <v>0.28470000000000001</v>
      </c>
    </row>
    <row r="117" spans="2:3" x14ac:dyDescent="0.25">
      <c r="B117">
        <v>2022</v>
      </c>
      <c r="C117" s="32">
        <v>-0.1804</v>
      </c>
    </row>
    <row r="118" spans="2:3" x14ac:dyDescent="0.25">
      <c r="B118">
        <v>2023</v>
      </c>
      <c r="C118" s="32">
        <v>0.2606</v>
      </c>
    </row>
  </sheetData>
  <mergeCells count="1">
    <mergeCell ref="C2:E2"/>
  </mergeCells>
  <hyperlinks>
    <hyperlink ref="A1" location="Main!A1" display="Main" xr:uid="{18AC0505-95EB-4C04-84F1-FA48856A76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3145-94C6-4657-9469-48C25D91EAAD}">
  <dimension ref="A1:L93"/>
  <sheetViews>
    <sheetView showGridLines="0" workbookViewId="0">
      <selection activeCell="I12" sqref="I12"/>
    </sheetView>
  </sheetViews>
  <sheetFormatPr defaultRowHeight="15" x14ac:dyDescent="0.25"/>
  <cols>
    <col min="1" max="1" width="4.7109375" customWidth="1"/>
    <col min="2" max="2" width="18.140625" customWidth="1"/>
    <col min="3" max="3" width="13.7109375" customWidth="1"/>
  </cols>
  <sheetData>
    <row r="1" spans="1:12" x14ac:dyDescent="0.25">
      <c r="A1" s="1" t="s">
        <v>94</v>
      </c>
    </row>
    <row r="4" spans="1:12" x14ac:dyDescent="0.25">
      <c r="A4" s="4" t="s">
        <v>3</v>
      </c>
      <c r="B4" s="3" t="s">
        <v>543</v>
      </c>
    </row>
    <row r="5" spans="1:12" x14ac:dyDescent="0.25">
      <c r="A5" s="4"/>
      <c r="B5" s="3"/>
      <c r="L5" t="s">
        <v>544</v>
      </c>
    </row>
    <row r="6" spans="1:12" x14ac:dyDescent="0.25">
      <c r="B6" s="2" t="s">
        <v>545</v>
      </c>
      <c r="L6">
        <v>7</v>
      </c>
    </row>
    <row r="8" spans="1:12" x14ac:dyDescent="0.25">
      <c r="B8" s="2" t="s">
        <v>546</v>
      </c>
      <c r="C8" t="s">
        <v>547</v>
      </c>
      <c r="G8" s="35" t="s">
        <v>548</v>
      </c>
      <c r="L8">
        <v>1</v>
      </c>
    </row>
    <row r="9" spans="1:12" x14ac:dyDescent="0.25">
      <c r="B9" t="s">
        <v>549</v>
      </c>
    </row>
    <row r="10" spans="1:12" x14ac:dyDescent="0.25">
      <c r="B10" s="2" t="s">
        <v>550</v>
      </c>
    </row>
    <row r="11" spans="1:12" x14ac:dyDescent="0.25">
      <c r="B11" t="s">
        <v>551</v>
      </c>
    </row>
    <row r="13" spans="1:12" x14ac:dyDescent="0.25">
      <c r="C13" s="38" t="s">
        <v>552</v>
      </c>
      <c r="D13" s="52" t="s">
        <v>553</v>
      </c>
      <c r="H13" s="38" t="s">
        <v>554</v>
      </c>
      <c r="I13" s="52" t="s">
        <v>553</v>
      </c>
    </row>
    <row r="14" spans="1:12" x14ac:dyDescent="0.25">
      <c r="C14" s="51" t="s">
        <v>555</v>
      </c>
      <c r="D14">
        <v>0</v>
      </c>
      <c r="H14" s="53" t="s">
        <v>556</v>
      </c>
      <c r="I14">
        <v>0</v>
      </c>
    </row>
    <row r="15" spans="1:12" x14ac:dyDescent="0.25">
      <c r="C15" s="51" t="s">
        <v>557</v>
      </c>
      <c r="D15" s="36" t="s">
        <v>558</v>
      </c>
      <c r="H15" s="53" t="s">
        <v>559</v>
      </c>
      <c r="I15" s="36" t="s">
        <v>558</v>
      </c>
    </row>
    <row r="16" spans="1:12" x14ac:dyDescent="0.25">
      <c r="C16" s="51" t="s">
        <v>560</v>
      </c>
      <c r="D16" s="36" t="s">
        <v>561</v>
      </c>
      <c r="F16" s="50" t="s">
        <v>3</v>
      </c>
      <c r="H16" s="53" t="s">
        <v>562</v>
      </c>
      <c r="I16" s="36" t="s">
        <v>561</v>
      </c>
    </row>
    <row r="17" spans="2:12" x14ac:dyDescent="0.25">
      <c r="C17" s="51" t="s">
        <v>563</v>
      </c>
      <c r="D17" s="36" t="s">
        <v>564</v>
      </c>
      <c r="H17" s="53" t="s">
        <v>565</v>
      </c>
      <c r="I17" s="36" t="s">
        <v>564</v>
      </c>
    </row>
    <row r="18" spans="2:12" x14ac:dyDescent="0.25">
      <c r="C18" s="51" t="s">
        <v>566</v>
      </c>
      <c r="D18" s="36" t="s">
        <v>567</v>
      </c>
      <c r="H18" s="53" t="s">
        <v>568</v>
      </c>
      <c r="I18" s="36" t="s">
        <v>567</v>
      </c>
      <c r="L18">
        <f>3*1</f>
        <v>3</v>
      </c>
    </row>
    <row r="19" spans="2:12" x14ac:dyDescent="0.25">
      <c r="D19" s="36"/>
      <c r="H19" s="35"/>
      <c r="I19" s="36"/>
    </row>
    <row r="20" spans="2:12" x14ac:dyDescent="0.25">
      <c r="B20" s="2" t="s">
        <v>569</v>
      </c>
      <c r="D20" s="36"/>
      <c r="H20" s="35"/>
      <c r="I20" s="36"/>
    </row>
    <row r="21" spans="2:12" x14ac:dyDescent="0.25">
      <c r="B21" t="s">
        <v>570</v>
      </c>
      <c r="D21" s="36"/>
      <c r="H21" s="35"/>
      <c r="I21" s="36"/>
    </row>
    <row r="22" spans="2:12" x14ac:dyDescent="0.25">
      <c r="B22" t="s">
        <v>571</v>
      </c>
      <c r="D22" s="36"/>
      <c r="H22" s="35"/>
      <c r="I22" s="36"/>
    </row>
    <row r="23" spans="2:12" x14ac:dyDescent="0.25">
      <c r="B23" t="s">
        <v>572</v>
      </c>
      <c r="D23" s="36"/>
      <c r="H23" s="35"/>
      <c r="I23" s="36"/>
    </row>
    <row r="24" spans="2:12" x14ac:dyDescent="0.25">
      <c r="B24" t="s">
        <v>573</v>
      </c>
      <c r="D24" s="36"/>
      <c r="H24" s="35"/>
      <c r="I24" s="36"/>
    </row>
    <row r="25" spans="2:12" x14ac:dyDescent="0.25">
      <c r="D25" s="36"/>
      <c r="H25" s="35"/>
      <c r="I25" s="36"/>
    </row>
    <row r="26" spans="2:12" x14ac:dyDescent="0.25">
      <c r="C26" s="38" t="s">
        <v>569</v>
      </c>
      <c r="D26" s="52" t="s">
        <v>553</v>
      </c>
      <c r="H26" s="35"/>
      <c r="I26" s="36"/>
    </row>
    <row r="27" spans="2:12" x14ac:dyDescent="0.25">
      <c r="C27" s="53" t="s">
        <v>574</v>
      </c>
      <c r="D27" s="25" t="s">
        <v>575</v>
      </c>
      <c r="H27" s="35"/>
      <c r="I27" s="36"/>
    </row>
    <row r="28" spans="2:12" x14ac:dyDescent="0.25">
      <c r="C28" s="53" t="s">
        <v>576</v>
      </c>
      <c r="D28" s="36" t="s">
        <v>577</v>
      </c>
      <c r="H28" s="35"/>
      <c r="I28" s="36"/>
    </row>
    <row r="29" spans="2:12" x14ac:dyDescent="0.25">
      <c r="C29" s="53" t="s">
        <v>578</v>
      </c>
      <c r="D29" s="36" t="s">
        <v>579</v>
      </c>
    </row>
    <row r="30" spans="2:12" x14ac:dyDescent="0.25">
      <c r="C30" s="53" t="s">
        <v>580</v>
      </c>
      <c r="D30" s="36" t="s">
        <v>561</v>
      </c>
    </row>
    <row r="31" spans="2:12" x14ac:dyDescent="0.25">
      <c r="C31" s="53" t="s">
        <v>581</v>
      </c>
      <c r="D31" s="36" t="s">
        <v>564</v>
      </c>
      <c r="L31">
        <v>4</v>
      </c>
    </row>
    <row r="32" spans="2:12" x14ac:dyDescent="0.25">
      <c r="C32" s="53" t="s">
        <v>562</v>
      </c>
      <c r="D32" s="36" t="s">
        <v>567</v>
      </c>
    </row>
    <row r="33" spans="2:12" x14ac:dyDescent="0.25">
      <c r="C33" s="53" t="s">
        <v>565</v>
      </c>
      <c r="D33" s="36" t="s">
        <v>582</v>
      </c>
    </row>
    <row r="34" spans="2:12" x14ac:dyDescent="0.25">
      <c r="C34" s="53" t="s">
        <v>583</v>
      </c>
      <c r="D34" s="36" t="s">
        <v>584</v>
      </c>
    </row>
    <row r="36" spans="2:12" x14ac:dyDescent="0.25">
      <c r="B36" s="2" t="s">
        <v>585</v>
      </c>
    </row>
    <row r="37" spans="2:12" x14ac:dyDescent="0.25">
      <c r="B37" t="s">
        <v>585</v>
      </c>
      <c r="C37" s="35" t="s">
        <v>586</v>
      </c>
      <c r="L37">
        <v>3</v>
      </c>
    </row>
    <row r="39" spans="2:12" x14ac:dyDescent="0.25">
      <c r="B39" s="2" t="s">
        <v>543</v>
      </c>
      <c r="L39">
        <f>L6+L8+L18+L31+L37</f>
        <v>18</v>
      </c>
    </row>
    <row r="40" spans="2:12" x14ac:dyDescent="0.25">
      <c r="B40" s="2"/>
    </row>
    <row r="41" spans="2:12" x14ac:dyDescent="0.25">
      <c r="B41" s="2" t="s">
        <v>587</v>
      </c>
      <c r="C41" t="s">
        <v>588</v>
      </c>
    </row>
    <row r="43" spans="2:12" x14ac:dyDescent="0.25">
      <c r="B43" t="s">
        <v>589</v>
      </c>
      <c r="C43" s="35" t="s">
        <v>590</v>
      </c>
      <c r="H43" t="s">
        <v>591</v>
      </c>
      <c r="J43" t="s">
        <v>592</v>
      </c>
    </row>
    <row r="44" spans="2:12" x14ac:dyDescent="0.25">
      <c r="H44" t="s">
        <v>593</v>
      </c>
      <c r="J44" t="s">
        <v>594</v>
      </c>
    </row>
    <row r="46" spans="2:12" x14ac:dyDescent="0.25">
      <c r="B46" t="s">
        <v>595</v>
      </c>
    </row>
    <row r="49" spans="3:4" x14ac:dyDescent="0.25">
      <c r="C49" s="38" t="s">
        <v>596</v>
      </c>
      <c r="D49" s="52" t="s">
        <v>597</v>
      </c>
    </row>
    <row r="50" spans="3:4" x14ac:dyDescent="0.25">
      <c r="C50" s="53" t="s">
        <v>598</v>
      </c>
      <c r="D50" s="25" t="s">
        <v>599</v>
      </c>
    </row>
    <row r="51" spans="3:4" x14ac:dyDescent="0.25">
      <c r="C51" s="53" t="s">
        <v>600</v>
      </c>
      <c r="D51" s="36" t="s">
        <v>601</v>
      </c>
    </row>
    <row r="52" spans="3:4" x14ac:dyDescent="0.25">
      <c r="C52" s="53" t="s">
        <v>602</v>
      </c>
      <c r="D52" s="36" t="s">
        <v>603</v>
      </c>
    </row>
    <row r="53" spans="3:4" x14ac:dyDescent="0.25">
      <c r="C53" s="53" t="s">
        <v>604</v>
      </c>
      <c r="D53" s="36" t="s">
        <v>605</v>
      </c>
    </row>
    <row r="54" spans="3:4" x14ac:dyDescent="0.25">
      <c r="C54" s="53" t="s">
        <v>606</v>
      </c>
      <c r="D54" s="36" t="s">
        <v>607</v>
      </c>
    </row>
    <row r="55" spans="3:4" x14ac:dyDescent="0.25">
      <c r="C55" s="53" t="s">
        <v>608</v>
      </c>
      <c r="D55" s="36" t="s">
        <v>609</v>
      </c>
    </row>
    <row r="56" spans="3:4" x14ac:dyDescent="0.25">
      <c r="C56" s="53" t="s">
        <v>610</v>
      </c>
      <c r="D56" s="36" t="s">
        <v>611</v>
      </c>
    </row>
    <row r="57" spans="3:4" x14ac:dyDescent="0.25">
      <c r="C57" s="53" t="s">
        <v>612</v>
      </c>
      <c r="D57" s="36" t="s">
        <v>613</v>
      </c>
    </row>
    <row r="58" spans="3:4" x14ac:dyDescent="0.25">
      <c r="C58" s="53" t="s">
        <v>614</v>
      </c>
      <c r="D58" s="25" t="s">
        <v>615</v>
      </c>
    </row>
    <row r="59" spans="3:4" x14ac:dyDescent="0.25">
      <c r="C59" s="53" t="s">
        <v>616</v>
      </c>
      <c r="D59" s="25" t="s">
        <v>617</v>
      </c>
    </row>
    <row r="60" spans="3:4" x14ac:dyDescent="0.25">
      <c r="D60" s="25"/>
    </row>
    <row r="65" spans="1:6" x14ac:dyDescent="0.25">
      <c r="A65" s="4" t="s">
        <v>3</v>
      </c>
      <c r="B65" s="2" t="s">
        <v>618</v>
      </c>
    </row>
    <row r="66" spans="1:6" x14ac:dyDescent="0.25">
      <c r="B66" t="s">
        <v>619</v>
      </c>
    </row>
    <row r="68" spans="1:6" x14ac:dyDescent="0.25">
      <c r="B68" t="s">
        <v>618</v>
      </c>
      <c r="C68" t="s">
        <v>620</v>
      </c>
    </row>
    <row r="70" spans="1:6" x14ac:dyDescent="0.25">
      <c r="B70" s="2" t="s">
        <v>621</v>
      </c>
      <c r="C70" t="s">
        <v>622</v>
      </c>
    </row>
    <row r="72" spans="1:6" x14ac:dyDescent="0.25">
      <c r="A72" s="4" t="s">
        <v>3</v>
      </c>
      <c r="B72" s="2" t="s">
        <v>623</v>
      </c>
    </row>
    <row r="73" spans="1:6" x14ac:dyDescent="0.25">
      <c r="B73" t="s">
        <v>624</v>
      </c>
    </row>
    <row r="74" spans="1:6" x14ac:dyDescent="0.25">
      <c r="B74" t="s">
        <v>625</v>
      </c>
    </row>
    <row r="76" spans="1:6" x14ac:dyDescent="0.25">
      <c r="C76" t="s">
        <v>411</v>
      </c>
      <c r="D76" t="s">
        <v>626</v>
      </c>
      <c r="F76" t="s">
        <v>627</v>
      </c>
    </row>
    <row r="77" spans="1:6" x14ac:dyDescent="0.25">
      <c r="C77" t="s">
        <v>628</v>
      </c>
      <c r="D77" t="s">
        <v>628</v>
      </c>
    </row>
    <row r="78" spans="1:6" x14ac:dyDescent="0.25">
      <c r="C78" t="s">
        <v>629</v>
      </c>
      <c r="D78" t="s">
        <v>629</v>
      </c>
    </row>
    <row r="79" spans="1:6" x14ac:dyDescent="0.25">
      <c r="C79" t="s">
        <v>630</v>
      </c>
      <c r="D79" t="s">
        <v>630</v>
      </c>
    </row>
    <row r="81" spans="1:6" x14ac:dyDescent="0.25">
      <c r="B81" s="2" t="s">
        <v>621</v>
      </c>
      <c r="C81" t="s">
        <v>631</v>
      </c>
    </row>
    <row r="83" spans="1:6" x14ac:dyDescent="0.25">
      <c r="A83" s="4" t="s">
        <v>3</v>
      </c>
      <c r="B83" s="2" t="s">
        <v>632</v>
      </c>
    </row>
    <row r="84" spans="1:6" x14ac:dyDescent="0.25">
      <c r="B84" t="s">
        <v>633</v>
      </c>
    </row>
    <row r="85" spans="1:6" x14ac:dyDescent="0.25">
      <c r="B85" t="s">
        <v>625</v>
      </c>
    </row>
    <row r="87" spans="1:6" x14ac:dyDescent="0.25">
      <c r="C87" t="s">
        <v>409</v>
      </c>
      <c r="D87" t="s">
        <v>554</v>
      </c>
      <c r="F87" t="s">
        <v>627</v>
      </c>
    </row>
    <row r="88" spans="1:6" x14ac:dyDescent="0.25">
      <c r="C88" t="s">
        <v>628</v>
      </c>
      <c r="D88" t="s">
        <v>628</v>
      </c>
    </row>
    <row r="89" spans="1:6" x14ac:dyDescent="0.25">
      <c r="C89" t="s">
        <v>629</v>
      </c>
      <c r="D89" t="s">
        <v>629</v>
      </c>
    </row>
    <row r="90" spans="1:6" x14ac:dyDescent="0.25">
      <c r="C90" t="s">
        <v>630</v>
      </c>
      <c r="D90" t="s">
        <v>630</v>
      </c>
    </row>
    <row r="93" spans="1:6" x14ac:dyDescent="0.25">
      <c r="B93" s="2" t="s">
        <v>621</v>
      </c>
      <c r="C93" t="s">
        <v>634</v>
      </c>
    </row>
  </sheetData>
  <hyperlinks>
    <hyperlink ref="A1" location="Main!A1" display="Main" xr:uid="{E08CCCC5-CF8B-40D8-9421-123D52FA2B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808-819A-4246-AAD9-AC857C02C55E}">
  <dimension ref="A1:J12"/>
  <sheetViews>
    <sheetView showGridLines="0" workbookViewId="0"/>
  </sheetViews>
  <sheetFormatPr defaultRowHeight="15" x14ac:dyDescent="0.25"/>
  <cols>
    <col min="1" max="1" width="4.42578125" customWidth="1"/>
    <col min="7" max="7" width="8.7109375" style="9"/>
  </cols>
  <sheetData>
    <row r="1" spans="1:10" x14ac:dyDescent="0.25">
      <c r="A1" s="1" t="s">
        <v>94</v>
      </c>
    </row>
    <row r="2" spans="1:10" x14ac:dyDescent="0.25">
      <c r="H2" t="s">
        <v>635</v>
      </c>
    </row>
    <row r="3" spans="1:10" x14ac:dyDescent="0.25">
      <c r="B3" t="s">
        <v>636</v>
      </c>
      <c r="D3" t="s">
        <v>637</v>
      </c>
    </row>
    <row r="5" spans="1:10" x14ac:dyDescent="0.25">
      <c r="A5" s="4" t="s">
        <v>3</v>
      </c>
      <c r="B5" s="37" t="s">
        <v>638</v>
      </c>
      <c r="C5" s="38"/>
      <c r="D5" s="38"/>
      <c r="E5" s="38"/>
      <c r="F5" s="38"/>
      <c r="G5" s="39"/>
      <c r="H5" s="37" t="s">
        <v>639</v>
      </c>
      <c r="I5" s="38"/>
      <c r="J5" s="38"/>
    </row>
    <row r="6" spans="1:10" x14ac:dyDescent="0.25">
      <c r="B6" t="s">
        <v>640</v>
      </c>
      <c r="G6" s="9">
        <v>1</v>
      </c>
    </row>
    <row r="7" spans="1:10" x14ac:dyDescent="0.25">
      <c r="B7" t="s">
        <v>641</v>
      </c>
      <c r="G7" s="9">
        <v>0.85</v>
      </c>
    </row>
    <row r="8" spans="1:10" x14ac:dyDescent="0.25">
      <c r="B8" t="s">
        <v>642</v>
      </c>
      <c r="G8" s="9">
        <v>0.5</v>
      </c>
    </row>
    <row r="9" spans="1:10" x14ac:dyDescent="0.25">
      <c r="B9" t="s">
        <v>643</v>
      </c>
      <c r="G9" s="9">
        <v>0.45</v>
      </c>
    </row>
    <row r="10" spans="1:10" x14ac:dyDescent="0.25">
      <c r="B10" t="s">
        <v>245</v>
      </c>
      <c r="G10" s="9">
        <v>0</v>
      </c>
    </row>
    <row r="11" spans="1:10" x14ac:dyDescent="0.25">
      <c r="B11" t="s">
        <v>644</v>
      </c>
      <c r="G11" s="9">
        <v>1</v>
      </c>
    </row>
    <row r="12" spans="1:10" x14ac:dyDescent="0.25">
      <c r="B12" t="s">
        <v>8</v>
      </c>
      <c r="G12" s="9">
        <v>1</v>
      </c>
    </row>
  </sheetData>
  <hyperlinks>
    <hyperlink ref="A1" location="Main!A1" display="Main" xr:uid="{B0A6AE74-418A-467A-AFF2-AF99B9926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Segments</vt:lpstr>
      <vt:lpstr>Branche</vt:lpstr>
      <vt:lpstr>Model</vt:lpstr>
      <vt:lpstr>Ratios</vt:lpstr>
      <vt:lpstr>DCF</vt:lpstr>
      <vt:lpstr>Discount Rate</vt:lpstr>
      <vt:lpstr>Multiple Valuation</vt:lpstr>
      <vt:lpstr>Liquidationswert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Settje</dc:creator>
  <cp:keywords/>
  <dc:description/>
  <cp:lastModifiedBy>Oscar Settje</cp:lastModifiedBy>
  <cp:revision/>
  <dcterms:created xsi:type="dcterms:W3CDTF">2024-05-10T16:40:34Z</dcterms:created>
  <dcterms:modified xsi:type="dcterms:W3CDTF">2025-04-11T10:02:36Z</dcterms:modified>
  <cp:category/>
  <cp:contentStatus/>
</cp:coreProperties>
</file>