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E0078DB-38C9-4659-8624-00FC3195E2CA}" xr6:coauthVersionLast="47" xr6:coauthVersionMax="47" xr10:uidLastSave="{00000000-0000-0000-0000-000000000000}"/>
  <bookViews>
    <workbookView xWindow="-120" yWindow="-120" windowWidth="38640" windowHeight="21060" xr2:uid="{D8A593F9-CE2E-4D8C-B815-D7E0264BAFFB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J11" i="3"/>
  <c r="J10" i="3"/>
  <c r="J9" i="3"/>
  <c r="J7" i="3"/>
  <c r="J6" i="3"/>
  <c r="J5" i="3"/>
  <c r="J4" i="3"/>
  <c r="J25" i="3"/>
  <c r="J24" i="3"/>
  <c r="J23" i="3"/>
  <c r="J22" i="3"/>
  <c r="J21" i="3"/>
  <c r="J20" i="3"/>
  <c r="J30" i="3"/>
  <c r="J5" i="1"/>
  <c r="S113" i="2"/>
  <c r="S112" i="2"/>
  <c r="S111" i="2"/>
  <c r="S108" i="2"/>
  <c r="S99" i="2"/>
  <c r="S102" i="2"/>
  <c r="S96" i="2"/>
  <c r="S95" i="2"/>
  <c r="S86" i="2"/>
  <c r="J6" i="1"/>
  <c r="S83" i="2"/>
  <c r="S82" i="2"/>
  <c r="D77" i="2"/>
  <c r="E77" i="2"/>
  <c r="F77" i="2"/>
  <c r="G77" i="2"/>
  <c r="H77" i="2"/>
  <c r="I77" i="2"/>
  <c r="J77" i="2"/>
  <c r="K77" i="2"/>
  <c r="M77" i="2"/>
  <c r="N77" i="2"/>
  <c r="O77" i="2"/>
  <c r="P77" i="2"/>
  <c r="Q77" i="2"/>
  <c r="S77" i="2"/>
  <c r="S72" i="2"/>
  <c r="S67" i="2"/>
  <c r="S61" i="2"/>
  <c r="S68" i="2" s="1"/>
  <c r="S47" i="2"/>
  <c r="S46" i="2"/>
  <c r="S45" i="2"/>
  <c r="S44" i="2"/>
  <c r="S43" i="2"/>
  <c r="S42" i="2"/>
  <c r="S13" i="2"/>
  <c r="S12" i="2"/>
  <c r="S5" i="2"/>
  <c r="V56" i="4"/>
  <c r="O33" i="4"/>
  <c r="P33" i="4" s="1"/>
  <c r="Q33" i="4" s="1"/>
  <c r="R33" i="4" s="1"/>
  <c r="S33" i="4" s="1"/>
  <c r="T33" i="4" s="1"/>
  <c r="U33" i="4" s="1"/>
  <c r="V33" i="4" s="1"/>
  <c r="N33" i="4"/>
  <c r="O27" i="4"/>
  <c r="P27" i="4" s="1"/>
  <c r="Q27" i="4" s="1"/>
  <c r="R27" i="4" s="1"/>
  <c r="N27" i="4"/>
  <c r="O25" i="4"/>
  <c r="P25" i="4" s="1"/>
  <c r="Q25" i="4" s="1"/>
  <c r="R25" i="4" s="1"/>
  <c r="S25" i="4" s="1"/>
  <c r="T25" i="4" s="1"/>
  <c r="U25" i="4" s="1"/>
  <c r="V25" i="4" s="1"/>
  <c r="N25" i="4"/>
  <c r="M51" i="4"/>
  <c r="N51" i="4" s="1"/>
  <c r="O51" i="4" s="1"/>
  <c r="P51" i="4" s="1"/>
  <c r="Q51" i="4" s="1"/>
  <c r="R51" i="4" s="1"/>
  <c r="S51" i="4" s="1"/>
  <c r="T51" i="4" s="1"/>
  <c r="U51" i="4" s="1"/>
  <c r="V51" i="4" s="1"/>
  <c r="I22" i="2"/>
  <c r="J22" i="2" s="1"/>
  <c r="J48" i="2" s="1"/>
  <c r="I23" i="2"/>
  <c r="J23" i="2" s="1"/>
  <c r="H24" i="2"/>
  <c r="I24" i="2"/>
  <c r="I32" i="2"/>
  <c r="J32" i="2" s="1"/>
  <c r="I31" i="2"/>
  <c r="J31" i="2" s="1"/>
  <c r="I29" i="2"/>
  <c r="I26" i="2"/>
  <c r="J26" i="2" s="1"/>
  <c r="I25" i="2"/>
  <c r="J25" i="2" s="1"/>
  <c r="O26" i="4"/>
  <c r="O24" i="4" s="1" a="1"/>
  <c r="O24" i="4" s="1"/>
  <c r="N26" i="4"/>
  <c r="V59" i="4"/>
  <c r="V57" i="4"/>
  <c r="E18" i="4"/>
  <c r="E17" i="4"/>
  <c r="O47" i="4"/>
  <c r="P47" i="4" s="1"/>
  <c r="Q47" i="4" s="1"/>
  <c r="R47" i="4" s="1"/>
  <c r="S47" i="4" s="1"/>
  <c r="T47" i="4" s="1"/>
  <c r="U47" i="4" s="1"/>
  <c r="V47" i="4" s="1"/>
  <c r="N47" i="4"/>
  <c r="O44" i="4"/>
  <c r="P44" i="4" s="1"/>
  <c r="Q44" i="4" s="1"/>
  <c r="R44" i="4" s="1"/>
  <c r="S44" i="4" s="1"/>
  <c r="T44" i="4" s="1"/>
  <c r="U44" i="4" s="1"/>
  <c r="V44" i="4" s="1"/>
  <c r="N44" i="4"/>
  <c r="O41" i="4"/>
  <c r="P41" i="4" s="1"/>
  <c r="Q41" i="4" s="1"/>
  <c r="R41" i="4" s="1"/>
  <c r="S41" i="4" s="1"/>
  <c r="T41" i="4" s="1"/>
  <c r="U41" i="4" s="1"/>
  <c r="V41" i="4" s="1"/>
  <c r="N41" i="4"/>
  <c r="V30" i="4" a="1"/>
  <c r="V30" i="4" s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N30" i="4" a="1"/>
  <c r="N30" i="4" s="1"/>
  <c r="M30" i="4" a="1"/>
  <c r="M30" i="4" s="1"/>
  <c r="N24" i="4" a="1"/>
  <c r="N24" i="4" s="1"/>
  <c r="M24" i="4" a="1"/>
  <c r="M24" i="4" s="1"/>
  <c r="L43" i="4"/>
  <c r="K43" i="4"/>
  <c r="J43" i="4"/>
  <c r="L40" i="4"/>
  <c r="K40" i="4"/>
  <c r="J40" i="4"/>
  <c r="I40" i="4"/>
  <c r="H40" i="4"/>
  <c r="G40" i="4"/>
  <c r="L35" i="4"/>
  <c r="K35" i="4"/>
  <c r="J35" i="4"/>
  <c r="I35" i="4"/>
  <c r="H35" i="4"/>
  <c r="G35" i="4"/>
  <c r="J3" i="4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P26" i="4" l="1"/>
  <c r="P24" i="4" l="1" a="1"/>
  <c r="P24" i="4" s="1"/>
  <c r="Q26" i="4"/>
  <c r="Q24" i="4" l="1" a="1"/>
  <c r="Q24" i="4" s="1"/>
  <c r="R26" i="4"/>
  <c r="R24" i="4" l="1" a="1"/>
  <c r="R24" i="4" s="1"/>
  <c r="S26" i="4"/>
  <c r="T3" i="2"/>
  <c r="U3" i="2" s="1"/>
  <c r="V3" i="2" s="1"/>
  <c r="W3" i="2" s="1"/>
  <c r="X3" i="2" s="1"/>
  <c r="T10" i="2"/>
  <c r="Q12" i="2"/>
  <c r="P12" i="2"/>
  <c r="O12" i="2"/>
  <c r="P13" i="2"/>
  <c r="O13" i="2"/>
  <c r="R13" i="2"/>
  <c r="T13" i="2" s="1"/>
  <c r="U13" i="2" s="1"/>
  <c r="R12" i="2"/>
  <c r="Q10" i="2"/>
  <c r="Q13" i="2" s="1"/>
  <c r="M16" i="3"/>
  <c r="M15" i="3"/>
  <c r="H32" i="3"/>
  <c r="G32" i="3"/>
  <c r="F32" i="3"/>
  <c r="E32" i="3"/>
  <c r="D32" i="3"/>
  <c r="I32" i="3"/>
  <c r="J29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V13" i="2" l="1"/>
  <c r="W13" i="2" s="1"/>
  <c r="X13" i="2" s="1"/>
  <c r="U10" i="2"/>
  <c r="T8" i="2"/>
  <c r="J31" i="3"/>
  <c r="S24" i="4" a="1"/>
  <c r="S24" i="4" s="1"/>
  <c r="T26" i="4"/>
  <c r="I33" i="3"/>
  <c r="M24" i="3"/>
  <c r="M23" i="3"/>
  <c r="D33" i="3"/>
  <c r="E33" i="3"/>
  <c r="F33" i="3"/>
  <c r="G33" i="3"/>
  <c r="H33" i="3"/>
  <c r="J32" i="3"/>
  <c r="J33" i="3" s="1"/>
  <c r="V10" i="2" l="1"/>
  <c r="U8" i="2"/>
  <c r="S24" i="2"/>
  <c r="U26" i="4"/>
  <c r="T24" i="4" a="1"/>
  <c r="T24" i="4" s="1"/>
  <c r="J39" i="3"/>
  <c r="S27" i="2" l="1"/>
  <c r="S30" i="2" s="1"/>
  <c r="S51" i="2" s="1"/>
  <c r="S49" i="2"/>
  <c r="W10" i="2"/>
  <c r="V8" i="2"/>
  <c r="V26" i="4"/>
  <c r="V24" i="4" s="1" a="1"/>
  <c r="V24" i="4" s="1"/>
  <c r="U24" i="4" a="1"/>
  <c r="U24" i="4" s="1"/>
  <c r="E2" i="3"/>
  <c r="F2" i="3" s="1"/>
  <c r="G2" i="3" s="1"/>
  <c r="H2" i="3" s="1"/>
  <c r="I2" i="3" s="1"/>
  <c r="J2" i="3" s="1"/>
  <c r="K48" i="2"/>
  <c r="I48" i="2"/>
  <c r="H48" i="2"/>
  <c r="K82" i="2"/>
  <c r="J82" i="2"/>
  <c r="I82" i="2"/>
  <c r="H82" i="2"/>
  <c r="G82" i="2"/>
  <c r="F82" i="2"/>
  <c r="E82" i="2"/>
  <c r="D82" i="2"/>
  <c r="K72" i="2"/>
  <c r="J72" i="2"/>
  <c r="I72" i="2"/>
  <c r="H72" i="2"/>
  <c r="G72" i="2"/>
  <c r="F72" i="2"/>
  <c r="E72" i="2"/>
  <c r="D72" i="2"/>
  <c r="K67" i="2"/>
  <c r="J67" i="2"/>
  <c r="I67" i="2"/>
  <c r="H67" i="2"/>
  <c r="G67" i="2"/>
  <c r="F67" i="2"/>
  <c r="E67" i="2"/>
  <c r="D67" i="2"/>
  <c r="K61" i="2"/>
  <c r="J61" i="2"/>
  <c r="I61" i="2"/>
  <c r="H61" i="2"/>
  <c r="G61" i="2"/>
  <c r="F61" i="2"/>
  <c r="E61" i="2"/>
  <c r="D61" i="2"/>
  <c r="K24" i="2"/>
  <c r="K49" i="2" s="1"/>
  <c r="J24" i="2"/>
  <c r="J49" i="2" s="1"/>
  <c r="H27" i="2"/>
  <c r="G24" i="2"/>
  <c r="G27" i="2" s="1"/>
  <c r="F24" i="2"/>
  <c r="F27" i="2" s="1"/>
  <c r="E24" i="2"/>
  <c r="E27" i="2" s="1"/>
  <c r="D24" i="2"/>
  <c r="D27" i="2" s="1"/>
  <c r="N2" i="2"/>
  <c r="O2" i="2" s="1"/>
  <c r="P2" i="2" s="1"/>
  <c r="Q2" i="2" s="1"/>
  <c r="R2" i="2" s="1"/>
  <c r="S2" i="2" s="1"/>
  <c r="T2" i="2" s="1"/>
  <c r="U2" i="2" s="1"/>
  <c r="V2" i="2" s="1"/>
  <c r="W2" i="2" s="1"/>
  <c r="X2" i="2" s="1"/>
  <c r="N113" i="2"/>
  <c r="M113" i="2"/>
  <c r="M98" i="2"/>
  <c r="N98" i="2"/>
  <c r="M89" i="2"/>
  <c r="N89" i="2"/>
  <c r="M61" i="2"/>
  <c r="N61" i="2"/>
  <c r="Q22" i="2"/>
  <c r="P22" i="2"/>
  <c r="O22" i="2"/>
  <c r="N22" i="2"/>
  <c r="M22" i="2"/>
  <c r="R22" i="2"/>
  <c r="S48" i="2" s="1"/>
  <c r="O113" i="2"/>
  <c r="P113" i="2"/>
  <c r="O98" i="2"/>
  <c r="P95" i="2"/>
  <c r="J46" i="4" s="1"/>
  <c r="O95" i="2"/>
  <c r="I46" i="4" s="1"/>
  <c r="N95" i="2"/>
  <c r="H46" i="4" s="1"/>
  <c r="M95" i="2"/>
  <c r="G46" i="4" s="1"/>
  <c r="O61" i="2"/>
  <c r="P61" i="2"/>
  <c r="Q113" i="2"/>
  <c r="Q108" i="2"/>
  <c r="P108" i="2"/>
  <c r="O108" i="2"/>
  <c r="N108" i="2"/>
  <c r="M108" i="2"/>
  <c r="R108" i="2"/>
  <c r="Q102" i="2"/>
  <c r="P102" i="2"/>
  <c r="R102" i="2"/>
  <c r="Q95" i="2"/>
  <c r="K46" i="4" s="1"/>
  <c r="R95" i="2"/>
  <c r="L46" i="4" s="1"/>
  <c r="K68" i="2" l="1"/>
  <c r="J40" i="3"/>
  <c r="S50" i="2"/>
  <c r="K23" i="4"/>
  <c r="K47" i="4" s="1"/>
  <c r="Q5" i="2"/>
  <c r="N102" i="2"/>
  <c r="H43" i="4"/>
  <c r="L23" i="4"/>
  <c r="L47" i="4" s="1"/>
  <c r="R5" i="2"/>
  <c r="G23" i="4"/>
  <c r="G41" i="4" s="1"/>
  <c r="M5" i="2"/>
  <c r="M102" i="2"/>
  <c r="G43" i="4"/>
  <c r="O102" i="2"/>
  <c r="I43" i="4"/>
  <c r="I23" i="4"/>
  <c r="O5" i="2"/>
  <c r="I68" i="2"/>
  <c r="H23" i="4"/>
  <c r="H47" i="4" s="1"/>
  <c r="N5" i="2"/>
  <c r="J23" i="4"/>
  <c r="J47" i="4" s="1"/>
  <c r="P5" i="2"/>
  <c r="X10" i="2"/>
  <c r="X8" i="2" s="1"/>
  <c r="W8" i="2"/>
  <c r="D83" i="2"/>
  <c r="H83" i="2"/>
  <c r="I83" i="2"/>
  <c r="D68" i="2"/>
  <c r="F68" i="2"/>
  <c r="G83" i="2"/>
  <c r="E68" i="2"/>
  <c r="J83" i="2"/>
  <c r="J68" i="2"/>
  <c r="E83" i="2"/>
  <c r="F83" i="2"/>
  <c r="K83" i="2"/>
  <c r="G68" i="2"/>
  <c r="I20" i="3"/>
  <c r="I21" i="3"/>
  <c r="I39" i="3"/>
  <c r="D21" i="3"/>
  <c r="D20" i="3"/>
  <c r="D39" i="3"/>
  <c r="E21" i="3"/>
  <c r="E20" i="3"/>
  <c r="E39" i="3"/>
  <c r="F20" i="3"/>
  <c r="F21" i="3"/>
  <c r="F39" i="3"/>
  <c r="H30" i="2"/>
  <c r="H33" i="2" s="1"/>
  <c r="H35" i="2" s="1"/>
  <c r="H37" i="2" s="1"/>
  <c r="H39" i="2" s="1"/>
  <c r="H53" i="2"/>
  <c r="G20" i="3"/>
  <c r="G21" i="3"/>
  <c r="G39" i="3"/>
  <c r="I49" i="2"/>
  <c r="I27" i="2"/>
  <c r="I50" i="2" s="1"/>
  <c r="H21" i="3"/>
  <c r="H20" i="3"/>
  <c r="H39" i="3"/>
  <c r="S33" i="2"/>
  <c r="S54" i="2" s="1"/>
  <c r="J41" i="3"/>
  <c r="J27" i="2"/>
  <c r="J50" i="2" s="1"/>
  <c r="G30" i="2"/>
  <c r="G50" i="2"/>
  <c r="D50" i="2"/>
  <c r="D30" i="2"/>
  <c r="E30" i="2"/>
  <c r="E50" i="2"/>
  <c r="F30" i="2"/>
  <c r="F50" i="2"/>
  <c r="K27" i="2"/>
  <c r="D49" i="2"/>
  <c r="E49" i="2"/>
  <c r="F49" i="2"/>
  <c r="G49" i="2"/>
  <c r="H50" i="2"/>
  <c r="H49" i="2"/>
  <c r="H68" i="2"/>
  <c r="Q47" i="2"/>
  <c r="P47" i="2"/>
  <c r="O47" i="2"/>
  <c r="N47" i="2"/>
  <c r="Q46" i="2"/>
  <c r="P46" i="2"/>
  <c r="O46" i="2"/>
  <c r="N46" i="2"/>
  <c r="Q45" i="2"/>
  <c r="P45" i="2"/>
  <c r="O45" i="2"/>
  <c r="N45" i="2"/>
  <c r="Q44" i="2"/>
  <c r="P44" i="2"/>
  <c r="O44" i="2"/>
  <c r="N44" i="2"/>
  <c r="Q43" i="2"/>
  <c r="P43" i="2"/>
  <c r="O43" i="2"/>
  <c r="N43" i="2"/>
  <c r="Q42" i="2"/>
  <c r="P42" i="2"/>
  <c r="O42" i="2"/>
  <c r="N42" i="2"/>
  <c r="R47" i="2"/>
  <c r="R46" i="2"/>
  <c r="R45" i="2"/>
  <c r="R44" i="2"/>
  <c r="R43" i="2"/>
  <c r="R42" i="2"/>
  <c r="Q82" i="2"/>
  <c r="P82" i="2"/>
  <c r="O82" i="2"/>
  <c r="N82" i="2"/>
  <c r="M82" i="2"/>
  <c r="R82" i="2"/>
  <c r="R77" i="2"/>
  <c r="Q72" i="2"/>
  <c r="H37" i="3" s="1"/>
  <c r="P72" i="2"/>
  <c r="G37" i="3" s="1"/>
  <c r="O72" i="2"/>
  <c r="F37" i="3" s="1"/>
  <c r="N72" i="2"/>
  <c r="E37" i="3" s="1"/>
  <c r="M72" i="2"/>
  <c r="D37" i="3" s="1"/>
  <c r="R72" i="2"/>
  <c r="I37" i="3" s="1"/>
  <c r="Q67" i="2"/>
  <c r="P67" i="2"/>
  <c r="O67" i="2"/>
  <c r="N67" i="2"/>
  <c r="M67" i="2"/>
  <c r="Q61" i="2"/>
  <c r="R67" i="2"/>
  <c r="R61" i="2"/>
  <c r="Q24" i="2"/>
  <c r="Q27" i="2" s="1"/>
  <c r="K29" i="4" s="1"/>
  <c r="P24" i="2"/>
  <c r="P27" i="2" s="1"/>
  <c r="J29" i="4" s="1"/>
  <c r="O24" i="2"/>
  <c r="O27" i="2" s="1"/>
  <c r="I29" i="4" s="1"/>
  <c r="N24" i="2"/>
  <c r="N27" i="2" s="1"/>
  <c r="H29" i="4" s="1"/>
  <c r="M24" i="2"/>
  <c r="M27" i="2" s="1"/>
  <c r="G29" i="4" s="1"/>
  <c r="G44" i="4" l="1"/>
  <c r="G47" i="4"/>
  <c r="J8" i="1"/>
  <c r="I44" i="4"/>
  <c r="P7" i="2"/>
  <c r="P6" i="2"/>
  <c r="I24" i="4"/>
  <c r="I41" i="4"/>
  <c r="N7" i="2"/>
  <c r="N6" i="2"/>
  <c r="G30" i="4"/>
  <c r="G38" i="4"/>
  <c r="G49" i="4" s="1"/>
  <c r="G36" i="4"/>
  <c r="I47" i="4"/>
  <c r="J38" i="4"/>
  <c r="J49" i="4" s="1"/>
  <c r="J30" i="4"/>
  <c r="J36" i="4"/>
  <c r="K38" i="4"/>
  <c r="K49" i="4" s="1"/>
  <c r="K30" i="4"/>
  <c r="K36" i="4"/>
  <c r="R6" i="2"/>
  <c r="R7" i="2"/>
  <c r="H44" i="4"/>
  <c r="Q7" i="2"/>
  <c r="Q6" i="2"/>
  <c r="J24" i="4"/>
  <c r="J41" i="4"/>
  <c r="J44" i="4"/>
  <c r="H24" i="4"/>
  <c r="H41" i="4"/>
  <c r="O7" i="2"/>
  <c r="O6" i="2"/>
  <c r="H38" i="4"/>
  <c r="H49" i="4" s="1"/>
  <c r="H36" i="4"/>
  <c r="H30" i="4"/>
  <c r="I30" i="4"/>
  <c r="I38" i="4"/>
  <c r="I49" i="4" s="1"/>
  <c r="I36" i="4"/>
  <c r="M6" i="2"/>
  <c r="M7" i="2"/>
  <c r="L24" i="4"/>
  <c r="L41" i="4"/>
  <c r="L44" i="4"/>
  <c r="M23" i="4"/>
  <c r="K24" i="4"/>
  <c r="K41" i="4"/>
  <c r="K44" i="4"/>
  <c r="H25" i="3"/>
  <c r="G25" i="3"/>
  <c r="H54" i="2"/>
  <c r="H52" i="2"/>
  <c r="M30" i="2"/>
  <c r="D41" i="3" s="1"/>
  <c r="D40" i="3"/>
  <c r="F25" i="3"/>
  <c r="M37" i="3"/>
  <c r="H51" i="2"/>
  <c r="M39" i="3"/>
  <c r="P30" i="2"/>
  <c r="G41" i="3" s="1"/>
  <c r="G40" i="3"/>
  <c r="P53" i="2"/>
  <c r="Q30" i="2"/>
  <c r="H41" i="3" s="1"/>
  <c r="Q53" i="2"/>
  <c r="H40" i="3"/>
  <c r="M20" i="3"/>
  <c r="D25" i="3"/>
  <c r="M21" i="3"/>
  <c r="N30" i="2"/>
  <c r="E41" i="3" s="1"/>
  <c r="N53" i="2"/>
  <c r="E40" i="3"/>
  <c r="O30" i="2"/>
  <c r="F41" i="3" s="1"/>
  <c r="O53" i="2"/>
  <c r="F40" i="3"/>
  <c r="E25" i="3"/>
  <c r="I25" i="3"/>
  <c r="I30" i="2"/>
  <c r="I33" i="2" s="1"/>
  <c r="J30" i="2"/>
  <c r="J33" i="2" s="1"/>
  <c r="M33" i="2"/>
  <c r="M54" i="2" s="1"/>
  <c r="D11" i="3" s="1"/>
  <c r="E51" i="2"/>
  <c r="E33" i="2"/>
  <c r="D51" i="2"/>
  <c r="D33" i="2"/>
  <c r="F33" i="2"/>
  <c r="F51" i="2"/>
  <c r="K50" i="2"/>
  <c r="K30" i="2"/>
  <c r="G33" i="2"/>
  <c r="G51" i="2"/>
  <c r="R24" i="2"/>
  <c r="C8" i="1"/>
  <c r="C13" i="1"/>
  <c r="C12" i="1"/>
  <c r="C11" i="1"/>
  <c r="C10" i="1"/>
  <c r="C9" i="1"/>
  <c r="R48" i="2"/>
  <c r="M49" i="2"/>
  <c r="M50" i="2"/>
  <c r="Q48" i="2"/>
  <c r="N50" i="2"/>
  <c r="O50" i="2"/>
  <c r="N49" i="2"/>
  <c r="P50" i="2"/>
  <c r="O49" i="2"/>
  <c r="Q50" i="2"/>
  <c r="N48" i="2"/>
  <c r="P49" i="2"/>
  <c r="O48" i="2"/>
  <c r="Q49" i="2"/>
  <c r="P48" i="2"/>
  <c r="P83" i="2"/>
  <c r="O83" i="2"/>
  <c r="R83" i="2"/>
  <c r="M83" i="2"/>
  <c r="R68" i="2"/>
  <c r="I22" i="3" s="1"/>
  <c r="Q68" i="2"/>
  <c r="N83" i="2"/>
  <c r="M68" i="2"/>
  <c r="Q83" i="2"/>
  <c r="N68" i="2"/>
  <c r="O68" i="2"/>
  <c r="P68" i="2"/>
  <c r="G22" i="3" s="1"/>
  <c r="N23" i="4" l="1"/>
  <c r="M43" i="4"/>
  <c r="M40" i="4"/>
  <c r="M46" i="4"/>
  <c r="D6" i="3"/>
  <c r="D12" i="3" s="1"/>
  <c r="I51" i="2"/>
  <c r="D7" i="3"/>
  <c r="N33" i="2"/>
  <c r="N35" i="2" s="1"/>
  <c r="N52" i="2" s="1"/>
  <c r="N51" i="2"/>
  <c r="H7" i="3"/>
  <c r="Q51" i="2"/>
  <c r="O51" i="2"/>
  <c r="M51" i="2"/>
  <c r="E7" i="3"/>
  <c r="F5" i="3"/>
  <c r="F22" i="3"/>
  <c r="G7" i="3"/>
  <c r="M25" i="3"/>
  <c r="P33" i="2"/>
  <c r="P35" i="2" s="1"/>
  <c r="P37" i="2" s="1"/>
  <c r="G35" i="3" s="1"/>
  <c r="D5" i="3"/>
  <c r="D22" i="3"/>
  <c r="P51" i="2"/>
  <c r="E5" i="3"/>
  <c r="E22" i="3"/>
  <c r="G5" i="3"/>
  <c r="H5" i="3"/>
  <c r="H22" i="3"/>
  <c r="M86" i="2"/>
  <c r="M96" i="2" s="1"/>
  <c r="M111" i="2" s="1"/>
  <c r="F7" i="3"/>
  <c r="Q33" i="2"/>
  <c r="Q35" i="2" s="1"/>
  <c r="M35" i="2"/>
  <c r="M37" i="2" s="1"/>
  <c r="D35" i="3" s="1"/>
  <c r="O33" i="2"/>
  <c r="J51" i="2"/>
  <c r="E54" i="2"/>
  <c r="E35" i="2"/>
  <c r="K51" i="2"/>
  <c r="K33" i="2"/>
  <c r="S35" i="2" s="1"/>
  <c r="S52" i="2" s="1"/>
  <c r="G54" i="2"/>
  <c r="G35" i="2"/>
  <c r="D54" i="2"/>
  <c r="D35" i="2"/>
  <c r="F54" i="2"/>
  <c r="F35" i="2"/>
  <c r="J35" i="2"/>
  <c r="J54" i="2"/>
  <c r="I35" i="2"/>
  <c r="I54" i="2"/>
  <c r="R27" i="2"/>
  <c r="R49" i="2"/>
  <c r="L29" i="4" l="1"/>
  <c r="S53" i="2"/>
  <c r="N54" i="2"/>
  <c r="E6" i="3" s="1"/>
  <c r="L36" i="4"/>
  <c r="L30" i="4"/>
  <c r="L38" i="4"/>
  <c r="L49" i="4" s="1"/>
  <c r="N46" i="4"/>
  <c r="O23" i="4"/>
  <c r="N43" i="4"/>
  <c r="N40" i="4"/>
  <c r="N37" i="2"/>
  <c r="E35" i="3" s="1"/>
  <c r="P86" i="2"/>
  <c r="P96" i="2" s="1"/>
  <c r="P111" i="2" s="1"/>
  <c r="N86" i="2"/>
  <c r="N96" i="2" s="1"/>
  <c r="N111" i="2" s="1"/>
  <c r="M52" i="2"/>
  <c r="M22" i="3"/>
  <c r="Q86" i="2"/>
  <c r="Q96" i="2" s="1"/>
  <c r="Q111" i="2" s="1"/>
  <c r="Q54" i="2"/>
  <c r="H6" i="3" s="1"/>
  <c r="I40" i="3"/>
  <c r="M40" i="3" s="1"/>
  <c r="R53" i="2"/>
  <c r="P54" i="2"/>
  <c r="G11" i="3" s="1"/>
  <c r="P52" i="2"/>
  <c r="E36" i="3"/>
  <c r="O35" i="2"/>
  <c r="O86" i="2"/>
  <c r="O96" i="2" s="1"/>
  <c r="O111" i="2" s="1"/>
  <c r="O54" i="2"/>
  <c r="J52" i="2"/>
  <c r="J37" i="2"/>
  <c r="J39" i="2" s="1"/>
  <c r="P39" i="2"/>
  <c r="G9" i="3"/>
  <c r="G4" i="3"/>
  <c r="E52" i="2"/>
  <c r="E37" i="2"/>
  <c r="E39" i="2" s="1"/>
  <c r="D9" i="3"/>
  <c r="M39" i="2"/>
  <c r="D4" i="3"/>
  <c r="N39" i="2"/>
  <c r="E9" i="3"/>
  <c r="E4" i="3"/>
  <c r="F52" i="2"/>
  <c r="F37" i="2"/>
  <c r="F39" i="2" s="1"/>
  <c r="K54" i="2"/>
  <c r="K35" i="2"/>
  <c r="S37" i="2" s="1"/>
  <c r="D52" i="2"/>
  <c r="D37" i="2"/>
  <c r="D39" i="2" s="1"/>
  <c r="I52" i="2"/>
  <c r="I37" i="2"/>
  <c r="I39" i="2" s="1"/>
  <c r="G52" i="2"/>
  <c r="G37" i="2"/>
  <c r="G39" i="2" s="1"/>
  <c r="R30" i="2"/>
  <c r="R50" i="2"/>
  <c r="Q37" i="2"/>
  <c r="H35" i="3" s="1"/>
  <c r="H36" i="3" s="1"/>
  <c r="Q52" i="2"/>
  <c r="E11" i="3" l="1"/>
  <c r="O40" i="4"/>
  <c r="O46" i="4"/>
  <c r="O43" i="4"/>
  <c r="P23" i="4"/>
  <c r="H11" i="3"/>
  <c r="G6" i="3"/>
  <c r="G12" i="3" s="1"/>
  <c r="I7" i="3"/>
  <c r="M7" i="3" s="1"/>
  <c r="I41" i="3"/>
  <c r="M41" i="3" s="1"/>
  <c r="E12" i="3"/>
  <c r="F6" i="3"/>
  <c r="F11" i="3"/>
  <c r="O52" i="2"/>
  <c r="O37" i="2"/>
  <c r="S39" i="2"/>
  <c r="J35" i="3"/>
  <c r="H12" i="3"/>
  <c r="D10" i="3"/>
  <c r="G10" i="3"/>
  <c r="I5" i="3"/>
  <c r="M5" i="3" s="1"/>
  <c r="E10" i="3"/>
  <c r="K52" i="2"/>
  <c r="K37" i="2"/>
  <c r="K39" i="2" s="1"/>
  <c r="Q39" i="2"/>
  <c r="H9" i="3"/>
  <c r="H4" i="3"/>
  <c r="R33" i="2"/>
  <c r="R51" i="2"/>
  <c r="P43" i="4" l="1"/>
  <c r="Q23" i="4"/>
  <c r="P40" i="4"/>
  <c r="P46" i="4"/>
  <c r="F12" i="3"/>
  <c r="F35" i="3"/>
  <c r="F36" i="3" s="1"/>
  <c r="F4" i="3"/>
  <c r="F9" i="3"/>
  <c r="G36" i="3"/>
  <c r="O39" i="2"/>
  <c r="H10" i="3"/>
  <c r="R54" i="2"/>
  <c r="R86" i="2"/>
  <c r="R96" i="2" s="1"/>
  <c r="R111" i="2" s="1"/>
  <c r="R35" i="2"/>
  <c r="F10" i="3" l="1"/>
  <c r="R23" i="4"/>
  <c r="Q40" i="4"/>
  <c r="Q46" i="4"/>
  <c r="Q43" i="4"/>
  <c r="I6" i="3"/>
  <c r="M6" i="3" s="1"/>
  <c r="I11" i="3"/>
  <c r="R37" i="2"/>
  <c r="R52" i="2"/>
  <c r="R43" i="4" l="1"/>
  <c r="R46" i="4"/>
  <c r="R40" i="4"/>
  <c r="S23" i="4"/>
  <c r="I35" i="3"/>
  <c r="J36" i="3"/>
  <c r="R39" i="2"/>
  <c r="I9" i="3"/>
  <c r="I4" i="3"/>
  <c r="M4" i="3" s="1"/>
  <c r="I12" i="3"/>
  <c r="M12" i="3" s="1"/>
  <c r="M11" i="3"/>
  <c r="S46" i="4" l="1"/>
  <c r="S40" i="4"/>
  <c r="S43" i="4"/>
  <c r="T23" i="4"/>
  <c r="I36" i="3"/>
  <c r="M36" i="3" s="1"/>
  <c r="M35" i="3"/>
  <c r="I10" i="3"/>
  <c r="M10" i="3" s="1"/>
  <c r="M9" i="3"/>
  <c r="T46" i="4" l="1"/>
  <c r="U23" i="4"/>
  <c r="T43" i="4"/>
  <c r="T40" i="4"/>
  <c r="M29" i="4"/>
  <c r="M35" i="4" s="1"/>
  <c r="V23" i="4" l="1"/>
  <c r="V29" i="4" s="1"/>
  <c r="V35" i="4" s="1"/>
  <c r="U43" i="4"/>
  <c r="U46" i="4"/>
  <c r="U40" i="4"/>
  <c r="M38" i="4"/>
  <c r="N29" i="4"/>
  <c r="N35" i="4" s="1"/>
  <c r="N38" i="4" s="1"/>
  <c r="O29" i="4"/>
  <c r="O35" i="4" s="1"/>
  <c r="O38" i="4" s="1"/>
  <c r="P29" i="4"/>
  <c r="P35" i="4" s="1"/>
  <c r="P38" i="4" s="1"/>
  <c r="Q29" i="4"/>
  <c r="Q35" i="4" s="1"/>
  <c r="R29" i="4"/>
  <c r="R35" i="4" s="1"/>
  <c r="S29" i="4"/>
  <c r="S35" i="4" s="1"/>
  <c r="T29" i="4"/>
  <c r="T35" i="4" s="1"/>
  <c r="U29" i="4"/>
  <c r="U35" i="4" s="1"/>
  <c r="V43" i="4" l="1"/>
  <c r="V40" i="4"/>
  <c r="V46" i="4"/>
  <c r="P49" i="4"/>
  <c r="P50" i="4" s="1"/>
  <c r="O49" i="4"/>
  <c r="O50" i="4" s="1"/>
  <c r="N49" i="4"/>
  <c r="N50" i="4" s="1"/>
  <c r="M49" i="4"/>
  <c r="M50" i="4" s="1"/>
  <c r="T38" i="4"/>
  <c r="S38" i="4"/>
  <c r="V38" i="4"/>
  <c r="U38" i="4"/>
  <c r="Q38" i="4"/>
  <c r="R38" i="4"/>
  <c r="U49" i="4" l="1"/>
  <c r="U50" i="4" s="1"/>
  <c r="V49" i="4"/>
  <c r="V53" i="4" s="1"/>
  <c r="V54" i="4" s="1"/>
  <c r="T49" i="4"/>
  <c r="T50" i="4" s="1"/>
  <c r="R49" i="4"/>
  <c r="R50" i="4" s="1"/>
  <c r="Q49" i="4"/>
  <c r="Q50" i="4" s="1"/>
  <c r="S49" i="4"/>
  <c r="S50" i="4" s="1"/>
  <c r="V50" i="4" l="1"/>
  <c r="V52" i="4" s="1"/>
  <c r="V55" i="4" s="1"/>
  <c r="V58" i="4" s="1"/>
  <c r="V60" i="4" s="1"/>
  <c r="J4" i="4" s="1"/>
  <c r="J5" i="4" s="1"/>
  <c r="S6" i="2" l="1"/>
  <c r="T6" i="2" s="1"/>
  <c r="S7" i="2"/>
  <c r="U6" i="2" l="1"/>
  <c r="T5" i="2"/>
  <c r="T22" i="2" s="1"/>
  <c r="V6" i="2" l="1"/>
  <c r="U5" i="2"/>
  <c r="U22" i="2" s="1"/>
  <c r="V5" i="2" l="1"/>
  <c r="V22" i="2" s="1"/>
  <c r="W6" i="2"/>
  <c r="W5" i="2" l="1"/>
  <c r="W22" i="2" s="1"/>
  <c r="X6" i="2"/>
  <c r="X5" i="2" s="1"/>
  <c r="X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S2" authorId="0" shapeId="0" xr:uid="{32FF3501-E8D1-4A2A-A667-54A210BCEC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01.02.2024 - 31.01.2025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<sst xmlns="http://schemas.openxmlformats.org/spreadsheetml/2006/main" count="276" uniqueCount="191">
  <si>
    <t>Inditex</t>
  </si>
  <si>
    <t>Price</t>
  </si>
  <si>
    <t>Shares</t>
  </si>
  <si>
    <t>MC</t>
  </si>
  <si>
    <t>Cash</t>
  </si>
  <si>
    <t>Debt</t>
  </si>
  <si>
    <t>EV</t>
  </si>
  <si>
    <t>Revenues</t>
  </si>
  <si>
    <t>Q123</t>
  </si>
  <si>
    <t>Q223</t>
  </si>
  <si>
    <t>Q323</t>
  </si>
  <si>
    <t>Q424</t>
  </si>
  <si>
    <t>Q423</t>
  </si>
  <si>
    <t>Q124</t>
  </si>
  <si>
    <t>Q224</t>
  </si>
  <si>
    <t>Q324</t>
  </si>
  <si>
    <t>Zara</t>
  </si>
  <si>
    <t>Paul&amp;Bear</t>
  </si>
  <si>
    <t>Massimo Duti</t>
  </si>
  <si>
    <t>Bershka</t>
  </si>
  <si>
    <t>Stardivarius</t>
  </si>
  <si>
    <t>Oysho</t>
  </si>
  <si>
    <t>x</t>
  </si>
  <si>
    <t>COGS</t>
  </si>
  <si>
    <t>Gross Profit</t>
  </si>
  <si>
    <t>Operating Income (EBITDA)</t>
  </si>
  <si>
    <t>OpEx</t>
  </si>
  <si>
    <t>Other Operating Income</t>
  </si>
  <si>
    <t>D&amp;A</t>
  </si>
  <si>
    <t>Other Results</t>
  </si>
  <si>
    <t>EBIT</t>
  </si>
  <si>
    <t>Financial Income</t>
  </si>
  <si>
    <t>Income from consilidated companies</t>
  </si>
  <si>
    <t>EBT</t>
  </si>
  <si>
    <t>Income Tax</t>
  </si>
  <si>
    <t>Net Income</t>
  </si>
  <si>
    <t>Minorities</t>
  </si>
  <si>
    <t>Net Income to Firm</t>
  </si>
  <si>
    <t>EPS</t>
  </si>
  <si>
    <t>Right of Use</t>
  </si>
  <si>
    <t>Intnagibles</t>
  </si>
  <si>
    <t>PP&amp;E</t>
  </si>
  <si>
    <t>Financial Investments</t>
  </si>
  <si>
    <t>Other</t>
  </si>
  <si>
    <t>Total Non Current Assets</t>
  </si>
  <si>
    <t>Inventories</t>
  </si>
  <si>
    <t>Receivables</t>
  </si>
  <si>
    <t>Short Term Investments</t>
  </si>
  <si>
    <t xml:space="preserve">Cash and Cash Equivalents </t>
  </si>
  <si>
    <t>Total Assets</t>
  </si>
  <si>
    <t>Total Current Assets</t>
  </si>
  <si>
    <t>Equity</t>
  </si>
  <si>
    <t>Minorites</t>
  </si>
  <si>
    <t>Total Equity</t>
  </si>
  <si>
    <t>Deffered Taxes</t>
  </si>
  <si>
    <t>Financial Debt</t>
  </si>
  <si>
    <t>Lease Liabilities</t>
  </si>
  <si>
    <t>Total Non Current Liabilities</t>
  </si>
  <si>
    <t>Payables</t>
  </si>
  <si>
    <t>Total Current Liabilities</t>
  </si>
  <si>
    <t>Equity &amp; Liabilities</t>
  </si>
  <si>
    <t>Revenue Growth</t>
  </si>
  <si>
    <t>Gross Margin</t>
  </si>
  <si>
    <t>EBITDA Margin</t>
  </si>
  <si>
    <t>EBIT Margin</t>
  </si>
  <si>
    <t>Net Margin</t>
  </si>
  <si>
    <t>Tax Rate</t>
  </si>
  <si>
    <t>Finance Lease Liabilities</t>
  </si>
  <si>
    <t>Change in WC:</t>
  </si>
  <si>
    <t>Change in Inventories</t>
  </si>
  <si>
    <t>Change in Receivables</t>
  </si>
  <si>
    <t>Change in Current Liabilties</t>
  </si>
  <si>
    <t>Total</t>
  </si>
  <si>
    <t>CFFO</t>
  </si>
  <si>
    <t>Investments in Intangibles</t>
  </si>
  <si>
    <t>Investments in Tangibles</t>
  </si>
  <si>
    <t>Other long term financial investments</t>
  </si>
  <si>
    <t>Other Asset Investments</t>
  </si>
  <si>
    <t>Short Term Financial Investments</t>
  </si>
  <si>
    <t>CFFI</t>
  </si>
  <si>
    <t>CFFF</t>
  </si>
  <si>
    <t>Change in Long Term Debt</t>
  </si>
  <si>
    <t>Stock Bubacks</t>
  </si>
  <si>
    <t>Change in Current Debt</t>
  </si>
  <si>
    <t>Lease Payments fixed Charges</t>
  </si>
  <si>
    <t>Dividends</t>
  </si>
  <si>
    <t>Exchange Rates</t>
  </si>
  <si>
    <t>Change in Cash</t>
  </si>
  <si>
    <t>Cash BOP</t>
  </si>
  <si>
    <t>Cash EOP</t>
  </si>
  <si>
    <t>Main</t>
  </si>
  <si>
    <t>Investors</t>
  </si>
  <si>
    <t>Segments/Brands</t>
  </si>
  <si>
    <t>% of Rev.</t>
  </si>
  <si>
    <t>Customers</t>
  </si>
  <si>
    <t>Competitiors</t>
  </si>
  <si>
    <t>Products</t>
  </si>
  <si>
    <t>Uterqüe</t>
  </si>
  <si>
    <t>Profitabilty</t>
  </si>
  <si>
    <t>ROE</t>
  </si>
  <si>
    <t>ROIC</t>
  </si>
  <si>
    <t>ROCE</t>
  </si>
  <si>
    <t>Average</t>
  </si>
  <si>
    <t>Reinvestment Rate</t>
  </si>
  <si>
    <t>Retention Rate</t>
  </si>
  <si>
    <t>Expected Growth</t>
  </si>
  <si>
    <t>Financial Stabiltiy</t>
  </si>
  <si>
    <t>Gearing</t>
  </si>
  <si>
    <t>Net Debt/EBITDA</t>
  </si>
  <si>
    <t>Distribution Margin</t>
  </si>
  <si>
    <t>WC Managment</t>
  </si>
  <si>
    <t>Multiples</t>
  </si>
  <si>
    <t xml:space="preserve">Shares </t>
  </si>
  <si>
    <t>Net Debt</t>
  </si>
  <si>
    <t>P/E</t>
  </si>
  <si>
    <t>PEG</t>
  </si>
  <si>
    <t>Equity-Multiples</t>
  </si>
  <si>
    <t>Entity -Multiples</t>
  </si>
  <si>
    <t>P/B</t>
  </si>
  <si>
    <t>EV/Sales</t>
  </si>
  <si>
    <t>EV/EBITDA</t>
  </si>
  <si>
    <t>EV/EBIT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</si>
  <si>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</si>
  <si>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</si>
  <si>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</si>
  <si>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</si>
  <si>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</si>
  <si>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</si>
  <si>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Start FY</t>
  </si>
  <si>
    <t>End FY</t>
  </si>
  <si>
    <t>n.a.</t>
  </si>
  <si>
    <t>Online Sale</t>
  </si>
  <si>
    <t>Views on Website</t>
  </si>
  <si>
    <t>Social Media Follower</t>
  </si>
  <si>
    <t>App Users</t>
  </si>
  <si>
    <t>Number of Stores</t>
  </si>
  <si>
    <t>n.a</t>
  </si>
  <si>
    <t>Sales in Stores</t>
  </si>
  <si>
    <t>Revenue per Store</t>
  </si>
  <si>
    <t>Revenue per Website Visit</t>
  </si>
  <si>
    <t>Revenue per App User</t>
  </si>
  <si>
    <t>Revenue per Square Meter</t>
  </si>
  <si>
    <t>Selling Space in Square Meter</t>
  </si>
  <si>
    <t>Fast Fashion</t>
  </si>
  <si>
    <t>Indexy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</si>
  <si>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</si>
  <si>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</si>
  <si>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</si>
  <si>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</si>
  <si>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</si>
  <si>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</si>
  <si>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</si>
  <si>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</si>
  <si>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</si>
  <si>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</si>
  <si>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</si>
  <si>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</si>
  <si>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</si>
  <si>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</si>
  <si>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</si>
  <si>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</si>
  <si>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</si>
  <si>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</si>
  <si>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</si>
  <si>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</si>
  <si>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</si>
  <si>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</si>
  <si>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</si>
  <si>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</si>
  <si>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</si>
  <si>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</si>
  <si>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</si>
  <si>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</si>
  <si>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</si>
  <si>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</si>
  <si>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</si>
  <si>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</si>
  <si>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</si>
  <si>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</si>
  <si>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</si>
  <si>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</si>
  <si>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</si>
  <si>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</si>
  <si>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</si>
  <si>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</si>
  <si>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</si>
  <si>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</si>
  <si>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numbers in mio USD</t>
  </si>
  <si>
    <t>ITX.MC</t>
  </si>
  <si>
    <t>CEO: Oscar Garcia Maceiras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</si>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</sst>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[Red]#,##0.0"/>
    <numFmt numFmtId="165" formatCode="#,##0.00_);\(#,##0.00\)"/>
    <numFmt numFmtId="166" formatCode="##\F\Y"/>
    <numFmt numFmtId="167" formatCode="0.0"/>
    <numFmt numFmtId="168" formatCode="0.0%"/>
    <numFmt numFmtId="169" formatCode="&quot;FY&quot;0&quot;A&quot;"/>
    <numFmt numFmtId="170" formatCode="&quot;FY&quot;0&quot;E&quot;"/>
    <numFmt numFmtId="171" formatCode="#,##0.0;\(#,##0.0\)"/>
    <numFmt numFmtId="172" formatCode="#,##0;[Red]#,##0"/>
    <numFmt numFmtId="173" formatCode="#,##0;\(#,##0\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4" fillId="0" borderId="0" xfId="2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4" fontId="2" fillId="0" borderId="0" xfId="0" applyNumberFormat="1" applyFont="1"/>
    <xf numFmtId="9" fontId="0" fillId="0" borderId="0" xfId="1" applyFont="1"/>
    <xf numFmtId="9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9" fontId="0" fillId="0" borderId="0" xfId="1" applyFont="1" applyBorder="1"/>
    <xf numFmtId="9" fontId="0" fillId="0" borderId="4" xfId="1" applyFont="1" applyBorder="1"/>
    <xf numFmtId="0" fontId="0" fillId="0" borderId="7" xfId="0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" fontId="0" fillId="0" borderId="0" xfId="0" applyNumberFormat="1"/>
    <xf numFmtId="167" fontId="0" fillId="0" borderId="0" xfId="0" applyNumberFormat="1"/>
    <xf numFmtId="0" fontId="7" fillId="0" borderId="4" xfId="0" applyFont="1" applyBorder="1"/>
    <xf numFmtId="0" fontId="0" fillId="0" borderId="9" xfId="0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8" fillId="0" borderId="0" xfId="0" applyFont="1"/>
    <xf numFmtId="168" fontId="0" fillId="3" borderId="11" xfId="1" applyNumberFormat="1" applyFont="1" applyFill="1" applyBorder="1" applyAlignment="1">
      <alignment horizontal="center"/>
    </xf>
    <xf numFmtId="169" fontId="5" fillId="4" borderId="0" xfId="0" applyNumberFormat="1" applyFont="1" applyFill="1"/>
    <xf numFmtId="170" fontId="5" fillId="4" borderId="0" xfId="0" applyNumberFormat="1" applyFont="1" applyFill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9" fillId="0" borderId="0" xfId="0" applyFont="1"/>
    <xf numFmtId="9" fontId="9" fillId="0" borderId="0" xfId="1" applyFont="1"/>
    <xf numFmtId="168" fontId="0" fillId="3" borderId="11" xfId="1" applyNumberFormat="1" applyFont="1" applyFill="1" applyBorder="1" applyAlignment="1">
      <alignment horizontal="right"/>
    </xf>
    <xf numFmtId="0" fontId="2" fillId="6" borderId="6" xfId="0" applyFont="1" applyFill="1" applyBorder="1"/>
    <xf numFmtId="0" fontId="2" fillId="6" borderId="7" xfId="0" applyFont="1" applyFill="1" applyBorder="1"/>
    <xf numFmtId="164" fontId="2" fillId="6" borderId="7" xfId="0" applyNumberFormat="1" applyFont="1" applyFill="1" applyBorder="1"/>
    <xf numFmtId="164" fontId="2" fillId="6" borderId="8" xfId="0" applyNumberFormat="1" applyFont="1" applyFill="1" applyBorder="1"/>
    <xf numFmtId="168" fontId="9" fillId="0" borderId="0" xfId="1" applyNumberFormat="1" applyFont="1"/>
    <xf numFmtId="168" fontId="9" fillId="0" borderId="0" xfId="0" applyNumberFormat="1" applyFont="1"/>
    <xf numFmtId="171" fontId="0" fillId="0" borderId="0" xfId="0" applyNumberFormat="1"/>
    <xf numFmtId="164" fontId="2" fillId="6" borderId="12" xfId="0" applyNumberFormat="1" applyFont="1" applyFill="1" applyBorder="1"/>
    <xf numFmtId="164" fontId="2" fillId="6" borderId="13" xfId="0" applyNumberFormat="1" applyFont="1" applyFill="1" applyBorder="1"/>
    <xf numFmtId="164" fontId="2" fillId="6" borderId="14" xfId="0" applyNumberFormat="1" applyFont="1" applyFill="1" applyBorder="1"/>
    <xf numFmtId="164" fontId="2" fillId="6" borderId="3" xfId="0" applyNumberFormat="1" applyFont="1" applyFill="1" applyBorder="1"/>
    <xf numFmtId="164" fontId="2" fillId="6" borderId="4" xfId="0" applyNumberFormat="1" applyFont="1" applyFill="1" applyBorder="1"/>
    <xf numFmtId="164" fontId="2" fillId="6" borderId="5" xfId="0" applyNumberFormat="1" applyFont="1" applyFill="1" applyBorder="1"/>
    <xf numFmtId="164" fontId="0" fillId="0" borderId="4" xfId="0" applyNumberFormat="1" applyBorder="1"/>
    <xf numFmtId="164" fontId="0" fillId="0" borderId="7" xfId="0" applyNumberFormat="1" applyBorder="1"/>
    <xf numFmtId="0" fontId="0" fillId="7" borderId="12" xfId="0" applyFill="1" applyBorder="1"/>
    <xf numFmtId="2" fontId="10" fillId="7" borderId="13" xfId="0" applyNumberFormat="1" applyFont="1" applyFill="1" applyBorder="1"/>
    <xf numFmtId="10" fontId="5" fillId="7" borderId="13" xfId="0" applyNumberFormat="1" applyFont="1" applyFill="1" applyBorder="1"/>
    <xf numFmtId="168" fontId="5" fillId="7" borderId="0" xfId="0" applyNumberFormat="1" applyFont="1" applyFill="1"/>
    <xf numFmtId="14" fontId="0" fillId="3" borderId="10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9" fontId="0" fillId="3" borderId="11" xfId="1" applyFont="1" applyFill="1" applyBorder="1" applyAlignment="1">
      <alignment horizontal="center"/>
    </xf>
    <xf numFmtId="172" fontId="0" fillId="0" borderId="0" xfId="0" applyNumberFormat="1"/>
    <xf numFmtId="173" fontId="0" fillId="0" borderId="0" xfId="0" applyNumberFormat="1"/>
    <xf numFmtId="173" fontId="0" fillId="0" borderId="0" xfId="0" applyNumberFormat="1" applyAlignment="1">
      <alignment horizontal="right"/>
    </xf>
    <xf numFmtId="173" fontId="0" fillId="2" borderId="0" xfId="0" applyNumberFormat="1" applyFill="1"/>
    <xf numFmtId="173" fontId="0" fillId="0" borderId="0" xfId="1" applyNumberFormat="1" applyFont="1"/>
    <xf numFmtId="173" fontId="2" fillId="0" borderId="0" xfId="0" applyNumberFormat="1" applyFont="1"/>
    <xf numFmtId="171" fontId="0" fillId="0" borderId="0" xfId="0" applyNumberFormat="1" applyAlignment="1">
      <alignment horizontal="righ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 vertical="center" textRotation="90"/>
    </xf>
    <xf numFmtId="0" fontId="2" fillId="7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0</xdr:row>
      <xdr:rowOff>63500</xdr:rowOff>
    </xdr:from>
    <xdr:to>
      <xdr:col>19</xdr:col>
      <xdr:colOff>15875</xdr:colOff>
      <xdr:row>113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3B3E78-DDA6-4E04-465C-85756F7BC794}"/>
            </a:ext>
          </a:extLst>
        </xdr:cNvPr>
        <xdr:cNvCxnSpPr/>
      </xdr:nvCxnSpPr>
      <xdr:spPr>
        <a:xfrm>
          <a:off x="12420600" y="63500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0</xdr:row>
      <xdr:rowOff>28575</xdr:rowOff>
    </xdr:from>
    <xdr:to>
      <xdr:col>11</xdr:col>
      <xdr:colOff>15875</xdr:colOff>
      <xdr:row>113</xdr:row>
      <xdr:rowOff>41275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B7C7BF-8A6F-4B1D-9288-10510974E36F}"/>
            </a:ext>
          </a:extLst>
        </xdr:cNvPr>
        <xdr:cNvCxnSpPr/>
      </xdr:nvCxnSpPr>
      <xdr:spPr>
        <a:xfrm>
          <a:off x="7743825" y="28575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tex.com/itxcomweb/en/inves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93E-5163-482C-A654-07C73293509B}">
  <dimension ref="A1:K13"/>
  <sheetViews>
    <sheetView tabSelected="1" zoomScale="200" zoomScaleNormal="200" workbookViewId="0">
      <selection activeCell="A18" sqref="A18"/>
    </sheetView>
  </sheetViews>
  <sheetFormatPr defaultRowHeight="15" x14ac:dyDescent="0.25"/>
  <cols>
    <col min="1" max="1" width="3.5703125" customWidth="1"/>
    <col min="2" max="2" width="16.7109375" customWidth="1"/>
    <col min="4" max="4" width="15.42578125" customWidth="1"/>
    <col min="5" max="5" width="11.140625" customWidth="1"/>
    <col min="10" max="10" width="9" customWidth="1"/>
  </cols>
  <sheetData>
    <row r="1" spans="1:11" x14ac:dyDescent="0.25">
      <c r="A1" s="5" t="s">
        <v>0</v>
      </c>
    </row>
    <row r="2" spans="1:11" x14ac:dyDescent="0.25">
      <c r="A2" t="s">
        <v>187</v>
      </c>
    </row>
    <row r="3" spans="1:11" x14ac:dyDescent="0.25">
      <c r="I3" t="s">
        <v>1</v>
      </c>
      <c r="J3" s="3">
        <v>44.78</v>
      </c>
    </row>
    <row r="4" spans="1:11" x14ac:dyDescent="0.25">
      <c r="B4" t="s">
        <v>188</v>
      </c>
      <c r="C4" t="s">
        <v>128</v>
      </c>
      <c r="D4" s="24">
        <v>45323</v>
      </c>
      <c r="I4" t="s">
        <v>2</v>
      </c>
      <c r="J4" s="65">
        <v>3114.4529830000001</v>
      </c>
      <c r="K4" s="22" t="s">
        <v>11</v>
      </c>
    </row>
    <row r="5" spans="1:11" x14ac:dyDescent="0.25">
      <c r="B5" s="2" t="s">
        <v>91</v>
      </c>
      <c r="C5" t="s">
        <v>129</v>
      </c>
      <c r="D5" s="24">
        <v>45322</v>
      </c>
      <c r="I5" t="s">
        <v>3</v>
      </c>
      <c r="J5" s="65">
        <f>J4*J3</f>
        <v>139465.20457874</v>
      </c>
    </row>
    <row r="6" spans="1:11" x14ac:dyDescent="0.25">
      <c r="I6" t="s">
        <v>4</v>
      </c>
      <c r="J6" s="65">
        <f>6382+5120</f>
        <v>11502</v>
      </c>
      <c r="K6" s="22" t="s">
        <v>11</v>
      </c>
    </row>
    <row r="7" spans="1:11" x14ac:dyDescent="0.25">
      <c r="B7" s="17" t="s">
        <v>92</v>
      </c>
      <c r="C7" s="15" t="s">
        <v>93</v>
      </c>
      <c r="D7" s="20" t="s">
        <v>96</v>
      </c>
      <c r="E7" s="15" t="s">
        <v>94</v>
      </c>
      <c r="F7" s="15" t="s">
        <v>95</v>
      </c>
      <c r="G7" s="16"/>
      <c r="I7" t="s">
        <v>5</v>
      </c>
      <c r="J7" s="65">
        <v>7</v>
      </c>
      <c r="K7" s="22" t="s">
        <v>11</v>
      </c>
    </row>
    <row r="8" spans="1:11" x14ac:dyDescent="0.25">
      <c r="B8" s="10" t="s">
        <v>16</v>
      </c>
      <c r="C8" s="18">
        <f>Model!R15/Model!$R$22</f>
        <v>0.72467799816396361</v>
      </c>
      <c r="D8" t="s">
        <v>143</v>
      </c>
      <c r="G8" s="11"/>
      <c r="I8" t="s">
        <v>6</v>
      </c>
      <c r="J8" s="65">
        <f>J5-J6+J7</f>
        <v>127970.20457874</v>
      </c>
    </row>
    <row r="9" spans="1:11" x14ac:dyDescent="0.25">
      <c r="B9" s="10" t="s">
        <v>17</v>
      </c>
      <c r="C9" s="18">
        <f>Model!R16/Model!$R$22</f>
        <v>6.5624391465212678E-2</v>
      </c>
      <c r="D9" t="s">
        <v>143</v>
      </c>
      <c r="G9" s="11"/>
    </row>
    <row r="10" spans="1:11" x14ac:dyDescent="0.25">
      <c r="B10" s="10" t="s">
        <v>18</v>
      </c>
      <c r="C10" s="18">
        <f>Model!R17/Model!$R$22</f>
        <v>5.1158650235068298E-2</v>
      </c>
      <c r="D10" t="s">
        <v>143</v>
      </c>
      <c r="G10" s="11"/>
      <c r="I10" t="s">
        <v>189</v>
      </c>
    </row>
    <row r="11" spans="1:11" x14ac:dyDescent="0.25">
      <c r="B11" s="10" t="s">
        <v>19</v>
      </c>
      <c r="C11" s="18">
        <f>Model!R18/Model!$R$22</f>
        <v>7.2912899546554652E-2</v>
      </c>
      <c r="D11" t="s">
        <v>143</v>
      </c>
      <c r="G11" s="11"/>
      <c r="J11" s="4"/>
    </row>
    <row r="12" spans="1:11" x14ac:dyDescent="0.25">
      <c r="B12" s="10" t="s">
        <v>20</v>
      </c>
      <c r="C12" s="18">
        <f>Model!R19/Model!$R$22</f>
        <v>6.4928923136840344E-2</v>
      </c>
      <c r="D12" t="s">
        <v>143</v>
      </c>
      <c r="G12" s="11"/>
      <c r="I12" s="3"/>
      <c r="K12" s="3"/>
    </row>
    <row r="13" spans="1:11" x14ac:dyDescent="0.25">
      <c r="B13" s="12" t="s">
        <v>21</v>
      </c>
      <c r="C13" s="19">
        <f>Model!R20/Model!$R$22</f>
        <v>2.0697137452360421E-2</v>
      </c>
      <c r="D13" s="13" t="s">
        <v>143</v>
      </c>
      <c r="E13" s="13"/>
      <c r="F13" s="13"/>
      <c r="G13" s="14"/>
    </row>
  </sheetData>
  <hyperlinks>
    <hyperlink ref="B5" r:id="rId1" display="Investores" xr:uid="{F6BE6CB2-628B-4D71-B3EB-E13245295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ABEB-D09F-4AA0-ADD3-13F567FA4650}">
  <dimension ref="A1:AM128"/>
  <sheetViews>
    <sheetView zoomScale="200" zoomScaleNormal="200" workbookViewId="0">
      <pane xSplit="2" ySplit="2" topLeftCell="S13" activePane="bottomRight" state="frozen"/>
      <selection pane="topRight" activeCell="C1" sqref="C1"/>
      <selection pane="bottomLeft" activeCell="A3" sqref="A3"/>
      <selection pane="bottomRight" activeCell="S1" sqref="S1"/>
    </sheetView>
  </sheetViews>
  <sheetFormatPr defaultRowHeight="15" x14ac:dyDescent="0.25"/>
  <cols>
    <col min="1" max="1" width="5.140625" customWidth="1"/>
    <col min="2" max="2" width="32.42578125" style="3" customWidth="1"/>
    <col min="3" max="18" width="8.7109375" style="3"/>
  </cols>
  <sheetData>
    <row r="1" spans="1:26" x14ac:dyDescent="0.25">
      <c r="A1" s="2" t="s">
        <v>90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26" x14ac:dyDescent="0.25">
      <c r="B2"/>
      <c r="C2"/>
      <c r="D2" s="22" t="s">
        <v>8</v>
      </c>
      <c r="E2" s="22" t="s">
        <v>9</v>
      </c>
      <c r="F2" s="22" t="s">
        <v>10</v>
      </c>
      <c r="G2" s="22" t="s">
        <v>12</v>
      </c>
      <c r="H2" s="22" t="s">
        <v>13</v>
      </c>
      <c r="I2" s="22" t="s">
        <v>14</v>
      </c>
      <c r="J2" s="22" t="s">
        <v>15</v>
      </c>
      <c r="K2" s="22" t="s">
        <v>11</v>
      </c>
      <c r="L2"/>
      <c r="M2" s="21">
        <v>18</v>
      </c>
      <c r="N2" s="21">
        <f>M2+1</f>
        <v>19</v>
      </c>
      <c r="O2" s="21">
        <f t="shared" ref="O2:X2" si="0">N2+1</f>
        <v>20</v>
      </c>
      <c r="P2" s="21">
        <f t="shared" si="0"/>
        <v>21</v>
      </c>
      <c r="Q2" s="21">
        <f t="shared" si="0"/>
        <v>22</v>
      </c>
      <c r="R2" s="21">
        <f t="shared" si="0"/>
        <v>23</v>
      </c>
      <c r="S2" s="21">
        <f t="shared" si="0"/>
        <v>24</v>
      </c>
      <c r="T2" s="21">
        <f t="shared" si="0"/>
        <v>25</v>
      </c>
      <c r="U2" s="21">
        <f t="shared" si="0"/>
        <v>26</v>
      </c>
      <c r="V2" s="21">
        <f t="shared" si="0"/>
        <v>27</v>
      </c>
      <c r="W2" s="21">
        <f t="shared" si="0"/>
        <v>28</v>
      </c>
      <c r="X2" s="21">
        <f t="shared" si="0"/>
        <v>29</v>
      </c>
      <c r="Y2" s="21"/>
    </row>
    <row r="3" spans="1:26" x14ac:dyDescent="0.25">
      <c r="B3" s="3" t="s">
        <v>135</v>
      </c>
      <c r="C3" s="66"/>
      <c r="D3" s="66">
        <v>5801</v>
      </c>
      <c r="E3" s="66">
        <v>5745</v>
      </c>
      <c r="F3" s="66"/>
      <c r="G3" s="66"/>
      <c r="H3" s="66">
        <v>5698</v>
      </c>
      <c r="I3" s="66">
        <v>5667</v>
      </c>
      <c r="J3" s="66">
        <v>5659</v>
      </c>
      <c r="K3" s="66">
        <v>5563</v>
      </c>
      <c r="L3" s="66"/>
      <c r="M3" s="66">
        <v>7490</v>
      </c>
      <c r="N3" s="66">
        <v>7469</v>
      </c>
      <c r="O3" s="66">
        <v>6829</v>
      </c>
      <c r="P3" s="66">
        <v>6477</v>
      </c>
      <c r="Q3" s="66">
        <v>5815</v>
      </c>
      <c r="R3" s="66">
        <v>5692</v>
      </c>
      <c r="S3" s="66">
        <v>5563</v>
      </c>
      <c r="T3" s="66">
        <f>S3*0.97</f>
        <v>5396.11</v>
      </c>
      <c r="U3" s="66">
        <f t="shared" ref="U3:X3" si="1">T3*0.97</f>
        <v>5234.2266999999993</v>
      </c>
      <c r="V3" s="66">
        <f t="shared" si="1"/>
        <v>5077.1998989999993</v>
      </c>
      <c r="W3" s="66">
        <f t="shared" si="1"/>
        <v>4924.8839020299993</v>
      </c>
      <c r="X3" s="66">
        <f t="shared" si="1"/>
        <v>4777.137384969099</v>
      </c>
      <c r="Y3" s="66"/>
      <c r="Z3" s="66"/>
    </row>
    <row r="4" spans="1:26" x14ac:dyDescent="0.25">
      <c r="B4" s="3" t="s">
        <v>142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>
        <v>4962.0810000000001</v>
      </c>
      <c r="N4" s="66">
        <v>5086.732</v>
      </c>
      <c r="O4" s="66">
        <v>4826.5559999999996</v>
      </c>
      <c r="P4" s="66">
        <v>4742.1570000000002</v>
      </c>
      <c r="Q4" s="66">
        <v>4473.3580000000002</v>
      </c>
      <c r="R4" s="66">
        <v>4557.17</v>
      </c>
      <c r="S4" s="66">
        <v>5650.5749999999998</v>
      </c>
      <c r="T4" s="66"/>
      <c r="U4" s="66"/>
      <c r="V4" s="66"/>
      <c r="W4" s="66"/>
      <c r="X4" s="66"/>
      <c r="Y4" s="66"/>
      <c r="Z4" s="66"/>
    </row>
    <row r="5" spans="1:26" x14ac:dyDescent="0.25">
      <c r="B5" s="3" t="s">
        <v>137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>
        <f t="shared" ref="M5:S5" si="2">M22-M8</f>
        <v>22945</v>
      </c>
      <c r="N5" s="66">
        <f t="shared" si="2"/>
        <v>24387</v>
      </c>
      <c r="O5" s="66">
        <f t="shared" si="2"/>
        <v>13802</v>
      </c>
      <c r="P5" s="66">
        <f t="shared" si="2"/>
        <v>20216</v>
      </c>
      <c r="Q5" s="66">
        <f t="shared" si="2"/>
        <v>24769</v>
      </c>
      <c r="R5" s="66">
        <f t="shared" si="2"/>
        <v>26847</v>
      </c>
      <c r="S5" s="66">
        <f t="shared" si="2"/>
        <v>28432</v>
      </c>
      <c r="T5" s="66">
        <f t="shared" ref="T5:X5" si="3">T6*T3</f>
        <v>28957.991999999998</v>
      </c>
      <c r="U5" s="66">
        <f t="shared" si="3"/>
        <v>29493.714852000001</v>
      </c>
      <c r="V5" s="66">
        <f t="shared" si="3"/>
        <v>30039.348576762</v>
      </c>
      <c r="W5" s="66">
        <f t="shared" si="3"/>
        <v>30595.076525432101</v>
      </c>
      <c r="X5" s="66">
        <f t="shared" si="3"/>
        <v>31161.085441152594</v>
      </c>
      <c r="Y5" s="66"/>
      <c r="Z5" s="66"/>
    </row>
    <row r="6" spans="1:26" x14ac:dyDescent="0.25">
      <c r="B6" s="3" t="s">
        <v>138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>
        <f t="shared" ref="M6:Q6" si="4">M5/M3</f>
        <v>3.0634178905206944</v>
      </c>
      <c r="N6" s="66">
        <f t="shared" si="4"/>
        <v>3.2650957290132547</v>
      </c>
      <c r="O6" s="66">
        <f t="shared" si="4"/>
        <v>2.0210865426856057</v>
      </c>
      <c r="P6" s="66">
        <f t="shared" si="4"/>
        <v>3.1211980855334258</v>
      </c>
      <c r="Q6" s="66">
        <f t="shared" si="4"/>
        <v>4.2595012897678419</v>
      </c>
      <c r="R6" s="66">
        <f>R5/R3</f>
        <v>4.7166198172874205</v>
      </c>
      <c r="S6" s="66">
        <f>S5/S3</f>
        <v>5.1109113787524718</v>
      </c>
      <c r="T6" s="66">
        <f t="shared" ref="T6:X6" si="5">S6*1.05</f>
        <v>5.3664569476900956</v>
      </c>
      <c r="U6" s="66">
        <f t="shared" si="5"/>
        <v>5.6347797950746008</v>
      </c>
      <c r="V6" s="66">
        <f t="shared" si="5"/>
        <v>5.9165187848283312</v>
      </c>
      <c r="W6" s="66">
        <f t="shared" si="5"/>
        <v>6.212344724069748</v>
      </c>
      <c r="X6" s="66">
        <f t="shared" si="5"/>
        <v>6.5229619602732356</v>
      </c>
      <c r="Y6" s="66"/>
      <c r="Z6" s="66"/>
    </row>
    <row r="7" spans="1:26" x14ac:dyDescent="0.25">
      <c r="B7" s="3" t="s">
        <v>141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>
        <f t="shared" ref="M7:Q7" si="6">M5/M4</f>
        <v>4.6240680069511155</v>
      </c>
      <c r="N7" s="66">
        <f t="shared" si="6"/>
        <v>4.7942372430865241</v>
      </c>
      <c r="O7" s="66">
        <f t="shared" si="6"/>
        <v>2.8595959520618845</v>
      </c>
      <c r="P7" s="66">
        <f t="shared" si="6"/>
        <v>4.2630389504185544</v>
      </c>
      <c r="Q7" s="66">
        <f t="shared" si="6"/>
        <v>5.5370037452848617</v>
      </c>
      <c r="R7" s="66">
        <f>R5/R4</f>
        <v>5.8911561341797647</v>
      </c>
      <c r="S7" s="66">
        <f>S5/S4</f>
        <v>5.0317003136848903</v>
      </c>
      <c r="T7" s="66"/>
      <c r="U7" s="66"/>
      <c r="V7" s="66"/>
      <c r="W7" s="66"/>
      <c r="X7" s="66"/>
      <c r="Y7" s="66"/>
      <c r="Z7" s="66"/>
    </row>
    <row r="8" spans="1:26" x14ac:dyDescent="0.25">
      <c r="B8" t="s">
        <v>131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>
        <v>3200</v>
      </c>
      <c r="N8" s="66">
        <v>3900</v>
      </c>
      <c r="O8" s="66">
        <v>6600</v>
      </c>
      <c r="P8" s="66">
        <v>7500</v>
      </c>
      <c r="Q8" s="66">
        <v>7800</v>
      </c>
      <c r="R8" s="66">
        <v>9100</v>
      </c>
      <c r="S8" s="66">
        <v>10200</v>
      </c>
      <c r="T8" s="66">
        <f t="shared" ref="T8:X8" si="7">T10*T13</f>
        <v>10714.08</v>
      </c>
      <c r="U8" s="66">
        <f t="shared" si="7"/>
        <v>11254.069632000001</v>
      </c>
      <c r="V8" s="66">
        <f t="shared" si="7"/>
        <v>11821.2747414528</v>
      </c>
      <c r="W8" s="66">
        <f t="shared" si="7"/>
        <v>12417.066988422022</v>
      </c>
      <c r="X8" s="66">
        <f t="shared" si="7"/>
        <v>13042.887164638492</v>
      </c>
      <c r="Y8" s="66"/>
      <c r="Z8" s="66"/>
    </row>
    <row r="9" spans="1:26" x14ac:dyDescent="0.25">
      <c r="B9" t="s">
        <v>134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7" t="s">
        <v>136</v>
      </c>
      <c r="N9" s="67" t="s">
        <v>136</v>
      </c>
      <c r="O9" s="66">
        <v>132</v>
      </c>
      <c r="P9" s="66">
        <v>146</v>
      </c>
      <c r="Q9" s="66">
        <v>149</v>
      </c>
      <c r="R9" s="66">
        <v>152</v>
      </c>
      <c r="S9" s="66">
        <v>218</v>
      </c>
      <c r="T9" s="66"/>
      <c r="U9" s="66"/>
      <c r="V9" s="66"/>
      <c r="W9" s="66"/>
      <c r="X9" s="66"/>
      <c r="Y9" s="66"/>
      <c r="Z9" s="66"/>
    </row>
    <row r="10" spans="1:26" x14ac:dyDescent="0.25">
      <c r="B10" s="3" t="s">
        <v>132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7" t="s">
        <v>136</v>
      </c>
      <c r="N10" s="67" t="s">
        <v>136</v>
      </c>
      <c r="O10" s="66">
        <v>5300</v>
      </c>
      <c r="P10" s="66">
        <v>6200</v>
      </c>
      <c r="Q10" s="68">
        <f>R10/1.1</f>
        <v>5909.090909090909</v>
      </c>
      <c r="R10" s="66">
        <v>6500</v>
      </c>
      <c r="S10" s="66">
        <v>8100</v>
      </c>
      <c r="T10" s="66">
        <f t="shared" ref="T10:X10" si="8">S10*1.01</f>
        <v>8181</v>
      </c>
      <c r="U10" s="66">
        <f t="shared" si="8"/>
        <v>8262.81</v>
      </c>
      <c r="V10" s="66">
        <f t="shared" si="8"/>
        <v>8345.4380999999994</v>
      </c>
      <c r="W10" s="66">
        <f t="shared" si="8"/>
        <v>8428.892480999999</v>
      </c>
      <c r="X10" s="66">
        <f t="shared" si="8"/>
        <v>8513.181405809999</v>
      </c>
      <c r="Y10" s="66"/>
      <c r="Z10" s="66"/>
    </row>
    <row r="11" spans="1:26" x14ac:dyDescent="0.25">
      <c r="B11" s="3" t="s">
        <v>133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71" t="s">
        <v>136</v>
      </c>
      <c r="N11" s="71" t="s">
        <v>136</v>
      </c>
      <c r="O11" s="49">
        <v>200</v>
      </c>
      <c r="P11" s="49">
        <v>228</v>
      </c>
      <c r="Q11" s="49">
        <v>240</v>
      </c>
      <c r="R11" s="49">
        <v>251</v>
      </c>
      <c r="S11" s="49">
        <v>257</v>
      </c>
      <c r="T11" s="49"/>
      <c r="U11" s="49"/>
      <c r="V11" s="49"/>
      <c r="W11" s="49"/>
      <c r="X11" s="49"/>
      <c r="Y11" s="49"/>
      <c r="Z11" s="49"/>
    </row>
    <row r="12" spans="1:26" x14ac:dyDescent="0.25">
      <c r="B12" s="3" t="s">
        <v>140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71" t="s">
        <v>136</v>
      </c>
      <c r="N12" s="71" t="s">
        <v>136</v>
      </c>
      <c r="O12" s="49">
        <f t="shared" ref="O12:Q12" si="9">O8/O9</f>
        <v>50</v>
      </c>
      <c r="P12" s="49">
        <f t="shared" si="9"/>
        <v>51.369863013698627</v>
      </c>
      <c r="Q12" s="49">
        <f t="shared" si="9"/>
        <v>52.348993288590606</v>
      </c>
      <c r="R12" s="49">
        <f>R8/R9</f>
        <v>59.868421052631582</v>
      </c>
      <c r="S12" s="49">
        <f>S8/S9</f>
        <v>46.788990825688074</v>
      </c>
      <c r="T12" s="49"/>
      <c r="U12" s="49"/>
      <c r="V12" s="49"/>
      <c r="W12" s="49"/>
      <c r="X12" s="49"/>
      <c r="Y12" s="49"/>
      <c r="Z12" s="49"/>
    </row>
    <row r="13" spans="1:26" x14ac:dyDescent="0.25">
      <c r="B13" s="3" t="s">
        <v>139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71" t="s">
        <v>136</v>
      </c>
      <c r="N13" s="71" t="s">
        <v>136</v>
      </c>
      <c r="O13" s="49">
        <f t="shared" ref="O13:Q13" si="10">O8/O10</f>
        <v>1.2452830188679245</v>
      </c>
      <c r="P13" s="49">
        <f t="shared" si="10"/>
        <v>1.2096774193548387</v>
      </c>
      <c r="Q13" s="49">
        <f t="shared" si="10"/>
        <v>1.32</v>
      </c>
      <c r="R13" s="49">
        <f>R8/R10</f>
        <v>1.4</v>
      </c>
      <c r="S13" s="49">
        <f>S8/S10</f>
        <v>1.2592592592592593</v>
      </c>
      <c r="T13" s="49">
        <f t="shared" ref="T13:W13" si="11">S13*1.04</f>
        <v>1.3096296296296297</v>
      </c>
      <c r="U13" s="49">
        <f t="shared" si="11"/>
        <v>1.362014814814815</v>
      </c>
      <c r="V13" s="49">
        <f t="shared" si="11"/>
        <v>1.4164954074074076</v>
      </c>
      <c r="W13" s="49">
        <f t="shared" si="11"/>
        <v>1.473155223703704</v>
      </c>
      <c r="X13" s="49">
        <f>W13*1.04</f>
        <v>1.5320814326518521</v>
      </c>
      <c r="Y13" s="49"/>
      <c r="Z13" s="49"/>
    </row>
    <row r="14" spans="1:26" x14ac:dyDescent="0.25"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9"/>
      <c r="O14" s="69"/>
      <c r="P14" s="69"/>
      <c r="Q14" s="69"/>
      <c r="R14" s="69"/>
      <c r="S14" s="66"/>
      <c r="T14" s="66"/>
      <c r="U14" s="66"/>
      <c r="V14" s="66"/>
      <c r="W14" s="66"/>
      <c r="X14" s="66"/>
      <c r="Y14" s="66"/>
      <c r="Z14" s="66"/>
    </row>
    <row r="15" spans="1:26" x14ac:dyDescent="0.25">
      <c r="B15" s="3" t="s">
        <v>16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>
        <v>18021</v>
      </c>
      <c r="N15" s="66">
        <v>19564</v>
      </c>
      <c r="O15" s="66">
        <v>14129</v>
      </c>
      <c r="P15" s="66">
        <v>19586</v>
      </c>
      <c r="Q15" s="66">
        <v>23761</v>
      </c>
      <c r="R15" s="66">
        <v>26050</v>
      </c>
      <c r="S15" s="66">
        <v>27778</v>
      </c>
      <c r="T15" s="66"/>
      <c r="U15" s="66"/>
      <c r="V15" s="66"/>
      <c r="W15" s="66"/>
      <c r="X15" s="66"/>
      <c r="Y15" s="66"/>
      <c r="Z15" s="66"/>
    </row>
    <row r="16" spans="1:26" x14ac:dyDescent="0.25">
      <c r="B16" s="3" t="s">
        <v>17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>
        <v>1862</v>
      </c>
      <c r="N16" s="66">
        <v>1970</v>
      </c>
      <c r="O16" s="66">
        <v>1425</v>
      </c>
      <c r="P16" s="66">
        <v>1876</v>
      </c>
      <c r="Q16" s="66">
        <v>2152</v>
      </c>
      <c r="R16" s="66">
        <v>2359</v>
      </c>
      <c r="S16" s="66">
        <v>2469</v>
      </c>
      <c r="T16" s="66"/>
      <c r="U16" s="66"/>
      <c r="V16" s="66"/>
      <c r="W16" s="66"/>
      <c r="X16" s="66"/>
      <c r="Y16" s="66"/>
      <c r="Z16" s="66"/>
    </row>
    <row r="17" spans="2:26" x14ac:dyDescent="0.25">
      <c r="B17" s="3" t="s">
        <v>18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>
        <v>1802</v>
      </c>
      <c r="N17" s="66">
        <v>1900</v>
      </c>
      <c r="O17" s="66">
        <v>1271</v>
      </c>
      <c r="P17" s="66">
        <v>1653</v>
      </c>
      <c r="Q17" s="66">
        <v>1593</v>
      </c>
      <c r="R17" s="66">
        <v>1839</v>
      </c>
      <c r="S17" s="66">
        <v>1960</v>
      </c>
      <c r="T17" s="66"/>
      <c r="U17" s="66"/>
      <c r="V17" s="66"/>
      <c r="W17" s="66"/>
      <c r="X17" s="66"/>
      <c r="Y17" s="66"/>
      <c r="Z17" s="66"/>
    </row>
    <row r="18" spans="2:26" x14ac:dyDescent="0.25">
      <c r="B18" s="3" t="s">
        <v>19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>
        <v>2240</v>
      </c>
      <c r="N18" s="66">
        <v>2384</v>
      </c>
      <c r="O18" s="66">
        <v>1772</v>
      </c>
      <c r="P18" s="66">
        <v>2177</v>
      </c>
      <c r="Q18" s="66">
        <v>2384</v>
      </c>
      <c r="R18" s="66">
        <v>2621</v>
      </c>
      <c r="S18" s="66">
        <v>2930</v>
      </c>
      <c r="T18" s="66"/>
      <c r="U18" s="66"/>
      <c r="V18" s="66"/>
      <c r="W18" s="66"/>
      <c r="X18" s="66"/>
      <c r="Y18" s="66"/>
      <c r="Z18" s="66"/>
    </row>
    <row r="19" spans="2:26" x14ac:dyDescent="0.25">
      <c r="B19" s="3" t="s">
        <v>20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>
        <v>1534</v>
      </c>
      <c r="N19" s="66">
        <v>1750</v>
      </c>
      <c r="O19" s="66">
        <v>1283</v>
      </c>
      <c r="P19" s="66">
        <v>1824</v>
      </c>
      <c r="Q19" s="66">
        <v>2056</v>
      </c>
      <c r="R19" s="66">
        <v>2334</v>
      </c>
      <c r="S19" s="66">
        <v>2664</v>
      </c>
      <c r="T19" s="66"/>
      <c r="U19" s="66"/>
      <c r="V19" s="66"/>
      <c r="W19" s="66"/>
      <c r="X19" s="66"/>
      <c r="Y19" s="66"/>
      <c r="Z19" s="66"/>
    </row>
    <row r="20" spans="2:26" x14ac:dyDescent="0.25">
      <c r="B20" s="3" t="s">
        <v>21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>
        <v>585</v>
      </c>
      <c r="N20" s="66">
        <v>604</v>
      </c>
      <c r="O20" s="66">
        <v>522</v>
      </c>
      <c r="P20" s="66">
        <v>600</v>
      </c>
      <c r="Q20" s="66">
        <v>623</v>
      </c>
      <c r="R20" s="66">
        <v>744</v>
      </c>
      <c r="S20" s="66">
        <v>831</v>
      </c>
      <c r="T20" s="66"/>
      <c r="U20" s="66"/>
      <c r="V20" s="66"/>
      <c r="W20" s="66"/>
      <c r="X20" s="66"/>
      <c r="Y20" s="66"/>
      <c r="Z20" s="66"/>
    </row>
    <row r="21" spans="2:26" x14ac:dyDescent="0.25">
      <c r="B21" s="3" t="s">
        <v>97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>
        <v>101</v>
      </c>
      <c r="N21" s="66">
        <v>115</v>
      </c>
      <c r="O21" s="66">
        <v>0</v>
      </c>
      <c r="P21" s="66">
        <v>0</v>
      </c>
      <c r="Q21" s="66">
        <v>0</v>
      </c>
      <c r="R21" s="66">
        <v>0</v>
      </c>
      <c r="S21" s="66">
        <v>0</v>
      </c>
      <c r="T21" s="66"/>
      <c r="U21" s="66"/>
      <c r="V21" s="66"/>
      <c r="W21" s="66"/>
      <c r="X21" s="66"/>
      <c r="Y21" s="66"/>
      <c r="Z21" s="66"/>
    </row>
    <row r="22" spans="2:26" x14ac:dyDescent="0.25">
      <c r="B22" s="7" t="s">
        <v>7</v>
      </c>
      <c r="C22" s="66"/>
      <c r="D22" s="70">
        <v>7611</v>
      </c>
      <c r="E22" s="70">
        <v>9239</v>
      </c>
      <c r="F22" s="70">
        <v>8758</v>
      </c>
      <c r="G22" s="70">
        <v>10338</v>
      </c>
      <c r="H22" s="70">
        <v>8150</v>
      </c>
      <c r="I22" s="70">
        <f>18065-H22</f>
        <v>9915</v>
      </c>
      <c r="J22" s="70">
        <f>27422-SUM(H22:I22)</f>
        <v>9357</v>
      </c>
      <c r="K22" s="70">
        <v>11210</v>
      </c>
      <c r="L22" s="66"/>
      <c r="M22" s="70">
        <f t="shared" ref="M22:Q22" si="12">SUM(M15:M21)</f>
        <v>26145</v>
      </c>
      <c r="N22" s="70">
        <f t="shared" si="12"/>
        <v>28287</v>
      </c>
      <c r="O22" s="70">
        <f t="shared" si="12"/>
        <v>20402</v>
      </c>
      <c r="P22" s="70">
        <f t="shared" si="12"/>
        <v>27716</v>
      </c>
      <c r="Q22" s="70">
        <f t="shared" si="12"/>
        <v>32569</v>
      </c>
      <c r="R22" s="70">
        <f>SUM(R15:R21)</f>
        <v>35947</v>
      </c>
      <c r="S22" s="70">
        <v>38632</v>
      </c>
      <c r="T22" s="70">
        <f>T5+T8</f>
        <v>39672.072</v>
      </c>
      <c r="U22" s="70">
        <f>U5+U8</f>
        <v>40747.784484000003</v>
      </c>
      <c r="V22" s="70">
        <f>V5+V8</f>
        <v>41860.623318214799</v>
      </c>
      <c r="W22" s="70">
        <f>W5+W8</f>
        <v>43012.143513854127</v>
      </c>
      <c r="X22" s="70">
        <f>X5+X8</f>
        <v>44203.972605791088</v>
      </c>
      <c r="Y22" s="66"/>
      <c r="Z22" s="66"/>
    </row>
    <row r="23" spans="2:26" x14ac:dyDescent="0.25">
      <c r="B23" s="3" t="s">
        <v>23</v>
      </c>
      <c r="C23" s="66"/>
      <c r="D23" s="66">
        <v>3008</v>
      </c>
      <c r="E23" s="66">
        <v>4042</v>
      </c>
      <c r="F23" s="66">
        <v>3356</v>
      </c>
      <c r="G23" s="66">
        <v>4780</v>
      </c>
      <c r="H23" s="66">
        <v>3210</v>
      </c>
      <c r="I23" s="66">
        <f>7524-H23</f>
        <v>4314</v>
      </c>
      <c r="J23" s="66">
        <f>11132-SUM(H23:I23)</f>
        <v>3608</v>
      </c>
      <c r="K23" s="66">
        <v>5157</v>
      </c>
      <c r="L23" s="66"/>
      <c r="M23" s="66">
        <v>11329</v>
      </c>
      <c r="N23" s="66">
        <v>12479</v>
      </c>
      <c r="O23" s="66">
        <v>9013</v>
      </c>
      <c r="P23" s="66">
        <v>11902</v>
      </c>
      <c r="Q23" s="66">
        <v>14011</v>
      </c>
      <c r="R23" s="66">
        <v>15186</v>
      </c>
      <c r="S23" s="66">
        <v>16288</v>
      </c>
      <c r="T23" s="66"/>
      <c r="U23" s="66"/>
      <c r="V23" s="66"/>
      <c r="W23" s="66"/>
      <c r="X23" s="66"/>
      <c r="Y23" s="66"/>
      <c r="Z23" s="66"/>
    </row>
    <row r="24" spans="2:26" x14ac:dyDescent="0.25">
      <c r="B24" s="3" t="s">
        <v>24</v>
      </c>
      <c r="C24" s="66"/>
      <c r="D24" s="66">
        <f t="shared" ref="D24:K24" si="13">D22-D23</f>
        <v>4603</v>
      </c>
      <c r="E24" s="66">
        <f t="shared" si="13"/>
        <v>5197</v>
      </c>
      <c r="F24" s="66">
        <f t="shared" si="13"/>
        <v>5402</v>
      </c>
      <c r="G24" s="66">
        <f t="shared" si="13"/>
        <v>5558</v>
      </c>
      <c r="H24" s="66">
        <f>H22-H23</f>
        <v>4940</v>
      </c>
      <c r="I24" s="66">
        <f>I22-I23</f>
        <v>5601</v>
      </c>
      <c r="J24" s="66">
        <f t="shared" si="13"/>
        <v>5749</v>
      </c>
      <c r="K24" s="66">
        <f t="shared" si="13"/>
        <v>6053</v>
      </c>
      <c r="L24" s="66"/>
      <c r="M24" s="66">
        <f t="shared" ref="M24:Q24" si="14">M22-M23</f>
        <v>14816</v>
      </c>
      <c r="N24" s="66">
        <f t="shared" si="14"/>
        <v>15808</v>
      </c>
      <c r="O24" s="66">
        <f t="shared" si="14"/>
        <v>11389</v>
      </c>
      <c r="P24" s="66">
        <f t="shared" si="14"/>
        <v>15814</v>
      </c>
      <c r="Q24" s="66">
        <f t="shared" si="14"/>
        <v>18558</v>
      </c>
      <c r="R24" s="66">
        <f>R22-R23</f>
        <v>20761</v>
      </c>
      <c r="S24" s="66">
        <f>S22-S23</f>
        <v>22344</v>
      </c>
      <c r="T24" s="66"/>
      <c r="U24" s="66"/>
      <c r="V24" s="66"/>
      <c r="W24" s="66"/>
      <c r="X24" s="66"/>
      <c r="Y24" s="66"/>
      <c r="Z24" s="66"/>
    </row>
    <row r="25" spans="2:26" x14ac:dyDescent="0.25">
      <c r="B25" s="3" t="s">
        <v>26</v>
      </c>
      <c r="C25" s="66"/>
      <c r="D25" s="66">
        <v>2398</v>
      </c>
      <c r="E25" s="66">
        <v>2718</v>
      </c>
      <c r="F25" s="66">
        <v>2617</v>
      </c>
      <c r="G25" s="66">
        <v>3120</v>
      </c>
      <c r="H25" s="66">
        <v>2553</v>
      </c>
      <c r="I25" s="66">
        <f>5467-H25</f>
        <v>2914</v>
      </c>
      <c r="J25" s="66">
        <f>8276-SUM(H25:I25)</f>
        <v>2809</v>
      </c>
      <c r="K25" s="66">
        <v>3278</v>
      </c>
      <c r="L25" s="66"/>
      <c r="M25" s="66">
        <v>9329</v>
      </c>
      <c r="N25" s="66">
        <v>8176</v>
      </c>
      <c r="O25" s="66">
        <v>6807</v>
      </c>
      <c r="P25" s="66">
        <v>8596</v>
      </c>
      <c r="Q25" s="66">
        <v>9867</v>
      </c>
      <c r="R25" s="66">
        <v>10853</v>
      </c>
      <c r="S25" s="66">
        <v>11555</v>
      </c>
      <c r="T25" s="66"/>
      <c r="U25" s="66"/>
      <c r="V25" s="66"/>
      <c r="W25" s="66"/>
      <c r="X25" s="66"/>
      <c r="Y25" s="66"/>
      <c r="Z25" s="66"/>
    </row>
    <row r="26" spans="2:26" x14ac:dyDescent="0.25">
      <c r="B26" s="3" t="s">
        <v>27</v>
      </c>
      <c r="C26" s="66"/>
      <c r="D26" s="66">
        <v>-10</v>
      </c>
      <c r="E26" s="66">
        <v>-12</v>
      </c>
      <c r="F26" s="66">
        <v>-19</v>
      </c>
      <c r="G26" s="66">
        <v>-18</v>
      </c>
      <c r="H26" s="66">
        <v>-17</v>
      </c>
      <c r="I26" s="66">
        <f>-34-H26</f>
        <v>-17</v>
      </c>
      <c r="J26" s="66">
        <f>-48-I26-H26</f>
        <v>-14</v>
      </c>
      <c r="K26" s="66">
        <v>-13</v>
      </c>
      <c r="L26" s="66"/>
      <c r="M26" s="66">
        <v>-30</v>
      </c>
      <c r="N26" s="66">
        <v>-33</v>
      </c>
      <c r="O26" s="66">
        <v>-31</v>
      </c>
      <c r="P26" s="66">
        <v>-35</v>
      </c>
      <c r="Q26" s="66">
        <v>-43</v>
      </c>
      <c r="R26" s="66">
        <v>-59</v>
      </c>
      <c r="S26" s="66">
        <v>-60</v>
      </c>
      <c r="T26" s="66"/>
      <c r="U26" s="66"/>
      <c r="V26" s="66"/>
      <c r="W26" s="66"/>
      <c r="X26" s="66"/>
      <c r="Y26" s="66"/>
      <c r="Z26" s="66"/>
    </row>
    <row r="27" spans="2:26" x14ac:dyDescent="0.25">
      <c r="B27" s="3" t="s">
        <v>25</v>
      </c>
      <c r="C27" s="66"/>
      <c r="D27" s="66">
        <f t="shared" ref="D27:K27" si="15">D24-D25+D26</f>
        <v>2195</v>
      </c>
      <c r="E27" s="66">
        <f t="shared" si="15"/>
        <v>2467</v>
      </c>
      <c r="F27" s="66">
        <f t="shared" si="15"/>
        <v>2766</v>
      </c>
      <c r="G27" s="66">
        <f t="shared" si="15"/>
        <v>2420</v>
      </c>
      <c r="H27" s="66">
        <f t="shared" si="15"/>
        <v>2370</v>
      </c>
      <c r="I27" s="66">
        <f>I24-I25+I26</f>
        <v>2670</v>
      </c>
      <c r="J27" s="66">
        <f t="shared" si="15"/>
        <v>2926</v>
      </c>
      <c r="K27" s="66">
        <f t="shared" si="15"/>
        <v>2762</v>
      </c>
      <c r="L27" s="66"/>
      <c r="M27" s="66">
        <f t="shared" ref="M27:Q27" si="16">M24-M25+M26</f>
        <v>5457</v>
      </c>
      <c r="N27" s="66">
        <f t="shared" si="16"/>
        <v>7599</v>
      </c>
      <c r="O27" s="66">
        <f t="shared" si="16"/>
        <v>4551</v>
      </c>
      <c r="P27" s="66">
        <f t="shared" si="16"/>
        <v>7183</v>
      </c>
      <c r="Q27" s="66">
        <f t="shared" si="16"/>
        <v>8648</v>
      </c>
      <c r="R27" s="66">
        <f>R24-R25+R26</f>
        <v>9849</v>
      </c>
      <c r="S27" s="66">
        <f>S24-S25+S26</f>
        <v>10729</v>
      </c>
      <c r="T27" s="66"/>
      <c r="U27" s="66"/>
      <c r="V27" s="66"/>
      <c r="W27" s="66"/>
      <c r="X27" s="66"/>
      <c r="Y27" s="66"/>
      <c r="Z27" s="66"/>
    </row>
    <row r="28" spans="2:26" x14ac:dyDescent="0.25">
      <c r="B28" s="3" t="s">
        <v>29</v>
      </c>
      <c r="C28" s="66"/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6"/>
      <c r="M28" s="66">
        <v>0</v>
      </c>
      <c r="N28" s="66">
        <v>0</v>
      </c>
      <c r="O28" s="66">
        <v>0</v>
      </c>
      <c r="P28" s="66">
        <v>0</v>
      </c>
      <c r="Q28" s="66">
        <v>-231</v>
      </c>
      <c r="R28" s="66">
        <v>0</v>
      </c>
      <c r="S28" s="66">
        <v>0</v>
      </c>
      <c r="T28" s="66"/>
      <c r="U28" s="66"/>
      <c r="V28" s="66"/>
      <c r="W28" s="66"/>
      <c r="X28" s="66"/>
      <c r="Y28" s="66"/>
      <c r="Z28" s="66"/>
    </row>
    <row r="29" spans="2:26" x14ac:dyDescent="0.25">
      <c r="B29" s="3" t="s">
        <v>28</v>
      </c>
      <c r="C29" s="66"/>
      <c r="D29" s="66">
        <v>712</v>
      </c>
      <c r="E29" s="66">
        <v>786</v>
      </c>
      <c r="F29" s="66">
        <v>739</v>
      </c>
      <c r="G29" s="66">
        <v>804</v>
      </c>
      <c r="H29" s="66">
        <v>734</v>
      </c>
      <c r="I29" s="66">
        <f>1499-H29</f>
        <v>765</v>
      </c>
      <c r="J29" s="66">
        <v>794</v>
      </c>
      <c r="K29" s="66">
        <v>880</v>
      </c>
      <c r="L29" s="66"/>
      <c r="M29" s="66">
        <v>1100</v>
      </c>
      <c r="N29" s="66">
        <v>2826</v>
      </c>
      <c r="O29" s="66">
        <v>3045</v>
      </c>
      <c r="P29" s="66">
        <v>2901</v>
      </c>
      <c r="Q29" s="66">
        <v>2899</v>
      </c>
      <c r="R29" s="66">
        <v>3041</v>
      </c>
      <c r="S29" s="66">
        <v>3174</v>
      </c>
      <c r="T29" s="66"/>
      <c r="U29" s="66"/>
      <c r="V29" s="66"/>
      <c r="W29" s="66"/>
      <c r="X29" s="66"/>
      <c r="Y29" s="66"/>
      <c r="Z29" s="66"/>
    </row>
    <row r="30" spans="2:26" x14ac:dyDescent="0.25">
      <c r="B30" s="3" t="s">
        <v>30</v>
      </c>
      <c r="C30" s="66"/>
      <c r="D30" s="66">
        <f t="shared" ref="D30:K30" si="17">D27+D28-D29</f>
        <v>1483</v>
      </c>
      <c r="E30" s="66">
        <f t="shared" si="17"/>
        <v>1681</v>
      </c>
      <c r="F30" s="66">
        <f t="shared" si="17"/>
        <v>2027</v>
      </c>
      <c r="G30" s="66">
        <f t="shared" si="17"/>
        <v>1616</v>
      </c>
      <c r="H30" s="66">
        <f t="shared" si="17"/>
        <v>1636</v>
      </c>
      <c r="I30" s="66">
        <f t="shared" si="17"/>
        <v>1905</v>
      </c>
      <c r="J30" s="66">
        <f t="shared" si="17"/>
        <v>2132</v>
      </c>
      <c r="K30" s="66">
        <f t="shared" si="17"/>
        <v>1882</v>
      </c>
      <c r="L30" s="66"/>
      <c r="M30" s="66">
        <f t="shared" ref="M30:Q30" si="18">M27+M28-M29</f>
        <v>4357</v>
      </c>
      <c r="N30" s="66">
        <f t="shared" si="18"/>
        <v>4773</v>
      </c>
      <c r="O30" s="66">
        <f t="shared" si="18"/>
        <v>1506</v>
      </c>
      <c r="P30" s="66">
        <f t="shared" si="18"/>
        <v>4282</v>
      </c>
      <c r="Q30" s="66">
        <f t="shared" si="18"/>
        <v>5518</v>
      </c>
      <c r="R30" s="66">
        <f>R27+R28-R29</f>
        <v>6808</v>
      </c>
      <c r="S30" s="66">
        <f>S27+S28-S29</f>
        <v>7555</v>
      </c>
      <c r="T30" s="66"/>
      <c r="U30" s="66"/>
      <c r="V30" s="66"/>
      <c r="W30" s="66"/>
      <c r="X30" s="66"/>
      <c r="Y30" s="66"/>
      <c r="Z30" s="66"/>
    </row>
    <row r="31" spans="2:26" x14ac:dyDescent="0.25">
      <c r="B31" s="3" t="s">
        <v>31</v>
      </c>
      <c r="C31" s="66"/>
      <c r="D31" s="66">
        <v>10</v>
      </c>
      <c r="E31" s="66">
        <v>44</v>
      </c>
      <c r="F31" s="66">
        <v>-56</v>
      </c>
      <c r="G31" s="66">
        <v>-9</v>
      </c>
      <c r="H31" s="66">
        <v>21</v>
      </c>
      <c r="I31" s="66">
        <f>12-H31</f>
        <v>-9</v>
      </c>
      <c r="J31" s="66">
        <f>14-I31-H31</f>
        <v>2</v>
      </c>
      <c r="K31" s="66">
        <v>-90</v>
      </c>
      <c r="L31" s="66"/>
      <c r="M31" s="66">
        <v>17</v>
      </c>
      <c r="N31" s="66">
        <v>-152</v>
      </c>
      <c r="O31" s="66">
        <v>-139</v>
      </c>
      <c r="P31" s="66">
        <v>-142</v>
      </c>
      <c r="Q31" s="66">
        <v>-214</v>
      </c>
      <c r="R31" s="66">
        <v>-11</v>
      </c>
      <c r="S31" s="66">
        <v>-77</v>
      </c>
      <c r="T31" s="66"/>
      <c r="U31" s="66"/>
      <c r="V31" s="66"/>
      <c r="W31" s="66"/>
      <c r="X31" s="66"/>
      <c r="Y31" s="66"/>
      <c r="Z31" s="66"/>
    </row>
    <row r="32" spans="2:26" x14ac:dyDescent="0.25">
      <c r="B32" s="3" t="s">
        <v>32</v>
      </c>
      <c r="C32" s="66"/>
      <c r="D32" s="66">
        <v>12</v>
      </c>
      <c r="E32" s="66">
        <v>22</v>
      </c>
      <c r="F32" s="66">
        <v>14</v>
      </c>
      <c r="G32" s="66">
        <v>24</v>
      </c>
      <c r="H32" s="66">
        <v>14</v>
      </c>
      <c r="I32" s="66">
        <f>45-H32</f>
        <v>31</v>
      </c>
      <c r="J32" s="66">
        <f>67-SUM(H32:I32)</f>
        <v>22</v>
      </c>
      <c r="K32" s="66">
        <v>32</v>
      </c>
      <c r="L32" s="66"/>
      <c r="M32" s="66">
        <v>54</v>
      </c>
      <c r="N32" s="66">
        <v>61</v>
      </c>
      <c r="O32" s="66">
        <v>33</v>
      </c>
      <c r="P32" s="66">
        <v>58</v>
      </c>
      <c r="Q32" s="66">
        <v>53</v>
      </c>
      <c r="R32" s="66">
        <v>72</v>
      </c>
      <c r="S32" s="66">
        <v>99</v>
      </c>
      <c r="T32" s="66"/>
      <c r="U32" s="66"/>
      <c r="V32" s="66"/>
      <c r="W32" s="66"/>
      <c r="X32" s="66"/>
      <c r="Y32" s="66"/>
      <c r="Z32" s="66"/>
    </row>
    <row r="33" spans="2:26" x14ac:dyDescent="0.25">
      <c r="B33" s="3" t="s">
        <v>33</v>
      </c>
      <c r="C33" s="66"/>
      <c r="D33" s="66">
        <f t="shared" ref="D33:K33" si="19">D30+D31+D32</f>
        <v>1505</v>
      </c>
      <c r="E33" s="66">
        <f t="shared" si="19"/>
        <v>1747</v>
      </c>
      <c r="F33" s="66">
        <f t="shared" si="19"/>
        <v>1985</v>
      </c>
      <c r="G33" s="66">
        <f t="shared" si="19"/>
        <v>1631</v>
      </c>
      <c r="H33" s="66">
        <f t="shared" si="19"/>
        <v>1671</v>
      </c>
      <c r="I33" s="66">
        <f t="shared" si="19"/>
        <v>1927</v>
      </c>
      <c r="J33" s="66">
        <f t="shared" si="19"/>
        <v>2156</v>
      </c>
      <c r="K33" s="66">
        <f t="shared" si="19"/>
        <v>1824</v>
      </c>
      <c r="L33" s="66"/>
      <c r="M33" s="66">
        <f t="shared" ref="M33:Q33" si="20">M30+M31+M32</f>
        <v>4428</v>
      </c>
      <c r="N33" s="66">
        <f t="shared" si="20"/>
        <v>4682</v>
      </c>
      <c r="O33" s="66">
        <f t="shared" si="20"/>
        <v>1400</v>
      </c>
      <c r="P33" s="66">
        <f t="shared" si="20"/>
        <v>4198</v>
      </c>
      <c r="Q33" s="66">
        <f t="shared" si="20"/>
        <v>5357</v>
      </c>
      <c r="R33" s="66">
        <f>R30+R31+R32</f>
        <v>6869</v>
      </c>
      <c r="S33" s="66">
        <f>S30+S31+S32</f>
        <v>7577</v>
      </c>
      <c r="T33" s="66"/>
      <c r="U33" s="66"/>
      <c r="V33" s="66"/>
      <c r="W33" s="66"/>
      <c r="X33" s="66"/>
      <c r="Y33" s="66"/>
      <c r="Z33" s="66"/>
    </row>
    <row r="34" spans="2:26" x14ac:dyDescent="0.25">
      <c r="B34" s="3" t="s">
        <v>34</v>
      </c>
      <c r="C34" s="66"/>
      <c r="D34" s="66">
        <v>333</v>
      </c>
      <c r="E34" s="66">
        <v>399</v>
      </c>
      <c r="F34" s="66">
        <v>392</v>
      </c>
      <c r="G34" s="66">
        <v>351</v>
      </c>
      <c r="H34" s="66">
        <v>373</v>
      </c>
      <c r="I34" s="66">
        <v>448</v>
      </c>
      <c r="J34" s="66">
        <v>474</v>
      </c>
      <c r="K34" s="66">
        <v>406</v>
      </c>
      <c r="L34" s="66"/>
      <c r="M34" s="66">
        <v>980</v>
      </c>
      <c r="N34" s="66">
        <v>1034</v>
      </c>
      <c r="O34" s="66">
        <v>297</v>
      </c>
      <c r="P34" s="66">
        <v>949</v>
      </c>
      <c r="Q34" s="66">
        <v>1211</v>
      </c>
      <c r="R34" s="66">
        <v>1475</v>
      </c>
      <c r="S34" s="66">
        <v>1700</v>
      </c>
      <c r="T34" s="66"/>
      <c r="U34" s="66"/>
      <c r="V34" s="66"/>
      <c r="W34" s="66"/>
      <c r="X34" s="66"/>
      <c r="Y34" s="66"/>
      <c r="Z34" s="66"/>
    </row>
    <row r="35" spans="2:26" x14ac:dyDescent="0.25">
      <c r="B35" s="3" t="s">
        <v>35</v>
      </c>
      <c r="C35" s="66"/>
      <c r="D35" s="66">
        <f t="shared" ref="D35:K35" si="21">D33-D34</f>
        <v>1172</v>
      </c>
      <c r="E35" s="66">
        <f t="shared" si="21"/>
        <v>1348</v>
      </c>
      <c r="F35" s="66">
        <f t="shared" si="21"/>
        <v>1593</v>
      </c>
      <c r="G35" s="66">
        <f t="shared" si="21"/>
        <v>1280</v>
      </c>
      <c r="H35" s="66">
        <f t="shared" si="21"/>
        <v>1298</v>
      </c>
      <c r="I35" s="66">
        <f t="shared" si="21"/>
        <v>1479</v>
      </c>
      <c r="J35" s="66">
        <f t="shared" si="21"/>
        <v>1682</v>
      </c>
      <c r="K35" s="66">
        <f t="shared" si="21"/>
        <v>1418</v>
      </c>
      <c r="L35" s="66"/>
      <c r="M35" s="66">
        <f t="shared" ref="M35:Q35" si="22">M33-M34</f>
        <v>3448</v>
      </c>
      <c r="N35" s="66">
        <f t="shared" si="22"/>
        <v>3648</v>
      </c>
      <c r="O35" s="66">
        <f t="shared" si="22"/>
        <v>1103</v>
      </c>
      <c r="P35" s="66">
        <f t="shared" si="22"/>
        <v>3249</v>
      </c>
      <c r="Q35" s="66">
        <f t="shared" si="22"/>
        <v>4146</v>
      </c>
      <c r="R35" s="66">
        <f>R33-R34</f>
        <v>5394</v>
      </c>
      <c r="S35" s="66">
        <f>S33-S34</f>
        <v>5877</v>
      </c>
      <c r="T35" s="66"/>
      <c r="U35" s="70"/>
      <c r="V35" s="66"/>
      <c r="W35" s="66"/>
      <c r="X35" s="66"/>
      <c r="Y35" s="66"/>
      <c r="Z35" s="66"/>
    </row>
    <row r="36" spans="2:26" x14ac:dyDescent="0.25">
      <c r="B36" s="3" t="s">
        <v>36</v>
      </c>
      <c r="C36" s="66"/>
      <c r="D36" s="66">
        <v>4</v>
      </c>
      <c r="E36" s="66">
        <v>3</v>
      </c>
      <c r="F36" s="66">
        <v>5</v>
      </c>
      <c r="G36" s="66">
        <v>2</v>
      </c>
      <c r="H36" s="66">
        <v>5</v>
      </c>
      <c r="I36" s="66">
        <v>5</v>
      </c>
      <c r="J36" s="66">
        <v>1</v>
      </c>
      <c r="K36" s="66">
        <v>0</v>
      </c>
      <c r="L36" s="66"/>
      <c r="M36" s="66">
        <v>4</v>
      </c>
      <c r="N36" s="66">
        <v>8</v>
      </c>
      <c r="O36" s="66">
        <v>-2</v>
      </c>
      <c r="P36" s="66">
        <v>7</v>
      </c>
      <c r="Q36" s="66">
        <v>17</v>
      </c>
      <c r="R36" s="66">
        <v>14</v>
      </c>
      <c r="S36" s="66">
        <v>11</v>
      </c>
      <c r="T36" s="66"/>
      <c r="U36" s="66"/>
      <c r="V36" s="66"/>
      <c r="W36" s="66"/>
      <c r="X36" s="66"/>
      <c r="Y36" s="66"/>
      <c r="Z36" s="66"/>
    </row>
    <row r="37" spans="2:26" x14ac:dyDescent="0.25">
      <c r="B37" s="3" t="s">
        <v>37</v>
      </c>
      <c r="C37" s="66"/>
      <c r="D37" s="66">
        <f t="shared" ref="D37:K37" si="23">D35-D36</f>
        <v>1168</v>
      </c>
      <c r="E37" s="66">
        <f t="shared" si="23"/>
        <v>1345</v>
      </c>
      <c r="F37" s="66">
        <f t="shared" si="23"/>
        <v>1588</v>
      </c>
      <c r="G37" s="66">
        <f t="shared" si="23"/>
        <v>1278</v>
      </c>
      <c r="H37" s="66">
        <f t="shared" si="23"/>
        <v>1293</v>
      </c>
      <c r="I37" s="66">
        <f t="shared" si="23"/>
        <v>1474</v>
      </c>
      <c r="J37" s="66">
        <f t="shared" si="23"/>
        <v>1681</v>
      </c>
      <c r="K37" s="66">
        <f t="shared" si="23"/>
        <v>1418</v>
      </c>
      <c r="L37" s="66"/>
      <c r="M37" s="66">
        <f t="shared" ref="M37:P37" si="24">M35-M36</f>
        <v>3444</v>
      </c>
      <c r="N37" s="66">
        <f t="shared" si="24"/>
        <v>3640</v>
      </c>
      <c r="O37" s="66">
        <f t="shared" si="24"/>
        <v>1105</v>
      </c>
      <c r="P37" s="66">
        <f t="shared" si="24"/>
        <v>3242</v>
      </c>
      <c r="Q37" s="66">
        <f>Q35-Q36</f>
        <v>4129</v>
      </c>
      <c r="R37" s="66">
        <f>R35-R36</f>
        <v>5380</v>
      </c>
      <c r="S37" s="66">
        <f>S35-S36</f>
        <v>5866</v>
      </c>
      <c r="T37" s="66"/>
      <c r="U37" s="66"/>
      <c r="V37" s="66"/>
      <c r="W37" s="66"/>
      <c r="X37" s="66"/>
      <c r="Y37" s="66"/>
      <c r="Z37" s="66"/>
    </row>
    <row r="38" spans="2:26" x14ac:dyDescent="0.25"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2:26" x14ac:dyDescent="0.25">
      <c r="B39" s="3" t="s">
        <v>38</v>
      </c>
      <c r="D39" s="3">
        <f t="shared" ref="D39:K39" si="25">D37/D40</f>
        <v>0.37522047202407066</v>
      </c>
      <c r="E39" s="3">
        <f t="shared" si="25"/>
        <v>0.43208179355511561</v>
      </c>
      <c r="F39" s="3">
        <f t="shared" si="25"/>
        <v>0.51014564175875354</v>
      </c>
      <c r="G39" s="3">
        <f t="shared" si="25"/>
        <v>0.41055801647839235</v>
      </c>
      <c r="H39" s="3">
        <f t="shared" si="25"/>
        <v>0.41528106837439188</v>
      </c>
      <c r="I39" s="3">
        <f t="shared" si="25"/>
        <v>0.47332237715124015</v>
      </c>
      <c r="J39" s="3">
        <f t="shared" si="25"/>
        <v>0.53975871249438667</v>
      </c>
      <c r="K39" s="3" t="e">
        <f t="shared" si="25"/>
        <v>#DIV/0!</v>
      </c>
      <c r="M39" s="3">
        <f>M37/M40</f>
        <v>1.1060789241132536</v>
      </c>
      <c r="N39" s="3">
        <f t="shared" ref="N39:Q39" si="26">N37/N40</f>
        <v>1.1687703803030633</v>
      </c>
      <c r="O39" s="3">
        <f t="shared" si="26"/>
        <v>0.35475144224142657</v>
      </c>
      <c r="P39" s="3">
        <f t="shared" si="26"/>
        <v>1.0412481436744843</v>
      </c>
      <c r="Q39" s="3">
        <f t="shared" si="26"/>
        <v>1.3266053525994213</v>
      </c>
      <c r="R39" s="3">
        <f>R37/R40</f>
        <v>1.7283271742204624</v>
      </c>
      <c r="S39" s="3">
        <f>S37/S40</f>
        <v>1.8655073018148542</v>
      </c>
    </row>
    <row r="40" spans="2:26" x14ac:dyDescent="0.25">
      <c r="B40" s="3" t="s">
        <v>2</v>
      </c>
      <c r="D40" s="65">
        <v>3112.8365509999999</v>
      </c>
      <c r="E40" s="65">
        <v>3112.8365509999999</v>
      </c>
      <c r="F40" s="65">
        <v>3112.8365509999999</v>
      </c>
      <c r="G40" s="65">
        <v>3112.8365509999999</v>
      </c>
      <c r="H40" s="65">
        <v>3113.5539239999998</v>
      </c>
      <c r="I40" s="65">
        <v>3114.1565900000001</v>
      </c>
      <c r="J40" s="65">
        <v>3114.354546</v>
      </c>
      <c r="K40" s="65"/>
      <c r="L40" s="65"/>
      <c r="M40" s="65">
        <v>3113.701857</v>
      </c>
      <c r="N40" s="65">
        <v>3114.3841950000001</v>
      </c>
      <c r="O40" s="65">
        <v>3114.8569630000002</v>
      </c>
      <c r="P40" s="65">
        <v>3113.5709769999999</v>
      </c>
      <c r="Q40" s="65">
        <v>3112.4554050000002</v>
      </c>
      <c r="R40" s="65">
        <v>3112.8365509999999</v>
      </c>
      <c r="S40" s="65">
        <v>3144.4529830000001</v>
      </c>
    </row>
    <row r="42" spans="2:26" x14ac:dyDescent="0.25">
      <c r="B42" s="3" t="s">
        <v>16</v>
      </c>
      <c r="N42" s="8">
        <f t="shared" ref="N42:S47" si="27">N15/M15-1</f>
        <v>8.562232950446691E-2</v>
      </c>
      <c r="O42" s="8">
        <f t="shared" si="27"/>
        <v>-0.27780617460641999</v>
      </c>
      <c r="P42" s="8">
        <f t="shared" si="27"/>
        <v>0.3862269091938566</v>
      </c>
      <c r="Q42" s="8">
        <f t="shared" si="27"/>
        <v>0.21316246298376385</v>
      </c>
      <c r="R42" s="8">
        <f t="shared" si="27"/>
        <v>9.6334329363242377E-2</v>
      </c>
      <c r="S42" s="8">
        <f t="shared" si="27"/>
        <v>6.6333973128598789E-2</v>
      </c>
    </row>
    <row r="43" spans="2:26" x14ac:dyDescent="0.25">
      <c r="B43" s="3" t="s">
        <v>17</v>
      </c>
      <c r="N43" s="8">
        <f t="shared" si="27"/>
        <v>5.8002148227712214E-2</v>
      </c>
      <c r="O43" s="8">
        <f t="shared" si="27"/>
        <v>-0.2766497461928934</v>
      </c>
      <c r="P43" s="8">
        <f t="shared" si="27"/>
        <v>0.31649122807017549</v>
      </c>
      <c r="Q43" s="8">
        <f t="shared" si="27"/>
        <v>0.14712153518123672</v>
      </c>
      <c r="R43" s="8">
        <f t="shared" si="27"/>
        <v>9.6189591078067016E-2</v>
      </c>
      <c r="S43" s="8">
        <f t="shared" si="27"/>
        <v>4.6629927935565973E-2</v>
      </c>
    </row>
    <row r="44" spans="2:26" x14ac:dyDescent="0.25">
      <c r="B44" s="3" t="s">
        <v>18</v>
      </c>
      <c r="N44" s="8">
        <f t="shared" si="27"/>
        <v>5.4384017758046577E-2</v>
      </c>
      <c r="O44" s="8">
        <f t="shared" si="27"/>
        <v>-0.33105263157894738</v>
      </c>
      <c r="P44" s="8">
        <f t="shared" si="27"/>
        <v>0.30055074744295829</v>
      </c>
      <c r="Q44" s="8">
        <f t="shared" si="27"/>
        <v>-3.6297640653357499E-2</v>
      </c>
      <c r="R44" s="8">
        <f t="shared" si="27"/>
        <v>0.15442561205273075</v>
      </c>
      <c r="S44" s="8">
        <f t="shared" si="27"/>
        <v>6.579662860250135E-2</v>
      </c>
    </row>
    <row r="45" spans="2:26" x14ac:dyDescent="0.25">
      <c r="B45" s="3" t="s">
        <v>19</v>
      </c>
      <c r="N45" s="8">
        <f t="shared" si="27"/>
        <v>6.4285714285714279E-2</v>
      </c>
      <c r="O45" s="8">
        <f t="shared" si="27"/>
        <v>-0.25671140939597314</v>
      </c>
      <c r="P45" s="8">
        <f t="shared" si="27"/>
        <v>0.22855530474040631</v>
      </c>
      <c r="Q45" s="8">
        <f t="shared" si="27"/>
        <v>9.5084979329352226E-2</v>
      </c>
      <c r="R45" s="8">
        <f t="shared" si="27"/>
        <v>9.941275167785224E-2</v>
      </c>
      <c r="S45" s="8">
        <f t="shared" si="27"/>
        <v>0.11789393361312483</v>
      </c>
    </row>
    <row r="46" spans="2:26" x14ac:dyDescent="0.25">
      <c r="B46" s="3" t="s">
        <v>20</v>
      </c>
      <c r="N46" s="8">
        <f t="shared" si="27"/>
        <v>0.14080834419817467</v>
      </c>
      <c r="O46" s="8">
        <f t="shared" si="27"/>
        <v>-0.2668571428571429</v>
      </c>
      <c r="P46" s="8">
        <f t="shared" si="27"/>
        <v>0.42166796570537812</v>
      </c>
      <c r="Q46" s="8">
        <f t="shared" si="27"/>
        <v>0.12719298245614041</v>
      </c>
      <c r="R46" s="8">
        <f t="shared" si="27"/>
        <v>0.13521400778210113</v>
      </c>
      <c r="S46" s="8">
        <f t="shared" si="27"/>
        <v>0.1413881748071979</v>
      </c>
    </row>
    <row r="47" spans="2:26" x14ac:dyDescent="0.25">
      <c r="B47" s="3" t="s">
        <v>21</v>
      </c>
      <c r="N47" s="8">
        <f t="shared" si="27"/>
        <v>3.2478632478632585E-2</v>
      </c>
      <c r="O47" s="8">
        <f t="shared" si="27"/>
        <v>-0.13576158940397354</v>
      </c>
      <c r="P47" s="8">
        <f t="shared" si="27"/>
        <v>0.14942528735632177</v>
      </c>
      <c r="Q47" s="8">
        <f t="shared" si="27"/>
        <v>3.833333333333333E-2</v>
      </c>
      <c r="R47" s="8">
        <f t="shared" si="27"/>
        <v>0.1942215088282504</v>
      </c>
      <c r="S47" s="8">
        <f t="shared" si="27"/>
        <v>0.11693548387096775</v>
      </c>
    </row>
    <row r="48" spans="2:26" x14ac:dyDescent="0.25">
      <c r="B48" s="3" t="s">
        <v>61</v>
      </c>
      <c r="H48" s="8">
        <f>H22/D22-1</f>
        <v>7.0818552095651022E-2</v>
      </c>
      <c r="I48" s="8">
        <f>I22/E22-1</f>
        <v>7.3168091784825195E-2</v>
      </c>
      <c r="J48" s="8">
        <f>J22/F22-1</f>
        <v>6.839461064169905E-2</v>
      </c>
      <c r="K48" s="8">
        <f>K22/G22-1</f>
        <v>8.434900367575926E-2</v>
      </c>
      <c r="N48" s="8">
        <f t="shared" ref="N48:S48" si="28">N22/M22-1</f>
        <v>8.192771084337358E-2</v>
      </c>
      <c r="O48" s="8">
        <f t="shared" si="28"/>
        <v>-0.27874995581008943</v>
      </c>
      <c r="P48" s="8">
        <f t="shared" si="28"/>
        <v>0.3584942652681109</v>
      </c>
      <c r="Q48" s="8">
        <f t="shared" si="28"/>
        <v>0.17509741665463996</v>
      </c>
      <c r="R48" s="8">
        <f t="shared" si="28"/>
        <v>0.10371825969480186</v>
      </c>
      <c r="S48" s="8">
        <f t="shared" si="28"/>
        <v>7.4693298467187752E-2</v>
      </c>
    </row>
    <row r="49" spans="2:37" x14ac:dyDescent="0.25">
      <c r="B49" s="3" t="s">
        <v>62</v>
      </c>
      <c r="D49" s="8">
        <f t="shared" ref="D49:K49" si="29">D24/D22</f>
        <v>0.60478255157009586</v>
      </c>
      <c r="E49" s="8">
        <f t="shared" si="29"/>
        <v>0.56250676480138539</v>
      </c>
      <c r="F49" s="8">
        <f t="shared" si="29"/>
        <v>0.61680749029458781</v>
      </c>
      <c r="G49" s="8">
        <f t="shared" si="29"/>
        <v>0.53762816792416324</v>
      </c>
      <c r="H49" s="8">
        <f t="shared" si="29"/>
        <v>0.60613496932515343</v>
      </c>
      <c r="I49" s="8">
        <f t="shared" si="29"/>
        <v>0.56490166414523446</v>
      </c>
      <c r="J49" s="8">
        <f t="shared" si="29"/>
        <v>0.61440632681414986</v>
      </c>
      <c r="K49" s="8">
        <f t="shared" si="29"/>
        <v>0.53996431757359498</v>
      </c>
      <c r="M49" s="8">
        <f t="shared" ref="M49:S49" si="30">M24/M22</f>
        <v>0.56668579078217629</v>
      </c>
      <c r="N49" s="8">
        <f t="shared" si="30"/>
        <v>0.55884328490119139</v>
      </c>
      <c r="O49" s="8">
        <f t="shared" si="30"/>
        <v>0.55822958533477107</v>
      </c>
      <c r="P49" s="8">
        <f t="shared" si="30"/>
        <v>0.57057295425025256</v>
      </c>
      <c r="Q49" s="8">
        <f t="shared" si="30"/>
        <v>0.56980564340323625</v>
      </c>
      <c r="R49" s="8">
        <f t="shared" si="30"/>
        <v>0.57754471861351431</v>
      </c>
      <c r="S49" s="8">
        <f t="shared" si="30"/>
        <v>0.57838061710499067</v>
      </c>
    </row>
    <row r="50" spans="2:37" x14ac:dyDescent="0.25">
      <c r="B50" s="3" t="s">
        <v>63</v>
      </c>
      <c r="D50" s="8">
        <f t="shared" ref="D50:K50" si="31">D27/D22</f>
        <v>0.28839837077913544</v>
      </c>
      <c r="E50" s="8">
        <f t="shared" si="31"/>
        <v>0.26702024028574523</v>
      </c>
      <c r="F50" s="8">
        <f t="shared" si="31"/>
        <v>0.3158255309431377</v>
      </c>
      <c r="G50" s="8">
        <f t="shared" si="31"/>
        <v>0.23408783130199265</v>
      </c>
      <c r="H50" s="8">
        <f t="shared" si="31"/>
        <v>0.29079754601226993</v>
      </c>
      <c r="I50" s="8">
        <f t="shared" si="31"/>
        <v>0.2692889561270802</v>
      </c>
      <c r="J50" s="8">
        <f t="shared" si="31"/>
        <v>0.31270706422998823</v>
      </c>
      <c r="K50" s="8">
        <f t="shared" si="31"/>
        <v>0.24638715432649419</v>
      </c>
      <c r="M50" s="8">
        <f t="shared" ref="M50:S50" si="32">M27/M22</f>
        <v>0.20872059667240389</v>
      </c>
      <c r="N50" s="8">
        <f t="shared" si="32"/>
        <v>0.26863930427404814</v>
      </c>
      <c r="O50" s="8">
        <f t="shared" si="32"/>
        <v>0.22306636604254484</v>
      </c>
      <c r="P50" s="8">
        <f t="shared" si="32"/>
        <v>0.25916438158464422</v>
      </c>
      <c r="Q50" s="8">
        <f t="shared" si="32"/>
        <v>0.26552857011268383</v>
      </c>
      <c r="R50" s="8">
        <f t="shared" si="32"/>
        <v>0.27398670264556152</v>
      </c>
      <c r="S50" s="8">
        <f t="shared" si="32"/>
        <v>0.27772313108303998</v>
      </c>
    </row>
    <row r="51" spans="2:37" x14ac:dyDescent="0.25">
      <c r="B51" s="3" t="s">
        <v>64</v>
      </c>
      <c r="D51" s="8">
        <f t="shared" ref="D51:K51" si="33">D30/D22</f>
        <v>0.194849559847589</v>
      </c>
      <c r="E51" s="8">
        <f t="shared" si="33"/>
        <v>0.18194609806256087</v>
      </c>
      <c r="F51" s="8">
        <f t="shared" si="33"/>
        <v>0.23144553551039049</v>
      </c>
      <c r="G51" s="8">
        <f t="shared" si="33"/>
        <v>0.1563165022248017</v>
      </c>
      <c r="H51" s="8">
        <f t="shared" si="33"/>
        <v>0.2007361963190184</v>
      </c>
      <c r="I51" s="8">
        <f t="shared" si="33"/>
        <v>0.19213313161875945</v>
      </c>
      <c r="J51" s="8">
        <f t="shared" si="33"/>
        <v>0.22785080688254783</v>
      </c>
      <c r="K51" s="8">
        <f t="shared" si="33"/>
        <v>0.16788581623550403</v>
      </c>
      <c r="M51" s="8">
        <f t="shared" ref="M51:S51" si="34">M30/M22</f>
        <v>0.16664754255115702</v>
      </c>
      <c r="N51" s="8">
        <f t="shared" si="34"/>
        <v>0.16873475448085692</v>
      </c>
      <c r="O51" s="8">
        <f t="shared" si="34"/>
        <v>7.3816292520341137E-2</v>
      </c>
      <c r="P51" s="8">
        <f t="shared" si="34"/>
        <v>0.15449559821041997</v>
      </c>
      <c r="Q51" s="8">
        <f t="shared" si="34"/>
        <v>0.16942491326107648</v>
      </c>
      <c r="R51" s="8">
        <f t="shared" si="34"/>
        <v>0.18938993518235181</v>
      </c>
      <c r="S51" s="8">
        <f t="shared" si="34"/>
        <v>0.1955632636156554</v>
      </c>
    </row>
    <row r="52" spans="2:37" x14ac:dyDescent="0.25">
      <c r="B52" s="3" t="s">
        <v>65</v>
      </c>
      <c r="D52" s="8">
        <f t="shared" ref="D52:K52" si="35">D35/D22</f>
        <v>0.15398764945473656</v>
      </c>
      <c r="E52" s="8">
        <f t="shared" si="35"/>
        <v>0.14590323628098278</v>
      </c>
      <c r="F52" s="8">
        <f t="shared" si="35"/>
        <v>0.18189084265814112</v>
      </c>
      <c r="G52" s="8">
        <f t="shared" si="35"/>
        <v>0.12381505126716967</v>
      </c>
      <c r="H52" s="8">
        <f t="shared" si="35"/>
        <v>0.15926380368098159</v>
      </c>
      <c r="I52" s="8">
        <f t="shared" si="35"/>
        <v>0.14916792738275339</v>
      </c>
      <c r="J52" s="8">
        <f t="shared" si="35"/>
        <v>0.17975846959495564</v>
      </c>
      <c r="K52" s="8">
        <f t="shared" si="35"/>
        <v>0.12649420160570918</v>
      </c>
      <c r="M52" s="8">
        <f t="shared" ref="M52:S52" si="36">M35/M22</f>
        <v>0.13187990055459936</v>
      </c>
      <c r="N52" s="8">
        <f t="shared" si="36"/>
        <v>0.12896383497719802</v>
      </c>
      <c r="O52" s="8">
        <f t="shared" si="36"/>
        <v>5.4063327124791685E-2</v>
      </c>
      <c r="P52" s="8">
        <f t="shared" si="36"/>
        <v>0.11722470775003609</v>
      </c>
      <c r="Q52" s="8">
        <f t="shared" si="36"/>
        <v>0.12729896527372656</v>
      </c>
      <c r="R52" s="8">
        <f t="shared" si="36"/>
        <v>0.15005424652961305</v>
      </c>
      <c r="S52" s="8">
        <f t="shared" si="36"/>
        <v>0.15212776972458067</v>
      </c>
    </row>
    <row r="53" spans="2:37" x14ac:dyDescent="0.25">
      <c r="B53" s="3" t="s">
        <v>109</v>
      </c>
      <c r="D53" s="8"/>
      <c r="E53" s="8"/>
      <c r="F53" s="8"/>
      <c r="G53" s="8"/>
      <c r="H53" s="8">
        <f>(H27-D27)/(H22-D22)</f>
        <v>0.32467532467532467</v>
      </c>
      <c r="I53" s="8"/>
      <c r="J53" s="8"/>
      <c r="K53" s="8"/>
      <c r="M53" s="8"/>
      <c r="N53" s="8">
        <f t="shared" ref="N53:S53" si="37">(N27-M27)/(N22-M22)</f>
        <v>1</v>
      </c>
      <c r="O53" s="8">
        <f t="shared" si="37"/>
        <v>0.38655675332910588</v>
      </c>
      <c r="P53" s="8">
        <f t="shared" si="37"/>
        <v>0.35985780694558384</v>
      </c>
      <c r="Q53" s="8">
        <f t="shared" si="37"/>
        <v>0.30187512878631773</v>
      </c>
      <c r="R53" s="8">
        <f t="shared" si="37"/>
        <v>0.35553582001184131</v>
      </c>
      <c r="S53" s="8">
        <f t="shared" si="37"/>
        <v>0.32774674115456237</v>
      </c>
    </row>
    <row r="54" spans="2:37" x14ac:dyDescent="0.25">
      <c r="B54" s="3" t="s">
        <v>66</v>
      </c>
      <c r="D54" s="8">
        <f t="shared" ref="D54:K54" si="38">D34/D33</f>
        <v>0.22126245847176079</v>
      </c>
      <c r="E54" s="8">
        <f t="shared" si="38"/>
        <v>0.22839152833428736</v>
      </c>
      <c r="F54" s="8">
        <f t="shared" si="38"/>
        <v>0.19748110831234256</v>
      </c>
      <c r="G54" s="8">
        <f t="shared" si="38"/>
        <v>0.21520539546290618</v>
      </c>
      <c r="H54" s="8">
        <f t="shared" si="38"/>
        <v>0.2232196289646918</v>
      </c>
      <c r="I54" s="8">
        <f t="shared" si="38"/>
        <v>0.23248572911261028</v>
      </c>
      <c r="J54" s="8">
        <f t="shared" si="38"/>
        <v>0.21985157699443414</v>
      </c>
      <c r="K54" s="8">
        <f t="shared" si="38"/>
        <v>0.22258771929824561</v>
      </c>
      <c r="M54" s="8">
        <f t="shared" ref="M54:S54" si="39">M34/M33</f>
        <v>0.22131887985546522</v>
      </c>
      <c r="N54" s="8">
        <f t="shared" si="39"/>
        <v>0.22084579239641178</v>
      </c>
      <c r="O54" s="8">
        <f t="shared" si="39"/>
        <v>0.21214285714285713</v>
      </c>
      <c r="P54" s="8">
        <f t="shared" si="39"/>
        <v>0.22606002858504048</v>
      </c>
      <c r="Q54" s="8">
        <f t="shared" si="39"/>
        <v>0.22605936158297554</v>
      </c>
      <c r="R54" s="8">
        <f t="shared" si="39"/>
        <v>0.21473285776677828</v>
      </c>
      <c r="S54" s="8">
        <f t="shared" si="39"/>
        <v>0.22436320443447275</v>
      </c>
      <c r="T54" s="9">
        <v>0.25</v>
      </c>
    </row>
    <row r="56" spans="2:37" x14ac:dyDescent="0.25">
      <c r="B56" s="66" t="s">
        <v>39</v>
      </c>
      <c r="C56" s="66"/>
      <c r="D56" s="66"/>
      <c r="E56" s="66"/>
      <c r="F56" s="66"/>
      <c r="G56" s="66"/>
      <c r="H56" s="66">
        <v>4774</v>
      </c>
      <c r="I56" s="66"/>
      <c r="J56" s="66">
        <v>5065</v>
      </c>
      <c r="K56" s="66"/>
      <c r="L56" s="66"/>
      <c r="M56" s="66">
        <v>0</v>
      </c>
      <c r="N56" s="66">
        <v>6043</v>
      </c>
      <c r="O56" s="66">
        <v>5477</v>
      </c>
      <c r="P56" s="66">
        <v>5224</v>
      </c>
      <c r="Q56" s="66">
        <v>4910</v>
      </c>
      <c r="R56" s="66">
        <v>5097</v>
      </c>
      <c r="S56" s="66">
        <v>5269</v>
      </c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</row>
    <row r="57" spans="2:37" x14ac:dyDescent="0.25">
      <c r="B57" s="66" t="s">
        <v>40</v>
      </c>
      <c r="C57" s="66"/>
      <c r="D57" s="66"/>
      <c r="E57" s="66"/>
      <c r="F57" s="66"/>
      <c r="G57" s="66"/>
      <c r="H57" s="66">
        <v>1483</v>
      </c>
      <c r="I57" s="66"/>
      <c r="J57" s="66">
        <v>1597</v>
      </c>
      <c r="K57" s="66"/>
      <c r="L57" s="66"/>
      <c r="M57" s="66">
        <v>1016</v>
      </c>
      <c r="N57" s="66">
        <v>618</v>
      </c>
      <c r="O57" s="66">
        <v>645</v>
      </c>
      <c r="P57" s="66">
        <v>790</v>
      </c>
      <c r="Q57" s="66">
        <v>1003</v>
      </c>
      <c r="R57" s="66">
        <v>1420</v>
      </c>
      <c r="S57" s="66">
        <v>1607</v>
      </c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</row>
    <row r="58" spans="2:37" x14ac:dyDescent="0.25">
      <c r="B58" s="66" t="s">
        <v>41</v>
      </c>
      <c r="C58" s="66"/>
      <c r="D58" s="66"/>
      <c r="E58" s="66"/>
      <c r="F58" s="66"/>
      <c r="G58" s="66"/>
      <c r="H58" s="66">
        <v>8715</v>
      </c>
      <c r="I58" s="66"/>
      <c r="J58" s="66">
        <v>9477</v>
      </c>
      <c r="K58" s="66"/>
      <c r="L58" s="66"/>
      <c r="M58" s="66">
        <v>8359</v>
      </c>
      <c r="N58" s="66">
        <v>8376</v>
      </c>
      <c r="O58" s="66">
        <v>7422</v>
      </c>
      <c r="P58" s="66">
        <v>7503</v>
      </c>
      <c r="Q58" s="66">
        <v>7615</v>
      </c>
      <c r="R58" s="66">
        <v>8361</v>
      </c>
      <c r="S58" s="66">
        <v>10014</v>
      </c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</row>
    <row r="59" spans="2:37" x14ac:dyDescent="0.25">
      <c r="B59" s="66" t="s">
        <v>42</v>
      </c>
      <c r="C59" s="66"/>
      <c r="D59" s="66"/>
      <c r="E59" s="66"/>
      <c r="F59" s="66"/>
      <c r="G59" s="66"/>
      <c r="H59" s="66">
        <v>413</v>
      </c>
      <c r="I59" s="66"/>
      <c r="J59" s="66">
        <v>453</v>
      </c>
      <c r="K59" s="66"/>
      <c r="L59" s="66"/>
      <c r="M59" s="66">
        <v>267</v>
      </c>
      <c r="N59" s="66">
        <v>249</v>
      </c>
      <c r="O59" s="66">
        <v>261</v>
      </c>
      <c r="P59" s="66">
        <v>307</v>
      </c>
      <c r="Q59" s="66">
        <v>335</v>
      </c>
      <c r="R59" s="66">
        <v>398</v>
      </c>
      <c r="S59" s="66">
        <v>450</v>
      </c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</row>
    <row r="60" spans="2:37" x14ac:dyDescent="0.25">
      <c r="B60" s="66" t="s">
        <v>43</v>
      </c>
      <c r="C60" s="66"/>
      <c r="D60" s="66"/>
      <c r="E60" s="66"/>
      <c r="F60" s="66"/>
      <c r="G60" s="66"/>
      <c r="H60" s="66">
        <v>1506</v>
      </c>
      <c r="I60" s="66"/>
      <c r="J60" s="66">
        <v>1400</v>
      </c>
      <c r="K60" s="66"/>
      <c r="L60" s="66"/>
      <c r="M60" s="66">
        <v>1422</v>
      </c>
      <c r="N60" s="66">
        <v>1692</v>
      </c>
      <c r="O60" s="66">
        <v>1656</v>
      </c>
      <c r="P60" s="66">
        <v>1519</v>
      </c>
      <c r="Q60" s="66">
        <v>1481</v>
      </c>
      <c r="R60" s="66">
        <v>1443</v>
      </c>
      <c r="S60" s="66">
        <v>1017</v>
      </c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</row>
    <row r="61" spans="2:37" x14ac:dyDescent="0.25">
      <c r="B61" s="66" t="s">
        <v>44</v>
      </c>
      <c r="C61" s="66"/>
      <c r="D61" s="66">
        <f t="shared" ref="D61:K61" si="40">SUM(D56:D60)</f>
        <v>0</v>
      </c>
      <c r="E61" s="66">
        <f t="shared" si="40"/>
        <v>0</v>
      </c>
      <c r="F61" s="66">
        <f t="shared" si="40"/>
        <v>0</v>
      </c>
      <c r="G61" s="66">
        <f t="shared" si="40"/>
        <v>0</v>
      </c>
      <c r="H61" s="66">
        <f t="shared" si="40"/>
        <v>16891</v>
      </c>
      <c r="I61" s="66">
        <f t="shared" si="40"/>
        <v>0</v>
      </c>
      <c r="J61" s="66">
        <f t="shared" si="40"/>
        <v>17992</v>
      </c>
      <c r="K61" s="66">
        <f t="shared" si="40"/>
        <v>0</v>
      </c>
      <c r="L61" s="66"/>
      <c r="M61" s="66">
        <f t="shared" ref="M61:S61" si="41">SUM(M56:M60)</f>
        <v>11064</v>
      </c>
      <c r="N61" s="66">
        <f t="shared" si="41"/>
        <v>16978</v>
      </c>
      <c r="O61" s="66">
        <f t="shared" si="41"/>
        <v>15461</v>
      </c>
      <c r="P61" s="66">
        <f t="shared" si="41"/>
        <v>15343</v>
      </c>
      <c r="Q61" s="66">
        <f t="shared" si="41"/>
        <v>15344</v>
      </c>
      <c r="R61" s="66">
        <f t="shared" si="41"/>
        <v>16719</v>
      </c>
      <c r="S61" s="66">
        <f t="shared" si="41"/>
        <v>18357</v>
      </c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</row>
    <row r="62" spans="2:37" x14ac:dyDescent="0.25">
      <c r="B62" s="66" t="s">
        <v>45</v>
      </c>
      <c r="C62" s="66"/>
      <c r="D62" s="66"/>
      <c r="E62" s="66"/>
      <c r="F62" s="66"/>
      <c r="G62" s="66"/>
      <c r="H62" s="66">
        <v>3566</v>
      </c>
      <c r="I62" s="66"/>
      <c r="J62" s="66">
        <v>4290</v>
      </c>
      <c r="K62" s="66"/>
      <c r="L62" s="66"/>
      <c r="M62" s="66">
        <v>2716</v>
      </c>
      <c r="N62" s="66">
        <v>2269</v>
      </c>
      <c r="O62" s="66">
        <v>2321</v>
      </c>
      <c r="P62" s="66">
        <v>3042</v>
      </c>
      <c r="Q62" s="66">
        <v>3191</v>
      </c>
      <c r="R62" s="66">
        <v>2966</v>
      </c>
      <c r="S62" s="66">
        <v>3321</v>
      </c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</row>
    <row r="63" spans="2:37" x14ac:dyDescent="0.25">
      <c r="B63" s="66" t="s">
        <v>46</v>
      </c>
      <c r="C63" s="66"/>
      <c r="D63" s="66"/>
      <c r="E63" s="66"/>
      <c r="F63" s="66"/>
      <c r="G63" s="66"/>
      <c r="H63" s="66">
        <v>1131</v>
      </c>
      <c r="I63" s="66"/>
      <c r="J63" s="66">
        <v>1159</v>
      </c>
      <c r="K63" s="66"/>
      <c r="L63" s="66"/>
      <c r="M63" s="66">
        <v>820</v>
      </c>
      <c r="N63" s="66">
        <v>780</v>
      </c>
      <c r="O63" s="66">
        <v>715</v>
      </c>
      <c r="P63" s="66">
        <v>842</v>
      </c>
      <c r="Q63" s="66">
        <v>851</v>
      </c>
      <c r="R63" s="66">
        <v>1038</v>
      </c>
      <c r="S63" s="66">
        <v>1088</v>
      </c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</row>
    <row r="64" spans="2:37" x14ac:dyDescent="0.25">
      <c r="B64" s="66" t="s">
        <v>47</v>
      </c>
      <c r="C64" s="66"/>
      <c r="D64" s="66"/>
      <c r="E64" s="66"/>
      <c r="F64" s="66"/>
      <c r="G64" s="66"/>
      <c r="H64" s="66">
        <v>3978</v>
      </c>
      <c r="I64" s="66"/>
      <c r="J64" s="66">
        <v>3569</v>
      </c>
      <c r="K64" s="66"/>
      <c r="L64" s="66"/>
      <c r="M64" s="66">
        <v>1929</v>
      </c>
      <c r="N64" s="66">
        <v>3319</v>
      </c>
      <c r="O64" s="66">
        <v>176</v>
      </c>
      <c r="P64" s="66">
        <v>2374</v>
      </c>
      <c r="Q64" s="66">
        <v>4522</v>
      </c>
      <c r="R64" s="66">
        <v>4415</v>
      </c>
      <c r="S64" s="66">
        <v>5120</v>
      </c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</row>
    <row r="65" spans="2:37" x14ac:dyDescent="0.25">
      <c r="B65" s="66" t="s">
        <v>48</v>
      </c>
      <c r="C65" s="66"/>
      <c r="D65" s="66"/>
      <c r="E65" s="66"/>
      <c r="F65" s="66"/>
      <c r="G65" s="66"/>
      <c r="H65" s="66">
        <v>7668</v>
      </c>
      <c r="I65" s="66"/>
      <c r="J65" s="66">
        <v>8268</v>
      </c>
      <c r="K65" s="66"/>
      <c r="L65" s="66"/>
      <c r="M65" s="66">
        <v>4866</v>
      </c>
      <c r="N65" s="66">
        <v>4780</v>
      </c>
      <c r="O65" s="66">
        <v>7398</v>
      </c>
      <c r="P65" s="66">
        <v>7021</v>
      </c>
      <c r="Q65" s="66">
        <v>5561</v>
      </c>
      <c r="R65" s="66">
        <v>7007</v>
      </c>
      <c r="S65" s="66">
        <v>6382</v>
      </c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</row>
    <row r="66" spans="2:37" x14ac:dyDescent="0.25">
      <c r="B66" s="66" t="s">
        <v>43</v>
      </c>
      <c r="C66" s="66"/>
      <c r="D66" s="66"/>
      <c r="E66" s="66"/>
      <c r="F66" s="66"/>
      <c r="G66" s="66"/>
      <c r="H66" s="66">
        <v>736</v>
      </c>
      <c r="I66" s="66"/>
      <c r="J66" s="66">
        <v>813</v>
      </c>
      <c r="K66" s="66"/>
      <c r="L66" s="66"/>
      <c r="M66" s="66">
        <v>289</v>
      </c>
      <c r="N66" s="66">
        <v>265</v>
      </c>
      <c r="O66" s="66">
        <v>347</v>
      </c>
      <c r="P66" s="66">
        <v>323</v>
      </c>
      <c r="Q66" s="66">
        <v>515</v>
      </c>
      <c r="R66" s="66">
        <v>590</v>
      </c>
      <c r="S66" s="66">
        <v>445</v>
      </c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</row>
    <row r="67" spans="2:37" x14ac:dyDescent="0.25">
      <c r="B67" s="66" t="s">
        <v>50</v>
      </c>
      <c r="C67" s="66"/>
      <c r="D67" s="66">
        <f t="shared" ref="D67:K67" si="42">SUM(D62:D66)</f>
        <v>0</v>
      </c>
      <c r="E67" s="66">
        <f t="shared" si="42"/>
        <v>0</v>
      </c>
      <c r="F67" s="66">
        <f t="shared" si="42"/>
        <v>0</v>
      </c>
      <c r="G67" s="66">
        <f t="shared" si="42"/>
        <v>0</v>
      </c>
      <c r="H67" s="66">
        <f t="shared" si="42"/>
        <v>17079</v>
      </c>
      <c r="I67" s="66">
        <f t="shared" si="42"/>
        <v>0</v>
      </c>
      <c r="J67" s="66">
        <f t="shared" si="42"/>
        <v>18099</v>
      </c>
      <c r="K67" s="66">
        <f t="shared" si="42"/>
        <v>0</v>
      </c>
      <c r="L67" s="66"/>
      <c r="M67" s="66">
        <f t="shared" ref="M67:Q67" si="43">SUM(M62:M66)</f>
        <v>10620</v>
      </c>
      <c r="N67" s="66">
        <f t="shared" si="43"/>
        <v>11413</v>
      </c>
      <c r="O67" s="66">
        <f t="shared" si="43"/>
        <v>10957</v>
      </c>
      <c r="P67" s="66">
        <f t="shared" si="43"/>
        <v>13602</v>
      </c>
      <c r="Q67" s="66">
        <f t="shared" si="43"/>
        <v>14640</v>
      </c>
      <c r="R67" s="66">
        <f>SUM(R62:R66)</f>
        <v>16016</v>
      </c>
      <c r="S67" s="66">
        <f>SUM(S62:S66)</f>
        <v>16356</v>
      </c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</row>
    <row r="68" spans="2:37" x14ac:dyDescent="0.25">
      <c r="B68" s="70" t="s">
        <v>49</v>
      </c>
      <c r="C68" s="70"/>
      <c r="D68" s="70">
        <f t="shared" ref="D68:K68" si="44">D61+D67</f>
        <v>0</v>
      </c>
      <c r="E68" s="70">
        <f t="shared" si="44"/>
        <v>0</v>
      </c>
      <c r="F68" s="70">
        <f t="shared" si="44"/>
        <v>0</v>
      </c>
      <c r="G68" s="70">
        <f t="shared" si="44"/>
        <v>0</v>
      </c>
      <c r="H68" s="70">
        <f t="shared" si="44"/>
        <v>33970</v>
      </c>
      <c r="I68" s="70">
        <f t="shared" si="44"/>
        <v>0</v>
      </c>
      <c r="J68" s="70">
        <f t="shared" si="44"/>
        <v>36091</v>
      </c>
      <c r="K68" s="70">
        <f t="shared" si="44"/>
        <v>0</v>
      </c>
      <c r="L68" s="70"/>
      <c r="M68" s="70">
        <f t="shared" ref="M68:S68" si="45">M61+M67</f>
        <v>21684</v>
      </c>
      <c r="N68" s="70">
        <f t="shared" si="45"/>
        <v>28391</v>
      </c>
      <c r="O68" s="70">
        <f t="shared" si="45"/>
        <v>26418</v>
      </c>
      <c r="P68" s="70">
        <f t="shared" si="45"/>
        <v>28945</v>
      </c>
      <c r="Q68" s="70">
        <f t="shared" si="45"/>
        <v>29984</v>
      </c>
      <c r="R68" s="70">
        <f t="shared" si="45"/>
        <v>32735</v>
      </c>
      <c r="S68" s="70">
        <f t="shared" si="45"/>
        <v>34713</v>
      </c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</row>
    <row r="69" spans="2:37" x14ac:dyDescent="0.2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</row>
    <row r="70" spans="2:37" x14ac:dyDescent="0.25">
      <c r="B70" s="66" t="s">
        <v>51</v>
      </c>
      <c r="C70" s="66"/>
      <c r="D70" s="66"/>
      <c r="E70" s="66"/>
      <c r="F70" s="66"/>
      <c r="G70" s="66"/>
      <c r="H70" s="66">
        <v>17519</v>
      </c>
      <c r="I70" s="66"/>
      <c r="J70" s="66">
        <v>18140</v>
      </c>
      <c r="K70" s="66"/>
      <c r="L70" s="66"/>
      <c r="M70" s="66">
        <v>14653</v>
      </c>
      <c r="N70" s="66">
        <v>14913</v>
      </c>
      <c r="O70" s="66">
        <v>14520</v>
      </c>
      <c r="P70" s="66">
        <v>15733</v>
      </c>
      <c r="Q70" s="66">
        <v>17008</v>
      </c>
      <c r="R70" s="66">
        <v>18642</v>
      </c>
      <c r="S70" s="66">
        <v>19676</v>
      </c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</row>
    <row r="71" spans="2:37" x14ac:dyDescent="0.25">
      <c r="B71" s="66" t="s">
        <v>52</v>
      </c>
      <c r="C71" s="66"/>
      <c r="D71" s="66"/>
      <c r="E71" s="66"/>
      <c r="F71" s="66"/>
      <c r="G71" s="66"/>
      <c r="H71" s="66">
        <v>35</v>
      </c>
      <c r="I71" s="66"/>
      <c r="J71" s="66">
        <v>0</v>
      </c>
      <c r="K71" s="66"/>
      <c r="L71" s="66"/>
      <c r="M71" s="66">
        <v>30</v>
      </c>
      <c r="N71" s="66">
        <v>36</v>
      </c>
      <c r="O71" s="66">
        <v>30</v>
      </c>
      <c r="P71" s="66">
        <v>26</v>
      </c>
      <c r="Q71" s="66">
        <v>25</v>
      </c>
      <c r="R71" s="66">
        <v>30</v>
      </c>
      <c r="S71" s="66">
        <v>0</v>
      </c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</row>
    <row r="72" spans="2:37" x14ac:dyDescent="0.25">
      <c r="B72" s="70" t="s">
        <v>53</v>
      </c>
      <c r="C72" s="70"/>
      <c r="D72" s="70">
        <f t="shared" ref="D72:K72" si="46">D70+D71</f>
        <v>0</v>
      </c>
      <c r="E72" s="70">
        <f t="shared" si="46"/>
        <v>0</v>
      </c>
      <c r="F72" s="70">
        <f t="shared" si="46"/>
        <v>0</v>
      </c>
      <c r="G72" s="70">
        <f t="shared" si="46"/>
        <v>0</v>
      </c>
      <c r="H72" s="70">
        <f t="shared" si="46"/>
        <v>17554</v>
      </c>
      <c r="I72" s="70">
        <f t="shared" si="46"/>
        <v>0</v>
      </c>
      <c r="J72" s="70">
        <f t="shared" si="46"/>
        <v>18140</v>
      </c>
      <c r="K72" s="70">
        <f t="shared" si="46"/>
        <v>0</v>
      </c>
      <c r="L72" s="70"/>
      <c r="M72" s="70">
        <f t="shared" ref="M72:Q72" si="47">M70+M71</f>
        <v>14683</v>
      </c>
      <c r="N72" s="70">
        <f t="shared" si="47"/>
        <v>14949</v>
      </c>
      <c r="O72" s="70">
        <f t="shared" si="47"/>
        <v>14550</v>
      </c>
      <c r="P72" s="70">
        <f t="shared" si="47"/>
        <v>15759</v>
      </c>
      <c r="Q72" s="70">
        <f t="shared" si="47"/>
        <v>17033</v>
      </c>
      <c r="R72" s="70">
        <f>R70+R71</f>
        <v>18672</v>
      </c>
      <c r="S72" s="70">
        <f>S70+S71</f>
        <v>19676</v>
      </c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</row>
    <row r="73" spans="2:37" x14ac:dyDescent="0.25">
      <c r="B73" s="66" t="s">
        <v>54</v>
      </c>
      <c r="C73" s="66"/>
      <c r="D73" s="66"/>
      <c r="E73" s="66"/>
      <c r="F73" s="66"/>
      <c r="G73" s="66"/>
      <c r="H73" s="66">
        <v>444</v>
      </c>
      <c r="I73" s="66"/>
      <c r="J73" s="66">
        <v>391</v>
      </c>
      <c r="K73" s="66"/>
      <c r="L73" s="66"/>
      <c r="M73" s="66">
        <v>312</v>
      </c>
      <c r="N73" s="66">
        <v>370</v>
      </c>
      <c r="O73" s="66">
        <v>396</v>
      </c>
      <c r="P73" s="66">
        <v>359</v>
      </c>
      <c r="Q73" s="66">
        <v>384</v>
      </c>
      <c r="R73" s="66">
        <v>394</v>
      </c>
      <c r="S73" s="66">
        <v>72</v>
      </c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</row>
    <row r="74" spans="2:37" x14ac:dyDescent="0.25">
      <c r="B74" s="66" t="s">
        <v>55</v>
      </c>
      <c r="C74" s="66"/>
      <c r="D74" s="66"/>
      <c r="E74" s="66"/>
      <c r="F74" s="66"/>
      <c r="G74" s="66"/>
      <c r="H74" s="66">
        <v>0</v>
      </c>
      <c r="I74" s="66"/>
      <c r="J74" s="66">
        <v>0</v>
      </c>
      <c r="K74" s="66"/>
      <c r="L74" s="66"/>
      <c r="M74" s="66">
        <v>5</v>
      </c>
      <c r="N74" s="66">
        <v>6</v>
      </c>
      <c r="O74" s="66">
        <v>3</v>
      </c>
      <c r="P74" s="66">
        <v>1</v>
      </c>
      <c r="Q74" s="66">
        <v>0</v>
      </c>
      <c r="R74" s="66">
        <v>0</v>
      </c>
      <c r="S74" s="66">
        <v>0</v>
      </c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</row>
    <row r="75" spans="2:37" x14ac:dyDescent="0.25">
      <c r="B75" s="66" t="s">
        <v>56</v>
      </c>
      <c r="C75" s="66"/>
      <c r="D75" s="66"/>
      <c r="E75" s="66"/>
      <c r="F75" s="66"/>
      <c r="G75" s="66"/>
      <c r="H75" s="66">
        <v>3790</v>
      </c>
      <c r="I75" s="66"/>
      <c r="J75" s="66">
        <v>4010</v>
      </c>
      <c r="K75" s="66"/>
      <c r="L75" s="66"/>
      <c r="M75" s="66">
        <v>0</v>
      </c>
      <c r="N75" s="66">
        <v>5163</v>
      </c>
      <c r="O75" s="66">
        <v>4599</v>
      </c>
      <c r="P75" s="66">
        <v>4262</v>
      </c>
      <c r="Q75" s="66">
        <v>3924</v>
      </c>
      <c r="R75" s="66">
        <v>4123</v>
      </c>
      <c r="S75" s="66">
        <v>4180</v>
      </c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</row>
    <row r="76" spans="2:37" x14ac:dyDescent="0.25">
      <c r="B76" s="66" t="s">
        <v>43</v>
      </c>
      <c r="C76" s="66"/>
      <c r="D76" s="66"/>
      <c r="E76" s="66"/>
      <c r="F76" s="66"/>
      <c r="G76" s="66"/>
      <c r="H76" s="66">
        <v>570</v>
      </c>
      <c r="I76" s="66"/>
      <c r="J76" s="66">
        <v>598</v>
      </c>
      <c r="K76" s="66"/>
      <c r="L76" s="66"/>
      <c r="M76" s="66">
        <v>1301</v>
      </c>
      <c r="N76" s="66">
        <v>597</v>
      </c>
      <c r="O76" s="66">
        <v>532</v>
      </c>
      <c r="P76" s="66">
        <v>536</v>
      </c>
      <c r="Q76" s="66">
        <v>505</v>
      </c>
      <c r="R76" s="66">
        <v>610</v>
      </c>
      <c r="S76" s="66">
        <v>599</v>
      </c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</row>
    <row r="77" spans="2:37" x14ac:dyDescent="0.25">
      <c r="B77" s="66" t="s">
        <v>57</v>
      </c>
      <c r="C77" s="66"/>
      <c r="D77" s="66">
        <f t="shared" ref="D77:K77" si="48">SUM(D73:D76)</f>
        <v>0</v>
      </c>
      <c r="E77" s="66">
        <f t="shared" si="48"/>
        <v>0</v>
      </c>
      <c r="F77" s="66">
        <f t="shared" si="48"/>
        <v>0</v>
      </c>
      <c r="G77" s="66">
        <f t="shared" si="48"/>
        <v>0</v>
      </c>
      <c r="H77" s="66">
        <f t="shared" si="48"/>
        <v>4804</v>
      </c>
      <c r="I77" s="66">
        <f t="shared" si="48"/>
        <v>0</v>
      </c>
      <c r="J77" s="66">
        <f t="shared" si="48"/>
        <v>4999</v>
      </c>
      <c r="K77" s="66">
        <f t="shared" si="48"/>
        <v>0</v>
      </c>
      <c r="L77" s="66"/>
      <c r="M77" s="66">
        <f t="shared" ref="M77:Q77" si="49">SUM(M73:M76)</f>
        <v>1618</v>
      </c>
      <c r="N77" s="66">
        <f t="shared" si="49"/>
        <v>6136</v>
      </c>
      <c r="O77" s="66">
        <f t="shared" si="49"/>
        <v>5530</v>
      </c>
      <c r="P77" s="66">
        <f t="shared" si="49"/>
        <v>5158</v>
      </c>
      <c r="Q77" s="66">
        <f t="shared" si="49"/>
        <v>4813</v>
      </c>
      <c r="R77" s="66">
        <f>SUM(R73:R76)</f>
        <v>5127</v>
      </c>
      <c r="S77" s="66">
        <f>SUM(S73:S76)</f>
        <v>4851</v>
      </c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</row>
    <row r="78" spans="2:37" x14ac:dyDescent="0.25">
      <c r="B78" s="66" t="s">
        <v>55</v>
      </c>
      <c r="C78" s="66"/>
      <c r="D78" s="66"/>
      <c r="E78" s="66"/>
      <c r="F78" s="66"/>
      <c r="G78" s="66"/>
      <c r="H78" s="66">
        <v>22</v>
      </c>
      <c r="I78" s="66"/>
      <c r="J78" s="66">
        <v>13</v>
      </c>
      <c r="K78" s="66"/>
      <c r="L78" s="66"/>
      <c r="M78" s="66">
        <v>84</v>
      </c>
      <c r="N78" s="66">
        <v>32</v>
      </c>
      <c r="O78" s="66">
        <v>11</v>
      </c>
      <c r="P78" s="66">
        <v>35</v>
      </c>
      <c r="Q78" s="66">
        <v>13</v>
      </c>
      <c r="R78" s="66">
        <v>16</v>
      </c>
      <c r="S78" s="66">
        <v>7</v>
      </c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</row>
    <row r="79" spans="2:37" x14ac:dyDescent="0.25">
      <c r="B79" s="66" t="s">
        <v>56</v>
      </c>
      <c r="C79" s="66"/>
      <c r="D79" s="66"/>
      <c r="E79" s="66"/>
      <c r="F79" s="66"/>
      <c r="G79" s="66"/>
      <c r="H79" s="66">
        <v>1443</v>
      </c>
      <c r="I79" s="66"/>
      <c r="J79" s="66">
        <v>1499</v>
      </c>
      <c r="K79" s="66"/>
      <c r="L79" s="66"/>
      <c r="M79" s="66">
        <v>0</v>
      </c>
      <c r="N79" s="66">
        <v>1649</v>
      </c>
      <c r="O79" s="66">
        <v>1552</v>
      </c>
      <c r="P79" s="66">
        <v>1562</v>
      </c>
      <c r="Q79" s="66">
        <v>1517</v>
      </c>
      <c r="R79" s="66">
        <v>1428</v>
      </c>
      <c r="S79" s="66">
        <v>1542</v>
      </c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</row>
    <row r="80" spans="2:37" x14ac:dyDescent="0.25">
      <c r="B80" s="66" t="s">
        <v>58</v>
      </c>
      <c r="C80" s="66"/>
      <c r="D80" s="66"/>
      <c r="E80" s="66"/>
      <c r="F80" s="66"/>
      <c r="G80" s="66"/>
      <c r="H80" s="66">
        <v>10126</v>
      </c>
      <c r="I80" s="66"/>
      <c r="J80" s="66">
        <v>11392</v>
      </c>
      <c r="K80" s="66"/>
      <c r="L80" s="66"/>
      <c r="M80" s="66">
        <v>5251</v>
      </c>
      <c r="N80" s="66">
        <v>5585</v>
      </c>
      <c r="O80" s="66">
        <v>4747</v>
      </c>
      <c r="P80" s="66">
        <v>6411</v>
      </c>
      <c r="Q80" s="66">
        <v>6561</v>
      </c>
      <c r="R80" s="66">
        <v>7467</v>
      </c>
      <c r="S80" s="66">
        <v>8590</v>
      </c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</row>
    <row r="81" spans="2:39" x14ac:dyDescent="0.25">
      <c r="B81" s="66" t="s">
        <v>43</v>
      </c>
      <c r="C81" s="66"/>
      <c r="D81" s="66"/>
      <c r="E81" s="66"/>
      <c r="F81" s="66"/>
      <c r="G81" s="66"/>
      <c r="H81" s="66">
        <v>21</v>
      </c>
      <c r="I81" s="66"/>
      <c r="J81" s="66">
        <v>48</v>
      </c>
      <c r="K81" s="66"/>
      <c r="L81" s="66"/>
      <c r="M81" s="66">
        <v>47</v>
      </c>
      <c r="N81" s="66">
        <v>40</v>
      </c>
      <c r="O81" s="66">
        <v>27</v>
      </c>
      <c r="P81" s="66">
        <v>22</v>
      </c>
      <c r="Q81" s="66">
        <v>46</v>
      </c>
      <c r="R81" s="66">
        <v>26</v>
      </c>
      <c r="S81" s="66">
        <v>48</v>
      </c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</row>
    <row r="82" spans="2:39" x14ac:dyDescent="0.25">
      <c r="B82" s="66" t="s">
        <v>59</v>
      </c>
      <c r="C82" s="66"/>
      <c r="D82" s="66">
        <f t="shared" ref="D82:K82" si="50">SUM(D78:D81)</f>
        <v>0</v>
      </c>
      <c r="E82" s="66">
        <f t="shared" si="50"/>
        <v>0</v>
      </c>
      <c r="F82" s="66">
        <f t="shared" si="50"/>
        <v>0</v>
      </c>
      <c r="G82" s="66">
        <f t="shared" si="50"/>
        <v>0</v>
      </c>
      <c r="H82" s="66">
        <f t="shared" si="50"/>
        <v>11612</v>
      </c>
      <c r="I82" s="66">
        <f t="shared" si="50"/>
        <v>0</v>
      </c>
      <c r="J82" s="66">
        <f t="shared" si="50"/>
        <v>12952</v>
      </c>
      <c r="K82" s="66">
        <f t="shared" si="50"/>
        <v>0</v>
      </c>
      <c r="L82" s="66"/>
      <c r="M82" s="66">
        <f t="shared" ref="M82:Q82" si="51">SUM(M78:M81)</f>
        <v>5382</v>
      </c>
      <c r="N82" s="66">
        <f t="shared" si="51"/>
        <v>7306</v>
      </c>
      <c r="O82" s="66">
        <f t="shared" si="51"/>
        <v>6337</v>
      </c>
      <c r="P82" s="66">
        <f t="shared" si="51"/>
        <v>8030</v>
      </c>
      <c r="Q82" s="66">
        <f t="shared" si="51"/>
        <v>8137</v>
      </c>
      <c r="R82" s="66">
        <f>SUM(R78:R81)</f>
        <v>8937</v>
      </c>
      <c r="S82" s="66">
        <f>SUM(S78:S81)</f>
        <v>10187</v>
      </c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</row>
    <row r="83" spans="2:39" x14ac:dyDescent="0.25">
      <c r="B83" s="70" t="s">
        <v>60</v>
      </c>
      <c r="C83" s="70"/>
      <c r="D83" s="70">
        <f t="shared" ref="D83:K83" si="52">D72+D77+D82</f>
        <v>0</v>
      </c>
      <c r="E83" s="70">
        <f t="shared" si="52"/>
        <v>0</v>
      </c>
      <c r="F83" s="70">
        <f t="shared" si="52"/>
        <v>0</v>
      </c>
      <c r="G83" s="70">
        <f t="shared" si="52"/>
        <v>0</v>
      </c>
      <c r="H83" s="70">
        <f t="shared" si="52"/>
        <v>33970</v>
      </c>
      <c r="I83" s="70">
        <f t="shared" si="52"/>
        <v>0</v>
      </c>
      <c r="J83" s="70">
        <f t="shared" si="52"/>
        <v>36091</v>
      </c>
      <c r="K83" s="70">
        <f t="shared" si="52"/>
        <v>0</v>
      </c>
      <c r="L83" s="70"/>
      <c r="M83" s="70">
        <f t="shared" ref="M83:S83" si="53">M72+M77+M82</f>
        <v>21683</v>
      </c>
      <c r="N83" s="70">
        <f t="shared" si="53"/>
        <v>28391</v>
      </c>
      <c r="O83" s="70">
        <f t="shared" si="53"/>
        <v>26417</v>
      </c>
      <c r="P83" s="70">
        <f t="shared" si="53"/>
        <v>28947</v>
      </c>
      <c r="Q83" s="70">
        <f t="shared" si="53"/>
        <v>29983</v>
      </c>
      <c r="R83" s="70">
        <f t="shared" si="53"/>
        <v>32736</v>
      </c>
      <c r="S83" s="70">
        <f t="shared" si="53"/>
        <v>34714</v>
      </c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</row>
    <row r="84" spans="2:39" x14ac:dyDescent="0.2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</row>
    <row r="85" spans="2:39" x14ac:dyDescent="0.2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</row>
    <row r="86" spans="2:39" x14ac:dyDescent="0.25">
      <c r="B86" s="66" t="s">
        <v>33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>
        <f t="shared" ref="M86:S86" si="54">M33</f>
        <v>4428</v>
      </c>
      <c r="N86" s="66">
        <f t="shared" si="54"/>
        <v>4682</v>
      </c>
      <c r="O86" s="66">
        <f t="shared" si="54"/>
        <v>1400</v>
      </c>
      <c r="P86" s="66">
        <f t="shared" si="54"/>
        <v>4198</v>
      </c>
      <c r="Q86" s="66">
        <f t="shared" si="54"/>
        <v>5357</v>
      </c>
      <c r="R86" s="66">
        <f t="shared" si="54"/>
        <v>6869</v>
      </c>
      <c r="S86" s="66">
        <f t="shared" si="54"/>
        <v>7577</v>
      </c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</row>
    <row r="87" spans="2:39" x14ac:dyDescent="0.25">
      <c r="B87" s="66" t="s">
        <v>28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>
        <v>1100</v>
      </c>
      <c r="N87" s="66">
        <v>2826</v>
      </c>
      <c r="O87" s="66">
        <v>3045</v>
      </c>
      <c r="P87" s="66">
        <v>2901</v>
      </c>
      <c r="Q87" s="66">
        <v>2899</v>
      </c>
      <c r="R87" s="66">
        <v>3041</v>
      </c>
      <c r="S87" s="66">
        <v>3174</v>
      </c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</row>
    <row r="88" spans="2:39" x14ac:dyDescent="0.25">
      <c r="B88" s="66" t="s">
        <v>67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>
        <v>0</v>
      </c>
      <c r="N88" s="66">
        <v>142</v>
      </c>
      <c r="O88" s="66">
        <v>120</v>
      </c>
      <c r="P88" s="66">
        <v>92</v>
      </c>
      <c r="Q88" s="66">
        <v>116</v>
      </c>
      <c r="R88" s="66">
        <v>196</v>
      </c>
      <c r="S88" s="66">
        <v>223</v>
      </c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</row>
    <row r="89" spans="2:39" x14ac:dyDescent="0.25">
      <c r="B89" s="66" t="s">
        <v>43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>
        <f>-48-33</f>
        <v>-81</v>
      </c>
      <c r="N89" s="66">
        <f>272-19</f>
        <v>253</v>
      </c>
      <c r="O89" s="66">
        <v>-250</v>
      </c>
      <c r="P89" s="66">
        <v>74</v>
      </c>
      <c r="Q89" s="66">
        <v>146</v>
      </c>
      <c r="R89" s="66">
        <v>76</v>
      </c>
      <c r="S89" s="66">
        <v>51</v>
      </c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</row>
    <row r="90" spans="2:39" x14ac:dyDescent="0.25">
      <c r="B90" s="66" t="s">
        <v>34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>
        <v>-1070</v>
      </c>
      <c r="N90" s="66">
        <v>-1207</v>
      </c>
      <c r="O90" s="66">
        <v>-452</v>
      </c>
      <c r="P90" s="66">
        <v>-734</v>
      </c>
      <c r="Q90" s="66">
        <v>-1176</v>
      </c>
      <c r="R90" s="66">
        <v>-1460</v>
      </c>
      <c r="S90" s="66">
        <v>-1539</v>
      </c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</row>
    <row r="91" spans="2:39" x14ac:dyDescent="0.25">
      <c r="B91" s="66" t="s">
        <v>68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</row>
    <row r="92" spans="2:39" x14ac:dyDescent="0.25">
      <c r="B92" s="66" t="s">
        <v>69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>
        <v>-70</v>
      </c>
      <c r="N92" s="66">
        <v>201</v>
      </c>
      <c r="O92" s="66">
        <v>93</v>
      </c>
      <c r="P92" s="66">
        <v>-759</v>
      </c>
      <c r="Q92" s="66">
        <v>-193</v>
      </c>
      <c r="R92" s="66">
        <v>130</v>
      </c>
      <c r="S92" s="66">
        <v>-427</v>
      </c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</row>
    <row r="93" spans="2:39" x14ac:dyDescent="0.25">
      <c r="B93" s="66" t="s">
        <v>70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>
        <v>-142</v>
      </c>
      <c r="N93" s="66">
        <v>-10</v>
      </c>
      <c r="O93" s="66">
        <v>34</v>
      </c>
      <c r="P93" s="66">
        <v>-154</v>
      </c>
      <c r="Q93" s="66">
        <v>-58</v>
      </c>
      <c r="R93" s="66">
        <v>-341</v>
      </c>
      <c r="S93" s="66">
        <v>-164</v>
      </c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</row>
    <row r="94" spans="2:39" x14ac:dyDescent="0.25">
      <c r="B94" s="66" t="s">
        <v>71</v>
      </c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>
        <v>-137</v>
      </c>
      <c r="N94" s="66">
        <v>14</v>
      </c>
      <c r="O94" s="66">
        <v>-974</v>
      </c>
      <c r="P94" s="66">
        <v>1136</v>
      </c>
      <c r="Q94" s="66">
        <v>-418</v>
      </c>
      <c r="R94" s="66">
        <v>154</v>
      </c>
      <c r="S94" s="66">
        <v>392</v>
      </c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</row>
    <row r="95" spans="2:39" x14ac:dyDescent="0.25">
      <c r="B95" s="66" t="s">
        <v>72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>
        <f t="shared" ref="M95:P95" si="55">SUM(M92:M94)</f>
        <v>-349</v>
      </c>
      <c r="N95" s="66">
        <f t="shared" si="55"/>
        <v>205</v>
      </c>
      <c r="O95" s="66">
        <f t="shared" si="55"/>
        <v>-847</v>
      </c>
      <c r="P95" s="66">
        <f t="shared" si="55"/>
        <v>223</v>
      </c>
      <c r="Q95" s="66">
        <f>SUM(Q92:Q94)</f>
        <v>-669</v>
      </c>
      <c r="R95" s="66">
        <f>SUM(R92:R94)</f>
        <v>-57</v>
      </c>
      <c r="S95" s="66">
        <f>SUM(S92:S94)</f>
        <v>-199</v>
      </c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</row>
    <row r="96" spans="2:39" x14ac:dyDescent="0.25">
      <c r="B96" s="70" t="s">
        <v>73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>
        <f t="shared" ref="M96:Q96" si="56">M86+SUM(M87:M90)+M95</f>
        <v>4028</v>
      </c>
      <c r="N96" s="70">
        <f t="shared" si="56"/>
        <v>6901</v>
      </c>
      <c r="O96" s="70">
        <f t="shared" si="56"/>
        <v>3016</v>
      </c>
      <c r="P96" s="70">
        <f t="shared" si="56"/>
        <v>6754</v>
      </c>
      <c r="Q96" s="70">
        <f t="shared" si="56"/>
        <v>6673</v>
      </c>
      <c r="R96" s="70">
        <f>R86+SUM(R87:R90)+R95</f>
        <v>8665</v>
      </c>
      <c r="S96" s="70">
        <f>S86+SUM(S87:S90)+S95</f>
        <v>9287</v>
      </c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</row>
    <row r="97" spans="2:39" x14ac:dyDescent="0.25">
      <c r="B97" s="66" t="s">
        <v>74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>
        <v>-230</v>
      </c>
      <c r="N97" s="66">
        <v>-238</v>
      </c>
      <c r="O97" s="66">
        <v>-241</v>
      </c>
      <c r="P97" s="66">
        <v>-460</v>
      </c>
      <c r="Q97" s="66">
        <v>-388</v>
      </c>
      <c r="R97" s="66">
        <v>-473</v>
      </c>
      <c r="S97" s="66">
        <v>-465</v>
      </c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</row>
    <row r="98" spans="2:39" x14ac:dyDescent="0.25">
      <c r="B98" s="66" t="s">
        <v>75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>
        <f>-1391+159</f>
        <v>-1232</v>
      </c>
      <c r="N98" s="66">
        <f>-914+40</f>
        <v>-874</v>
      </c>
      <c r="O98" s="66">
        <f>-467+36-5</f>
        <v>-436</v>
      </c>
      <c r="P98" s="66">
        <v>-666</v>
      </c>
      <c r="Q98" s="66">
        <v>-1027</v>
      </c>
      <c r="R98" s="66">
        <v>-1399</v>
      </c>
      <c r="S98" s="66">
        <v>-2207</v>
      </c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</row>
    <row r="99" spans="2:39" x14ac:dyDescent="0.25">
      <c r="B99" s="66" t="s">
        <v>76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>
        <v>24</v>
      </c>
      <c r="N99" s="66">
        <v>70</v>
      </c>
      <c r="O99" s="66">
        <v>12</v>
      </c>
      <c r="P99" s="66">
        <v>25</v>
      </c>
      <c r="Q99" s="66">
        <v>24</v>
      </c>
      <c r="R99" s="66">
        <v>61</v>
      </c>
      <c r="S99" s="66">
        <f>51-14</f>
        <v>37</v>
      </c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</row>
    <row r="100" spans="2:39" x14ac:dyDescent="0.25">
      <c r="B100" s="66" t="s">
        <v>77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>
        <v>20</v>
      </c>
      <c r="N100" s="66">
        <v>56</v>
      </c>
      <c r="O100" s="66">
        <v>36</v>
      </c>
      <c r="P100" s="66">
        <v>46</v>
      </c>
      <c r="Q100" s="66">
        <v>36</v>
      </c>
      <c r="R100" s="66">
        <v>-6</v>
      </c>
      <c r="S100" s="66">
        <v>51</v>
      </c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</row>
    <row r="101" spans="2:39" x14ac:dyDescent="0.25">
      <c r="B101" s="66" t="s">
        <v>78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>
        <v>-457</v>
      </c>
      <c r="N101" s="66">
        <v>-1390</v>
      </c>
      <c r="O101" s="66">
        <v>3143</v>
      </c>
      <c r="P101" s="66">
        <v>-2198</v>
      </c>
      <c r="Q101" s="66">
        <v>-2148</v>
      </c>
      <c r="R101" s="66">
        <v>107</v>
      </c>
      <c r="S101" s="66">
        <v>-705</v>
      </c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</row>
    <row r="102" spans="2:39" x14ac:dyDescent="0.25">
      <c r="B102" s="70" t="s">
        <v>79</v>
      </c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>
        <f t="shared" ref="M102:Q102" si="57">SUM(M97:M101)</f>
        <v>-1875</v>
      </c>
      <c r="N102" s="70">
        <f t="shared" si="57"/>
        <v>-2376</v>
      </c>
      <c r="O102" s="70">
        <f t="shared" si="57"/>
        <v>2514</v>
      </c>
      <c r="P102" s="70">
        <f t="shared" si="57"/>
        <v>-3253</v>
      </c>
      <c r="Q102" s="70">
        <f t="shared" si="57"/>
        <v>-3503</v>
      </c>
      <c r="R102" s="70">
        <f>SUM(R97:R101)</f>
        <v>-1710</v>
      </c>
      <c r="S102" s="70">
        <f>SUM(S97:S101)</f>
        <v>-3289</v>
      </c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</row>
    <row r="103" spans="2:39" x14ac:dyDescent="0.25">
      <c r="B103" s="66" t="s">
        <v>81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>
        <v>2</v>
      </c>
      <c r="N103" s="66">
        <v>-3</v>
      </c>
      <c r="O103" s="66">
        <v>-6</v>
      </c>
      <c r="P103" s="66">
        <v>-5</v>
      </c>
      <c r="Q103" s="66">
        <v>-1</v>
      </c>
      <c r="R103" s="66">
        <v>-1</v>
      </c>
      <c r="S103" s="66">
        <v>0</v>
      </c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</row>
    <row r="104" spans="2:39" x14ac:dyDescent="0.25">
      <c r="B104" s="66" t="s">
        <v>82</v>
      </c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>
        <v>0</v>
      </c>
      <c r="N104" s="66">
        <v>0</v>
      </c>
      <c r="O104" s="66">
        <v>0</v>
      </c>
      <c r="P104" s="66">
        <v>-71</v>
      </c>
      <c r="Q104" s="66">
        <v>-61</v>
      </c>
      <c r="R104" s="66">
        <v>0</v>
      </c>
      <c r="S104" s="66">
        <v>0</v>
      </c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</row>
    <row r="105" spans="2:39" x14ac:dyDescent="0.25">
      <c r="B105" s="66" t="s">
        <v>83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>
        <v>73</v>
      </c>
      <c r="N105" s="66">
        <v>-49</v>
      </c>
      <c r="O105" s="66">
        <v>-17</v>
      </c>
      <c r="P105" s="66">
        <v>27</v>
      </c>
      <c r="Q105" s="66">
        <v>-17</v>
      </c>
      <c r="R105" s="66">
        <v>4</v>
      </c>
      <c r="S105" s="66">
        <v>-8</v>
      </c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</row>
    <row r="106" spans="2:39" x14ac:dyDescent="0.25">
      <c r="B106" s="66" t="s">
        <v>84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>
        <v>0</v>
      </c>
      <c r="N106" s="66">
        <v>-1836</v>
      </c>
      <c r="O106" s="66">
        <v>-1673</v>
      </c>
      <c r="P106" s="66">
        <v>-1668</v>
      </c>
      <c r="Q106" s="66">
        <v>-1621</v>
      </c>
      <c r="R106" s="66">
        <v>-1733</v>
      </c>
      <c r="S106" s="66">
        <v>-1802</v>
      </c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</row>
    <row r="107" spans="2:39" x14ac:dyDescent="0.25">
      <c r="B107" s="66" t="s">
        <v>85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>
        <v>-2335</v>
      </c>
      <c r="N107" s="66">
        <v>-2741</v>
      </c>
      <c r="O107" s="66">
        <v>-1090</v>
      </c>
      <c r="P107" s="66">
        <v>-2192</v>
      </c>
      <c r="Q107" s="66">
        <v>-2914</v>
      </c>
      <c r="R107" s="66">
        <v>-3744</v>
      </c>
      <c r="S107" s="66">
        <v>-4797</v>
      </c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</row>
    <row r="108" spans="2:39" x14ac:dyDescent="0.25">
      <c r="B108" s="70" t="s">
        <v>80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>
        <f t="shared" ref="M108:Q108" si="58">SUM(M103:M107)</f>
        <v>-2260</v>
      </c>
      <c r="N108" s="70">
        <f t="shared" si="58"/>
        <v>-4629</v>
      </c>
      <c r="O108" s="70">
        <f t="shared" si="58"/>
        <v>-2786</v>
      </c>
      <c r="P108" s="70">
        <f t="shared" si="58"/>
        <v>-3909</v>
      </c>
      <c r="Q108" s="70">
        <f t="shared" si="58"/>
        <v>-4614</v>
      </c>
      <c r="R108" s="70">
        <f>SUM(R103:R107)</f>
        <v>-5474</v>
      </c>
      <c r="S108" s="70">
        <f>SUM(S103:S107)</f>
        <v>-6607</v>
      </c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</row>
    <row r="109" spans="2:39" x14ac:dyDescent="0.25">
      <c r="B109" s="66" t="s">
        <v>86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>
        <v>41</v>
      </c>
      <c r="N109" s="66">
        <v>20</v>
      </c>
      <c r="O109" s="66">
        <v>-127</v>
      </c>
      <c r="P109" s="66">
        <v>31</v>
      </c>
      <c r="Q109" s="66">
        <v>-17</v>
      </c>
      <c r="R109" s="66">
        <v>38</v>
      </c>
      <c r="S109" s="66">
        <v>-18</v>
      </c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</row>
    <row r="110" spans="2:39" x14ac:dyDescent="0.25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</row>
    <row r="111" spans="2:39" x14ac:dyDescent="0.25">
      <c r="B111" s="70" t="s">
        <v>87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>
        <f t="shared" ref="M111:Q111" si="59">M96+M102+M108+M109</f>
        <v>-66</v>
      </c>
      <c r="N111" s="70">
        <f t="shared" si="59"/>
        <v>-84</v>
      </c>
      <c r="O111" s="70">
        <f t="shared" si="59"/>
        <v>2617</v>
      </c>
      <c r="P111" s="70">
        <f t="shared" si="59"/>
        <v>-377</v>
      </c>
      <c r="Q111" s="70">
        <f t="shared" si="59"/>
        <v>-1461</v>
      </c>
      <c r="R111" s="70">
        <f>R96+R102+R108+R109</f>
        <v>1519</v>
      </c>
      <c r="S111" s="70">
        <f>S96+S102+S108+S109</f>
        <v>-627</v>
      </c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</row>
    <row r="112" spans="2:39" x14ac:dyDescent="0.25">
      <c r="B112" s="66" t="s">
        <v>88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>
        <v>4931</v>
      </c>
      <c r="N112" s="66">
        <v>4866</v>
      </c>
      <c r="O112" s="66">
        <v>4780</v>
      </c>
      <c r="P112" s="66">
        <v>7398</v>
      </c>
      <c r="Q112" s="66">
        <v>7021</v>
      </c>
      <c r="R112" s="66">
        <v>5561</v>
      </c>
      <c r="S112" s="66">
        <f>+R113</f>
        <v>7007</v>
      </c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</row>
    <row r="113" spans="2:39" x14ac:dyDescent="0.25">
      <c r="B113" s="66" t="s">
        <v>89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>
        <f>N112</f>
        <v>4866</v>
      </c>
      <c r="N113" s="66">
        <f>O112</f>
        <v>4780</v>
      </c>
      <c r="O113" s="66">
        <f>P112</f>
        <v>7398</v>
      </c>
      <c r="P113" s="66">
        <f>Q112</f>
        <v>7021</v>
      </c>
      <c r="Q113" s="66">
        <f>R112</f>
        <v>5561</v>
      </c>
      <c r="R113" s="66">
        <v>7007</v>
      </c>
      <c r="S113" s="66">
        <f>+S111+S112</f>
        <v>6380</v>
      </c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</row>
    <row r="114" spans="2:39" x14ac:dyDescent="0.25"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6"/>
      <c r="AM114" s="66"/>
    </row>
    <row r="115" spans="2:39" x14ac:dyDescent="0.25"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6"/>
      <c r="AM115" s="66"/>
    </row>
    <row r="116" spans="2:39" x14ac:dyDescent="0.25"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6"/>
      <c r="AM116" s="66"/>
    </row>
    <row r="117" spans="2:39" x14ac:dyDescent="0.25"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6"/>
      <c r="AM117" s="66"/>
    </row>
    <row r="118" spans="2:39" x14ac:dyDescent="0.25"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6"/>
      <c r="AM118" s="66"/>
    </row>
    <row r="119" spans="2:39" x14ac:dyDescent="0.25"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6"/>
      <c r="AM119" s="66"/>
    </row>
    <row r="120" spans="2:39" x14ac:dyDescent="0.25"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6"/>
      <c r="AM120" s="66"/>
    </row>
    <row r="121" spans="2:39" x14ac:dyDescent="0.25"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6"/>
      <c r="AM121" s="66"/>
    </row>
    <row r="122" spans="2:39" x14ac:dyDescent="0.25"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6"/>
      <c r="AM122" s="66"/>
    </row>
    <row r="123" spans="2:39" x14ac:dyDescent="0.25"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</row>
    <row r="124" spans="2:39" x14ac:dyDescent="0.25"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</row>
    <row r="125" spans="2:39" x14ac:dyDescent="0.25"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 spans="2:39" x14ac:dyDescent="0.25"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 spans="2:39" x14ac:dyDescent="0.25"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 spans="2:39" x14ac:dyDescent="0.25"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</sheetData>
  <hyperlinks>
    <hyperlink ref="A1" location="Main!A1" display="Main" xr:uid="{FEEC87D1-13F9-4BB3-A534-997D447714A7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D9B-400B-44F9-9FC5-6F43BD0B79BE}">
  <dimension ref="A1:M41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1" sqref="J1"/>
    </sheetView>
  </sheetViews>
  <sheetFormatPr defaultRowHeight="15" x14ac:dyDescent="0.25"/>
  <cols>
    <col min="1" max="1" width="4.7109375" bestFit="1" customWidth="1"/>
    <col min="2" max="2" width="20" customWidth="1"/>
    <col min="4" max="4" width="9.28515625" bestFit="1" customWidth="1"/>
    <col min="5" max="5" width="9.5703125" bestFit="1" customWidth="1"/>
    <col min="6" max="8" width="9.28515625" bestFit="1" customWidth="1"/>
    <col min="9" max="10" width="9.5703125" bestFit="1" customWidth="1"/>
    <col min="13" max="13" width="9.28515625" bestFit="1" customWidth="1"/>
  </cols>
  <sheetData>
    <row r="1" spans="1:13" x14ac:dyDescent="0.25">
      <c r="A1" s="2" t="s">
        <v>90</v>
      </c>
    </row>
    <row r="2" spans="1:13" x14ac:dyDescent="0.25">
      <c r="D2" s="21">
        <v>18</v>
      </c>
      <c r="E2" s="21">
        <f>D2+1</f>
        <v>19</v>
      </c>
      <c r="F2" s="21">
        <f t="shared" ref="F2:J2" si="0">E2+1</f>
        <v>20</v>
      </c>
      <c r="G2" s="21">
        <f t="shared" si="0"/>
        <v>21</v>
      </c>
      <c r="H2" s="21">
        <f t="shared" si="0"/>
        <v>22</v>
      </c>
      <c r="I2" s="21">
        <f t="shared" si="0"/>
        <v>23</v>
      </c>
      <c r="J2" s="21">
        <f t="shared" si="0"/>
        <v>24</v>
      </c>
      <c r="M2" s="22" t="s">
        <v>102</v>
      </c>
    </row>
    <row r="3" spans="1:13" x14ac:dyDescent="0.25">
      <c r="A3" s="6" t="s">
        <v>22</v>
      </c>
      <c r="B3" s="1" t="s">
        <v>98</v>
      </c>
    </row>
    <row r="4" spans="1:13" x14ac:dyDescent="0.25">
      <c r="B4" t="s">
        <v>99</v>
      </c>
      <c r="D4" s="8">
        <f>Model!M37/Model!M70</f>
        <v>0.2350371937487204</v>
      </c>
      <c r="E4" s="8">
        <f>Model!N37/Model!N70</f>
        <v>0.24408234426339434</v>
      </c>
      <c r="F4" s="8">
        <f>Model!O37/Model!O70</f>
        <v>7.6101928374655653E-2</v>
      </c>
      <c r="G4" s="8">
        <f>Model!P37/Model!P70</f>
        <v>0.20606368778999556</v>
      </c>
      <c r="H4" s="8">
        <f>Model!Q37/Model!Q70</f>
        <v>0.24276810912511759</v>
      </c>
      <c r="I4" s="8">
        <f>Model!R37/Model!R70</f>
        <v>0.28859564424417983</v>
      </c>
      <c r="J4" s="8">
        <f>Model!S37/Model!S70</f>
        <v>0.29812970115877213</v>
      </c>
      <c r="M4" s="9">
        <f>AVERAGE(G4:I4,D4:E4)</f>
        <v>0.24330939583428152</v>
      </c>
    </row>
    <row r="5" spans="1:13" x14ac:dyDescent="0.25">
      <c r="B5" t="s">
        <v>190</v>
      </c>
      <c r="D5" s="8">
        <f>Model!M30/Model!M68</f>
        <v>0.2009315624423538</v>
      </c>
      <c r="E5" s="8">
        <f>Model!N30/Model!N68</f>
        <v>0.16811665668697826</v>
      </c>
      <c r="F5" s="8">
        <f>Model!O30/Model!O68</f>
        <v>5.7006586418351123E-2</v>
      </c>
      <c r="G5" s="8">
        <f>Model!P30/Model!P68</f>
        <v>0.14793574019692521</v>
      </c>
      <c r="H5" s="8">
        <f>Model!Q30/Model!Q68</f>
        <v>0.18403148345784417</v>
      </c>
      <c r="I5" s="8">
        <f>Model!R30/Model!R68</f>
        <v>0.20797311745837788</v>
      </c>
      <c r="J5" s="8">
        <f>Model!S30/Model!S68</f>
        <v>0.21764180566358424</v>
      </c>
      <c r="M5" s="9">
        <f t="shared" ref="M5:M12" si="1">AVERAGE(G5:I5,D5:E5)</f>
        <v>0.18179771204849587</v>
      </c>
    </row>
    <row r="6" spans="1:13" x14ac:dyDescent="0.25">
      <c r="B6" t="s">
        <v>100</v>
      </c>
      <c r="D6" s="8">
        <f>(Model!M30*(1-Model!M54))/(Model!M72+Model!M75+Model!M76+Model!M78+Model!M79-Model!M65-Model!M64)</f>
        <v>0.36587012190981749</v>
      </c>
      <c r="E6" s="8">
        <f>(Model!N30*(1-Model!N54))/(Model!N72+Model!N75+Model!N76+Model!N78+Model!N79-Model!N65-Model!N64)</f>
        <v>0.26022692833894945</v>
      </c>
      <c r="F6" s="8">
        <f>(Model!O30*(1-Model!O54))/(Model!O72+Model!O75+Model!O76+Model!O78+Model!O79-Model!O65-Model!O64)</f>
        <v>8.6796843975337018E-2</v>
      </c>
      <c r="G6" s="8">
        <f>(Model!P30*(1-Model!P54))/(Model!P72+Model!P75+Model!P76+Model!P78+Model!P79-Model!P65-Model!P64)</f>
        <v>0.259739082812043</v>
      </c>
      <c r="H6" s="8">
        <f>(Model!Q30*(1-Model!Q54))/(Model!Q72+Model!Q75+Model!Q76+Model!Q78+Model!Q79-Model!Q65-Model!Q64)</f>
        <v>0.33082380066505085</v>
      </c>
      <c r="I6" s="8">
        <f>(Model!R30*(1-Model!R54))/(Model!R72+Model!R75+Model!R76+Model!R78+Model!R79-Model!R65-Model!R64)</f>
        <v>0.39816032653040684</v>
      </c>
      <c r="J6" s="8">
        <f>(Model!S30*(1-Model!S54))/(Model!S72+Model!S75+Model!S76+Model!S78+Model!S79-Model!S65-Model!S64)</f>
        <v>0.40407778171959441</v>
      </c>
      <c r="M6" s="9">
        <f t="shared" si="1"/>
        <v>0.3229640520512535</v>
      </c>
    </row>
    <row r="7" spans="1:13" x14ac:dyDescent="0.25">
      <c r="B7" t="s">
        <v>101</v>
      </c>
      <c r="D7" s="8">
        <f>Model!M30/(Model!M61+Model!M62+Model!M63+Model!M66-Model!M80)</f>
        <v>0.45206474372276406</v>
      </c>
      <c r="E7" s="8">
        <f>Model!N30/(Model!N61+Model!N62+Model!N63+Model!N66-Model!N80)</f>
        <v>0.32453933501053922</v>
      </c>
      <c r="F7" s="8">
        <f>Model!O30/(Model!O61+Model!O62+Model!O63+Model!O66-Model!O80)</f>
        <v>0.1068312406895084</v>
      </c>
      <c r="G7" s="8">
        <f>Model!P30/(Model!P61+Model!P62+Model!P63+Model!P66-Model!P80)</f>
        <v>0.32589999238907069</v>
      </c>
      <c r="H7" s="8">
        <f>Model!Q30/(Model!Q61+Model!Q62+Model!Q63+Model!Q66-Model!Q80)</f>
        <v>0.41364317841079462</v>
      </c>
      <c r="I7" s="8">
        <f>Model!R30/(Model!R61+Model!R62+Model!R63+Model!R66-Model!R80)</f>
        <v>0.49169435215946844</v>
      </c>
      <c r="J7" s="8">
        <f>Model!S30/(Model!S61+Model!S62+Model!S63+Model!S66-Model!S80)</f>
        <v>0.51672252239928873</v>
      </c>
      <c r="M7" s="9">
        <f t="shared" si="1"/>
        <v>0.40156832033852741</v>
      </c>
    </row>
    <row r="9" spans="1:13" x14ac:dyDescent="0.25">
      <c r="B9" t="s">
        <v>104</v>
      </c>
      <c r="D9" s="8">
        <f>1-(-Model!M107/Model!M37)</f>
        <v>0.32200929152148661</v>
      </c>
      <c r="E9" s="8">
        <f>1-(-Model!N107/Model!N37)</f>
        <v>0.24697802197802199</v>
      </c>
      <c r="F9" s="8">
        <f>1-(-Model!O107/Model!O37)</f>
        <v>1.3574660633484115E-2</v>
      </c>
      <c r="G9" s="8">
        <f>1-(-Model!P107/Model!P37)</f>
        <v>0.32387415175817391</v>
      </c>
      <c r="H9" s="8">
        <f>1-(-Model!Q107/Model!Q37)</f>
        <v>0.29426011140712038</v>
      </c>
      <c r="I9" s="8">
        <f>1-(-Model!R107/Model!R37)</f>
        <v>0.30408921933085498</v>
      </c>
      <c r="J9" s="8">
        <f>1-(-Model!S107/Model!S37)</f>
        <v>0.18223661779747702</v>
      </c>
      <c r="M9" s="9">
        <f t="shared" si="1"/>
        <v>0.29824215919913161</v>
      </c>
    </row>
    <row r="10" spans="1:13" x14ac:dyDescent="0.25">
      <c r="B10" t="s">
        <v>105</v>
      </c>
      <c r="D10" s="8">
        <f t="shared" ref="D10:H10" si="2">D9*D4</f>
        <v>7.5684160240223841E-2</v>
      </c>
      <c r="E10" s="8">
        <f t="shared" si="2"/>
        <v>6.0282974585931737E-2</v>
      </c>
      <c r="F10" s="8">
        <f t="shared" si="2"/>
        <v>1.0330578512396658E-3</v>
      </c>
      <c r="G10" s="8">
        <f t="shared" si="2"/>
        <v>6.6738702091145991E-2</v>
      </c>
      <c r="H10" s="8">
        <f t="shared" si="2"/>
        <v>7.1436970837253061E-2</v>
      </c>
      <c r="I10" s="8">
        <f>I9*I4</f>
        <v>8.7758824160497795E-2</v>
      </c>
      <c r="J10" s="8">
        <f>J9*J4</f>
        <v>5.4330148404147197E-2</v>
      </c>
      <c r="M10" s="9">
        <f t="shared" si="1"/>
        <v>7.2380326383010479E-2</v>
      </c>
    </row>
    <row r="11" spans="1:13" x14ac:dyDescent="0.25">
      <c r="B11" t="s">
        <v>103</v>
      </c>
      <c r="D11" s="8">
        <f>(-Model!M95-Model!M102)/(Model!M30*(1-Model!M54))</f>
        <v>0.65552246245341128</v>
      </c>
      <c r="E11" s="8">
        <f>(-Model!N95-Model!N102)/(Model!N30*(1-Model!N54))</f>
        <v>0.58377429602184805</v>
      </c>
      <c r="F11" s="8">
        <f>(-Model!O95-Model!O102)/(Model!O30*(1-Model!O54))</f>
        <v>-1.4049573841232232</v>
      </c>
      <c r="G11" s="8">
        <f>(-Model!P95-Model!P102)/(Model!P30*(1-Model!P54))</f>
        <v>0.9142999340579625</v>
      </c>
      <c r="H11" s="8">
        <f>(-Model!Q95-Model!Q102)/(Model!Q30*(1-Model!Q54))</f>
        <v>0.97691089303488976</v>
      </c>
      <c r="I11" s="8">
        <f>(-Model!R95-Model!R102)/(Model!R30*(1-Model!R54))</f>
        <v>0.33052139470805142</v>
      </c>
      <c r="J11" s="8">
        <f>(-Model!S95-Model!S102)/(Model!S30*(1-Model!S54))</f>
        <v>0.59522834475600461</v>
      </c>
      <c r="M11" s="9">
        <f t="shared" si="1"/>
        <v>0.69220579605523258</v>
      </c>
    </row>
    <row r="12" spans="1:13" x14ac:dyDescent="0.25">
      <c r="B12" t="s">
        <v>105</v>
      </c>
      <c r="D12" s="8">
        <f t="shared" ref="D12:H12" si="3">D11*D6</f>
        <v>0.23983608325245334</v>
      </c>
      <c r="E12" s="8">
        <f t="shared" si="3"/>
        <v>0.15191379189699811</v>
      </c>
      <c r="F12" s="8">
        <f t="shared" si="3"/>
        <v>-0.12194586686174104</v>
      </c>
      <c r="G12" s="8">
        <f t="shared" si="3"/>
        <v>0.23747942628732657</v>
      </c>
      <c r="H12" s="8">
        <f t="shared" si="3"/>
        <v>0.32318537454489116</v>
      </c>
      <c r="I12" s="8">
        <f>I11*I6</f>
        <v>0.13160050644224325</v>
      </c>
      <c r="J12" s="8">
        <f>J11*J6</f>
        <v>0.24051854916563231</v>
      </c>
      <c r="M12" s="9">
        <f t="shared" si="1"/>
        <v>0.21680303648478247</v>
      </c>
    </row>
    <row r="14" spans="1:13" x14ac:dyDescent="0.25">
      <c r="A14" s="6" t="s">
        <v>22</v>
      </c>
      <c r="B14" s="1" t="s">
        <v>106</v>
      </c>
    </row>
    <row r="15" spans="1:13" x14ac:dyDescent="0.25">
      <c r="B15" t="s">
        <v>107</v>
      </c>
      <c r="M15" s="9" t="e">
        <f t="shared" ref="M15:M16" si="4">AVERAGE(G15:I15,D15:E15)</f>
        <v>#DIV/0!</v>
      </c>
    </row>
    <row r="16" spans="1:13" x14ac:dyDescent="0.25">
      <c r="B16" t="s">
        <v>108</v>
      </c>
      <c r="M16" s="9" t="e">
        <f t="shared" si="4"/>
        <v>#DIV/0!</v>
      </c>
    </row>
    <row r="19" spans="1:13" x14ac:dyDescent="0.25">
      <c r="A19" s="6" t="s">
        <v>22</v>
      </c>
      <c r="B19" s="1" t="s">
        <v>110</v>
      </c>
    </row>
    <row r="20" spans="1:13" x14ac:dyDescent="0.25">
      <c r="B20" t="s">
        <v>122</v>
      </c>
      <c r="D20" s="23">
        <f>Model!M63/Model!M22*360</f>
        <v>11.290877796901894</v>
      </c>
      <c r="E20" s="23">
        <f>Model!N63/Model!N22*360</f>
        <v>9.9268215081132674</v>
      </c>
      <c r="F20" s="23">
        <f>Model!O63/Model!O22*360</f>
        <v>12.61641015586707</v>
      </c>
      <c r="G20" s="23">
        <f>Model!P63/Model!P22*360</f>
        <v>10.936643094241592</v>
      </c>
      <c r="H20" s="23">
        <f>Model!Q63/Model!Q22*360</f>
        <v>9.4064908348429483</v>
      </c>
      <c r="I20" s="23">
        <f>Model!R63/Model!R22*360</f>
        <v>10.39530419784683</v>
      </c>
      <c r="J20" s="23">
        <f>Model!S63/Model!S22*360</f>
        <v>10.138745081797474</v>
      </c>
      <c r="M20" s="23">
        <f>AVERAGE(D20:I20)</f>
        <v>10.7620912646356</v>
      </c>
    </row>
    <row r="21" spans="1:13" x14ac:dyDescent="0.25">
      <c r="B21" t="s">
        <v>123</v>
      </c>
      <c r="D21" s="23">
        <f>Model!M80/Model!M22*360</f>
        <v>72.302925989672971</v>
      </c>
      <c r="E21" s="23">
        <f>Model!N80/Model!N22*360</f>
        <v>71.078587336939236</v>
      </c>
      <c r="F21" s="23">
        <f>Model!O80/Model!O22*360</f>
        <v>83.762376237623769</v>
      </c>
      <c r="G21" s="23">
        <f>Model!P80/Model!P22*360</f>
        <v>83.27175638620291</v>
      </c>
      <c r="H21" s="23">
        <f>Model!Q80/Model!Q22*360</f>
        <v>72.521723110933706</v>
      </c>
      <c r="I21" s="23">
        <f>Model!R80/Model!R22*360</f>
        <v>74.780092914568669</v>
      </c>
      <c r="J21" s="23">
        <f>Model!S80/Model!S22*360</f>
        <v>80.047628908676742</v>
      </c>
      <c r="M21" s="23">
        <f t="shared" ref="M21" si="5">AVERAGE(D21:I21)</f>
        <v>76.286243662656872</v>
      </c>
    </row>
    <row r="22" spans="1:13" x14ac:dyDescent="0.25">
      <c r="B22" t="s">
        <v>124</v>
      </c>
      <c r="D22" s="8">
        <f>Model!M62/Model!M68</f>
        <v>0.12525364323925475</v>
      </c>
      <c r="E22" s="8">
        <f>Model!N62/Model!N68</f>
        <v>7.9919692860413505E-2</v>
      </c>
      <c r="F22" s="8">
        <f>Model!O62/Model!O68</f>
        <v>8.7856764327352566E-2</v>
      </c>
      <c r="G22" s="8">
        <f>Model!P62/Model!P68</f>
        <v>0.10509587148039386</v>
      </c>
      <c r="H22" s="8">
        <f>Model!Q62/Model!Q68</f>
        <v>0.10642342582710779</v>
      </c>
      <c r="I22" s="8">
        <f>Model!R62/Model!R68</f>
        <v>9.0606384603635251E-2</v>
      </c>
      <c r="J22" s="8">
        <f>Model!S62/Model!S68</f>
        <v>9.5670210007778062E-2</v>
      </c>
      <c r="M22" s="8">
        <f>AVERAGE(D22:I22)</f>
        <v>9.9192630389692948E-2</v>
      </c>
    </row>
    <row r="23" spans="1:13" x14ac:dyDescent="0.25">
      <c r="B23" t="s">
        <v>125</v>
      </c>
      <c r="D23" s="23">
        <f>Model!M23/Model!M62</f>
        <v>4.1712076583210607</v>
      </c>
      <c r="E23" s="23">
        <f>Model!N23/Model!N62</f>
        <v>5.4997796386073157</v>
      </c>
      <c r="F23" s="23">
        <f>Model!O23/Model!O62</f>
        <v>3.8832399827660491</v>
      </c>
      <c r="G23" s="23">
        <f>Model!P23/Model!P62</f>
        <v>3.9125575279421434</v>
      </c>
      <c r="H23" s="23">
        <f>Model!Q23/Model!Q62</f>
        <v>4.3907865872767156</v>
      </c>
      <c r="I23" s="23">
        <f>Model!R23/Model!R62</f>
        <v>5.1200269723533376</v>
      </c>
      <c r="J23" s="23">
        <f>Model!S23/Model!S62</f>
        <v>4.9045468232460099</v>
      </c>
      <c r="M23" s="23">
        <f>AVERAGE(D23:I23)</f>
        <v>4.4962663945444374</v>
      </c>
    </row>
    <row r="24" spans="1:13" x14ac:dyDescent="0.25">
      <c r="B24" t="s">
        <v>126</v>
      </c>
      <c r="D24" s="23">
        <f t="shared" ref="D24:H24" si="6">360/D23</f>
        <v>86.305940506664314</v>
      </c>
      <c r="E24" s="23">
        <f t="shared" si="6"/>
        <v>65.457168042311082</v>
      </c>
      <c r="F24" s="23">
        <f t="shared" si="6"/>
        <v>92.706091201597687</v>
      </c>
      <c r="G24" s="23">
        <f t="shared" si="6"/>
        <v>92.011426650983026</v>
      </c>
      <c r="H24" s="23">
        <f t="shared" si="6"/>
        <v>81.989865105988159</v>
      </c>
      <c r="I24" s="23">
        <f>360/I23</f>
        <v>70.312129593046237</v>
      </c>
      <c r="J24" s="23">
        <f>360/J23</f>
        <v>73.401277013752463</v>
      </c>
      <c r="M24" s="23">
        <f>AVERAGE(D24:I24)</f>
        <v>81.463770183431748</v>
      </c>
    </row>
    <row r="25" spans="1:13" x14ac:dyDescent="0.25">
      <c r="B25" t="s">
        <v>127</v>
      </c>
      <c r="D25" s="23">
        <f t="shared" ref="D25:H25" si="7">D24+D20-D21</f>
        <v>25.293892313893238</v>
      </c>
      <c r="E25" s="23">
        <f t="shared" si="7"/>
        <v>4.3054022134851095</v>
      </c>
      <c r="F25" s="23">
        <f t="shared" si="7"/>
        <v>21.56012511984099</v>
      </c>
      <c r="G25" s="23">
        <f t="shared" si="7"/>
        <v>19.676313359021705</v>
      </c>
      <c r="H25" s="23">
        <f t="shared" si="7"/>
        <v>18.874632829897408</v>
      </c>
      <c r="I25" s="23">
        <f>I24+I20-I21</f>
        <v>5.9273408763243935</v>
      </c>
      <c r="J25" s="23">
        <f>J24+J20-J21</f>
        <v>3.4923931868732012</v>
      </c>
      <c r="M25" s="23">
        <f>AVERAGE(D25:I25)</f>
        <v>15.939617785410475</v>
      </c>
    </row>
    <row r="28" spans="1:13" x14ac:dyDescent="0.25">
      <c r="A28" s="6" t="s">
        <v>22</v>
      </c>
      <c r="B28" s="1" t="s">
        <v>111</v>
      </c>
    </row>
    <row r="29" spans="1:13" x14ac:dyDescent="0.25">
      <c r="B29" t="s">
        <v>1</v>
      </c>
      <c r="D29">
        <v>28.05</v>
      </c>
      <c r="E29">
        <v>33.1</v>
      </c>
      <c r="F29">
        <v>30.01</v>
      </c>
      <c r="G29">
        <v>30.04</v>
      </c>
      <c r="H29">
        <v>31.05</v>
      </c>
      <c r="I29">
        <v>42.73</v>
      </c>
      <c r="J29" s="3">
        <f>Main!J3</f>
        <v>44.78</v>
      </c>
      <c r="M29" s="23"/>
    </row>
    <row r="30" spans="1:13" x14ac:dyDescent="0.25">
      <c r="B30" t="s">
        <v>112</v>
      </c>
      <c r="D30" s="3">
        <f>Model!M40</f>
        <v>3113.701857</v>
      </c>
      <c r="E30" s="3">
        <f>Model!N40</f>
        <v>3114.3841950000001</v>
      </c>
      <c r="F30" s="3">
        <f>Model!O40</f>
        <v>3114.8569630000002</v>
      </c>
      <c r="G30" s="3">
        <f>Model!P40</f>
        <v>3113.5709769999999</v>
      </c>
      <c r="H30" s="3">
        <f>Model!Q40</f>
        <v>3112.4554050000002</v>
      </c>
      <c r="I30" s="3">
        <f>Model!R40</f>
        <v>3112.8365509999999</v>
      </c>
      <c r="J30" s="3">
        <f>Model!S40</f>
        <v>3144.4529830000001</v>
      </c>
    </row>
    <row r="31" spans="1:13" x14ac:dyDescent="0.25">
      <c r="B31" t="s">
        <v>3</v>
      </c>
      <c r="D31" s="66">
        <f t="shared" ref="D31:H31" si="8">D29*D30</f>
        <v>87339.337088850007</v>
      </c>
      <c r="E31" s="66">
        <f t="shared" si="8"/>
        <v>103086.11685450001</v>
      </c>
      <c r="F31" s="66">
        <f t="shared" si="8"/>
        <v>93476.857459630017</v>
      </c>
      <c r="G31" s="66">
        <f t="shared" si="8"/>
        <v>93531.672149079997</v>
      </c>
      <c r="H31" s="66">
        <f t="shared" si="8"/>
        <v>96641.740325250008</v>
      </c>
      <c r="I31" s="66">
        <f>I29*I30</f>
        <v>133011.50582422997</v>
      </c>
      <c r="J31" s="66">
        <f>J29*J30</f>
        <v>140808.60457874002</v>
      </c>
    </row>
    <row r="32" spans="1:13" x14ac:dyDescent="0.25">
      <c r="B32" t="s">
        <v>113</v>
      </c>
      <c r="D32" s="66">
        <f>Model!M74+Model!M75+Model!M78+Model!M79-Model!M65-Model!M64-Model!M59</f>
        <v>-6973</v>
      </c>
      <c r="E32" s="66">
        <f>Model!N74+Model!N75+Model!N78+Model!N79-Model!N65-Model!N64-Model!N59</f>
        <v>-1498</v>
      </c>
      <c r="F32" s="66">
        <f>Model!O74+Model!O75+Model!O78+Model!O79-Model!O65-Model!O64-Model!O59</f>
        <v>-1670</v>
      </c>
      <c r="G32" s="66">
        <f>Model!P74+Model!P75+Model!P78+Model!P79-Model!P65-Model!P64-Model!P59</f>
        <v>-3842</v>
      </c>
      <c r="H32" s="66">
        <f>Model!Q74+Model!Q75+Model!Q78+Model!Q79-Model!Q65-Model!Q64-Model!Q59</f>
        <v>-4964</v>
      </c>
      <c r="I32" s="66">
        <f>Model!R74+Model!R75+Model!R78+Model!R79-Model!R65-Model!R64-Model!R59</f>
        <v>-6253</v>
      </c>
      <c r="J32" s="66">
        <f>Main!J7-Main!J6</f>
        <v>-11495</v>
      </c>
    </row>
    <row r="33" spans="2:13" x14ac:dyDescent="0.25">
      <c r="B33" t="s">
        <v>6</v>
      </c>
      <c r="D33" s="66">
        <f t="shared" ref="D33:I33" si="9">D31+D32</f>
        <v>80366.337088850007</v>
      </c>
      <c r="E33" s="66">
        <f t="shared" si="9"/>
        <v>101588.11685450001</v>
      </c>
      <c r="F33" s="66">
        <f t="shared" si="9"/>
        <v>91806.857459630017</v>
      </c>
      <c r="G33" s="66">
        <f t="shared" si="9"/>
        <v>89689.672149079997</v>
      </c>
      <c r="H33" s="66">
        <f t="shared" si="9"/>
        <v>91677.740325250008</v>
      </c>
      <c r="I33" s="66">
        <f t="shared" si="9"/>
        <v>126758.50582422997</v>
      </c>
      <c r="J33" s="66">
        <f>J31+J32</f>
        <v>129313.60457874002</v>
      </c>
    </row>
    <row r="34" spans="2:13" x14ac:dyDescent="0.25">
      <c r="B34" s="1" t="s">
        <v>116</v>
      </c>
    </row>
    <row r="35" spans="2:13" x14ac:dyDescent="0.25">
      <c r="B35" t="s">
        <v>114</v>
      </c>
      <c r="D35" s="23">
        <f>D31/Model!M37</f>
        <v>25.359853974695124</v>
      </c>
      <c r="E35" s="23">
        <f>E31/Model!N37</f>
        <v>28.320361773214287</v>
      </c>
      <c r="F35" s="23">
        <f>F31/Model!O37</f>
        <v>84.594441139936663</v>
      </c>
      <c r="G35" s="23">
        <f>G31/Model!P37</f>
        <v>28.849991409339914</v>
      </c>
      <c r="H35" s="23">
        <f>H31/Model!Q37</f>
        <v>23.405604341305402</v>
      </c>
      <c r="I35" s="23">
        <f>I31/Model!R37</f>
        <v>24.723328220117097</v>
      </c>
      <c r="J35" s="23">
        <f>J31/Model!S37</f>
        <v>24.004194438926017</v>
      </c>
      <c r="M35" s="23">
        <f>AVERAGE(G35:I35,D35:E35)</f>
        <v>26.131827943734368</v>
      </c>
    </row>
    <row r="36" spans="2:13" x14ac:dyDescent="0.25">
      <c r="B36" t="s">
        <v>115</v>
      </c>
      <c r="D36" s="25"/>
      <c r="E36" s="25">
        <f>E35/((Model!N37/Model!M37-1)*100)</f>
        <v>4.9762921401505125</v>
      </c>
      <c r="F36" s="25">
        <f>F35/((Model!O37/Model!N37-1)*100)</f>
        <v>-1.2146894112401163</v>
      </c>
      <c r="G36" s="25">
        <f>G35/((Model!P37/Model!O37-1)*100)</f>
        <v>0.14917754097950683</v>
      </c>
      <c r="H36" s="25">
        <f>H35/((Model!Q37/Model!P37-1)*100)</f>
        <v>0.85547879678142191</v>
      </c>
      <c r="I36" s="25">
        <f>I35/((Model!R37/Model!Q37-1)*100)</f>
        <v>0.81600817122992408</v>
      </c>
      <c r="J36" s="25">
        <f>J35/((Model!S37/Model!R37-1)*100)</f>
        <v>2.657254446119794</v>
      </c>
      <c r="M36" s="23">
        <f t="shared" ref="M36:M37" si="10">AVERAGE(G36:I36,D36:E36)</f>
        <v>1.6992391622853413</v>
      </c>
    </row>
    <row r="37" spans="2:13" x14ac:dyDescent="0.25">
      <c r="B37" t="s">
        <v>118</v>
      </c>
      <c r="D37" s="23">
        <f>D31/Model!M72</f>
        <v>5.9483305243376696</v>
      </c>
      <c r="E37" s="23">
        <f>E31/Model!N72</f>
        <v>6.8958536928557104</v>
      </c>
      <c r="F37" s="23">
        <f>F31/Model!O72</f>
        <v>6.4245262858852241</v>
      </c>
      <c r="G37" s="23">
        <f>G31/Model!P72</f>
        <v>5.9351273652566787</v>
      </c>
      <c r="H37" s="23">
        <f>H31/Model!Q72</f>
        <v>5.6737944182029008</v>
      </c>
      <c r="I37" s="23">
        <f>I31/Model!R72</f>
        <v>7.1235810745624448</v>
      </c>
      <c r="J37" s="22" t="s">
        <v>130</v>
      </c>
      <c r="M37" s="23">
        <f t="shared" si="10"/>
        <v>6.3153374150430803</v>
      </c>
    </row>
    <row r="38" spans="2:13" x14ac:dyDescent="0.25">
      <c r="B38" s="1" t="s">
        <v>117</v>
      </c>
      <c r="M38" s="23"/>
    </row>
    <row r="39" spans="2:13" x14ac:dyDescent="0.25">
      <c r="B39" t="s">
        <v>119</v>
      </c>
      <c r="D39" s="23">
        <f>D33/Model!M22</f>
        <v>3.0738702271505072</v>
      </c>
      <c r="E39" s="23">
        <f>E33/Model!N22</f>
        <v>3.5913358381765481</v>
      </c>
      <c r="F39" s="23">
        <f>F33/Model!O22</f>
        <v>4.4998949838069802</v>
      </c>
      <c r="G39" s="23">
        <f>G33/Model!P22</f>
        <v>3.236025117227594</v>
      </c>
      <c r="H39" s="23">
        <f>H33/Model!Q22</f>
        <v>2.8148773473318189</v>
      </c>
      <c r="I39" s="23">
        <f>I33/Model!R22</f>
        <v>3.5262610461020385</v>
      </c>
      <c r="J39" s="23">
        <f>J33/Model!S22</f>
        <v>3.3473184038812387</v>
      </c>
      <c r="M39" s="23">
        <f t="shared" ref="M39:M41" si="11">AVERAGE(G39:I39,D39:E39)</f>
        <v>3.2484739151977018</v>
      </c>
    </row>
    <row r="40" spans="2:13" x14ac:dyDescent="0.25">
      <c r="B40" t="s">
        <v>120</v>
      </c>
      <c r="D40" s="23">
        <f>D33/Model!M27</f>
        <v>14.727201225737586</v>
      </c>
      <c r="E40" s="23">
        <f>E33/Model!N27</f>
        <v>13.368616509343337</v>
      </c>
      <c r="F40" s="23">
        <f>F33/Model!O27</f>
        <v>20.172897705917386</v>
      </c>
      <c r="G40" s="23">
        <f>G33/Model!P27</f>
        <v>12.486380641665042</v>
      </c>
      <c r="H40" s="23">
        <f>H33/Model!Q27</f>
        <v>10.601033802642231</v>
      </c>
      <c r="I40" s="23">
        <f>I33/Model!R27</f>
        <v>12.870190458343991</v>
      </c>
      <c r="J40" s="23">
        <f>J33/Model!S27</f>
        <v>12.052717362171686</v>
      </c>
      <c r="M40" s="23">
        <f t="shared" si="11"/>
        <v>12.810684527546437</v>
      </c>
    </row>
    <row r="41" spans="2:13" x14ac:dyDescent="0.25">
      <c r="B41" t="s">
        <v>121</v>
      </c>
      <c r="D41" s="23">
        <f>D33/Model!M30</f>
        <v>18.445337867535002</v>
      </c>
      <c r="E41" s="23">
        <f>E33/Model!N30</f>
        <v>21.283913022103501</v>
      </c>
      <c r="F41" s="23">
        <f>F33/Model!O30</f>
        <v>60.960728724853929</v>
      </c>
      <c r="G41" s="23">
        <f>G33/Model!P30</f>
        <v>20.945743145511443</v>
      </c>
      <c r="H41" s="23">
        <f>H33/Model!Q30</f>
        <v>16.614305966881119</v>
      </c>
      <c r="I41" s="23">
        <f>I33/Model!R30</f>
        <v>18.619051971831663</v>
      </c>
      <c r="J41" s="23">
        <f>J33/Model!S30</f>
        <v>17.116294451189944</v>
      </c>
      <c r="M41" s="23">
        <f t="shared" si="11"/>
        <v>19.181670394772546</v>
      </c>
    </row>
  </sheetData>
  <hyperlinks>
    <hyperlink ref="A1" location="Main!A1" display="Main" xr:uid="{A3BFCC24-21A1-44AA-8515-07086D34AE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E0E-2A12-4A76-8FDE-46435FE66120}">
  <dimension ref="A1:Z74"/>
  <sheetViews>
    <sheetView showGridLines="0" topLeftCell="B1" workbookViewId="0">
      <selection activeCell="E12" sqref="E12"/>
    </sheetView>
  </sheetViews>
  <sheetFormatPr defaultRowHeight="15" x14ac:dyDescent="0.25"/>
  <cols>
    <col min="1" max="1" width="4.7109375" bestFit="1" customWidth="1"/>
    <col min="5" max="5" width="9.85546875" bestFit="1" customWidth="1"/>
    <col min="22" max="22" width="8.85546875" bestFit="1" customWidth="1"/>
  </cols>
  <sheetData>
    <row r="1" spans="1:26" ht="19.5" x14ac:dyDescent="0.3">
      <c r="A1" s="2" t="s">
        <v>90</v>
      </c>
      <c r="B1" s="26" t="s">
        <v>145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E2" s="27"/>
    </row>
    <row r="3" spans="1:26" x14ac:dyDescent="0.25">
      <c r="B3" t="s">
        <v>146</v>
      </c>
      <c r="E3" s="28" t="s">
        <v>144</v>
      </c>
      <c r="G3" t="s">
        <v>147</v>
      </c>
      <c r="J3" s="28">
        <f>Main!J3</f>
        <v>44.78</v>
      </c>
    </row>
    <row r="4" spans="1:26" x14ac:dyDescent="0.25">
      <c r="B4" t="s">
        <v>148</v>
      </c>
      <c r="E4" s="62">
        <v>45519</v>
      </c>
      <c r="G4" t="s">
        <v>149</v>
      </c>
      <c r="J4" s="63">
        <f ca="1">V60</f>
        <v>69.373939290789664</v>
      </c>
    </row>
    <row r="5" spans="1:26" x14ac:dyDescent="0.25">
      <c r="B5" t="s">
        <v>150</v>
      </c>
      <c r="E5" s="62">
        <v>45657</v>
      </c>
      <c r="G5" t="s">
        <v>151</v>
      </c>
      <c r="J5" s="64">
        <f ca="1">J4/J3-1</f>
        <v>0.54921704535037219</v>
      </c>
    </row>
    <row r="7" spans="1:26" x14ac:dyDescent="0.25">
      <c r="A7" s="30" t="s">
        <v>22</v>
      </c>
      <c r="B7" s="31" t="s">
        <v>152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6" x14ac:dyDescent="0.25">
      <c r="A8" s="30"/>
    </row>
    <row r="9" spans="1:26" x14ac:dyDescent="0.25">
      <c r="A9" s="30"/>
      <c r="B9" s="32" t="s">
        <v>153</v>
      </c>
      <c r="C9" s="33"/>
      <c r="D9" s="33"/>
      <c r="E9" s="33"/>
      <c r="G9" s="32" t="s">
        <v>154</v>
      </c>
      <c r="H9" s="33"/>
      <c r="I9" s="33"/>
      <c r="J9" s="33"/>
      <c r="L9" s="32" t="s">
        <v>155</v>
      </c>
      <c r="M9" s="33"/>
      <c r="N9" s="33"/>
      <c r="O9" s="33"/>
      <c r="Q9" s="32" t="s">
        <v>156</v>
      </c>
      <c r="R9" s="33"/>
      <c r="S9" s="33"/>
      <c r="T9" s="33"/>
    </row>
    <row r="10" spans="1:26" x14ac:dyDescent="0.25">
      <c r="A10" s="30"/>
      <c r="B10" s="34" t="s">
        <v>157</v>
      </c>
      <c r="G10" s="34" t="s">
        <v>157</v>
      </c>
      <c r="I10" s="34" t="s">
        <v>158</v>
      </c>
      <c r="J10" s="34" t="s">
        <v>159</v>
      </c>
      <c r="L10" s="34" t="s">
        <v>157</v>
      </c>
      <c r="N10" s="34" t="s">
        <v>158</v>
      </c>
      <c r="O10" s="34" t="s">
        <v>159</v>
      </c>
      <c r="Q10" s="34" t="s">
        <v>157</v>
      </c>
      <c r="S10" s="34" t="s">
        <v>158</v>
      </c>
      <c r="T10" s="34" t="s">
        <v>159</v>
      </c>
    </row>
    <row r="11" spans="1:26" x14ac:dyDescent="0.25">
      <c r="B11" t="s">
        <v>160</v>
      </c>
      <c r="E11" s="29">
        <v>2</v>
      </c>
      <c r="G11" t="s">
        <v>161</v>
      </c>
      <c r="K11" s="5"/>
      <c r="L11" t="s">
        <v>161</v>
      </c>
      <c r="Q11" t="s">
        <v>161</v>
      </c>
    </row>
    <row r="12" spans="1:26" x14ac:dyDescent="0.25">
      <c r="B12" t="s">
        <v>30</v>
      </c>
      <c r="E12" s="29">
        <v>2</v>
      </c>
    </row>
    <row r="13" spans="1:26" x14ac:dyDescent="0.25">
      <c r="B13" t="s">
        <v>162</v>
      </c>
      <c r="E13" s="29">
        <v>2</v>
      </c>
      <c r="G13" t="s">
        <v>30</v>
      </c>
      <c r="L13" t="s">
        <v>30</v>
      </c>
      <c r="Q13" t="s">
        <v>30</v>
      </c>
    </row>
    <row r="14" spans="1:26" x14ac:dyDescent="0.25">
      <c r="B14" t="s">
        <v>163</v>
      </c>
      <c r="E14" s="29">
        <v>2</v>
      </c>
    </row>
    <row r="16" spans="1:26" x14ac:dyDescent="0.25">
      <c r="B16" s="34" t="s">
        <v>164</v>
      </c>
    </row>
    <row r="17" spans="1:22" x14ac:dyDescent="0.25">
      <c r="B17" t="s">
        <v>162</v>
      </c>
      <c r="E17" s="35">
        <f>CHOOSE(E13,J17,O17,T17)</f>
        <v>0.08</v>
      </c>
      <c r="G17" t="s">
        <v>162</v>
      </c>
      <c r="J17" s="35"/>
      <c r="L17" t="s">
        <v>162</v>
      </c>
      <c r="O17" s="35">
        <v>0.08</v>
      </c>
      <c r="Q17" t="s">
        <v>162</v>
      </c>
      <c r="T17" s="35"/>
    </row>
    <row r="18" spans="1:22" x14ac:dyDescent="0.25">
      <c r="B18" t="s">
        <v>163</v>
      </c>
      <c r="E18" s="35">
        <f>CHOOSE(E14,J18,O18,T18)</f>
        <v>0.02</v>
      </c>
      <c r="G18" t="s">
        <v>163</v>
      </c>
      <c r="J18" s="35"/>
      <c r="L18" t="s">
        <v>163</v>
      </c>
      <c r="O18" s="35">
        <v>0.02</v>
      </c>
      <c r="Q18" t="s">
        <v>163</v>
      </c>
      <c r="T18" s="35"/>
    </row>
    <row r="22" spans="1:22" x14ac:dyDescent="0.25">
      <c r="A22" s="30" t="s">
        <v>22</v>
      </c>
      <c r="B22" s="31" t="s">
        <v>165</v>
      </c>
      <c r="C22" s="31"/>
      <c r="D22" s="31"/>
      <c r="E22" s="31"/>
      <c r="F22" s="31"/>
      <c r="G22" s="36">
        <v>18</v>
      </c>
      <c r="H22" s="36">
        <f>G22+1</f>
        <v>19</v>
      </c>
      <c r="I22" s="36">
        <f t="shared" ref="I22:V22" si="0">H22+1</f>
        <v>20</v>
      </c>
      <c r="J22" s="36">
        <f t="shared" si="0"/>
        <v>21</v>
      </c>
      <c r="K22" s="36">
        <f t="shared" si="0"/>
        <v>22</v>
      </c>
      <c r="L22" s="36">
        <f t="shared" si="0"/>
        <v>23</v>
      </c>
      <c r="M22" s="37">
        <f t="shared" si="0"/>
        <v>24</v>
      </c>
      <c r="N22" s="37">
        <f t="shared" si="0"/>
        <v>25</v>
      </c>
      <c r="O22" s="37">
        <f t="shared" si="0"/>
        <v>26</v>
      </c>
      <c r="P22" s="37">
        <f t="shared" si="0"/>
        <v>27</v>
      </c>
      <c r="Q22" s="37">
        <f t="shared" si="0"/>
        <v>28</v>
      </c>
      <c r="R22" s="37">
        <f t="shared" si="0"/>
        <v>29</v>
      </c>
      <c r="S22" s="37">
        <f t="shared" si="0"/>
        <v>30</v>
      </c>
      <c r="T22" s="37">
        <f t="shared" si="0"/>
        <v>31</v>
      </c>
      <c r="U22" s="37">
        <f t="shared" si="0"/>
        <v>32</v>
      </c>
      <c r="V22" s="37">
        <f t="shared" si="0"/>
        <v>33</v>
      </c>
    </row>
    <row r="23" spans="1:22" x14ac:dyDescent="0.25">
      <c r="B23" t="s">
        <v>161</v>
      </c>
      <c r="G23" s="3">
        <f>Model!M22</f>
        <v>26145</v>
      </c>
      <c r="H23" s="3">
        <f>Model!N22</f>
        <v>28287</v>
      </c>
      <c r="I23" s="3">
        <f>Model!O22</f>
        <v>20402</v>
      </c>
      <c r="J23" s="3">
        <f>Model!P22</f>
        <v>27716</v>
      </c>
      <c r="K23" s="3">
        <f>Model!Q22</f>
        <v>32569</v>
      </c>
      <c r="L23" s="3">
        <f>Model!R22</f>
        <v>35947</v>
      </c>
      <c r="M23" s="3">
        <f ca="1">L23*(1+M24)</f>
        <v>38463.29</v>
      </c>
      <c r="N23" s="3">
        <f t="shared" ref="N23:V23" ca="1" si="1">M23*(1+N24)</f>
        <v>41128.795997000001</v>
      </c>
      <c r="O23" s="3">
        <f t="shared" ca="1" si="1"/>
        <v>43950.519303966183</v>
      </c>
      <c r="P23" s="3">
        <f t="shared" ca="1" si="1"/>
        <v>46935.679449074523</v>
      </c>
      <c r="Q23" s="3">
        <f t="shared" ca="1" si="1"/>
        <v>50091.71529745392</v>
      </c>
      <c r="R23" s="3">
        <f t="shared" ca="1" si="1"/>
        <v>53426.285895575078</v>
      </c>
      <c r="S23" s="3">
        <f t="shared" ca="1" si="1"/>
        <v>56947.271029458534</v>
      </c>
      <c r="T23" s="3">
        <f t="shared" ca="1" si="1"/>
        <v>60662.771488368351</v>
      </c>
      <c r="U23" s="3">
        <f t="shared" ca="1" si="1"/>
        <v>64581.109026181315</v>
      </c>
      <c r="V23" s="3">
        <f t="shared" ca="1" si="1"/>
        <v>68710.826013173981</v>
      </c>
    </row>
    <row r="24" spans="1:22" x14ac:dyDescent="0.25">
      <c r="B24" s="38" t="s">
        <v>166</v>
      </c>
      <c r="C24" s="39"/>
      <c r="G24" s="40"/>
      <c r="H24" s="41">
        <f>H23/G23-1</f>
        <v>8.192771084337358E-2</v>
      </c>
      <c r="I24" s="41">
        <f t="shared" ref="I24:L24" si="2">I23/H23-1</f>
        <v>-0.27874995581008943</v>
      </c>
      <c r="J24" s="41">
        <f t="shared" si="2"/>
        <v>0.3584942652681109</v>
      </c>
      <c r="K24" s="41">
        <f t="shared" si="2"/>
        <v>0.17509741665463996</v>
      </c>
      <c r="L24" s="41">
        <f t="shared" si="2"/>
        <v>0.10371825969480186</v>
      </c>
      <c r="M24" s="41" cm="1">
        <f t="array" aca="1" ref="M24" ca="1">OFFSET(M24,$E$11,,)</f>
        <v>7.0000000000000007E-2</v>
      </c>
      <c r="N24" s="41" cm="1">
        <f t="array" aca="1" ref="N24" ca="1">OFFSET(N24,$E$11,,)</f>
        <v>6.93E-2</v>
      </c>
      <c r="O24" s="41" cm="1">
        <f t="array" aca="1" ref="O24" ca="1">OFFSET(O24,$E$11,,)</f>
        <v>6.8607000000000001E-2</v>
      </c>
      <c r="P24" s="41" cm="1">
        <f t="array" aca="1" ref="P24" ca="1">OFFSET(P24,$E$11,,)</f>
        <v>6.7920930000000004E-2</v>
      </c>
      <c r="Q24" s="41" cm="1">
        <f t="array" aca="1" ref="Q24" ca="1">OFFSET(Q24,$E$11,,)</f>
        <v>6.7241720700000007E-2</v>
      </c>
      <c r="R24" s="41" cm="1">
        <f t="array" aca="1" ref="R24" ca="1">OFFSET(R24,$E$11,,)</f>
        <v>6.6569303493000012E-2</v>
      </c>
      <c r="S24" s="41" cm="1">
        <f t="array" aca="1" ref="S24" ca="1">OFFSET(S24,$E$11,,)</f>
        <v>6.5903610458070014E-2</v>
      </c>
      <c r="T24" s="41" cm="1">
        <f t="array" aca="1" ref="T24" ca="1">OFFSET(T24,$E$11,,)</f>
        <v>6.5244574353489307E-2</v>
      </c>
      <c r="U24" s="41" cm="1">
        <f t="array" aca="1" ref="U24" ca="1">OFFSET(U24,$E$11,,)</f>
        <v>6.4592128609954419E-2</v>
      </c>
      <c r="V24" s="41" cm="1">
        <f t="array" aca="1" ref="V24" ca="1">OFFSET(V24,$E$11,,)</f>
        <v>6.3946207323854878E-2</v>
      </c>
    </row>
    <row r="25" spans="1:22" x14ac:dyDescent="0.25">
      <c r="B25" s="38" t="s">
        <v>154</v>
      </c>
      <c r="C25" s="39"/>
      <c r="H25" s="8"/>
      <c r="I25" s="8"/>
      <c r="J25" s="8"/>
      <c r="K25" s="8"/>
      <c r="L25" s="8"/>
      <c r="M25" s="42">
        <v>7.0000000000000007E-2</v>
      </c>
      <c r="N25" s="42">
        <f>M25*(1-5%)</f>
        <v>6.6500000000000004E-2</v>
      </c>
      <c r="O25" s="42">
        <f t="shared" ref="O25:V25" si="3">N25*(1-5%)</f>
        <v>6.3174999999999995E-2</v>
      </c>
      <c r="P25" s="42">
        <f t="shared" si="3"/>
        <v>6.0016249999999993E-2</v>
      </c>
      <c r="Q25" s="42">
        <f t="shared" si="3"/>
        <v>5.7015437499999988E-2</v>
      </c>
      <c r="R25" s="42">
        <f t="shared" si="3"/>
        <v>5.4164665624999983E-2</v>
      </c>
      <c r="S25" s="42">
        <f t="shared" si="3"/>
        <v>5.1456432343749983E-2</v>
      </c>
      <c r="T25" s="42">
        <f t="shared" si="3"/>
        <v>4.8883610726562485E-2</v>
      </c>
      <c r="U25" s="42">
        <f t="shared" si="3"/>
        <v>4.643943019023436E-2</v>
      </c>
      <c r="V25" s="42">
        <f t="shared" si="3"/>
        <v>4.4117458680722643E-2</v>
      </c>
    </row>
    <row r="26" spans="1:22" x14ac:dyDescent="0.25">
      <c r="B26" s="38" t="s">
        <v>167</v>
      </c>
      <c r="C26" s="39"/>
      <c r="H26" s="8"/>
      <c r="I26" s="8"/>
      <c r="J26" s="8"/>
      <c r="K26" s="8"/>
      <c r="L26" s="8"/>
      <c r="M26" s="42">
        <v>7.0000000000000007E-2</v>
      </c>
      <c r="N26" s="42">
        <f>M26*(1-1%)</f>
        <v>6.93E-2</v>
      </c>
      <c r="O26" s="42">
        <f t="shared" ref="O26:V26" si="4">N26*(1-1%)</f>
        <v>6.8607000000000001E-2</v>
      </c>
      <c r="P26" s="42">
        <f t="shared" si="4"/>
        <v>6.7920930000000004E-2</v>
      </c>
      <c r="Q26" s="42">
        <f t="shared" si="4"/>
        <v>6.7241720700000007E-2</v>
      </c>
      <c r="R26" s="42">
        <f t="shared" si="4"/>
        <v>6.6569303493000012E-2</v>
      </c>
      <c r="S26" s="42">
        <f t="shared" si="4"/>
        <v>6.5903610458070014E-2</v>
      </c>
      <c r="T26" s="42">
        <f t="shared" si="4"/>
        <v>6.5244574353489307E-2</v>
      </c>
      <c r="U26" s="42">
        <f t="shared" si="4"/>
        <v>6.4592128609954419E-2</v>
      </c>
      <c r="V26" s="42">
        <f t="shared" si="4"/>
        <v>6.3946207323854878E-2</v>
      </c>
    </row>
    <row r="27" spans="1:22" x14ac:dyDescent="0.25">
      <c r="B27" s="38" t="s">
        <v>168</v>
      </c>
      <c r="C27" s="39"/>
      <c r="H27" s="8"/>
      <c r="I27" s="8"/>
      <c r="J27" s="8"/>
      <c r="K27" s="8"/>
      <c r="L27" s="8"/>
      <c r="M27" s="42">
        <v>7.0000000000000007E-2</v>
      </c>
      <c r="N27" s="42">
        <f>M27*(1+1%)</f>
        <v>7.0700000000000013E-2</v>
      </c>
      <c r="O27" s="42">
        <f t="shared" ref="O27:R27" si="5">N27*(1+1%)</f>
        <v>7.1407000000000012E-2</v>
      </c>
      <c r="P27" s="42">
        <f t="shared" si="5"/>
        <v>7.2121070000000009E-2</v>
      </c>
      <c r="Q27" s="42">
        <f t="shared" si="5"/>
        <v>7.2842280700000012E-2</v>
      </c>
      <c r="R27" s="42">
        <f t="shared" si="5"/>
        <v>7.3570703507000013E-2</v>
      </c>
      <c r="S27" s="42">
        <v>7.0999999999999994E-2</v>
      </c>
      <c r="T27" s="42">
        <v>6.9000000000000006E-2</v>
      </c>
      <c r="U27" s="42">
        <v>6.6000000000000003E-2</v>
      </c>
      <c r="V27" s="42">
        <v>6.4000000000000001E-2</v>
      </c>
    </row>
    <row r="29" spans="1:22" x14ac:dyDescent="0.25">
      <c r="B29" t="s">
        <v>30</v>
      </c>
      <c r="G29" s="3">
        <f>Model!M27-Model!M87</f>
        <v>4357</v>
      </c>
      <c r="H29" s="3">
        <f>Model!N27-Model!N87</f>
        <v>4773</v>
      </c>
      <c r="I29" s="3">
        <f>Model!O27-Model!O87</f>
        <v>1506</v>
      </c>
      <c r="J29" s="3">
        <f>Model!P27-Model!P87</f>
        <v>4282</v>
      </c>
      <c r="K29" s="3">
        <f>Model!Q27-Model!Q87</f>
        <v>5749</v>
      </c>
      <c r="L29" s="3">
        <f>Model!R27-Model!R87</f>
        <v>6808</v>
      </c>
      <c r="M29" s="3">
        <f ca="1">M30*M23</f>
        <v>7692.6580000000004</v>
      </c>
      <c r="N29" s="3">
        <f t="shared" ref="N29:V29" ca="1" si="6">N30*N23</f>
        <v>8431.403179384999</v>
      </c>
      <c r="O29" s="3">
        <f t="shared" ca="1" si="6"/>
        <v>9229.6090538328972</v>
      </c>
      <c r="P29" s="3">
        <f t="shared" ca="1" si="6"/>
        <v>10091.171081551023</v>
      </c>
      <c r="Q29" s="3">
        <f t="shared" ca="1" si="6"/>
        <v>11020.177365439862</v>
      </c>
      <c r="R29" s="3">
        <f t="shared" ca="1" si="6"/>
        <v>12288.045755982268</v>
      </c>
      <c r="S29" s="3">
        <f t="shared" ca="1" si="6"/>
        <v>13382.608691922755</v>
      </c>
      <c r="T29" s="3">
        <f t="shared" ca="1" si="6"/>
        <v>14559.065157208404</v>
      </c>
      <c r="U29" s="3">
        <f t="shared" ca="1" si="6"/>
        <v>15822.371711414422</v>
      </c>
      <c r="V29" s="3">
        <f t="shared" ca="1" si="6"/>
        <v>17177.706503293495</v>
      </c>
    </row>
    <row r="30" spans="1:22" x14ac:dyDescent="0.25">
      <c r="B30" s="38" t="s">
        <v>169</v>
      </c>
      <c r="G30" s="41">
        <f>G29/G23</f>
        <v>0.16664754255115702</v>
      </c>
      <c r="H30" s="41">
        <f t="shared" ref="H30:L30" si="7">H29/H23</f>
        <v>0.16873475448085692</v>
      </c>
      <c r="I30" s="41">
        <f t="shared" si="7"/>
        <v>7.3816292520341137E-2</v>
      </c>
      <c r="J30" s="41">
        <f t="shared" si="7"/>
        <v>0.15449559821041997</v>
      </c>
      <c r="K30" s="41">
        <f t="shared" si="7"/>
        <v>0.17651754736098743</v>
      </c>
      <c r="L30" s="41">
        <f t="shared" si="7"/>
        <v>0.18938993518235181</v>
      </c>
      <c r="M30" s="41" cm="1">
        <f t="array" aca="1" ref="M30" ca="1">OFFSET(M30,$E$12,,)</f>
        <v>0.2</v>
      </c>
      <c r="N30" s="41" cm="1">
        <f t="array" aca="1" ref="N30" ca="1">OFFSET(N30,$E$12,,)</f>
        <v>0.20499999999999999</v>
      </c>
      <c r="O30" s="41" cm="1">
        <f t="array" aca="1" ref="O30" ca="1">OFFSET(O30,$E$12,,)</f>
        <v>0.21</v>
      </c>
      <c r="P30" s="41" cm="1">
        <f t="array" aca="1" ref="P30" ca="1">OFFSET(P30,$E$12,,)</f>
        <v>0.215</v>
      </c>
      <c r="Q30" s="41" cm="1">
        <f t="array" aca="1" ref="Q30" ca="1">OFFSET(Q30,$E$12,,)</f>
        <v>0.22</v>
      </c>
      <c r="R30" s="41" cm="1">
        <f t="array" aca="1" ref="R30" ca="1">OFFSET(R30,$E$12,,)</f>
        <v>0.23</v>
      </c>
      <c r="S30" s="41" cm="1">
        <f t="array" aca="1" ref="S30" ca="1">OFFSET(S30,$E$12,,)</f>
        <v>0.23499999999999999</v>
      </c>
      <c r="T30" s="41" cm="1">
        <f t="array" aca="1" ref="T30" ca="1">OFFSET(T30,$E$12,,)</f>
        <v>0.24</v>
      </c>
      <c r="U30" s="41" cm="1">
        <f t="array" aca="1" ref="U30" ca="1">OFFSET(U30,$E$12,,)</f>
        <v>0.245</v>
      </c>
      <c r="V30" s="41" cm="1">
        <f t="array" aca="1" ref="V30" ca="1">OFFSET(V30,$E$12,,)</f>
        <v>0.25</v>
      </c>
    </row>
    <row r="31" spans="1:22" x14ac:dyDescent="0.25">
      <c r="B31" s="38" t="s">
        <v>154</v>
      </c>
      <c r="M31" s="42">
        <v>0.19</v>
      </c>
      <c r="N31" s="42">
        <v>0.19</v>
      </c>
      <c r="O31" s="42">
        <v>0.19</v>
      </c>
      <c r="P31" s="42">
        <v>0.19</v>
      </c>
      <c r="Q31" s="42">
        <v>0.19</v>
      </c>
      <c r="R31" s="42">
        <v>0.19</v>
      </c>
      <c r="S31" s="42">
        <v>0.19</v>
      </c>
      <c r="T31" s="42">
        <v>0.19</v>
      </c>
      <c r="U31" s="42">
        <v>0.19</v>
      </c>
      <c r="V31" s="42">
        <v>0.19</v>
      </c>
    </row>
    <row r="32" spans="1:22" x14ac:dyDescent="0.25">
      <c r="B32" s="38" t="s">
        <v>167</v>
      </c>
      <c r="M32" s="42">
        <v>0.2</v>
      </c>
      <c r="N32" s="42">
        <v>0.20499999999999999</v>
      </c>
      <c r="O32" s="42">
        <v>0.21</v>
      </c>
      <c r="P32" s="42">
        <v>0.215</v>
      </c>
      <c r="Q32" s="42">
        <v>0.22</v>
      </c>
      <c r="R32" s="42">
        <v>0.23</v>
      </c>
      <c r="S32" s="42">
        <v>0.23499999999999999</v>
      </c>
      <c r="T32" s="42">
        <v>0.24</v>
      </c>
      <c r="U32" s="42">
        <v>0.245</v>
      </c>
      <c r="V32" s="42">
        <v>0.25</v>
      </c>
    </row>
    <row r="33" spans="2:22" x14ac:dyDescent="0.25">
      <c r="B33" s="38" t="s">
        <v>168</v>
      </c>
      <c r="M33" s="42">
        <v>0.2</v>
      </c>
      <c r="N33" s="42">
        <f>M33*(1+5%)</f>
        <v>0.21000000000000002</v>
      </c>
      <c r="O33" s="42">
        <f t="shared" ref="O33:V33" si="8">N33*(1+5%)</f>
        <v>0.22050000000000003</v>
      </c>
      <c r="P33" s="42">
        <f t="shared" si="8"/>
        <v>0.23152500000000004</v>
      </c>
      <c r="Q33" s="42">
        <f t="shared" si="8"/>
        <v>0.24310125000000005</v>
      </c>
      <c r="R33" s="42">
        <f t="shared" si="8"/>
        <v>0.25525631250000008</v>
      </c>
      <c r="S33" s="42">
        <f t="shared" si="8"/>
        <v>0.26801912812500012</v>
      </c>
      <c r="T33" s="42">
        <f t="shared" si="8"/>
        <v>0.28142008453125011</v>
      </c>
      <c r="U33" s="42">
        <f t="shared" si="8"/>
        <v>0.29549108875781266</v>
      </c>
      <c r="V33" s="42">
        <f t="shared" si="8"/>
        <v>0.31026564319570332</v>
      </c>
    </row>
    <row r="35" spans="2:22" x14ac:dyDescent="0.25">
      <c r="B35" t="s">
        <v>170</v>
      </c>
      <c r="G35" s="3">
        <f>Model!M34</f>
        <v>980</v>
      </c>
      <c r="H35" s="3">
        <f>Model!N34</f>
        <v>1034</v>
      </c>
      <c r="I35" s="3">
        <f>Model!O34</f>
        <v>297</v>
      </c>
      <c r="J35" s="3">
        <f>Model!P34</f>
        <v>949</v>
      </c>
      <c r="K35" s="3">
        <f>Model!Q34</f>
        <v>1211</v>
      </c>
      <c r="L35" s="3">
        <f>Model!R34</f>
        <v>1475</v>
      </c>
      <c r="M35" s="3">
        <f ca="1">M36*M29</f>
        <v>1692.3847600000001</v>
      </c>
      <c r="N35" s="3">
        <f t="shared" ref="N35:V35" ca="1" si="9">N36*N29</f>
        <v>1854.9086994646998</v>
      </c>
      <c r="O35" s="3">
        <f t="shared" ca="1" si="9"/>
        <v>2030.5139918432374</v>
      </c>
      <c r="P35" s="3">
        <f t="shared" ca="1" si="9"/>
        <v>2220.057637941225</v>
      </c>
      <c r="Q35" s="3">
        <f t="shared" ca="1" si="9"/>
        <v>2424.4390203967696</v>
      </c>
      <c r="R35" s="3">
        <f t="shared" ca="1" si="9"/>
        <v>2703.3700663160989</v>
      </c>
      <c r="S35" s="3">
        <f t="shared" ca="1" si="9"/>
        <v>2944.173912223006</v>
      </c>
      <c r="T35" s="3">
        <f t="shared" ca="1" si="9"/>
        <v>3202.9943345858492</v>
      </c>
      <c r="U35" s="3">
        <f t="shared" ca="1" si="9"/>
        <v>3480.921776511173</v>
      </c>
      <c r="V35" s="3">
        <f t="shared" ca="1" si="9"/>
        <v>3779.0954307245688</v>
      </c>
    </row>
    <row r="36" spans="2:22" x14ac:dyDescent="0.25">
      <c r="B36" s="39" t="s">
        <v>171</v>
      </c>
      <c r="G36" s="41">
        <f t="shared" ref="G36:L36" si="10">G35/G29</f>
        <v>0.22492540739040623</v>
      </c>
      <c r="H36" s="41">
        <f t="shared" si="10"/>
        <v>0.21663523989105385</v>
      </c>
      <c r="I36" s="41">
        <f t="shared" si="10"/>
        <v>0.19721115537848605</v>
      </c>
      <c r="J36" s="41">
        <f t="shared" si="10"/>
        <v>0.2216254086875292</v>
      </c>
      <c r="K36" s="41">
        <f t="shared" si="10"/>
        <v>0.21064532962254304</v>
      </c>
      <c r="L36" s="41">
        <f t="shared" si="10"/>
        <v>0.21665687426556993</v>
      </c>
      <c r="M36" s="41">
        <v>0.22</v>
      </c>
      <c r="N36" s="41">
        <v>0.22</v>
      </c>
      <c r="O36" s="41">
        <v>0.22</v>
      </c>
      <c r="P36" s="41">
        <v>0.22</v>
      </c>
      <c r="Q36" s="41">
        <v>0.22</v>
      </c>
      <c r="R36" s="41">
        <v>0.22</v>
      </c>
      <c r="S36" s="41">
        <v>0.22</v>
      </c>
      <c r="T36" s="41">
        <v>0.22</v>
      </c>
      <c r="U36" s="41">
        <v>0.22</v>
      </c>
      <c r="V36" s="41">
        <v>0.22</v>
      </c>
    </row>
    <row r="37" spans="2:22" x14ac:dyDescent="0.25">
      <c r="B37" s="39"/>
    </row>
    <row r="38" spans="2:22" x14ac:dyDescent="0.25">
      <c r="B38" s="43" t="s">
        <v>172</v>
      </c>
      <c r="C38" s="44"/>
      <c r="D38" s="44"/>
      <c r="E38" s="44"/>
      <c r="F38" s="44"/>
      <c r="G38" s="45">
        <f t="shared" ref="G38:V38" si="11">G29-G35</f>
        <v>3377</v>
      </c>
      <c r="H38" s="45">
        <f t="shared" si="11"/>
        <v>3739</v>
      </c>
      <c r="I38" s="45">
        <f t="shared" si="11"/>
        <v>1209</v>
      </c>
      <c r="J38" s="45">
        <f t="shared" si="11"/>
        <v>3333</v>
      </c>
      <c r="K38" s="45">
        <f t="shared" si="11"/>
        <v>4538</v>
      </c>
      <c r="L38" s="45">
        <f t="shared" si="11"/>
        <v>5333</v>
      </c>
      <c r="M38" s="45">
        <f t="shared" ca="1" si="11"/>
        <v>6000.2732400000004</v>
      </c>
      <c r="N38" s="45">
        <f t="shared" ca="1" si="11"/>
        <v>6576.4944799202995</v>
      </c>
      <c r="O38" s="45">
        <f t="shared" ca="1" si="11"/>
        <v>7199.0950619896594</v>
      </c>
      <c r="P38" s="45">
        <f t="shared" ca="1" si="11"/>
        <v>7871.1134436097982</v>
      </c>
      <c r="Q38" s="45">
        <f t="shared" ca="1" si="11"/>
        <v>8595.7383450430934</v>
      </c>
      <c r="R38" s="45">
        <f t="shared" ca="1" si="11"/>
        <v>9584.6756896661682</v>
      </c>
      <c r="S38" s="45">
        <f t="shared" ca="1" si="11"/>
        <v>10438.434779699748</v>
      </c>
      <c r="T38" s="45">
        <f t="shared" ca="1" si="11"/>
        <v>11356.070822622554</v>
      </c>
      <c r="U38" s="45">
        <f t="shared" ca="1" si="11"/>
        <v>12341.449934903249</v>
      </c>
      <c r="V38" s="46">
        <f t="shared" ca="1" si="11"/>
        <v>13398.611072568927</v>
      </c>
    </row>
    <row r="40" spans="2:22" x14ac:dyDescent="0.25">
      <c r="B40" t="s">
        <v>28</v>
      </c>
      <c r="G40" s="3">
        <f>Model!M87</f>
        <v>1100</v>
      </c>
      <c r="H40" s="3">
        <f>Model!N87</f>
        <v>2826</v>
      </c>
      <c r="I40" s="3">
        <f>Model!O87</f>
        <v>3045</v>
      </c>
      <c r="J40" s="3">
        <f>Model!P87</f>
        <v>2901</v>
      </c>
      <c r="K40" s="3">
        <f>Model!Q87</f>
        <v>2899</v>
      </c>
      <c r="L40" s="3">
        <f>Model!R87</f>
        <v>3041</v>
      </c>
      <c r="M40" s="3">
        <f ca="1">M41*M23</f>
        <v>3269.3796500000003</v>
      </c>
      <c r="N40" s="3">
        <f t="shared" ref="N40:V40" ca="1" si="12">N41*N23</f>
        <v>3216.2718469654005</v>
      </c>
      <c r="O40" s="3">
        <f t="shared" ca="1" si="12"/>
        <v>3161.9761608045433</v>
      </c>
      <c r="P40" s="3">
        <f t="shared" ca="1" si="12"/>
        <v>3106.6012805014807</v>
      </c>
      <c r="Q40" s="3">
        <f t="shared" ca="1" si="12"/>
        <v>3050.2549364407255</v>
      </c>
      <c r="R40" s="3">
        <f t="shared" ca="1" si="12"/>
        <v>2993.0436203928157</v>
      </c>
      <c r="S40" s="3">
        <f t="shared" ca="1" si="12"/>
        <v>2935.0723211363797</v>
      </c>
      <c r="T40" s="3">
        <f t="shared" ca="1" si="12"/>
        <v>2876.4442761915807</v>
      </c>
      <c r="U40" s="3">
        <f t="shared" ca="1" si="12"/>
        <v>2817.2607400332176</v>
      </c>
      <c r="V40" s="3">
        <f t="shared" ca="1" si="12"/>
        <v>2757.6207690486794</v>
      </c>
    </row>
    <row r="41" spans="2:22" x14ac:dyDescent="0.25">
      <c r="B41" s="38" t="s">
        <v>169</v>
      </c>
      <c r="C41" s="40"/>
      <c r="D41" s="40"/>
      <c r="E41" s="40"/>
      <c r="F41" s="40"/>
      <c r="G41" s="47">
        <f t="shared" ref="G41:L41" si="13">G40/G23</f>
        <v>4.2073054121246893E-2</v>
      </c>
      <c r="H41" s="47">
        <f t="shared" si="13"/>
        <v>9.9904549793191216E-2</v>
      </c>
      <c r="I41" s="47">
        <f t="shared" si="13"/>
        <v>0.14925007352220371</v>
      </c>
      <c r="J41" s="47">
        <f t="shared" si="13"/>
        <v>0.10466878337422428</v>
      </c>
      <c r="K41" s="47">
        <f t="shared" si="13"/>
        <v>8.9011022751696395E-2</v>
      </c>
      <c r="L41" s="47">
        <f t="shared" si="13"/>
        <v>8.4596767463209724E-2</v>
      </c>
      <c r="M41" s="48">
        <v>8.5000000000000006E-2</v>
      </c>
      <c r="N41" s="48">
        <f>M41*(1-8%)</f>
        <v>7.8200000000000006E-2</v>
      </c>
      <c r="O41" s="48">
        <f t="shared" ref="O41:V41" si="14">N41*(1-8%)</f>
        <v>7.1944000000000008E-2</v>
      </c>
      <c r="P41" s="48">
        <f t="shared" si="14"/>
        <v>6.6188480000000008E-2</v>
      </c>
      <c r="Q41" s="48">
        <f t="shared" si="14"/>
        <v>6.0893401600000008E-2</v>
      </c>
      <c r="R41" s="48">
        <f t="shared" si="14"/>
        <v>5.6021929472000007E-2</v>
      </c>
      <c r="S41" s="48">
        <f t="shared" si="14"/>
        <v>5.1540175114240007E-2</v>
      </c>
      <c r="T41" s="48">
        <f t="shared" si="14"/>
        <v>4.7416961105100811E-2</v>
      </c>
      <c r="U41" s="48">
        <f t="shared" si="14"/>
        <v>4.362360421669275E-2</v>
      </c>
      <c r="V41" s="48">
        <f t="shared" si="14"/>
        <v>4.013371587935733E-2</v>
      </c>
    </row>
    <row r="43" spans="2:22" x14ac:dyDescent="0.25">
      <c r="B43" t="s">
        <v>173</v>
      </c>
      <c r="G43" s="49">
        <f>Model!M98+Model!M97</f>
        <v>-1462</v>
      </c>
      <c r="H43" s="49">
        <f>Model!N98+Model!N97</f>
        <v>-1112</v>
      </c>
      <c r="I43" s="49">
        <f>Model!O98+Model!O97</f>
        <v>-677</v>
      </c>
      <c r="J43" s="49">
        <f>Model!P98+Model!P97</f>
        <v>-1126</v>
      </c>
      <c r="K43" s="49">
        <f>Model!Q98+Model!Q97</f>
        <v>-1415</v>
      </c>
      <c r="L43" s="49">
        <f>Model!R98+Model!R97</f>
        <v>-1872</v>
      </c>
      <c r="M43" s="49">
        <f ca="1">M44*M23</f>
        <v>-2000.0910799999999</v>
      </c>
      <c r="N43" s="49">
        <f t="shared" ref="N43:V43" ca="1" si="15">N44*N23</f>
        <v>-2031.7625222517997</v>
      </c>
      <c r="O43" s="49">
        <f t="shared" ca="1" si="15"/>
        <v>-2062.5978709351325</v>
      </c>
      <c r="P43" s="49">
        <f t="shared" ca="1" si="15"/>
        <v>-2092.5568647178134</v>
      </c>
      <c r="Q43" s="49">
        <f t="shared" ca="1" si="15"/>
        <v>-2121.6007895158345</v>
      </c>
      <c r="R43" s="49">
        <f t="shared" ca="1" si="15"/>
        <v>-2149.6925625458975</v>
      </c>
      <c r="S43" s="49">
        <f t="shared" ca="1" si="15"/>
        <v>-2176.7968106029057</v>
      </c>
      <c r="T43" s="49">
        <f t="shared" ca="1" si="15"/>
        <v>-2202.8799423664891</v>
      </c>
      <c r="U43" s="49">
        <f t="shared" ca="1" si="15"/>
        <v>-2227.9102145703087</v>
      </c>
      <c r="V43" s="49">
        <f t="shared" ca="1" si="15"/>
        <v>-2251.8577918976475</v>
      </c>
    </row>
    <row r="44" spans="2:22" x14ac:dyDescent="0.25">
      <c r="B44" s="38" t="s">
        <v>169</v>
      </c>
      <c r="G44" s="47">
        <f t="shared" ref="G44:L44" si="16">G43/G23</f>
        <v>-5.5918913750239052E-2</v>
      </c>
      <c r="H44" s="47">
        <f t="shared" si="16"/>
        <v>-3.9311344433838866E-2</v>
      </c>
      <c r="I44" s="47">
        <f t="shared" si="16"/>
        <v>-3.3183021272424271E-2</v>
      </c>
      <c r="J44" s="47">
        <f t="shared" si="16"/>
        <v>-4.0626353009092224E-2</v>
      </c>
      <c r="K44" s="47">
        <f t="shared" si="16"/>
        <v>-4.3446221867419942E-2</v>
      </c>
      <c r="L44" s="47">
        <f t="shared" si="16"/>
        <v>-5.2076668428519768E-2</v>
      </c>
      <c r="M44" s="48">
        <v>-5.1999999999999998E-2</v>
      </c>
      <c r="N44" s="48">
        <f>M44*(1-5%)</f>
        <v>-4.9399999999999993E-2</v>
      </c>
      <c r="O44" s="48">
        <f t="shared" ref="O44:V44" si="17">N44*(1-5%)</f>
        <v>-4.6929999999999993E-2</v>
      </c>
      <c r="P44" s="48">
        <f t="shared" si="17"/>
        <v>-4.4583499999999991E-2</v>
      </c>
      <c r="Q44" s="48">
        <f t="shared" si="17"/>
        <v>-4.2354324999999991E-2</v>
      </c>
      <c r="R44" s="48">
        <f t="shared" si="17"/>
        <v>-4.0236608749999993E-2</v>
      </c>
      <c r="S44" s="48">
        <f t="shared" si="17"/>
        <v>-3.8224778312499992E-2</v>
      </c>
      <c r="T44" s="48">
        <f t="shared" si="17"/>
        <v>-3.631353939687499E-2</v>
      </c>
      <c r="U44" s="48">
        <f t="shared" si="17"/>
        <v>-3.4497862427031241E-2</v>
      </c>
      <c r="V44" s="48">
        <f t="shared" si="17"/>
        <v>-3.2772969305679675E-2</v>
      </c>
    </row>
    <row r="46" spans="2:22" x14ac:dyDescent="0.25">
      <c r="B46" t="s">
        <v>174</v>
      </c>
      <c r="G46" s="49">
        <f>Model!M95</f>
        <v>-349</v>
      </c>
      <c r="H46" s="49">
        <f>Model!N95</f>
        <v>205</v>
      </c>
      <c r="I46" s="49">
        <f>Model!O95</f>
        <v>-847</v>
      </c>
      <c r="J46" s="49">
        <f>Model!P95</f>
        <v>223</v>
      </c>
      <c r="K46" s="49">
        <f>Model!Q95</f>
        <v>-669</v>
      </c>
      <c r="L46" s="49">
        <f>Model!R95</f>
        <v>-57</v>
      </c>
      <c r="M46" s="49">
        <f ca="1">M47*M23</f>
        <v>-384.63290000000001</v>
      </c>
      <c r="N46" s="49">
        <f t="shared" ref="N46:V46" ca="1" si="18">N47*N23</f>
        <v>-394.8364415712</v>
      </c>
      <c r="O46" s="49">
        <f t="shared" ca="1" si="18"/>
        <v>-405.04798590535228</v>
      </c>
      <c r="P46" s="49">
        <f t="shared" ca="1" si="18"/>
        <v>-415.25685293056392</v>
      </c>
      <c r="Q46" s="49">
        <f t="shared" ca="1" si="18"/>
        <v>-425.45226072391853</v>
      </c>
      <c r="R46" s="49">
        <f t="shared" ca="1" si="18"/>
        <v>-435.62334853423874</v>
      </c>
      <c r="S46" s="49">
        <f t="shared" ca="1" si="18"/>
        <v>-445.75920000238006</v>
      </c>
      <c r="T46" s="49">
        <f t="shared" ca="1" si="18"/>
        <v>-455.84886649985975</v>
      </c>
      <c r="U46" s="49">
        <f t="shared" ca="1" si="18"/>
        <v>-465.88139050705985</v>
      </c>
      <c r="V46" s="49">
        <f t="shared" ca="1" si="18"/>
        <v>-475.84582895304004</v>
      </c>
    </row>
    <row r="47" spans="2:22" x14ac:dyDescent="0.25">
      <c r="B47" s="38" t="s">
        <v>169</v>
      </c>
      <c r="G47" s="47">
        <f t="shared" ref="G47:L47" si="19">G46/G23</f>
        <v>-1.3348632625741059E-2</v>
      </c>
      <c r="H47" s="47">
        <f t="shared" si="19"/>
        <v>7.2471453317778482E-3</v>
      </c>
      <c r="I47" s="47">
        <f t="shared" si="19"/>
        <v>-4.15155376923831E-2</v>
      </c>
      <c r="J47" s="47">
        <f t="shared" si="19"/>
        <v>8.0458940684081399E-3</v>
      </c>
      <c r="K47" s="47">
        <f t="shared" si="19"/>
        <v>-2.0541005250391476E-2</v>
      </c>
      <c r="L47" s="47">
        <f t="shared" si="19"/>
        <v>-1.5856677886889031E-3</v>
      </c>
      <c r="M47" s="48">
        <v>-0.01</v>
      </c>
      <c r="N47" s="48">
        <f>M47*(1-4%)</f>
        <v>-9.5999999999999992E-3</v>
      </c>
      <c r="O47" s="48">
        <f t="shared" ref="O47:V47" si="20">N47*(1-4%)</f>
        <v>-9.2159999999999985E-3</v>
      </c>
      <c r="P47" s="48">
        <f t="shared" si="20"/>
        <v>-8.8473599999999986E-3</v>
      </c>
      <c r="Q47" s="48">
        <f t="shared" si="20"/>
        <v>-8.493465599999998E-3</v>
      </c>
      <c r="R47" s="48">
        <f t="shared" si="20"/>
        <v>-8.1537269759999979E-3</v>
      </c>
      <c r="S47" s="48">
        <f t="shared" si="20"/>
        <v>-7.8275778969599981E-3</v>
      </c>
      <c r="T47" s="48">
        <f t="shared" si="20"/>
        <v>-7.514474781081598E-3</v>
      </c>
      <c r="U47" s="48">
        <f t="shared" si="20"/>
        <v>-7.2138957898383342E-3</v>
      </c>
      <c r="V47" s="48">
        <f t="shared" si="20"/>
        <v>-6.9253399582448003E-3</v>
      </c>
    </row>
    <row r="49" spans="1:22" x14ac:dyDescent="0.25">
      <c r="B49" s="50" t="s">
        <v>175</v>
      </c>
      <c r="C49" s="51"/>
      <c r="D49" s="51"/>
      <c r="E49" s="51"/>
      <c r="F49" s="51"/>
      <c r="G49" s="51">
        <f>G38+G40+G43+G46</f>
        <v>2666</v>
      </c>
      <c r="H49" s="51">
        <f t="shared" ref="H49:L49" si="21">H38+H40+H43+H46</f>
        <v>5658</v>
      </c>
      <c r="I49" s="51">
        <f t="shared" si="21"/>
        <v>2730</v>
      </c>
      <c r="J49" s="51">
        <f t="shared" si="21"/>
        <v>5331</v>
      </c>
      <c r="K49" s="51">
        <f t="shared" si="21"/>
        <v>5353</v>
      </c>
      <c r="L49" s="51">
        <f t="shared" si="21"/>
        <v>6445</v>
      </c>
      <c r="M49" s="51">
        <f ca="1">M38+M40+M43+M46</f>
        <v>6884.9289100000015</v>
      </c>
      <c r="N49" s="51">
        <f t="shared" ref="N49:V49" ca="1" si="22">N38+N40+N43+N46</f>
        <v>7366.1673630626992</v>
      </c>
      <c r="O49" s="51">
        <f t="shared" ca="1" si="22"/>
        <v>7893.4253659537171</v>
      </c>
      <c r="P49" s="51">
        <f t="shared" ca="1" si="22"/>
        <v>8469.9010064629019</v>
      </c>
      <c r="Q49" s="51">
        <f t="shared" ca="1" si="22"/>
        <v>9098.940231244067</v>
      </c>
      <c r="R49" s="51">
        <f t="shared" ca="1" si="22"/>
        <v>9992.4033989788477</v>
      </c>
      <c r="S49" s="51">
        <f t="shared" ca="1" si="22"/>
        <v>10750.951090230843</v>
      </c>
      <c r="T49" s="51">
        <f t="shared" ca="1" si="22"/>
        <v>11573.786289947786</v>
      </c>
      <c r="U49" s="51">
        <f t="shared" ca="1" si="22"/>
        <v>12464.919069859097</v>
      </c>
      <c r="V49" s="52">
        <f t="shared" ca="1" si="22"/>
        <v>13428.528220766917</v>
      </c>
    </row>
    <row r="50" spans="1:22" x14ac:dyDescent="0.25">
      <c r="B50" s="53" t="s">
        <v>176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>
        <f ca="1">(M49*M51)/(1+$D$13)^M51</f>
        <v>2600.9731437777782</v>
      </c>
      <c r="N50" s="54">
        <f t="shared" ref="N50:V50" ca="1" si="23">N49/(1+$D$13)^N51</f>
        <v>7366.1673630626992</v>
      </c>
      <c r="O50" s="54">
        <f t="shared" ca="1" si="23"/>
        <v>7893.4253659537171</v>
      </c>
      <c r="P50" s="54">
        <f t="shared" ca="1" si="23"/>
        <v>8469.9010064629019</v>
      </c>
      <c r="Q50" s="54">
        <f t="shared" ca="1" si="23"/>
        <v>9098.940231244067</v>
      </c>
      <c r="R50" s="54">
        <f t="shared" ca="1" si="23"/>
        <v>9992.4033989788477</v>
      </c>
      <c r="S50" s="54">
        <f t="shared" ca="1" si="23"/>
        <v>10750.951090230843</v>
      </c>
      <c r="T50" s="54">
        <f t="shared" ca="1" si="23"/>
        <v>11573.786289947786</v>
      </c>
      <c r="U50" s="54">
        <f t="shared" ca="1" si="23"/>
        <v>12464.919069859097</v>
      </c>
      <c r="V50" s="55">
        <f t="shared" ca="1" si="23"/>
        <v>13428.528220766917</v>
      </c>
    </row>
    <row r="51" spans="1:22" x14ac:dyDescent="0.25">
      <c r="B51" t="s">
        <v>177</v>
      </c>
      <c r="M51" s="23">
        <f>YEARFRAC(E4,E5)</f>
        <v>0.37777777777777777</v>
      </c>
      <c r="N51" s="23">
        <f>M51+1</f>
        <v>1.3777777777777778</v>
      </c>
      <c r="O51" s="23">
        <f>N51+1</f>
        <v>2.3777777777777778</v>
      </c>
      <c r="P51" s="23">
        <f t="shared" ref="P51:V51" si="24">O51+1</f>
        <v>3.3777777777777778</v>
      </c>
      <c r="Q51" s="23">
        <f t="shared" si="24"/>
        <v>4.3777777777777782</v>
      </c>
      <c r="R51" s="23">
        <f t="shared" si="24"/>
        <v>5.3777777777777782</v>
      </c>
      <c r="S51" s="23">
        <f t="shared" si="24"/>
        <v>6.3777777777777782</v>
      </c>
      <c r="T51" s="23">
        <f t="shared" si="24"/>
        <v>7.3777777777777782</v>
      </c>
      <c r="U51" s="23">
        <f t="shared" si="24"/>
        <v>8.3777777777777782</v>
      </c>
      <c r="V51" s="23">
        <f t="shared" si="24"/>
        <v>9.3777777777777782</v>
      </c>
    </row>
    <row r="52" spans="1:22" x14ac:dyDescent="0.25">
      <c r="B52" t="s">
        <v>178</v>
      </c>
      <c r="N52" s="3"/>
      <c r="O52" s="3"/>
      <c r="P52" s="3"/>
      <c r="Q52" s="3"/>
      <c r="V52" s="3">
        <f ca="1">SUM(M50:V50)</f>
        <v>93639.995180284663</v>
      </c>
    </row>
    <row r="53" spans="1:22" x14ac:dyDescent="0.25">
      <c r="B53" t="s">
        <v>179</v>
      </c>
      <c r="N53" s="3"/>
      <c r="O53" s="3"/>
      <c r="P53" s="3"/>
      <c r="Q53" s="3"/>
      <c r="V53" s="3">
        <f ca="1">(V49*(1+E18))/(E17-E18)</f>
        <v>228284.97975303759</v>
      </c>
    </row>
    <row r="54" spans="1:22" x14ac:dyDescent="0.25">
      <c r="B54" s="13" t="s">
        <v>180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56"/>
      <c r="O54" s="56"/>
      <c r="P54" s="56"/>
      <c r="Q54" s="56"/>
      <c r="R54" s="56"/>
      <c r="S54" s="56"/>
      <c r="T54" s="56"/>
      <c r="U54" s="56"/>
      <c r="V54" s="56">
        <f ca="1">V53/(1+E17)^V51</f>
        <v>110926.87698637611</v>
      </c>
    </row>
    <row r="55" spans="1:22" x14ac:dyDescent="0.25">
      <c r="B55" s="15" t="s">
        <v>181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57"/>
      <c r="O55" s="57"/>
      <c r="P55" s="57"/>
      <c r="Q55" s="57"/>
      <c r="R55" s="57"/>
      <c r="S55" s="57"/>
      <c r="T55" s="57"/>
      <c r="U55" s="57"/>
      <c r="V55" s="57">
        <f ca="1">V52+V54</f>
        <v>204566.87216666079</v>
      </c>
    </row>
    <row r="56" spans="1:22" x14ac:dyDescent="0.25">
      <c r="B56" t="s">
        <v>182</v>
      </c>
      <c r="N56" s="3"/>
      <c r="O56" s="3"/>
      <c r="P56" s="3"/>
      <c r="Q56" s="3"/>
      <c r="V56" s="3">
        <f>Main!J6</f>
        <v>11502</v>
      </c>
    </row>
    <row r="57" spans="1:22" x14ac:dyDescent="0.25">
      <c r="B57" s="13" t="s">
        <v>183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56"/>
      <c r="O57" s="56"/>
      <c r="P57" s="56"/>
      <c r="Q57" s="56"/>
      <c r="R57" s="56"/>
      <c r="S57" s="56"/>
      <c r="T57" s="56"/>
      <c r="U57" s="56"/>
      <c r="V57" s="56">
        <f>Main!J7</f>
        <v>7</v>
      </c>
    </row>
    <row r="58" spans="1:22" x14ac:dyDescent="0.25">
      <c r="B58" t="s">
        <v>184</v>
      </c>
      <c r="N58" s="3"/>
      <c r="O58" s="3"/>
      <c r="P58" s="3"/>
      <c r="Q58" s="3"/>
      <c r="V58" s="3">
        <f ca="1">V55+V56-V57</f>
        <v>216061.87216666079</v>
      </c>
    </row>
    <row r="59" spans="1:22" x14ac:dyDescent="0.25">
      <c r="B59" s="13" t="s">
        <v>185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56"/>
      <c r="O59" s="56"/>
      <c r="P59" s="56"/>
      <c r="Q59" s="56"/>
      <c r="R59" s="56"/>
      <c r="S59" s="56"/>
      <c r="T59" s="56"/>
      <c r="U59" s="56"/>
      <c r="V59" s="56">
        <f>Main!J4</f>
        <v>3114.4529830000001</v>
      </c>
    </row>
    <row r="60" spans="1:22" x14ac:dyDescent="0.25">
      <c r="B60" t="s">
        <v>147</v>
      </c>
      <c r="V60" s="23">
        <f ca="1">V58/V59</f>
        <v>69.373939290789664</v>
      </c>
    </row>
    <row r="64" spans="1:22" x14ac:dyDescent="0.25">
      <c r="A64" s="30" t="s">
        <v>22</v>
      </c>
      <c r="B64" s="31" t="s">
        <v>186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6" spans="2:10" x14ac:dyDescent="0.25">
      <c r="B66" s="58"/>
      <c r="C66" s="72" t="s">
        <v>163</v>
      </c>
      <c r="D66" s="72"/>
      <c r="E66" s="72"/>
      <c r="F66" s="72"/>
      <c r="G66" s="72"/>
      <c r="H66" s="72"/>
      <c r="I66" s="72"/>
      <c r="J66" s="73"/>
    </row>
    <row r="67" spans="2:10" x14ac:dyDescent="0.25">
      <c r="B67" s="74" t="s">
        <v>162</v>
      </c>
      <c r="C67" s="59"/>
      <c r="D67" s="60"/>
      <c r="E67" s="60"/>
      <c r="F67" s="60"/>
      <c r="G67" s="60"/>
      <c r="H67" s="60"/>
      <c r="I67" s="60"/>
      <c r="J67" s="60"/>
    </row>
    <row r="68" spans="2:10" x14ac:dyDescent="0.25">
      <c r="B68" s="74"/>
      <c r="C68" s="61"/>
      <c r="D68" s="25"/>
      <c r="E68" s="25"/>
      <c r="F68" s="25"/>
      <c r="G68" s="25"/>
      <c r="H68" s="25"/>
      <c r="I68" s="25"/>
      <c r="J68" s="25"/>
    </row>
    <row r="69" spans="2:10" x14ac:dyDescent="0.25">
      <c r="B69" s="74"/>
      <c r="C69" s="61"/>
      <c r="D69" s="25"/>
      <c r="E69" s="25"/>
      <c r="F69" s="25"/>
      <c r="G69" s="25"/>
      <c r="H69" s="25"/>
      <c r="I69" s="25"/>
      <c r="J69" s="25"/>
    </row>
    <row r="70" spans="2:10" x14ac:dyDescent="0.25">
      <c r="B70" s="74"/>
      <c r="C70" s="61"/>
      <c r="D70" s="25"/>
      <c r="E70" s="25"/>
      <c r="F70" s="25"/>
      <c r="G70" s="25"/>
      <c r="H70" s="25"/>
      <c r="I70" s="25"/>
      <c r="J70" s="25"/>
    </row>
    <row r="71" spans="2:10" x14ac:dyDescent="0.25">
      <c r="B71" s="74"/>
      <c r="C71" s="61"/>
      <c r="D71" s="25"/>
      <c r="E71" s="25"/>
      <c r="F71" s="25"/>
      <c r="G71" s="25"/>
      <c r="H71" s="25"/>
      <c r="I71" s="25"/>
      <c r="J71" s="25"/>
    </row>
    <row r="72" spans="2:10" x14ac:dyDescent="0.25">
      <c r="B72" s="74"/>
      <c r="C72" s="61"/>
      <c r="D72" s="25"/>
      <c r="E72" s="25"/>
      <c r="F72" s="25"/>
      <c r="G72" s="25"/>
      <c r="H72" s="25"/>
      <c r="I72" s="25"/>
      <c r="J72" s="25"/>
    </row>
    <row r="73" spans="2:10" x14ac:dyDescent="0.25">
      <c r="B73" s="74"/>
      <c r="C73" s="61"/>
      <c r="D73" s="25"/>
      <c r="E73" s="25"/>
      <c r="F73" s="25"/>
      <c r="G73" s="25"/>
      <c r="H73" s="25"/>
      <c r="I73" s="25"/>
      <c r="J73" s="25"/>
    </row>
    <row r="74" spans="2:10" x14ac:dyDescent="0.25">
      <c r="B74" s="75"/>
      <c r="C74" s="61"/>
      <c r="D74" s="25"/>
      <c r="E74" s="25"/>
      <c r="F74" s="25"/>
      <c r="G74" s="25"/>
      <c r="H74" s="25"/>
      <c r="I74" s="25"/>
      <c r="J74" s="25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B56E263-763B-4B13-A9E1-0DFCA987FECA}">
      <formula1>"1,2,3"</formula1>
    </dataValidation>
  </dataValidations>
  <hyperlinks>
    <hyperlink ref="A1" location="Main!A1" display="Main" xr:uid="{AE40ACCF-DB1B-43A4-8E21-7300949F0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2024-06-14T08:52:39Z</dcterms:created>
  <dcterms:modified xsi:type="dcterms:W3CDTF">2025-04-10T12:31:57Z</dcterms:modified>
</cp:coreProperties>
</file>