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409F158-889A-4AA0-87C4-428288A9E882}" xr6:coauthVersionLast="47" xr6:coauthVersionMax="47" xr10:uidLastSave="{00000000-0000-0000-0000-000000000000}"/>
  <bookViews>
    <workbookView xWindow="-120" yWindow="-120" windowWidth="38640" windowHeight="21060" xr2:uid="{20CEB54E-2453-4B61-AAC7-D7D76D478430}"/>
  </bookViews>
  <sheets>
    <sheet name="Main" sheetId="1" r:id="rId1"/>
    <sheet name="Financials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R80" i="2"/>
  <c r="R85" i="2"/>
  <c r="R81" i="2"/>
  <c r="R83" i="2" s="1"/>
  <c r="R87" i="2" s="1"/>
  <c r="R75" i="2"/>
  <c r="R68" i="2"/>
  <c r="R66" i="2"/>
  <c r="R60" i="2"/>
  <c r="R52" i="2"/>
  <c r="R51" i="2"/>
  <c r="R50" i="2"/>
  <c r="R49" i="2"/>
  <c r="R48" i="2"/>
  <c r="R40" i="2"/>
  <c r="Q40" i="2"/>
  <c r="P40" i="2"/>
  <c r="O40" i="2"/>
  <c r="N40" i="2"/>
  <c r="M40" i="2"/>
  <c r="L40" i="2"/>
  <c r="R38" i="2"/>
  <c r="R36" i="2"/>
  <c r="R30" i="2"/>
  <c r="R29" i="2"/>
  <c r="R31" i="2" s="1"/>
  <c r="F30" i="2"/>
  <c r="J30" i="2"/>
  <c r="R13" i="2"/>
  <c r="R44" i="2"/>
  <c r="I44" i="2"/>
  <c r="H44" i="2"/>
  <c r="G44" i="2"/>
  <c r="F44" i="2"/>
  <c r="E44" i="2"/>
  <c r="D44" i="2"/>
  <c r="C44" i="2"/>
  <c r="J44" i="2"/>
  <c r="L44" i="2"/>
  <c r="J13" i="2"/>
  <c r="I13" i="2"/>
  <c r="H13" i="2"/>
  <c r="G13" i="2"/>
  <c r="F13" i="2"/>
  <c r="E13" i="2"/>
  <c r="D13" i="2"/>
  <c r="C13" i="2"/>
  <c r="J10" i="2"/>
  <c r="I10" i="2"/>
  <c r="H10" i="2"/>
  <c r="G10" i="2"/>
  <c r="F10" i="2"/>
  <c r="E10" i="2"/>
  <c r="D10" i="2"/>
  <c r="C10" i="2"/>
  <c r="I6" i="2"/>
  <c r="H6" i="2"/>
  <c r="G6" i="2"/>
  <c r="F6" i="2"/>
  <c r="E6" i="2"/>
  <c r="D6" i="2"/>
  <c r="C6" i="2"/>
  <c r="J6" i="2"/>
  <c r="R10" i="2"/>
  <c r="J48" i="2"/>
  <c r="H48" i="2"/>
  <c r="G48" i="2"/>
  <c r="I48" i="2"/>
  <c r="J18" i="2" l="1"/>
  <c r="C18" i="2"/>
  <c r="R18" i="2"/>
  <c r="D18" i="2"/>
  <c r="I18" i="2"/>
  <c r="G18" i="2"/>
  <c r="E18" i="2"/>
  <c r="H18" i="2"/>
  <c r="F18" i="2"/>
  <c r="L91" i="2"/>
  <c r="L85" i="2"/>
  <c r="L78" i="2"/>
  <c r="M78" i="2"/>
  <c r="L72" i="2"/>
  <c r="M72" i="2"/>
  <c r="L70" i="2"/>
  <c r="L66" i="2"/>
  <c r="M91" i="2"/>
  <c r="N91" i="2"/>
  <c r="N78" i="2"/>
  <c r="O78" i="2"/>
  <c r="N72" i="2"/>
  <c r="O72" i="2"/>
  <c r="L35" i="2"/>
  <c r="M35" i="2"/>
  <c r="N35" i="2"/>
  <c r="L30" i="2"/>
  <c r="M30" i="2"/>
  <c r="N30" i="2"/>
  <c r="D2" i="3" l="1"/>
  <c r="E2" i="3" s="1"/>
  <c r="F2" i="3" s="1"/>
  <c r="G2" i="3" s="1"/>
  <c r="H2" i="3" s="1"/>
  <c r="I2" i="3" s="1"/>
  <c r="P99" i="2"/>
  <c r="O99" i="2"/>
  <c r="N99" i="2"/>
  <c r="M99" i="2"/>
  <c r="L99" i="2"/>
  <c r="Q99" i="2"/>
  <c r="O91" i="2"/>
  <c r="P91" i="2"/>
  <c r="Q91" i="2"/>
  <c r="P78" i="2"/>
  <c r="P81" i="2"/>
  <c r="O81" i="2"/>
  <c r="N81" i="2"/>
  <c r="M81" i="2"/>
  <c r="L81" i="2"/>
  <c r="Q78" i="2"/>
  <c r="Q81" i="2" s="1"/>
  <c r="O75" i="2"/>
  <c r="N75" i="2"/>
  <c r="M75" i="2"/>
  <c r="L75" i="2"/>
  <c r="P72" i="2"/>
  <c r="P75" i="2" s="1"/>
  <c r="P83" i="2" s="1"/>
  <c r="P87" i="2" s="1"/>
  <c r="Q72" i="2"/>
  <c r="Q75" i="2" s="1"/>
  <c r="Q66" i="2"/>
  <c r="P66" i="2"/>
  <c r="O66" i="2"/>
  <c r="N66" i="2"/>
  <c r="M66" i="2"/>
  <c r="O60" i="2"/>
  <c r="N60" i="2"/>
  <c r="M60" i="2"/>
  <c r="L60" i="2"/>
  <c r="Q57" i="2"/>
  <c r="Q60" i="2" s="1"/>
  <c r="P57" i="2"/>
  <c r="P56" i="2"/>
  <c r="P48" i="2"/>
  <c r="O35" i="2"/>
  <c r="O32" i="2"/>
  <c r="P35" i="2"/>
  <c r="P29" i="2"/>
  <c r="P49" i="2" s="1"/>
  <c r="O29" i="2"/>
  <c r="O31" i="2" s="1"/>
  <c r="J29" i="2"/>
  <c r="J31" i="2" s="1"/>
  <c r="J50" i="2" s="1"/>
  <c r="Q26" i="2"/>
  <c r="Q29" i="2" s="1"/>
  <c r="N26" i="2"/>
  <c r="O48" i="2" s="1"/>
  <c r="M26" i="2"/>
  <c r="L26" i="2"/>
  <c r="L29" i="2" s="1"/>
  <c r="L49" i="2" s="1"/>
  <c r="H35" i="2"/>
  <c r="H30" i="2"/>
  <c r="P13" i="2"/>
  <c r="O13" i="2"/>
  <c r="N13" i="2"/>
  <c r="M13" i="2"/>
  <c r="L13" i="2"/>
  <c r="Q13" i="2"/>
  <c r="P44" i="2"/>
  <c r="O44" i="2"/>
  <c r="N44" i="2"/>
  <c r="M44" i="2"/>
  <c r="Q44" i="2"/>
  <c r="P10" i="2"/>
  <c r="O10" i="2"/>
  <c r="N10" i="2"/>
  <c r="M10" i="2"/>
  <c r="L10" i="2"/>
  <c r="Q10" i="2"/>
  <c r="P6" i="2"/>
  <c r="O6" i="2"/>
  <c r="N6" i="2"/>
  <c r="M6" i="2"/>
  <c r="L6" i="2"/>
  <c r="Q6" i="2"/>
  <c r="M2" i="2"/>
  <c r="N2" i="2" s="1"/>
  <c r="O2" i="2" s="1"/>
  <c r="P2" i="2" s="1"/>
  <c r="Q2" i="2" s="1"/>
  <c r="R2" i="2" s="1"/>
  <c r="F29" i="2"/>
  <c r="F31" i="2" s="1"/>
  <c r="F36" i="2" s="1"/>
  <c r="F38" i="2" s="1"/>
  <c r="F40" i="2" s="1"/>
  <c r="E29" i="2"/>
  <c r="E31" i="2" s="1"/>
  <c r="E36" i="2" s="1"/>
  <c r="E38" i="2" s="1"/>
  <c r="E40" i="2" s="1"/>
  <c r="D29" i="2"/>
  <c r="D31" i="2" s="1"/>
  <c r="D36" i="2" s="1"/>
  <c r="D38" i="2" s="1"/>
  <c r="D40" i="2" s="1"/>
  <c r="C29" i="2"/>
  <c r="C31" i="2" s="1"/>
  <c r="C36" i="2" s="1"/>
  <c r="C38" i="2" s="1"/>
  <c r="C40" i="2" s="1"/>
  <c r="I29" i="2"/>
  <c r="I31" i="2" s="1"/>
  <c r="I50" i="2" s="1"/>
  <c r="H29" i="2"/>
  <c r="G29" i="2"/>
  <c r="G31" i="2" s="1"/>
  <c r="G36" i="2" s="1"/>
  <c r="G38" i="2" s="1"/>
  <c r="G40" i="2" s="1"/>
  <c r="M5" i="1"/>
  <c r="M8" i="1" s="1"/>
  <c r="G52" i="2" l="1"/>
  <c r="P60" i="2"/>
  <c r="H31" i="2"/>
  <c r="H50" i="2" s="1"/>
  <c r="O36" i="2"/>
  <c r="O38" i="2" s="1"/>
  <c r="F4" i="3" s="1"/>
  <c r="M18" i="2"/>
  <c r="Q18" i="2"/>
  <c r="L18" i="2"/>
  <c r="N18" i="2"/>
  <c r="O18" i="2"/>
  <c r="P18" i="2"/>
  <c r="M83" i="2"/>
  <c r="M87" i="2" s="1"/>
  <c r="N83" i="2"/>
  <c r="N87" i="2" s="1"/>
  <c r="O83" i="2"/>
  <c r="O87" i="2" s="1"/>
  <c r="H49" i="2"/>
  <c r="I49" i="2"/>
  <c r="C50" i="2"/>
  <c r="C52" i="2"/>
  <c r="L83" i="2"/>
  <c r="L87" i="2" s="1"/>
  <c r="O101" i="2"/>
  <c r="G49" i="2"/>
  <c r="Q68" i="2"/>
  <c r="G50" i="2"/>
  <c r="O68" i="2"/>
  <c r="O49" i="2"/>
  <c r="L68" i="2"/>
  <c r="M48" i="2"/>
  <c r="C51" i="2"/>
  <c r="M68" i="2"/>
  <c r="N48" i="2"/>
  <c r="C49" i="2"/>
  <c r="G51" i="2"/>
  <c r="N68" i="2"/>
  <c r="Q31" i="2"/>
  <c r="Q49" i="2"/>
  <c r="Q83" i="2"/>
  <c r="Q87" i="2" s="1"/>
  <c r="J49" i="2"/>
  <c r="J36" i="2"/>
  <c r="M29" i="2"/>
  <c r="L31" i="2"/>
  <c r="O50" i="2"/>
  <c r="D49" i="2"/>
  <c r="D50" i="2"/>
  <c r="D51" i="2"/>
  <c r="D52" i="2"/>
  <c r="I36" i="2"/>
  <c r="N29" i="2"/>
  <c r="E49" i="2"/>
  <c r="E50" i="2"/>
  <c r="E51" i="2"/>
  <c r="E52" i="2"/>
  <c r="Q48" i="2"/>
  <c r="F49" i="2"/>
  <c r="F50" i="2"/>
  <c r="F51" i="2"/>
  <c r="F52" i="2"/>
  <c r="P31" i="2"/>
  <c r="P68" i="2"/>
  <c r="H36" i="2" l="1"/>
  <c r="H38" i="2" s="1"/>
  <c r="H40" i="2" s="1"/>
  <c r="O52" i="2"/>
  <c r="F6" i="3" s="1"/>
  <c r="L101" i="2"/>
  <c r="Q101" i="2"/>
  <c r="P50" i="2"/>
  <c r="P101" i="2"/>
  <c r="P36" i="2"/>
  <c r="N49" i="2"/>
  <c r="N31" i="2"/>
  <c r="M49" i="2"/>
  <c r="M31" i="2"/>
  <c r="I38" i="2"/>
  <c r="I40" i="2" s="1"/>
  <c r="I52" i="2"/>
  <c r="J38" i="2"/>
  <c r="J40" i="2" s="1"/>
  <c r="J52" i="2"/>
  <c r="P38" i="2"/>
  <c r="G4" i="3" s="1"/>
  <c r="P52" i="2"/>
  <c r="G6" i="3" s="1"/>
  <c r="Q36" i="2"/>
  <c r="Q50" i="2"/>
  <c r="L50" i="2"/>
  <c r="L36" i="2"/>
  <c r="O51" i="2"/>
  <c r="H52" i="2" l="1"/>
  <c r="M101" i="2"/>
  <c r="N101" i="2"/>
  <c r="L52" i="2"/>
  <c r="C6" i="3" s="1"/>
  <c r="L38" i="2"/>
  <c r="C4" i="3" s="1"/>
  <c r="J51" i="2"/>
  <c r="Q38" i="2"/>
  <c r="H4" i="3" s="1"/>
  <c r="Q52" i="2"/>
  <c r="H6" i="3" s="1"/>
  <c r="I51" i="2"/>
  <c r="M36" i="2"/>
  <c r="M50" i="2"/>
  <c r="P51" i="2"/>
  <c r="N36" i="2"/>
  <c r="N50" i="2"/>
  <c r="H51" i="2"/>
  <c r="N38" i="2" l="1"/>
  <c r="E4" i="3" s="1"/>
  <c r="N52" i="2"/>
  <c r="E6" i="3" s="1"/>
  <c r="Q51" i="2"/>
  <c r="L51" i="2"/>
  <c r="M38" i="2"/>
  <c r="D4" i="3" s="1"/>
  <c r="M52" i="2"/>
  <c r="D6" i="3" s="1"/>
  <c r="M51" i="2" l="1"/>
  <c r="N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5" authorId="0" shapeId="0" xr:uid="{F5CBBABE-DFE4-4D3C-9BA7-5E7F77323B2E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Sticks in Millions</t>
        </r>
      </text>
    </comment>
    <comment ref="H30" authorId="0" shapeId="0" xr:uid="{F41D16A9-EDCD-4447-9014-3047479447E7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Asset Impairment</t>
        </r>
      </text>
    </comment>
    <comment ref="R34" authorId="0" shapeId="0" xr:uid="{B2214F75-A0AC-44ED-975E-F0C9F05022E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Sale of IQS Systems commercialization rights</t>
        </r>
      </text>
    </comment>
    <comment ref="H35" authorId="0" shapeId="0" xr:uid="{1888C056-6D87-4874-8230-58AD263383C5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Sale of IQOS System Commercial Rigths
</t>
        </r>
      </text>
    </comment>
    <comment ref="Q73" authorId="0" shapeId="0" xr:uid="{077C1A65-502D-4A5A-934C-D29EAE74EEC3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Sale of IQOS System commercialization rights</t>
        </r>
      </text>
    </comment>
  </commentList>
</comments>
</file>

<file path=xl/sharedStrings.xml><?xml version="1.0" encoding="utf-8"?>
<sst xmlns="http://schemas.openxmlformats.org/spreadsheetml/2006/main" count="153" uniqueCount="135">
  <si>
    <t>Altria Group</t>
  </si>
  <si>
    <t>Business Model</t>
  </si>
  <si>
    <t>Price</t>
  </si>
  <si>
    <t>Shares</t>
  </si>
  <si>
    <t>MC</t>
  </si>
  <si>
    <t>Cash</t>
  </si>
  <si>
    <t>Debt</t>
  </si>
  <si>
    <t>EV</t>
  </si>
  <si>
    <t>x</t>
  </si>
  <si>
    <t>Income Statement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</si>
  <si>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</si>
  <si>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</si>
  <si>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</si>
  <si>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</si>
  <si>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</si>
  <si>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</si>
  <si>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</si>
  <si>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</si>
  <si>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</si>
  <si>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</si>
  <si>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</si>
  <si>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Operating Profit</t>
  </si>
  <si>
    <t>Periodic benefit Income</t>
  </si>
  <si>
    <t>Earning before Tax</t>
  </si>
  <si>
    <t>Income Tax</t>
  </si>
  <si>
    <t>Net Income</t>
  </si>
  <si>
    <t>EPS</t>
  </si>
  <si>
    <t>Excercise Taxes</t>
  </si>
  <si>
    <t>Debt Expense</t>
  </si>
  <si>
    <t>Loss from Investments</t>
  </si>
  <si>
    <t>Shipment Volume</t>
  </si>
  <si>
    <t xml:space="preserve">Malboro </t>
  </si>
  <si>
    <t>Other Premium</t>
  </si>
  <si>
    <t>Discount</t>
  </si>
  <si>
    <t>Cigaretes</t>
  </si>
  <si>
    <t>Cigars</t>
  </si>
  <si>
    <t>Black &amp; Mild</t>
  </si>
  <si>
    <t>Other</t>
  </si>
  <si>
    <t>Metrics</t>
  </si>
  <si>
    <t>Retail Share</t>
  </si>
  <si>
    <t>Oral Tabacco</t>
  </si>
  <si>
    <t>Copenhagen</t>
  </si>
  <si>
    <t>On!</t>
  </si>
  <si>
    <t>Skoal</t>
  </si>
  <si>
    <t>Smokebale Tobacco</t>
  </si>
  <si>
    <t>Oral Products</t>
  </si>
  <si>
    <t>All other</t>
  </si>
  <si>
    <t>Revenue Growth</t>
  </si>
  <si>
    <t>Gross Margin</t>
  </si>
  <si>
    <t>Operating Margin</t>
  </si>
  <si>
    <t>Net Margin</t>
  </si>
  <si>
    <t>Tax Rate</t>
  </si>
  <si>
    <t>Balance Sheet</t>
  </si>
  <si>
    <t>Cash and Cahs Equivalents</t>
  </si>
  <si>
    <t>Account Receivables</t>
  </si>
  <si>
    <t>Inventories</t>
  </si>
  <si>
    <t>Income Tax Receivables</t>
  </si>
  <si>
    <t>Current Assets</t>
  </si>
  <si>
    <t>PP&amp;E</t>
  </si>
  <si>
    <t>Goodwill</t>
  </si>
  <si>
    <t>Intangibles</t>
  </si>
  <si>
    <t>Equity Investments</t>
  </si>
  <si>
    <t>Non-current Assets</t>
  </si>
  <si>
    <t>Total Assets</t>
  </si>
  <si>
    <t>Current Debt</t>
  </si>
  <si>
    <t>Accounts Payable</t>
  </si>
  <si>
    <t>Accrued Liabilties</t>
  </si>
  <si>
    <t>Dividends Payables</t>
  </si>
  <si>
    <t>Current Liabilties</t>
  </si>
  <si>
    <t>Deffered Gains</t>
  </si>
  <si>
    <t>Long Term Debt</t>
  </si>
  <si>
    <t>Deffered Income Tax</t>
  </si>
  <si>
    <t>Accured Pansions Cost</t>
  </si>
  <si>
    <t>Non-current Liabilties</t>
  </si>
  <si>
    <t>Total Libilties</t>
  </si>
  <si>
    <t xml:space="preserve">Shareholders Equity </t>
  </si>
  <si>
    <t>Equity and Liabilties</t>
  </si>
  <si>
    <t>Cashflow Statment</t>
  </si>
  <si>
    <t>Change in WC</t>
  </si>
  <si>
    <t>CFFO</t>
  </si>
  <si>
    <t>CapEx</t>
  </si>
  <si>
    <t>CFFI</t>
  </si>
  <si>
    <t>CFFF</t>
  </si>
  <si>
    <t>Change in Cash</t>
  </si>
  <si>
    <t>D&amp;A</t>
  </si>
  <si>
    <t>Unlevered FCF</t>
  </si>
  <si>
    <t>Main</t>
  </si>
  <si>
    <t>Ratios</t>
  </si>
  <si>
    <t>Notes</t>
  </si>
  <si>
    <t>founded 1847 as Phl Moris Company</t>
  </si>
  <si>
    <t>Until 2008 -&gt;  Phil Moris International -&gt; Spin of Phil Moris (PM)</t>
  </si>
  <si>
    <t>Altria Group responsible for US Markets, PM for Interantional Markets</t>
  </si>
  <si>
    <t>Segment</t>
  </si>
  <si>
    <t>% of Rev</t>
  </si>
  <si>
    <t>Competitors</t>
  </si>
  <si>
    <t>Cigarettes</t>
  </si>
  <si>
    <t>Brands &amp; Products</t>
  </si>
  <si>
    <t xml:space="preserve">Cigars </t>
  </si>
  <si>
    <t>Wine</t>
  </si>
  <si>
    <t>Total</t>
  </si>
  <si>
    <t>MO</t>
  </si>
  <si>
    <t>IR</t>
  </si>
  <si>
    <t>Etragskennzahlen</t>
  </si>
  <si>
    <t>Eigenkapitalrendite (ROE)</t>
  </si>
  <si>
    <t>Return on Capital Employed (ROCE)</t>
  </si>
  <si>
    <t>Return on Capital Invested (ROIC)</t>
  </si>
  <si>
    <t>Retention Rate</t>
  </si>
  <si>
    <t>Expected Growth</t>
  </si>
  <si>
    <t>Reinvestment Rate</t>
  </si>
  <si>
    <t>Kennzahlen zur finanziellen Stabilität</t>
  </si>
  <si>
    <t>EK-Quote</t>
  </si>
  <si>
    <t>Gearing</t>
  </si>
  <si>
    <t>Interest Coverage Ratio</t>
  </si>
  <si>
    <t>Net Debt / EBITDA</t>
  </si>
  <si>
    <t>Goodwill-Anteil</t>
  </si>
  <si>
    <t>Kennzahlen WC Management</t>
  </si>
  <si>
    <t>Debitorenlaufzeit</t>
  </si>
  <si>
    <t>Kreditorenlaufzeit</t>
  </si>
  <si>
    <t>Umschlaghäufigkeit der Vorräte</t>
  </si>
  <si>
    <t>Lagedauer</t>
  </si>
  <si>
    <t>Cash Conversion</t>
  </si>
  <si>
    <t>Bewertungskennzahlen</t>
  </si>
  <si>
    <t>Equitymultiplikatoren:</t>
  </si>
  <si>
    <t>Market Cap</t>
  </si>
  <si>
    <t>P/E Ratio</t>
  </si>
  <si>
    <t>PEG Ratio</t>
  </si>
  <si>
    <t>P/B Ratio</t>
  </si>
  <si>
    <t>Entitymultipliaktoren</t>
  </si>
  <si>
    <t>EV/EBITDA</t>
  </si>
  <si>
    <t>EV/EBIT</t>
  </si>
  <si>
    <t>EV/FCF</t>
  </si>
  <si>
    <t>EV/Sales</t>
  </si>
  <si>
    <t>numbers in mio USD</t>
  </si>
  <si>
    <t>Malboro Net Pack Price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</si>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</sst>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\(#,##0.0\)"/>
    <numFmt numFmtId="165" formatCode="&quot;FY&quot;0"/>
    <numFmt numFmtId="166" formatCode="#,##0.00;\(#,##0.00\)"/>
    <numFmt numFmtId="167" formatCode="#,##0;\(#,##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9" fontId="0" fillId="0" borderId="0" xfId="1" applyFont="1"/>
    <xf numFmtId="0" fontId="8" fillId="0" borderId="0" xfId="2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9" fontId="0" fillId="0" borderId="10" xfId="0" applyNumberFormat="1" applyBorder="1"/>
    <xf numFmtId="9" fontId="0" fillId="0" borderId="5" xfId="0" applyNumberFormat="1" applyBorder="1"/>
    <xf numFmtId="0" fontId="9" fillId="0" borderId="0" xfId="0" applyFont="1"/>
    <xf numFmtId="166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0" applyNumberFormat="1"/>
    <xf numFmtId="167" fontId="1" fillId="0" borderId="0" xfId="0" applyNumberFormat="1" applyFont="1"/>
    <xf numFmtId="9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tria.com/Investors/at-a-glance" TargetMode="External"/><Relationship Id="rId1" Type="http://schemas.openxmlformats.org/officeDocument/2006/relationships/hyperlink" Target="https://www.sec.gov/edgar/browse/?CIK=764180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A8BF-4A3E-4042-9051-F7B6DAB83C04}">
  <dimension ref="A1:N16"/>
  <sheetViews>
    <sheetView tabSelected="1" zoomScale="200" zoomScaleNormal="200" workbookViewId="0">
      <selection activeCell="C16" sqref="C16"/>
    </sheetView>
  </sheetViews>
  <sheetFormatPr defaultRowHeight="15" x14ac:dyDescent="0.25"/>
  <cols>
    <col min="1" max="1" width="4.42578125" customWidth="1"/>
    <col min="2" max="2" width="12.7109375" customWidth="1"/>
    <col min="4" max="4" width="25.5703125" customWidth="1"/>
    <col min="5" max="5" width="12.42578125" bestFit="1" customWidth="1"/>
    <col min="13" max="13" width="8.85546875" bestFit="1" customWidth="1"/>
  </cols>
  <sheetData>
    <row r="1" spans="1:14" x14ac:dyDescent="0.25">
      <c r="A1" s="1" t="s">
        <v>0</v>
      </c>
    </row>
    <row r="2" spans="1:14" x14ac:dyDescent="0.25">
      <c r="A2" t="s">
        <v>132</v>
      </c>
    </row>
    <row r="3" spans="1:14" x14ac:dyDescent="0.25">
      <c r="L3" t="s">
        <v>2</v>
      </c>
      <c r="M3" s="3">
        <v>51.6</v>
      </c>
    </row>
    <row r="4" spans="1:14" x14ac:dyDescent="0.25">
      <c r="B4" s="9" t="s">
        <v>100</v>
      </c>
      <c r="L4" t="s">
        <v>3</v>
      </c>
      <c r="M4" s="25">
        <v>1694.8129819999999</v>
      </c>
      <c r="N4" s="5" t="s">
        <v>17</v>
      </c>
    </row>
    <row r="5" spans="1:14" x14ac:dyDescent="0.25">
      <c r="B5" s="9" t="s">
        <v>101</v>
      </c>
      <c r="L5" t="s">
        <v>4</v>
      </c>
      <c r="M5" s="26">
        <f>M4*M3</f>
        <v>87452.3498712</v>
      </c>
    </row>
    <row r="6" spans="1:14" x14ac:dyDescent="0.25">
      <c r="L6" t="s">
        <v>5</v>
      </c>
      <c r="M6" s="26">
        <v>3127</v>
      </c>
      <c r="N6" s="5" t="s">
        <v>17</v>
      </c>
    </row>
    <row r="7" spans="1:14" x14ac:dyDescent="0.25">
      <c r="B7" s="2" t="s">
        <v>1</v>
      </c>
      <c r="L7" t="s">
        <v>6</v>
      </c>
      <c r="M7" s="26">
        <f>1527+23339</f>
        <v>24866</v>
      </c>
      <c r="N7" s="5" t="s">
        <v>17</v>
      </c>
    </row>
    <row r="8" spans="1:14" x14ac:dyDescent="0.25">
      <c r="B8" s="18" t="s">
        <v>92</v>
      </c>
      <c r="C8" s="19" t="s">
        <v>93</v>
      </c>
      <c r="D8" s="19" t="s">
        <v>96</v>
      </c>
      <c r="E8" s="20" t="s">
        <v>94</v>
      </c>
      <c r="L8" t="s">
        <v>7</v>
      </c>
      <c r="M8" s="26">
        <f>M5+M7-M6</f>
        <v>109191.3498712</v>
      </c>
    </row>
    <row r="9" spans="1:14" x14ac:dyDescent="0.25">
      <c r="B9" s="10" t="s">
        <v>95</v>
      </c>
      <c r="C9" s="22">
        <v>0.89</v>
      </c>
      <c r="D9" s="11"/>
      <c r="E9" s="12"/>
    </row>
    <row r="10" spans="1:14" x14ac:dyDescent="0.25">
      <c r="B10" s="13" t="s">
        <v>97</v>
      </c>
      <c r="C10" s="28">
        <v>0.89</v>
      </c>
      <c r="E10" s="14"/>
    </row>
    <row r="11" spans="1:14" x14ac:dyDescent="0.25">
      <c r="B11" s="15" t="s">
        <v>45</v>
      </c>
      <c r="C11" s="21">
        <v>0.1</v>
      </c>
      <c r="D11" s="16"/>
      <c r="E11" s="17"/>
    </row>
    <row r="13" spans="1:14" x14ac:dyDescent="0.25">
      <c r="B13" s="2" t="s">
        <v>88</v>
      </c>
    </row>
    <row r="14" spans="1:14" x14ac:dyDescent="0.25">
      <c r="B14" t="s">
        <v>89</v>
      </c>
    </row>
    <row r="15" spans="1:14" x14ac:dyDescent="0.25">
      <c r="B15" t="s">
        <v>90</v>
      </c>
    </row>
    <row r="16" spans="1:14" x14ac:dyDescent="0.25">
      <c r="B16" t="s">
        <v>91</v>
      </c>
    </row>
  </sheetData>
  <hyperlinks>
    <hyperlink ref="B4" r:id="rId1" xr:uid="{9BF048FF-B1F4-4CB4-A23F-6D97D39D6D46}"/>
    <hyperlink ref="B5" r:id="rId2" xr:uid="{1C3CD5A7-FCC5-40C3-B632-16F5FC0671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1886-D4ED-45A3-A6D8-44AFD4D02C3D}">
  <dimension ref="A2:AG357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RowHeight="15" x14ac:dyDescent="0.25"/>
  <cols>
    <col min="1" max="1" width="3.85546875" customWidth="1"/>
    <col min="2" max="2" width="22.5703125" customWidth="1"/>
    <col min="11" max="11" width="8.7109375" style="3"/>
    <col min="12" max="12" width="9.140625" style="3" bestFit="1" customWidth="1"/>
    <col min="13" max="14" width="8.7109375" style="3"/>
    <col min="15" max="15" width="9.140625" style="3" bestFit="1" customWidth="1"/>
    <col min="16" max="22" width="8.7109375" style="3"/>
  </cols>
  <sheetData>
    <row r="2" spans="1:32" x14ac:dyDescent="0.25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L2" s="7">
        <v>18</v>
      </c>
      <c r="M2" s="7">
        <f>L2+1</f>
        <v>19</v>
      </c>
      <c r="N2" s="7">
        <f t="shared" ref="N2:R2" si="0">M2+1</f>
        <v>20</v>
      </c>
      <c r="O2" s="7">
        <f t="shared" si="0"/>
        <v>21</v>
      </c>
      <c r="P2" s="7">
        <f t="shared" si="0"/>
        <v>22</v>
      </c>
      <c r="Q2" s="7">
        <f t="shared" si="0"/>
        <v>23</v>
      </c>
      <c r="R2" s="7">
        <f t="shared" si="0"/>
        <v>24</v>
      </c>
      <c r="S2" s="7"/>
    </row>
    <row r="3" spans="1:32" x14ac:dyDescent="0.25">
      <c r="B3" t="s">
        <v>133</v>
      </c>
      <c r="C3" s="3"/>
      <c r="D3" s="3"/>
      <c r="E3" s="3"/>
      <c r="F3" s="3"/>
      <c r="G3" s="3"/>
      <c r="H3" s="3"/>
      <c r="I3" s="3"/>
      <c r="J3" s="3"/>
      <c r="Q3" s="3">
        <v>9.6199999999999992</v>
      </c>
    </row>
    <row r="4" spans="1:32" x14ac:dyDescent="0.25">
      <c r="C4" s="3"/>
      <c r="D4" s="3"/>
      <c r="E4" s="3"/>
      <c r="F4" s="3"/>
      <c r="G4" s="3"/>
      <c r="H4" s="3"/>
      <c r="I4" s="3"/>
      <c r="J4" s="3"/>
    </row>
    <row r="5" spans="1:32" x14ac:dyDescent="0.25">
      <c r="A5" s="4" t="s">
        <v>8</v>
      </c>
      <c r="B5" s="2" t="s">
        <v>30</v>
      </c>
      <c r="C5" s="3"/>
      <c r="D5" s="3"/>
      <c r="E5" s="3"/>
      <c r="F5" s="3"/>
      <c r="G5" s="3"/>
      <c r="H5" s="3"/>
      <c r="I5" s="3"/>
      <c r="J5" s="3"/>
    </row>
    <row r="6" spans="1:32" x14ac:dyDescent="0.25">
      <c r="B6" s="1" t="s">
        <v>34</v>
      </c>
      <c r="C6" s="27">
        <f t="shared" ref="C6:I6" si="1">SUM(C7:C9)</f>
        <v>0</v>
      </c>
      <c r="D6" s="27">
        <f t="shared" si="1"/>
        <v>0</v>
      </c>
      <c r="E6" s="27">
        <f t="shared" si="1"/>
        <v>0</v>
      </c>
      <c r="F6" s="27">
        <f t="shared" si="1"/>
        <v>18204</v>
      </c>
      <c r="G6" s="27">
        <f t="shared" si="1"/>
        <v>0</v>
      </c>
      <c r="H6" s="27">
        <f t="shared" si="1"/>
        <v>0</v>
      </c>
      <c r="I6" s="27">
        <f t="shared" si="1"/>
        <v>0</v>
      </c>
      <c r="J6" s="27">
        <f t="shared" ref="J6:P6" si="2">SUM(J7:J9)</f>
        <v>16593</v>
      </c>
      <c r="K6" s="27"/>
      <c r="L6" s="27">
        <f t="shared" si="2"/>
        <v>110987</v>
      </c>
      <c r="M6" s="27">
        <f t="shared" si="2"/>
        <v>101799</v>
      </c>
      <c r="N6" s="27">
        <f t="shared" si="2"/>
        <v>101425</v>
      </c>
      <c r="O6" s="27">
        <f t="shared" si="2"/>
        <v>93794</v>
      </c>
      <c r="P6" s="27">
        <f t="shared" si="2"/>
        <v>84678</v>
      </c>
      <c r="Q6" s="27">
        <f>SUM(Q7:Q9)</f>
        <v>76336</v>
      </c>
      <c r="R6" s="27">
        <v>68582</v>
      </c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B7" t="s">
        <v>31</v>
      </c>
      <c r="C7" s="26"/>
      <c r="D7" s="26"/>
      <c r="E7" s="26"/>
      <c r="F7" s="26">
        <v>16462</v>
      </c>
      <c r="G7" s="26"/>
      <c r="H7" s="26"/>
      <c r="I7" s="26"/>
      <c r="J7" s="26">
        <v>15173</v>
      </c>
      <c r="L7" s="26">
        <v>94770</v>
      </c>
      <c r="M7" s="26">
        <v>88473</v>
      </c>
      <c r="N7" s="26">
        <v>88858</v>
      </c>
      <c r="O7" s="26">
        <v>82970</v>
      </c>
      <c r="P7" s="26">
        <v>75406</v>
      </c>
      <c r="Q7" s="26">
        <v>68801</v>
      </c>
      <c r="R7" s="26">
        <v>62584</v>
      </c>
      <c r="S7" s="26"/>
      <c r="T7" s="26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B8" t="s">
        <v>32</v>
      </c>
      <c r="C8" s="26"/>
      <c r="D8" s="26"/>
      <c r="E8" s="26"/>
      <c r="F8" s="26">
        <v>859</v>
      </c>
      <c r="G8" s="26"/>
      <c r="H8" s="26"/>
      <c r="I8" s="26"/>
      <c r="J8" s="26">
        <v>789</v>
      </c>
      <c r="L8" s="26">
        <v>5552</v>
      </c>
      <c r="M8" s="26">
        <v>4869</v>
      </c>
      <c r="N8" s="26">
        <v>4566</v>
      </c>
      <c r="O8" s="26">
        <v>4216</v>
      </c>
      <c r="P8" s="26">
        <v>3866</v>
      </c>
      <c r="Q8" s="26">
        <v>3533</v>
      </c>
      <c r="R8" s="26">
        <v>3186</v>
      </c>
      <c r="S8" s="26"/>
      <c r="T8" s="26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B9" t="s">
        <v>33</v>
      </c>
      <c r="C9" s="26"/>
      <c r="D9" s="26"/>
      <c r="E9" s="26"/>
      <c r="F9" s="26">
        <v>883</v>
      </c>
      <c r="G9" s="26"/>
      <c r="H9" s="26"/>
      <c r="I9" s="26"/>
      <c r="J9" s="26">
        <v>631</v>
      </c>
      <c r="L9" s="26">
        <v>10665</v>
      </c>
      <c r="M9" s="26">
        <v>8457</v>
      </c>
      <c r="N9" s="26">
        <v>8001</v>
      </c>
      <c r="O9" s="26">
        <v>6608</v>
      </c>
      <c r="P9" s="26">
        <v>5406</v>
      </c>
      <c r="Q9" s="26">
        <v>4002</v>
      </c>
      <c r="R9" s="26">
        <v>2812</v>
      </c>
      <c r="S9" s="26"/>
      <c r="T9" s="26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B10" s="1" t="s">
        <v>35</v>
      </c>
      <c r="C10" s="27">
        <f t="shared" ref="C10:J10" si="3">SUM(C11:C12)</f>
        <v>0</v>
      </c>
      <c r="D10" s="27">
        <f t="shared" si="3"/>
        <v>0</v>
      </c>
      <c r="E10" s="27">
        <f t="shared" si="3"/>
        <v>0</v>
      </c>
      <c r="F10" s="27">
        <f t="shared" si="3"/>
        <v>419</v>
      </c>
      <c r="G10" s="27">
        <f t="shared" si="3"/>
        <v>0</v>
      </c>
      <c r="H10" s="27">
        <f t="shared" si="3"/>
        <v>0</v>
      </c>
      <c r="I10" s="27">
        <f t="shared" si="3"/>
        <v>0</v>
      </c>
      <c r="J10" s="27">
        <f t="shared" si="3"/>
        <v>431</v>
      </c>
      <c r="L10" s="27">
        <f t="shared" ref="L10:P10" si="4">SUM(L11:L12)</f>
        <v>1542</v>
      </c>
      <c r="M10" s="27">
        <f t="shared" si="4"/>
        <v>1651</v>
      </c>
      <c r="N10" s="27">
        <f t="shared" si="4"/>
        <v>1800</v>
      </c>
      <c r="O10" s="27">
        <f t="shared" si="4"/>
        <v>1731</v>
      </c>
      <c r="P10" s="27">
        <f t="shared" si="4"/>
        <v>1731</v>
      </c>
      <c r="Q10" s="27">
        <f>SUM(Q11:Q12)</f>
        <v>1780</v>
      </c>
      <c r="R10" s="27">
        <f>SUM(R11:R12)</f>
        <v>1754</v>
      </c>
      <c r="S10" s="26"/>
      <c r="T10" s="26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B11" t="s">
        <v>36</v>
      </c>
      <c r="C11" s="26"/>
      <c r="D11" s="26"/>
      <c r="E11" s="26"/>
      <c r="F11" s="26">
        <v>418</v>
      </c>
      <c r="G11" s="26"/>
      <c r="H11" s="26"/>
      <c r="I11" s="26"/>
      <c r="J11" s="26">
        <v>430</v>
      </c>
      <c r="L11" s="26">
        <v>1527</v>
      </c>
      <c r="M11" s="26">
        <v>1641</v>
      </c>
      <c r="N11" s="26">
        <v>1790</v>
      </c>
      <c r="O11" s="26">
        <v>1727</v>
      </c>
      <c r="P11" s="26">
        <v>1727</v>
      </c>
      <c r="Q11" s="26">
        <v>1777</v>
      </c>
      <c r="R11" s="26">
        <v>1750</v>
      </c>
      <c r="S11" s="26"/>
      <c r="T11" s="26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B12" t="s">
        <v>37</v>
      </c>
      <c r="C12" s="26"/>
      <c r="D12" s="26"/>
      <c r="E12" s="26"/>
      <c r="F12" s="26">
        <v>1</v>
      </c>
      <c r="G12" s="26"/>
      <c r="H12" s="26"/>
      <c r="I12" s="26"/>
      <c r="J12" s="26">
        <v>1</v>
      </c>
      <c r="L12" s="26">
        <v>15</v>
      </c>
      <c r="M12" s="26">
        <v>10</v>
      </c>
      <c r="N12" s="26">
        <v>10</v>
      </c>
      <c r="O12" s="26">
        <v>4</v>
      </c>
      <c r="P12" s="26">
        <v>4</v>
      </c>
      <c r="Q12" s="26">
        <v>3</v>
      </c>
      <c r="R12" s="26">
        <v>4</v>
      </c>
      <c r="S12" s="26"/>
      <c r="T12" s="26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B13" s="1" t="s">
        <v>40</v>
      </c>
      <c r="C13" s="27">
        <f t="shared" ref="C13:J13" si="5">SUM(C14:C17)</f>
        <v>0</v>
      </c>
      <c r="D13" s="27">
        <f t="shared" si="5"/>
        <v>0</v>
      </c>
      <c r="E13" s="27">
        <f t="shared" si="5"/>
        <v>0</v>
      </c>
      <c r="F13" s="27">
        <f t="shared" si="5"/>
        <v>193.1</v>
      </c>
      <c r="G13" s="27">
        <f t="shared" si="5"/>
        <v>0</v>
      </c>
      <c r="H13" s="27">
        <f t="shared" si="5"/>
        <v>0</v>
      </c>
      <c r="I13" s="27">
        <f t="shared" si="5"/>
        <v>0</v>
      </c>
      <c r="J13" s="27">
        <f t="shared" si="5"/>
        <v>192.3</v>
      </c>
      <c r="L13" s="27">
        <f t="shared" ref="L13:P13" si="6">SUM(L14:L17)</f>
        <v>832.6</v>
      </c>
      <c r="M13" s="27">
        <f t="shared" si="6"/>
        <v>807</v>
      </c>
      <c r="N13" s="27">
        <f t="shared" si="6"/>
        <v>819.6</v>
      </c>
      <c r="O13" s="27">
        <f t="shared" si="6"/>
        <v>820.3</v>
      </c>
      <c r="P13" s="27">
        <f t="shared" si="6"/>
        <v>800.6</v>
      </c>
      <c r="Q13" s="27">
        <f>SUM(Q14:Q17)</f>
        <v>782.9</v>
      </c>
      <c r="R13" s="27">
        <f>SUM(R14:R17)</f>
        <v>774.69999999999993</v>
      </c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B14" t="s">
        <v>41</v>
      </c>
      <c r="C14" s="26"/>
      <c r="D14" s="26"/>
      <c r="E14" s="26"/>
      <c r="F14" s="26">
        <v>106.8</v>
      </c>
      <c r="G14" s="26"/>
      <c r="H14" s="26"/>
      <c r="I14" s="26"/>
      <c r="J14" s="26">
        <v>97.1</v>
      </c>
      <c r="L14" s="26">
        <v>531.70000000000005</v>
      </c>
      <c r="M14" s="26">
        <v>522.20000000000005</v>
      </c>
      <c r="N14" s="26">
        <v>522.4</v>
      </c>
      <c r="O14" s="26">
        <v>503.6</v>
      </c>
      <c r="P14" s="26">
        <v>470.6</v>
      </c>
      <c r="Q14" s="26">
        <v>440.1</v>
      </c>
      <c r="R14" s="26">
        <v>401.5</v>
      </c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B15" t="s">
        <v>43</v>
      </c>
      <c r="C15" s="26"/>
      <c r="D15" s="26"/>
      <c r="E15" s="26"/>
      <c r="F15" s="26">
        <v>39.799999999999997</v>
      </c>
      <c r="G15" s="26"/>
      <c r="H15" s="26"/>
      <c r="I15" s="26"/>
      <c r="J15" s="26">
        <v>35.4</v>
      </c>
      <c r="L15" s="26">
        <v>231.1</v>
      </c>
      <c r="M15" s="26">
        <v>217.8</v>
      </c>
      <c r="N15" s="26">
        <v>208.5</v>
      </c>
      <c r="O15" s="26">
        <v>197.4</v>
      </c>
      <c r="P15" s="26">
        <v>179.4</v>
      </c>
      <c r="Q15" s="26">
        <v>163.1</v>
      </c>
      <c r="R15" s="26">
        <v>147</v>
      </c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B16" t="s">
        <v>42</v>
      </c>
      <c r="C16" s="26"/>
      <c r="D16" s="26"/>
      <c r="E16" s="26"/>
      <c r="F16" s="26">
        <v>30.4</v>
      </c>
      <c r="G16" s="26"/>
      <c r="H16" s="26"/>
      <c r="I16" s="26"/>
      <c r="J16" s="26">
        <v>43.9</v>
      </c>
      <c r="L16" s="26">
        <v>0</v>
      </c>
      <c r="M16" s="26">
        <v>0</v>
      </c>
      <c r="N16" s="26">
        <v>0</v>
      </c>
      <c r="O16" s="26">
        <v>48.4</v>
      </c>
      <c r="P16" s="26">
        <v>82.5</v>
      </c>
      <c r="Q16" s="26">
        <v>114.3</v>
      </c>
      <c r="R16" s="26">
        <v>160.30000000000001</v>
      </c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33" x14ac:dyDescent="0.25">
      <c r="B17" t="s">
        <v>37</v>
      </c>
      <c r="C17" s="26"/>
      <c r="D17" s="26"/>
      <c r="E17" s="26"/>
      <c r="F17" s="26">
        <v>16.100000000000001</v>
      </c>
      <c r="G17" s="26"/>
      <c r="H17" s="26"/>
      <c r="I17" s="26"/>
      <c r="J17" s="26">
        <v>15.9</v>
      </c>
      <c r="L17" s="26">
        <v>69.8</v>
      </c>
      <c r="M17" s="26">
        <v>67</v>
      </c>
      <c r="N17" s="26">
        <v>88.7</v>
      </c>
      <c r="O17" s="26">
        <v>70.900000000000006</v>
      </c>
      <c r="P17" s="26">
        <v>68.099999999999994</v>
      </c>
      <c r="Q17" s="26">
        <v>65.400000000000006</v>
      </c>
      <c r="R17" s="26">
        <v>65.900000000000006</v>
      </c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2:33" x14ac:dyDescent="0.25">
      <c r="B18" s="1" t="s">
        <v>99</v>
      </c>
      <c r="C18" s="27">
        <f t="shared" ref="C18:I18" si="7">SUM(C13,C10,C6)</f>
        <v>0</v>
      </c>
      <c r="D18" s="27">
        <f t="shared" si="7"/>
        <v>0</v>
      </c>
      <c r="E18" s="27">
        <f t="shared" si="7"/>
        <v>0</v>
      </c>
      <c r="F18" s="27">
        <f t="shared" si="7"/>
        <v>18816.099999999999</v>
      </c>
      <c r="G18" s="27">
        <f t="shared" si="7"/>
        <v>0</v>
      </c>
      <c r="H18" s="27">
        <f t="shared" si="7"/>
        <v>0</v>
      </c>
      <c r="I18" s="27">
        <f t="shared" si="7"/>
        <v>0</v>
      </c>
      <c r="J18" s="27">
        <f t="shared" ref="J18:P18" si="8">SUM(J13,J10,J6)</f>
        <v>17216.3</v>
      </c>
      <c r="L18" s="27">
        <f t="shared" si="8"/>
        <v>113361.60000000001</v>
      </c>
      <c r="M18" s="27">
        <f t="shared" si="8"/>
        <v>104257</v>
      </c>
      <c r="N18" s="27">
        <f t="shared" si="8"/>
        <v>104044.6</v>
      </c>
      <c r="O18" s="27">
        <f t="shared" si="8"/>
        <v>96345.3</v>
      </c>
      <c r="P18" s="27">
        <f t="shared" si="8"/>
        <v>87209.600000000006</v>
      </c>
      <c r="Q18" s="27">
        <f>SUM(Q13,Q10,Q6)</f>
        <v>78898.899999999994</v>
      </c>
      <c r="R18" s="27">
        <f>SUM(R13,R10,R6)</f>
        <v>71110.7</v>
      </c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2:33" x14ac:dyDescent="0.25">
      <c r="C19" s="26"/>
      <c r="D19" s="26"/>
      <c r="E19" s="26"/>
      <c r="F19" s="26"/>
      <c r="G19" s="26"/>
      <c r="H19" s="26"/>
      <c r="I19" s="26"/>
      <c r="J19" s="26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2:33" x14ac:dyDescent="0.25">
      <c r="B20" s="2" t="s">
        <v>9</v>
      </c>
      <c r="C20" s="26"/>
      <c r="D20" s="26"/>
      <c r="E20" s="26"/>
      <c r="F20" s="26"/>
      <c r="G20" s="26"/>
      <c r="H20" s="26"/>
      <c r="I20" s="26"/>
      <c r="J20" s="26"/>
    </row>
    <row r="21" spans="2:33" x14ac:dyDescent="0.25">
      <c r="C21" s="26"/>
      <c r="D21" s="26"/>
      <c r="E21" s="26"/>
      <c r="F21" s="26"/>
      <c r="G21" s="26"/>
      <c r="H21" s="26"/>
      <c r="I21" s="26"/>
      <c r="J21" s="26"/>
    </row>
    <row r="22" spans="2:33" x14ac:dyDescent="0.25">
      <c r="B22" t="s">
        <v>44</v>
      </c>
      <c r="C22" s="26"/>
      <c r="D22" s="26"/>
      <c r="E22" s="26"/>
      <c r="F22" s="26"/>
      <c r="G22" s="26"/>
      <c r="H22" s="26"/>
      <c r="I22" s="26"/>
      <c r="J22" s="26"/>
      <c r="L22" s="26">
        <v>22297</v>
      </c>
      <c r="M22" s="26">
        <v>21996</v>
      </c>
      <c r="N22" s="26">
        <v>23089</v>
      </c>
      <c r="O22" s="26">
        <v>22866</v>
      </c>
      <c r="P22" s="26">
        <v>22476</v>
      </c>
      <c r="Q22" s="26">
        <v>21756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2:33" x14ac:dyDescent="0.25">
      <c r="B23" t="s">
        <v>45</v>
      </c>
      <c r="C23" s="26"/>
      <c r="D23" s="26"/>
      <c r="E23" s="26"/>
      <c r="F23" s="26"/>
      <c r="G23" s="26"/>
      <c r="H23" s="26"/>
      <c r="I23" s="26"/>
      <c r="J23" s="26"/>
      <c r="L23" s="26">
        <v>2262</v>
      </c>
      <c r="M23" s="26">
        <v>2367</v>
      </c>
      <c r="N23" s="26">
        <v>2533</v>
      </c>
      <c r="O23" s="26">
        <v>2608</v>
      </c>
      <c r="P23" s="26">
        <v>2580</v>
      </c>
      <c r="Q23" s="26">
        <v>2667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2:33" x14ac:dyDescent="0.25">
      <c r="B24" t="s">
        <v>98</v>
      </c>
      <c r="C24" s="26"/>
      <c r="D24" s="26"/>
      <c r="E24" s="26"/>
      <c r="F24" s="26"/>
      <c r="G24" s="26"/>
      <c r="H24" s="26"/>
      <c r="I24" s="26"/>
      <c r="J24" s="26"/>
      <c r="L24" s="26">
        <v>691</v>
      </c>
      <c r="M24" s="26">
        <v>689</v>
      </c>
      <c r="N24" s="26">
        <v>614</v>
      </c>
      <c r="O24" s="26">
        <v>494</v>
      </c>
      <c r="P24" s="26">
        <v>0</v>
      </c>
      <c r="Q24" s="26">
        <v>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2:33" x14ac:dyDescent="0.25">
      <c r="B25" t="s">
        <v>46</v>
      </c>
      <c r="C25" s="3"/>
      <c r="D25" s="3"/>
      <c r="E25" s="3"/>
      <c r="F25" s="3"/>
      <c r="G25" s="3"/>
      <c r="H25" s="3"/>
      <c r="I25" s="3"/>
      <c r="J25" s="3"/>
      <c r="L25" s="26">
        <v>114</v>
      </c>
      <c r="M25" s="26">
        <v>58</v>
      </c>
      <c r="N25" s="26">
        <v>-83</v>
      </c>
      <c r="O25" s="26">
        <v>45</v>
      </c>
      <c r="P25" s="26">
        <v>40</v>
      </c>
      <c r="Q25" s="26">
        <v>60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2:33" x14ac:dyDescent="0.25">
      <c r="B26" s="1" t="s">
        <v>18</v>
      </c>
      <c r="C26" s="27">
        <v>5719</v>
      </c>
      <c r="D26" s="27">
        <v>6508</v>
      </c>
      <c r="E26" s="27">
        <v>6281</v>
      </c>
      <c r="F26" s="27">
        <v>5975</v>
      </c>
      <c r="G26" s="27">
        <v>5576</v>
      </c>
      <c r="H26" s="27">
        <v>6209</v>
      </c>
      <c r="I26" s="27">
        <v>6259</v>
      </c>
      <c r="J26" s="27">
        <v>5974</v>
      </c>
      <c r="L26" s="27">
        <f t="shared" ref="L26:N26" si="9">SUM(L22:L25)</f>
        <v>25364</v>
      </c>
      <c r="M26" s="27">
        <f t="shared" si="9"/>
        <v>25110</v>
      </c>
      <c r="N26" s="27">
        <f t="shared" si="9"/>
        <v>26153</v>
      </c>
      <c r="O26" s="27">
        <v>26013</v>
      </c>
      <c r="P26" s="27">
        <v>25096</v>
      </c>
      <c r="Q26" s="27">
        <f>SUM(Q22:Q25)</f>
        <v>24483</v>
      </c>
      <c r="R26" s="27">
        <v>24018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2:33" x14ac:dyDescent="0.25">
      <c r="B27" t="s">
        <v>19</v>
      </c>
      <c r="C27" s="26">
        <v>1434</v>
      </c>
      <c r="D27" s="26">
        <v>1681</v>
      </c>
      <c r="E27" s="26">
        <v>1578</v>
      </c>
      <c r="F27" s="26">
        <v>1525</v>
      </c>
      <c r="G27" s="26">
        <v>1437</v>
      </c>
      <c r="H27" s="26">
        <v>1602</v>
      </c>
      <c r="I27" s="26">
        <v>1536</v>
      </c>
      <c r="J27" s="26">
        <v>1502</v>
      </c>
      <c r="L27" s="26">
        <v>7373</v>
      </c>
      <c r="M27" s="26">
        <v>7085</v>
      </c>
      <c r="N27" s="26">
        <v>7818</v>
      </c>
      <c r="O27" s="26">
        <v>7119</v>
      </c>
      <c r="P27" s="26">
        <v>6442</v>
      </c>
      <c r="Q27" s="26">
        <v>6218</v>
      </c>
      <c r="R27" s="26">
        <v>6077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2:33" x14ac:dyDescent="0.25">
      <c r="B28" t="s">
        <v>27</v>
      </c>
      <c r="C28" s="26">
        <v>956</v>
      </c>
      <c r="D28" s="26">
        <v>1070</v>
      </c>
      <c r="E28" s="26">
        <v>1004</v>
      </c>
      <c r="F28" s="26">
        <v>951</v>
      </c>
      <c r="G28" s="26">
        <v>859</v>
      </c>
      <c r="H28" s="26">
        <v>932</v>
      </c>
      <c r="I28" s="26">
        <v>915</v>
      </c>
      <c r="J28" s="26">
        <v>868</v>
      </c>
      <c r="L28" s="26">
        <v>5737</v>
      </c>
      <c r="M28" s="26">
        <v>5314</v>
      </c>
      <c r="N28" s="26">
        <v>5312</v>
      </c>
      <c r="O28" s="26">
        <v>4902</v>
      </c>
      <c r="P28" s="26">
        <v>4408</v>
      </c>
      <c r="Q28" s="26">
        <v>3981</v>
      </c>
      <c r="R28" s="26">
        <v>3574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2:33" x14ac:dyDescent="0.25">
      <c r="B29" s="1" t="s">
        <v>20</v>
      </c>
      <c r="C29" s="27">
        <f t="shared" ref="C29:F29" si="10">C26-C27-C28</f>
        <v>3329</v>
      </c>
      <c r="D29" s="27">
        <f t="shared" si="10"/>
        <v>3757</v>
      </c>
      <c r="E29" s="27">
        <f t="shared" si="10"/>
        <v>3699</v>
      </c>
      <c r="F29" s="27">
        <f t="shared" si="10"/>
        <v>3499</v>
      </c>
      <c r="G29" s="27">
        <f>G26-G27-G28</f>
        <v>3280</v>
      </c>
      <c r="H29" s="27">
        <f t="shared" ref="H29:R29" si="11">H26-H27-H28</f>
        <v>3675</v>
      </c>
      <c r="I29" s="27">
        <f t="shared" si="11"/>
        <v>3808</v>
      </c>
      <c r="J29" s="27">
        <f t="shared" si="11"/>
        <v>3604</v>
      </c>
      <c r="L29" s="27">
        <f t="shared" si="11"/>
        <v>12254</v>
      </c>
      <c r="M29" s="27">
        <f t="shared" si="11"/>
        <v>12711</v>
      </c>
      <c r="N29" s="27">
        <f t="shared" si="11"/>
        <v>13023</v>
      </c>
      <c r="O29" s="27">
        <f t="shared" si="11"/>
        <v>13992</v>
      </c>
      <c r="P29" s="27">
        <f t="shared" si="11"/>
        <v>14246</v>
      </c>
      <c r="Q29" s="27">
        <f t="shared" si="11"/>
        <v>14284</v>
      </c>
      <c r="R29" s="27">
        <f t="shared" si="11"/>
        <v>14367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2:33" x14ac:dyDescent="0.25">
      <c r="B30" t="s">
        <v>134</v>
      </c>
      <c r="C30" s="26">
        <v>572</v>
      </c>
      <c r="D30" s="26">
        <v>852</v>
      </c>
      <c r="E30" s="26">
        <v>610</v>
      </c>
      <c r="F30" s="26">
        <f>570+41+92</f>
        <v>703</v>
      </c>
      <c r="G30" s="26">
        <v>606</v>
      </c>
      <c r="H30" s="26">
        <f>788+354</f>
        <v>1142</v>
      </c>
      <c r="I30" s="26">
        <v>656</v>
      </c>
      <c r="J30" s="26">
        <f>601+35+37+49</f>
        <v>722</v>
      </c>
      <c r="L30" s="26">
        <f>2756+383</f>
        <v>3139</v>
      </c>
      <c r="M30" s="26">
        <f>2226+159</f>
        <v>2385</v>
      </c>
      <c r="N30" s="26">
        <f>2154-4</f>
        <v>2150</v>
      </c>
      <c r="O30" s="26">
        <v>2432</v>
      </c>
      <c r="P30" s="26">
        <v>2327</v>
      </c>
      <c r="Q30" s="26">
        <v>2737</v>
      </c>
      <c r="R30" s="26">
        <f>2122+389+139+476</f>
        <v>3126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2:33" x14ac:dyDescent="0.25">
      <c r="B31" s="1" t="s">
        <v>21</v>
      </c>
      <c r="C31" s="27">
        <f>C29-C30</f>
        <v>2757</v>
      </c>
      <c r="D31" s="27">
        <f t="shared" ref="D31:G31" si="12">D29-D30</f>
        <v>2905</v>
      </c>
      <c r="E31" s="27">
        <f t="shared" si="12"/>
        <v>3089</v>
      </c>
      <c r="F31" s="27">
        <f t="shared" si="12"/>
        <v>2796</v>
      </c>
      <c r="G31" s="27">
        <f t="shared" si="12"/>
        <v>2674</v>
      </c>
      <c r="H31" s="27">
        <f>H29-H30</f>
        <v>2533</v>
      </c>
      <c r="I31" s="27">
        <f t="shared" ref="I31:J31" si="13">I29-I30</f>
        <v>3152</v>
      </c>
      <c r="J31" s="27">
        <f t="shared" si="13"/>
        <v>2882</v>
      </c>
      <c r="L31" s="27">
        <f t="shared" ref="L31" si="14">L29-L30</f>
        <v>9115</v>
      </c>
      <c r="M31" s="27">
        <f t="shared" ref="M31" si="15">M29-M30</f>
        <v>10326</v>
      </c>
      <c r="N31" s="27">
        <f t="shared" ref="N31" si="16">N29-N30</f>
        <v>10873</v>
      </c>
      <c r="O31" s="27">
        <f t="shared" ref="O31" si="17">O29-O30</f>
        <v>11560</v>
      </c>
      <c r="P31" s="27">
        <f t="shared" ref="P31" si="18">P29-P30</f>
        <v>11919</v>
      </c>
      <c r="Q31" s="27">
        <f t="shared" ref="Q31:R31" si="19">Q29-Q30</f>
        <v>11547</v>
      </c>
      <c r="R31" s="27">
        <f t="shared" si="19"/>
        <v>11241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2:33" x14ac:dyDescent="0.25">
      <c r="B32" t="s">
        <v>28</v>
      </c>
      <c r="C32" s="26">
        <v>229</v>
      </c>
      <c r="D32" s="26">
        <v>257</v>
      </c>
      <c r="E32" s="26">
        <v>272</v>
      </c>
      <c r="F32" s="26">
        <v>231</v>
      </c>
      <c r="G32" s="26">
        <v>254</v>
      </c>
      <c r="H32" s="26">
        <v>261</v>
      </c>
      <c r="I32" s="26">
        <v>267</v>
      </c>
      <c r="J32" s="26">
        <v>255</v>
      </c>
      <c r="L32" s="26">
        <v>665</v>
      </c>
      <c r="M32" s="26">
        <v>1280</v>
      </c>
      <c r="N32" s="26">
        <v>1209</v>
      </c>
      <c r="O32" s="26">
        <f>1162+649</f>
        <v>1811</v>
      </c>
      <c r="P32" s="26">
        <v>1058</v>
      </c>
      <c r="Q32" s="26">
        <v>989</v>
      </c>
      <c r="R32" s="26">
        <v>1037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2:33" x14ac:dyDescent="0.25">
      <c r="B33" t="s">
        <v>22</v>
      </c>
      <c r="C33" s="26">
        <v>-31</v>
      </c>
      <c r="D33" s="26">
        <v>-31</v>
      </c>
      <c r="E33" s="26">
        <v>-33</v>
      </c>
      <c r="F33" s="26">
        <v>-32</v>
      </c>
      <c r="G33" s="26">
        <v>-24</v>
      </c>
      <c r="H33" s="26">
        <v>-25</v>
      </c>
      <c r="I33" s="26">
        <v>-25</v>
      </c>
      <c r="J33" s="26">
        <v>-28</v>
      </c>
      <c r="L33" s="26">
        <v>-34</v>
      </c>
      <c r="M33" s="26">
        <v>-37</v>
      </c>
      <c r="N33" s="26">
        <v>-77</v>
      </c>
      <c r="O33" s="26">
        <v>-202</v>
      </c>
      <c r="P33" s="26">
        <v>-184</v>
      </c>
      <c r="Q33" s="26">
        <v>-127</v>
      </c>
      <c r="R33" s="26">
        <v>-102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2:33" x14ac:dyDescent="0.25">
      <c r="B34" t="s">
        <v>37</v>
      </c>
      <c r="C34" s="26"/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-2700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2:33" x14ac:dyDescent="0.25">
      <c r="B35" t="s">
        <v>29</v>
      </c>
      <c r="C35" s="26">
        <v>80</v>
      </c>
      <c r="D35" s="26">
        <v>-127</v>
      </c>
      <c r="E35" s="26">
        <v>-58</v>
      </c>
      <c r="F35" s="26">
        <v>-138</v>
      </c>
      <c r="G35" s="26">
        <v>-295</v>
      </c>
      <c r="H35" s="26">
        <f>-119-2700</f>
        <v>-2819</v>
      </c>
      <c r="I35" s="26">
        <v>-116</v>
      </c>
      <c r="J35" s="26">
        <v>-122</v>
      </c>
      <c r="L35" s="26">
        <f>-890+33</f>
        <v>-857</v>
      </c>
      <c r="M35" s="26">
        <f>-1725+8600+1442</f>
        <v>8317</v>
      </c>
      <c r="N35" s="26">
        <f>111+2600+140</f>
        <v>2851</v>
      </c>
      <c r="O35" s="26">
        <f>5979+148</f>
        <v>6127</v>
      </c>
      <c r="P35" s="26">
        <f>3641+15</f>
        <v>3656</v>
      </c>
      <c r="Q35" s="26">
        <v>-243</v>
      </c>
      <c r="R35" s="26">
        <v>-652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2:33" x14ac:dyDescent="0.25">
      <c r="B36" t="s">
        <v>23</v>
      </c>
      <c r="C36" s="26">
        <f t="shared" ref="C36:F36" si="20">C31-SUM(C32:C35)</f>
        <v>2479</v>
      </c>
      <c r="D36" s="26">
        <f t="shared" si="20"/>
        <v>2806</v>
      </c>
      <c r="E36" s="26">
        <f t="shared" si="20"/>
        <v>2908</v>
      </c>
      <c r="F36" s="26">
        <f t="shared" si="20"/>
        <v>2735</v>
      </c>
      <c r="G36" s="26">
        <f>G31-SUM(G32:G35)</f>
        <v>2739</v>
      </c>
      <c r="H36" s="26">
        <f>H31-SUM(H32:H35)</f>
        <v>5116</v>
      </c>
      <c r="I36" s="26">
        <f t="shared" ref="I36:Q36" si="21">I31-SUM(I32:I35)</f>
        <v>3026</v>
      </c>
      <c r="J36" s="26">
        <f t="shared" si="21"/>
        <v>2777</v>
      </c>
      <c r="L36" s="26">
        <f t="shared" si="21"/>
        <v>9341</v>
      </c>
      <c r="M36" s="26">
        <f t="shared" si="21"/>
        <v>766</v>
      </c>
      <c r="N36" s="26">
        <f t="shared" si="21"/>
        <v>6890</v>
      </c>
      <c r="O36" s="26">
        <f t="shared" si="21"/>
        <v>3824</v>
      </c>
      <c r="P36" s="26">
        <f t="shared" si="21"/>
        <v>7389</v>
      </c>
      <c r="Q36" s="26">
        <f t="shared" si="21"/>
        <v>10928</v>
      </c>
      <c r="R36" s="26">
        <f>R31-SUM(R32:R35)</f>
        <v>13658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2:33" x14ac:dyDescent="0.25">
      <c r="B37" t="s">
        <v>24</v>
      </c>
      <c r="C37" s="26">
        <v>692</v>
      </c>
      <c r="D37" s="26">
        <v>689</v>
      </c>
      <c r="E37" s="26">
        <v>742</v>
      </c>
      <c r="F37" s="26">
        <v>675</v>
      </c>
      <c r="G37" s="26">
        <v>610</v>
      </c>
      <c r="H37" s="26">
        <v>1313</v>
      </c>
      <c r="I37" s="26">
        <v>733</v>
      </c>
      <c r="J37" s="26">
        <v>-262</v>
      </c>
      <c r="L37" s="26">
        <v>2374</v>
      </c>
      <c r="M37" s="26">
        <v>2064</v>
      </c>
      <c r="N37" s="26">
        <v>2436</v>
      </c>
      <c r="O37" s="26">
        <v>1349</v>
      </c>
      <c r="P37" s="26">
        <v>1625</v>
      </c>
      <c r="Q37" s="26">
        <v>2798</v>
      </c>
      <c r="R37" s="26">
        <v>2394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2:33" x14ac:dyDescent="0.25">
      <c r="B38" t="s">
        <v>25</v>
      </c>
      <c r="C38" s="27">
        <f>C36-C37</f>
        <v>1787</v>
      </c>
      <c r="D38" s="27">
        <f t="shared" ref="D38:R38" si="22">D36-D37</f>
        <v>2117</v>
      </c>
      <c r="E38" s="27">
        <f t="shared" si="22"/>
        <v>2166</v>
      </c>
      <c r="F38" s="27">
        <f t="shared" si="22"/>
        <v>2060</v>
      </c>
      <c r="G38" s="27">
        <f t="shared" si="22"/>
        <v>2129</v>
      </c>
      <c r="H38" s="27">
        <f t="shared" si="22"/>
        <v>3803</v>
      </c>
      <c r="I38" s="27">
        <f t="shared" si="22"/>
        <v>2293</v>
      </c>
      <c r="J38" s="27">
        <f t="shared" si="22"/>
        <v>3039</v>
      </c>
      <c r="L38" s="27">
        <f t="shared" si="22"/>
        <v>6967</v>
      </c>
      <c r="M38" s="27">
        <f t="shared" si="22"/>
        <v>-1298</v>
      </c>
      <c r="N38" s="27">
        <f t="shared" si="22"/>
        <v>4454</v>
      </c>
      <c r="O38" s="27">
        <f t="shared" si="22"/>
        <v>2475</v>
      </c>
      <c r="P38" s="27">
        <f t="shared" si="22"/>
        <v>5764</v>
      </c>
      <c r="Q38" s="27">
        <f t="shared" si="22"/>
        <v>8130</v>
      </c>
      <c r="R38" s="27">
        <f t="shared" si="22"/>
        <v>11264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2:33" x14ac:dyDescent="0.25">
      <c r="C39" s="26"/>
      <c r="D39" s="26"/>
      <c r="E39" s="26"/>
      <c r="F39" s="26"/>
      <c r="G39" s="26"/>
      <c r="H39" s="26"/>
      <c r="I39" s="26"/>
      <c r="J39" s="26"/>
      <c r="L39" s="26"/>
      <c r="M39" s="26"/>
      <c r="N39" s="26"/>
      <c r="O39" s="26"/>
      <c r="P39" s="26"/>
      <c r="Q39" s="26"/>
      <c r="R39" s="26"/>
    </row>
    <row r="40" spans="2:33" x14ac:dyDescent="0.25">
      <c r="B40" t="s">
        <v>26</v>
      </c>
      <c r="C40" s="24" t="e">
        <f t="shared" ref="C40:I40" si="23">+C38/C41</f>
        <v>#DIV/0!</v>
      </c>
      <c r="D40" s="24" t="e">
        <f t="shared" si="23"/>
        <v>#DIV/0!</v>
      </c>
      <c r="E40" s="24" t="e">
        <f t="shared" si="23"/>
        <v>#DIV/0!</v>
      </c>
      <c r="F40" s="24">
        <f t="shared" si="23"/>
        <v>1.1658177702320316</v>
      </c>
      <c r="G40" s="24" t="e">
        <f t="shared" si="23"/>
        <v>#DIV/0!</v>
      </c>
      <c r="H40" s="24" t="e">
        <f t="shared" si="23"/>
        <v>#DIV/0!</v>
      </c>
      <c r="I40" s="24" t="e">
        <f t="shared" si="23"/>
        <v>#DIV/0!</v>
      </c>
      <c r="J40" s="24">
        <f>+J38/J41</f>
        <v>1.7939787485242031</v>
      </c>
      <c r="L40" s="24" t="e">
        <f t="shared" ref="L40:R40" si="24">+L38/L41</f>
        <v>#DIV/0!</v>
      </c>
      <c r="M40" s="24" t="e">
        <f t="shared" si="24"/>
        <v>#DIV/0!</v>
      </c>
      <c r="N40" s="24" t="e">
        <f t="shared" si="24"/>
        <v>#DIV/0!</v>
      </c>
      <c r="O40" s="24" t="e">
        <f t="shared" si="24"/>
        <v>#DIV/0!</v>
      </c>
      <c r="P40" s="24" t="e">
        <f t="shared" si="24"/>
        <v>#DIV/0!</v>
      </c>
      <c r="Q40" s="24">
        <f t="shared" si="24"/>
        <v>4.5751266178953296</v>
      </c>
      <c r="R40" s="24">
        <f t="shared" si="24"/>
        <v>6.556461001164144</v>
      </c>
    </row>
    <row r="41" spans="2:33" x14ac:dyDescent="0.25">
      <c r="B41" t="s">
        <v>3</v>
      </c>
      <c r="C41" s="26"/>
      <c r="D41" s="26"/>
      <c r="E41" s="26"/>
      <c r="F41" s="26">
        <v>1767</v>
      </c>
      <c r="G41" s="26"/>
      <c r="H41" s="26"/>
      <c r="I41" s="26"/>
      <c r="J41" s="26">
        <v>1694</v>
      </c>
      <c r="L41" s="26"/>
      <c r="M41" s="26"/>
      <c r="N41" s="26"/>
      <c r="O41" s="26"/>
      <c r="P41" s="26"/>
      <c r="Q41" s="26">
        <v>1777</v>
      </c>
      <c r="R41" s="26">
        <v>1718</v>
      </c>
    </row>
    <row r="42" spans="2:33" x14ac:dyDescent="0.25">
      <c r="C42" s="3"/>
      <c r="D42" s="3"/>
      <c r="E42" s="3"/>
      <c r="F42" s="3"/>
      <c r="G42" s="3"/>
      <c r="H42" s="3"/>
      <c r="I42" s="3"/>
      <c r="J42" s="3"/>
    </row>
    <row r="43" spans="2:33" x14ac:dyDescent="0.25">
      <c r="B43" s="2" t="s">
        <v>38</v>
      </c>
      <c r="C43" s="3"/>
      <c r="D43" s="3"/>
      <c r="E43" s="3"/>
      <c r="F43" s="3"/>
      <c r="G43" s="3"/>
      <c r="H43" s="3"/>
      <c r="I43" s="3"/>
      <c r="J43" s="3"/>
    </row>
    <row r="44" spans="2:33" x14ac:dyDescent="0.25">
      <c r="B44" t="s">
        <v>39</v>
      </c>
      <c r="C44" s="8">
        <f t="shared" ref="C44:I44" si="25">+SUM(C45:C47)</f>
        <v>0</v>
      </c>
      <c r="D44" s="8">
        <f t="shared" si="25"/>
        <v>0</v>
      </c>
      <c r="E44" s="8">
        <f t="shared" si="25"/>
        <v>0</v>
      </c>
      <c r="F44" s="8">
        <f t="shared" si="25"/>
        <v>0.46800000000000003</v>
      </c>
      <c r="G44" s="8">
        <f t="shared" si="25"/>
        <v>0</v>
      </c>
      <c r="H44" s="8">
        <f t="shared" si="25"/>
        <v>0</v>
      </c>
      <c r="I44" s="8">
        <f t="shared" si="25"/>
        <v>0</v>
      </c>
      <c r="J44" s="8">
        <f>+SUM(J45:J47)</f>
        <v>0.45300000000000001</v>
      </c>
      <c r="L44" s="8">
        <f>SUM(L45:L47)</f>
        <v>0.502</v>
      </c>
      <c r="M44" s="8">
        <f t="shared" ref="M44:P44" si="26">SUM(M45:M47)</f>
        <v>0.497</v>
      </c>
      <c r="N44" s="8">
        <f t="shared" si="26"/>
        <v>0.49099999999999999</v>
      </c>
      <c r="O44" s="8">
        <f t="shared" si="26"/>
        <v>0.48299999999999998</v>
      </c>
      <c r="P44" s="8">
        <f t="shared" si="26"/>
        <v>0.47899999999999998</v>
      </c>
      <c r="Q44" s="8">
        <f>SUM(Q45:Q47)</f>
        <v>0.46900000000000003</v>
      </c>
      <c r="R44" s="8">
        <f>SUM(R45:R47)</f>
        <v>0.45900000000000002</v>
      </c>
    </row>
    <row r="45" spans="2:33" x14ac:dyDescent="0.25">
      <c r="B45" t="s">
        <v>31</v>
      </c>
      <c r="C45" s="8"/>
      <c r="D45" s="8"/>
      <c r="E45" s="8"/>
      <c r="F45" s="8">
        <v>0.42299999999999999</v>
      </c>
      <c r="G45" s="8"/>
      <c r="H45" s="8"/>
      <c r="I45" s="8"/>
      <c r="J45" s="8">
        <v>0.41299999999999998</v>
      </c>
      <c r="L45" s="8">
        <v>0.432</v>
      </c>
      <c r="M45" s="8">
        <v>0.43099999999999999</v>
      </c>
      <c r="N45" s="8">
        <v>0.42899999999999999</v>
      </c>
      <c r="O45" s="8">
        <v>0.42899999999999999</v>
      </c>
      <c r="P45" s="8">
        <v>0.42499999999999999</v>
      </c>
      <c r="Q45" s="8">
        <v>0.42099999999999999</v>
      </c>
      <c r="R45" s="8">
        <v>0.41699999999999998</v>
      </c>
    </row>
    <row r="46" spans="2:33" x14ac:dyDescent="0.25">
      <c r="B46" t="s">
        <v>32</v>
      </c>
      <c r="C46" s="3"/>
      <c r="D46" s="3"/>
      <c r="E46" s="3"/>
      <c r="F46" s="8">
        <v>2.3E-2</v>
      </c>
      <c r="G46" s="3"/>
      <c r="H46" s="3"/>
      <c r="I46" s="3"/>
      <c r="J46" s="8">
        <v>2.1999999999999999E-2</v>
      </c>
      <c r="L46" s="8">
        <v>2.5999999999999999E-2</v>
      </c>
      <c r="M46" s="8">
        <v>2.4E-2</v>
      </c>
      <c r="N46" s="8">
        <v>2.3E-2</v>
      </c>
      <c r="O46" s="8">
        <v>2.3E-2</v>
      </c>
      <c r="P46" s="8">
        <v>2.3E-2</v>
      </c>
      <c r="Q46" s="8">
        <v>2.3E-2</v>
      </c>
      <c r="R46" s="8">
        <v>2.1999999999999999E-2</v>
      </c>
    </row>
    <row r="47" spans="2:33" x14ac:dyDescent="0.25">
      <c r="B47" t="s">
        <v>33</v>
      </c>
      <c r="C47" s="3"/>
      <c r="D47" s="3"/>
      <c r="E47" s="3"/>
      <c r="F47" s="8">
        <v>2.1999999999999999E-2</v>
      </c>
      <c r="G47" s="3"/>
      <c r="H47" s="3"/>
      <c r="I47" s="3"/>
      <c r="J47" s="8">
        <v>1.7999999999999999E-2</v>
      </c>
      <c r="L47" s="8">
        <v>4.3999999999999997E-2</v>
      </c>
      <c r="M47" s="8">
        <v>4.2000000000000003E-2</v>
      </c>
      <c r="N47" s="8">
        <v>3.9E-2</v>
      </c>
      <c r="O47" s="8">
        <v>3.1E-2</v>
      </c>
      <c r="P47" s="8">
        <v>3.1E-2</v>
      </c>
      <c r="Q47" s="8">
        <v>2.5000000000000001E-2</v>
      </c>
      <c r="R47" s="8">
        <v>0.02</v>
      </c>
    </row>
    <row r="48" spans="2:33" x14ac:dyDescent="0.25">
      <c r="B48" t="s">
        <v>47</v>
      </c>
      <c r="C48" s="3"/>
      <c r="D48" s="3"/>
      <c r="E48" s="3"/>
      <c r="F48" s="3"/>
      <c r="G48" s="8">
        <f>+G26/C26-1</f>
        <v>-2.5004371393600233E-2</v>
      </c>
      <c r="H48" s="8">
        <f>+H26/D26-1</f>
        <v>-4.594345421020285E-2</v>
      </c>
      <c r="I48" s="8">
        <f>+I26/E26-1</f>
        <v>-3.5026269702276291E-3</v>
      </c>
      <c r="J48" s="8">
        <f>+J26/F26-1</f>
        <v>-1.6736401673644874E-4</v>
      </c>
      <c r="M48" s="8">
        <f t="shared" ref="M48:R48" si="27">M26/L26-1</f>
        <v>-1.0014193344898281E-2</v>
      </c>
      <c r="N48" s="8">
        <f t="shared" si="27"/>
        <v>4.153723616089211E-2</v>
      </c>
      <c r="O48" s="8">
        <f t="shared" si="27"/>
        <v>-5.3531143654648172E-3</v>
      </c>
      <c r="P48" s="8">
        <f t="shared" si="27"/>
        <v>-3.5251604966747396E-2</v>
      </c>
      <c r="Q48" s="8">
        <f t="shared" si="27"/>
        <v>-2.4426203379024569E-2</v>
      </c>
      <c r="R48" s="8">
        <f t="shared" si="27"/>
        <v>-1.8992770493811983E-2</v>
      </c>
    </row>
    <row r="49" spans="1:33" x14ac:dyDescent="0.25">
      <c r="B49" t="s">
        <v>48</v>
      </c>
      <c r="C49" s="8">
        <f t="shared" ref="C49:J49" si="28">C29/C26</f>
        <v>0.58209477181325409</v>
      </c>
      <c r="D49" s="8">
        <f t="shared" si="28"/>
        <v>0.57728948985863549</v>
      </c>
      <c r="E49" s="8">
        <f t="shared" si="28"/>
        <v>0.58891896194873428</v>
      </c>
      <c r="F49" s="8">
        <f t="shared" si="28"/>
        <v>0.58560669456066949</v>
      </c>
      <c r="G49" s="8">
        <f t="shared" si="28"/>
        <v>0.58823529411764708</v>
      </c>
      <c r="H49" s="8">
        <f t="shared" si="28"/>
        <v>0.59188275084554676</v>
      </c>
      <c r="I49" s="8">
        <f t="shared" si="28"/>
        <v>0.60840389838632369</v>
      </c>
      <c r="J49" s="8">
        <f t="shared" si="28"/>
        <v>0.60328088382992973</v>
      </c>
      <c r="L49" s="8">
        <f t="shared" ref="L49:R49" si="29">L29/L26</f>
        <v>0.48312568995426591</v>
      </c>
      <c r="M49" s="8">
        <f t="shared" si="29"/>
        <v>0.50621266427718037</v>
      </c>
      <c r="N49" s="8">
        <f t="shared" si="29"/>
        <v>0.49795434558176882</v>
      </c>
      <c r="O49" s="8">
        <f t="shared" si="29"/>
        <v>0.53788490370199515</v>
      </c>
      <c r="P49" s="8">
        <f t="shared" si="29"/>
        <v>0.56766018489002235</v>
      </c>
      <c r="Q49" s="8">
        <f t="shared" si="29"/>
        <v>0.58342523383572276</v>
      </c>
      <c r="R49" s="8">
        <f t="shared" si="29"/>
        <v>0.59817636772420679</v>
      </c>
    </row>
    <row r="50" spans="1:33" x14ac:dyDescent="0.25">
      <c r="B50" t="s">
        <v>49</v>
      </c>
      <c r="C50" s="8">
        <f t="shared" ref="C50:J50" si="30">C31/C26</f>
        <v>0.48207728623885293</v>
      </c>
      <c r="D50" s="8">
        <f t="shared" si="30"/>
        <v>0.44637369391518134</v>
      </c>
      <c r="E50" s="8">
        <f t="shared" si="30"/>
        <v>0.49180066868333067</v>
      </c>
      <c r="F50" s="8">
        <f t="shared" si="30"/>
        <v>0.46794979079497906</v>
      </c>
      <c r="G50" s="8">
        <f t="shared" si="30"/>
        <v>0.47955523672883787</v>
      </c>
      <c r="H50" s="8">
        <f t="shared" si="30"/>
        <v>0.40795619262361088</v>
      </c>
      <c r="I50" s="8">
        <f t="shared" si="30"/>
        <v>0.5035948234542259</v>
      </c>
      <c r="J50" s="8">
        <f t="shared" si="30"/>
        <v>0.48242383662537663</v>
      </c>
      <c r="L50" s="8">
        <f t="shared" ref="L50:R50" si="31">L31/L26</f>
        <v>0.35936760763286546</v>
      </c>
      <c r="M50" s="8">
        <f t="shared" si="31"/>
        <v>0.41123058542413382</v>
      </c>
      <c r="N50" s="8">
        <f t="shared" si="31"/>
        <v>0.41574580354070279</v>
      </c>
      <c r="O50" s="8">
        <f t="shared" si="31"/>
        <v>0.44439318802137395</v>
      </c>
      <c r="P50" s="8">
        <f t="shared" si="31"/>
        <v>0.47493624481989161</v>
      </c>
      <c r="Q50" s="8">
        <f t="shared" si="31"/>
        <v>0.47163337826246782</v>
      </c>
      <c r="R50" s="8">
        <f t="shared" si="31"/>
        <v>0.46802398201348988</v>
      </c>
    </row>
    <row r="51" spans="1:33" x14ac:dyDescent="0.25">
      <c r="B51" t="s">
        <v>50</v>
      </c>
      <c r="C51" s="8">
        <f>Financials!C38/Financials!C26</f>
        <v>0.31246721454799792</v>
      </c>
      <c r="D51" s="8">
        <f>Financials!D38/Financials!D26</f>
        <v>0.32529194837123543</v>
      </c>
      <c r="E51" s="8">
        <f>Financials!E38/Financials!E26</f>
        <v>0.34484954625059705</v>
      </c>
      <c r="F51" s="8">
        <f>Financials!F38/Financials!F26</f>
        <v>0.34476987447698743</v>
      </c>
      <c r="G51" s="8">
        <f>Financials!G38/Financials!G26</f>
        <v>0.38181492109038739</v>
      </c>
      <c r="H51" s="8">
        <f>Financials!H38/Financials!H26</f>
        <v>0.61249798679336442</v>
      </c>
      <c r="I51" s="8">
        <f>Financials!I38/Financials!I26</f>
        <v>0.36635245246844544</v>
      </c>
      <c r="J51" s="8">
        <f>Financials!J38/Financials!J26</f>
        <v>0.5087043856712421</v>
      </c>
      <c r="L51" s="8">
        <f>Financials!L38/Financials!L26</f>
        <v>0.27468064973978867</v>
      </c>
      <c r="M51" s="8">
        <f>Financials!M38/Financials!M26</f>
        <v>-5.1692552767821587E-2</v>
      </c>
      <c r="N51" s="8">
        <f>Financials!N38/Financials!N26</f>
        <v>0.17030550988414331</v>
      </c>
      <c r="O51" s="8">
        <f>Financials!O38/Financials!O26</f>
        <v>9.5144735324645374E-2</v>
      </c>
      <c r="P51" s="8">
        <f>Financials!P38/Financials!P26</f>
        <v>0.22967803634045267</v>
      </c>
      <c r="Q51" s="8">
        <f>Financials!Q38/Financials!Q26</f>
        <v>0.33206714863374587</v>
      </c>
      <c r="R51" s="8">
        <f>Financials!R38/Financials!R26</f>
        <v>0.46898159713548171</v>
      </c>
    </row>
    <row r="52" spans="1:33" x14ac:dyDescent="0.25">
      <c r="B52" t="s">
        <v>51</v>
      </c>
      <c r="C52" s="8">
        <f t="shared" ref="C52:J52" si="32">C37/C36</f>
        <v>0.27914481645824929</v>
      </c>
      <c r="D52" s="8">
        <f t="shared" si="32"/>
        <v>0.24554526015680683</v>
      </c>
      <c r="E52" s="8">
        <f t="shared" si="32"/>
        <v>0.25515818431911969</v>
      </c>
      <c r="F52" s="8">
        <f t="shared" si="32"/>
        <v>0.24680073126142596</v>
      </c>
      <c r="G52" s="8">
        <f t="shared" si="32"/>
        <v>0.22270901788974079</v>
      </c>
      <c r="H52" s="8">
        <f t="shared" si="32"/>
        <v>0.25664581704456607</v>
      </c>
      <c r="I52" s="8">
        <f t="shared" si="32"/>
        <v>0.24223397224058163</v>
      </c>
      <c r="J52" s="8">
        <f t="shared" si="32"/>
        <v>-9.4346416996759094E-2</v>
      </c>
      <c r="L52" s="8">
        <f t="shared" ref="L52:R52" si="33">L37/L36</f>
        <v>0.25414837811797453</v>
      </c>
      <c r="M52" s="8">
        <f t="shared" si="33"/>
        <v>2.6945169712793735</v>
      </c>
      <c r="N52" s="8">
        <f t="shared" si="33"/>
        <v>0.35355587808417999</v>
      </c>
      <c r="O52" s="8">
        <f t="shared" si="33"/>
        <v>0.35277196652719667</v>
      </c>
      <c r="P52" s="8">
        <f t="shared" si="33"/>
        <v>0.21992150493977533</v>
      </c>
      <c r="Q52" s="8">
        <f t="shared" si="33"/>
        <v>0.25603953147877012</v>
      </c>
      <c r="R52" s="8">
        <f t="shared" si="33"/>
        <v>0.17528188607409576</v>
      </c>
    </row>
    <row r="53" spans="1:33" x14ac:dyDescent="0.25">
      <c r="C53" s="3"/>
      <c r="D53" s="3"/>
      <c r="E53" s="3"/>
      <c r="F53" s="3"/>
      <c r="G53" s="3"/>
      <c r="H53" s="3"/>
      <c r="I53" s="3"/>
      <c r="J53" s="3"/>
    </row>
    <row r="54" spans="1:33" x14ac:dyDescent="0.25">
      <c r="A54" s="4" t="s">
        <v>8</v>
      </c>
      <c r="B54" s="2" t="s">
        <v>52</v>
      </c>
      <c r="C54" s="3"/>
      <c r="D54" s="3"/>
      <c r="E54" s="3"/>
      <c r="F54" s="3"/>
      <c r="G54" s="3"/>
      <c r="H54" s="3"/>
      <c r="I54" s="3"/>
      <c r="J54" s="3"/>
    </row>
    <row r="55" spans="1:33" x14ac:dyDescent="0.25">
      <c r="B55" t="s">
        <v>53</v>
      </c>
      <c r="C55" s="3"/>
      <c r="D55" s="3"/>
      <c r="E55" s="3"/>
      <c r="F55" s="3"/>
      <c r="G55" s="3"/>
      <c r="H55" s="3"/>
      <c r="I55" s="3"/>
      <c r="J55" s="3"/>
      <c r="L55" s="26">
        <v>1333</v>
      </c>
      <c r="M55" s="26">
        <v>2117</v>
      </c>
      <c r="N55" s="26">
        <v>4945</v>
      </c>
      <c r="O55" s="26">
        <v>4544</v>
      </c>
      <c r="P55" s="26">
        <v>4030</v>
      </c>
      <c r="Q55" s="26">
        <v>3686</v>
      </c>
      <c r="R55" s="26">
        <v>3127</v>
      </c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x14ac:dyDescent="0.25">
      <c r="B56" t="s">
        <v>54</v>
      </c>
      <c r="C56" s="3"/>
      <c r="D56" s="3"/>
      <c r="E56" s="3"/>
      <c r="F56" s="3"/>
      <c r="G56" s="3"/>
      <c r="H56" s="3"/>
      <c r="I56" s="3"/>
      <c r="J56" s="3"/>
      <c r="L56" s="26">
        <v>142</v>
      </c>
      <c r="M56" s="26">
        <v>152</v>
      </c>
      <c r="N56" s="26">
        <v>137</v>
      </c>
      <c r="O56" s="26">
        <v>47</v>
      </c>
      <c r="P56" s="26">
        <f>1721+48</f>
        <v>1769</v>
      </c>
      <c r="Q56" s="26">
        <v>71</v>
      </c>
      <c r="R56" s="26">
        <v>0</v>
      </c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x14ac:dyDescent="0.25">
      <c r="B57" t="s">
        <v>55</v>
      </c>
      <c r="C57" s="3"/>
      <c r="D57" s="3"/>
      <c r="E57" s="3"/>
      <c r="F57" s="3"/>
      <c r="G57" s="3"/>
      <c r="H57" s="3"/>
      <c r="I57" s="3"/>
      <c r="J57" s="3"/>
      <c r="L57" s="26">
        <v>2331</v>
      </c>
      <c r="M57" s="26">
        <v>2293</v>
      </c>
      <c r="N57" s="26">
        <v>1966</v>
      </c>
      <c r="O57" s="26">
        <v>1194</v>
      </c>
      <c r="P57" s="26">
        <f>704+186+24+266</f>
        <v>1180</v>
      </c>
      <c r="Q57" s="26">
        <f>649+204+22+340</f>
        <v>1215</v>
      </c>
      <c r="R57" s="26">
        <v>1080</v>
      </c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x14ac:dyDescent="0.25">
      <c r="B58" t="s">
        <v>56</v>
      </c>
      <c r="C58" s="3"/>
      <c r="D58" s="3"/>
      <c r="E58" s="3"/>
      <c r="F58" s="3"/>
      <c r="G58" s="3"/>
      <c r="H58" s="3"/>
      <c r="I58" s="3"/>
      <c r="J58" s="3"/>
      <c r="L58" s="26">
        <v>167</v>
      </c>
      <c r="M58" s="26">
        <v>116</v>
      </c>
      <c r="N58" s="26">
        <v>0</v>
      </c>
      <c r="O58" s="26">
        <v>0</v>
      </c>
      <c r="P58" s="26">
        <v>103</v>
      </c>
      <c r="Q58" s="26">
        <v>496</v>
      </c>
      <c r="R58" s="26">
        <v>0</v>
      </c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x14ac:dyDescent="0.25">
      <c r="B59" t="s">
        <v>37</v>
      </c>
      <c r="C59" s="3"/>
      <c r="D59" s="3"/>
      <c r="E59" s="3"/>
      <c r="F59" s="3"/>
      <c r="G59" s="3"/>
      <c r="H59" s="3"/>
      <c r="I59" s="3"/>
      <c r="J59" s="3"/>
      <c r="L59" s="26">
        <v>326</v>
      </c>
      <c r="M59" s="26">
        <v>146</v>
      </c>
      <c r="N59" s="26">
        <v>69</v>
      </c>
      <c r="O59" s="26">
        <v>298</v>
      </c>
      <c r="P59" s="26">
        <v>138</v>
      </c>
      <c r="Q59" s="26">
        <v>117</v>
      </c>
      <c r="R59" s="26">
        <v>306</v>
      </c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x14ac:dyDescent="0.25">
      <c r="B60" s="1" t="s">
        <v>57</v>
      </c>
      <c r="C60" s="3"/>
      <c r="D60" s="3"/>
      <c r="E60" s="3"/>
      <c r="F60" s="3"/>
      <c r="G60" s="3"/>
      <c r="H60" s="3"/>
      <c r="I60" s="3"/>
      <c r="J60" s="3"/>
      <c r="L60" s="27">
        <f t="shared" ref="L60:P60" si="34">SUM(L55:L59)</f>
        <v>4299</v>
      </c>
      <c r="M60" s="27">
        <f t="shared" si="34"/>
        <v>4824</v>
      </c>
      <c r="N60" s="27">
        <f t="shared" si="34"/>
        <v>7117</v>
      </c>
      <c r="O60" s="27">
        <f t="shared" si="34"/>
        <v>6083</v>
      </c>
      <c r="P60" s="27">
        <f t="shared" si="34"/>
        <v>7220</v>
      </c>
      <c r="Q60" s="27">
        <f>SUM(Q55:Q59)</f>
        <v>5585</v>
      </c>
      <c r="R60" s="27">
        <f>SUM(R55:R59)</f>
        <v>4513</v>
      </c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x14ac:dyDescent="0.25">
      <c r="B61" t="s">
        <v>58</v>
      </c>
      <c r="C61" s="3"/>
      <c r="D61" s="3"/>
      <c r="E61" s="3"/>
      <c r="F61" s="3"/>
      <c r="G61" s="3"/>
      <c r="H61" s="3"/>
      <c r="I61" s="3"/>
      <c r="J61" s="3"/>
      <c r="L61" s="26">
        <v>1938</v>
      </c>
      <c r="M61" s="26">
        <v>1999</v>
      </c>
      <c r="N61" s="26">
        <v>2012</v>
      </c>
      <c r="O61" s="26">
        <v>1553</v>
      </c>
      <c r="P61" s="26">
        <v>1608</v>
      </c>
      <c r="Q61" s="26">
        <v>1652</v>
      </c>
      <c r="R61" s="26">
        <v>1617</v>
      </c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x14ac:dyDescent="0.25">
      <c r="B62" t="s">
        <v>59</v>
      </c>
      <c r="C62" s="3"/>
      <c r="D62" s="3"/>
      <c r="E62" s="3"/>
      <c r="F62" s="3"/>
      <c r="G62" s="3"/>
      <c r="H62" s="3"/>
      <c r="I62" s="3"/>
      <c r="J62" s="3"/>
      <c r="L62" s="26">
        <v>5196</v>
      </c>
      <c r="M62" s="26">
        <v>5177</v>
      </c>
      <c r="N62" s="26">
        <v>5177</v>
      </c>
      <c r="O62" s="26">
        <v>5177</v>
      </c>
      <c r="P62" s="26">
        <v>5177</v>
      </c>
      <c r="Q62" s="26">
        <v>6791</v>
      </c>
      <c r="R62" s="26">
        <v>19918</v>
      </c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x14ac:dyDescent="0.25">
      <c r="B63" t="s">
        <v>60</v>
      </c>
      <c r="C63" s="3"/>
      <c r="D63" s="3"/>
      <c r="E63" s="3"/>
      <c r="F63" s="3"/>
      <c r="G63" s="3"/>
      <c r="H63" s="3"/>
      <c r="I63" s="3"/>
      <c r="J63" s="3"/>
      <c r="L63" s="26">
        <v>12279</v>
      </c>
      <c r="M63" s="26">
        <v>12687</v>
      </c>
      <c r="N63" s="26">
        <v>12615</v>
      </c>
      <c r="O63" s="26">
        <v>12306</v>
      </c>
      <c r="P63" s="26">
        <v>12384</v>
      </c>
      <c r="Q63" s="26">
        <v>13686</v>
      </c>
      <c r="R63" s="26">
        <v>0</v>
      </c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x14ac:dyDescent="0.25">
      <c r="B64" t="s">
        <v>61</v>
      </c>
      <c r="C64" s="3"/>
      <c r="D64" s="3"/>
      <c r="E64" s="3"/>
      <c r="F64" s="3"/>
      <c r="G64" s="3"/>
      <c r="H64" s="3"/>
      <c r="I64" s="3"/>
      <c r="J64" s="3"/>
      <c r="L64" s="26">
        <v>30496</v>
      </c>
      <c r="M64" s="26">
        <v>23581</v>
      </c>
      <c r="N64" s="26">
        <v>19529</v>
      </c>
      <c r="O64" s="26">
        <v>13481</v>
      </c>
      <c r="P64" s="26">
        <v>9600</v>
      </c>
      <c r="Q64" s="26">
        <v>10011</v>
      </c>
      <c r="R64" s="26">
        <v>8195</v>
      </c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2:33" x14ac:dyDescent="0.25">
      <c r="B65" t="s">
        <v>37</v>
      </c>
      <c r="C65" s="3"/>
      <c r="D65" s="3"/>
      <c r="E65" s="3"/>
      <c r="F65" s="3"/>
      <c r="G65" s="3"/>
      <c r="H65" s="3"/>
      <c r="I65" s="3"/>
      <c r="J65" s="3"/>
      <c r="L65" s="26">
        <v>1251</v>
      </c>
      <c r="M65" s="26">
        <v>1003</v>
      </c>
      <c r="N65" s="26">
        <v>964</v>
      </c>
      <c r="O65" s="26">
        <v>923</v>
      </c>
      <c r="P65" s="26">
        <v>965</v>
      </c>
      <c r="Q65" s="26">
        <v>845</v>
      </c>
      <c r="R65" s="26">
        <v>934</v>
      </c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2:33" x14ac:dyDescent="0.25">
      <c r="B66" t="s">
        <v>62</v>
      </c>
      <c r="C66" s="3"/>
      <c r="D66" s="3"/>
      <c r="E66" s="3"/>
      <c r="F66" s="3"/>
      <c r="G66" s="3"/>
      <c r="H66" s="3"/>
      <c r="I66" s="3"/>
      <c r="J66" s="3"/>
      <c r="L66" s="27">
        <f>SUM(L61:L65)</f>
        <v>51160</v>
      </c>
      <c r="M66" s="27">
        <f t="shared" ref="M66:P66" si="35">SUM(M61:M65)</f>
        <v>44447</v>
      </c>
      <c r="N66" s="27">
        <f t="shared" si="35"/>
        <v>40297</v>
      </c>
      <c r="O66" s="27">
        <f t="shared" si="35"/>
        <v>33440</v>
      </c>
      <c r="P66" s="27">
        <f t="shared" si="35"/>
        <v>29734</v>
      </c>
      <c r="Q66" s="27">
        <f>SUM(Q61:Q65)</f>
        <v>32985</v>
      </c>
      <c r="R66" s="27">
        <f>SUM(R61:R65)</f>
        <v>30664</v>
      </c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2:33" x14ac:dyDescent="0.25">
      <c r="C67" s="3"/>
      <c r="D67" s="3"/>
      <c r="E67" s="3"/>
      <c r="F67" s="3"/>
      <c r="G67" s="3"/>
      <c r="H67" s="3"/>
      <c r="I67" s="3"/>
      <c r="J67" s="3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2:33" x14ac:dyDescent="0.25">
      <c r="B68" s="1" t="s">
        <v>63</v>
      </c>
      <c r="C68" s="3"/>
      <c r="D68" s="3"/>
      <c r="E68" s="3"/>
      <c r="F68" s="3"/>
      <c r="G68" s="3"/>
      <c r="H68" s="3"/>
      <c r="I68" s="3"/>
      <c r="J68" s="3"/>
      <c r="L68" s="27">
        <f t="shared" ref="L68:P68" si="36">L66+L60</f>
        <v>55459</v>
      </c>
      <c r="M68" s="27">
        <f t="shared" si="36"/>
        <v>49271</v>
      </c>
      <c r="N68" s="27">
        <f t="shared" si="36"/>
        <v>47414</v>
      </c>
      <c r="O68" s="27">
        <f t="shared" si="36"/>
        <v>39523</v>
      </c>
      <c r="P68" s="27">
        <f t="shared" si="36"/>
        <v>36954</v>
      </c>
      <c r="Q68" s="27">
        <f>Q66+Q60</f>
        <v>38570</v>
      </c>
      <c r="R68" s="27">
        <f>R66+R60</f>
        <v>35177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2:33" x14ac:dyDescent="0.25">
      <c r="C69" s="3"/>
      <c r="D69" s="3"/>
      <c r="E69" s="3"/>
      <c r="F69" s="3"/>
      <c r="G69" s="3"/>
      <c r="H69" s="3"/>
      <c r="I69" s="3"/>
      <c r="J69" s="3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2:33" x14ac:dyDescent="0.25">
      <c r="B70" t="s">
        <v>64</v>
      </c>
      <c r="C70" s="3"/>
      <c r="D70" s="3"/>
      <c r="E70" s="3"/>
      <c r="F70" s="3"/>
      <c r="G70" s="3"/>
      <c r="H70" s="3"/>
      <c r="I70" s="3"/>
      <c r="J70" s="3"/>
      <c r="L70" s="26">
        <f>12704+1144</f>
        <v>13848</v>
      </c>
      <c r="M70" s="26">
        <v>1000</v>
      </c>
      <c r="N70" s="26">
        <v>1500</v>
      </c>
      <c r="O70" s="26">
        <v>1105</v>
      </c>
      <c r="P70" s="26">
        <v>1556</v>
      </c>
      <c r="Q70" s="26">
        <v>1121</v>
      </c>
      <c r="R70" s="26">
        <v>1527</v>
      </c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2:33" x14ac:dyDescent="0.25">
      <c r="B71" t="s">
        <v>65</v>
      </c>
      <c r="C71" s="3"/>
      <c r="D71" s="3"/>
      <c r="E71" s="3"/>
      <c r="F71" s="3"/>
      <c r="G71" s="3"/>
      <c r="H71" s="3"/>
      <c r="I71" s="3"/>
      <c r="J71" s="3"/>
      <c r="L71" s="26">
        <v>399</v>
      </c>
      <c r="M71" s="26">
        <v>325</v>
      </c>
      <c r="N71" s="26">
        <v>380</v>
      </c>
      <c r="O71" s="26">
        <v>449</v>
      </c>
      <c r="P71" s="26">
        <v>552</v>
      </c>
      <c r="Q71" s="26">
        <v>582</v>
      </c>
      <c r="R71" s="26">
        <v>0</v>
      </c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2:33" x14ac:dyDescent="0.25">
      <c r="B72" t="s">
        <v>66</v>
      </c>
      <c r="C72" s="3"/>
      <c r="D72" s="3"/>
      <c r="E72" s="3"/>
      <c r="F72" s="3"/>
      <c r="G72" s="3"/>
      <c r="H72" s="3"/>
      <c r="I72" s="3"/>
      <c r="J72" s="3"/>
      <c r="L72" s="26">
        <f>3454+586+1403</f>
        <v>5443</v>
      </c>
      <c r="M72" s="26">
        <f>393+3346+1545</f>
        <v>5284</v>
      </c>
      <c r="N72" s="26">
        <f>523+3564+1494</f>
        <v>5581</v>
      </c>
      <c r="O72" s="26">
        <f>664+3349+1365</f>
        <v>5378</v>
      </c>
      <c r="P72" s="26">
        <f>599+2925+1299</f>
        <v>4823</v>
      </c>
      <c r="Q72" s="26">
        <f>716+2563+1902</f>
        <v>5181</v>
      </c>
      <c r="R72" s="26">
        <v>2354</v>
      </c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2:33" x14ac:dyDescent="0.25">
      <c r="B73" t="s">
        <v>69</v>
      </c>
      <c r="C73" s="3"/>
      <c r="D73" s="3"/>
      <c r="E73" s="3"/>
      <c r="F73" s="3"/>
      <c r="G73" s="3"/>
      <c r="H73" s="3"/>
      <c r="I73" s="3"/>
      <c r="J73" s="3"/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2700</v>
      </c>
      <c r="R73" s="26">
        <v>0</v>
      </c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2:33" x14ac:dyDescent="0.25">
      <c r="B74" t="s">
        <v>67</v>
      </c>
      <c r="C74" s="3"/>
      <c r="D74" s="3"/>
      <c r="E74" s="3"/>
      <c r="F74" s="3"/>
      <c r="G74" s="3"/>
      <c r="H74" s="3"/>
      <c r="I74" s="3"/>
      <c r="J74" s="3"/>
      <c r="L74" s="26">
        <v>1503</v>
      </c>
      <c r="M74" s="26">
        <v>1565</v>
      </c>
      <c r="N74" s="26">
        <v>1602</v>
      </c>
      <c r="O74" s="26">
        <v>1647</v>
      </c>
      <c r="P74" s="26">
        <v>1685</v>
      </c>
      <c r="Q74" s="26">
        <v>1735</v>
      </c>
      <c r="R74" s="26">
        <v>4900</v>
      </c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2:33" x14ac:dyDescent="0.25">
      <c r="B75" s="1" t="s">
        <v>68</v>
      </c>
      <c r="C75" s="3"/>
      <c r="D75" s="3"/>
      <c r="E75" s="3"/>
      <c r="F75" s="3"/>
      <c r="G75" s="3"/>
      <c r="H75" s="3"/>
      <c r="I75" s="3"/>
      <c r="J75" s="3"/>
      <c r="L75" s="27">
        <f t="shared" ref="L75:P75" si="37">SUM(L70:L74)</f>
        <v>21193</v>
      </c>
      <c r="M75" s="27">
        <f t="shared" si="37"/>
        <v>8174</v>
      </c>
      <c r="N75" s="27">
        <f t="shared" si="37"/>
        <v>9063</v>
      </c>
      <c r="O75" s="27">
        <f t="shared" si="37"/>
        <v>8579</v>
      </c>
      <c r="P75" s="27">
        <f t="shared" si="37"/>
        <v>8616</v>
      </c>
      <c r="Q75" s="27">
        <f>SUM(Q70:Q74)</f>
        <v>11319</v>
      </c>
      <c r="R75" s="27">
        <f>SUM(R70:R74)</f>
        <v>8781</v>
      </c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2:33" x14ac:dyDescent="0.25">
      <c r="B76" t="s">
        <v>70</v>
      </c>
      <c r="C76" s="3"/>
      <c r="D76" s="3"/>
      <c r="E76" s="3"/>
      <c r="F76" s="3"/>
      <c r="G76" s="3"/>
      <c r="H76" s="3"/>
      <c r="I76" s="3"/>
      <c r="J76" s="3"/>
      <c r="L76" s="26">
        <v>11898</v>
      </c>
      <c r="M76" s="26">
        <v>27042</v>
      </c>
      <c r="N76" s="26">
        <v>27971</v>
      </c>
      <c r="O76" s="26">
        <v>26939</v>
      </c>
      <c r="P76" s="26">
        <v>25124</v>
      </c>
      <c r="Q76" s="26">
        <v>25112</v>
      </c>
      <c r="R76" s="26">
        <v>23399</v>
      </c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2:33" x14ac:dyDescent="0.25">
      <c r="B77" t="s">
        <v>71</v>
      </c>
      <c r="C77" s="3"/>
      <c r="D77" s="3"/>
      <c r="E77" s="3"/>
      <c r="F77" s="3"/>
      <c r="G77" s="3"/>
      <c r="H77" s="3"/>
      <c r="I77" s="3"/>
      <c r="J77" s="3"/>
      <c r="L77" s="26">
        <v>4993</v>
      </c>
      <c r="M77" s="26">
        <v>5083</v>
      </c>
      <c r="N77" s="26">
        <v>4532</v>
      </c>
      <c r="O77" s="26">
        <v>3692</v>
      </c>
      <c r="P77" s="26">
        <v>2897</v>
      </c>
      <c r="Q77" s="26">
        <v>2799</v>
      </c>
      <c r="R77" s="26">
        <v>3749</v>
      </c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2:33" x14ac:dyDescent="0.25">
      <c r="B78" t="s">
        <v>72</v>
      </c>
      <c r="C78" s="3"/>
      <c r="D78" s="3"/>
      <c r="E78" s="3"/>
      <c r="F78" s="3"/>
      <c r="G78" s="3"/>
      <c r="H78" s="3"/>
      <c r="I78" s="3"/>
      <c r="J78" s="3"/>
      <c r="L78" s="26">
        <f>544+1749</f>
        <v>2293</v>
      </c>
      <c r="M78" s="26">
        <f>473+1797</f>
        <v>2270</v>
      </c>
      <c r="N78" s="26">
        <f>551+1951</f>
        <v>2502</v>
      </c>
      <c r="O78" s="26">
        <f>200+1436</f>
        <v>1636</v>
      </c>
      <c r="P78" s="26">
        <f>133+1083</f>
        <v>1216</v>
      </c>
      <c r="Q78" s="26">
        <f>130+1079</f>
        <v>1209</v>
      </c>
      <c r="R78" s="26">
        <v>136</v>
      </c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2:33" x14ac:dyDescent="0.25">
      <c r="B79" t="s">
        <v>69</v>
      </c>
      <c r="C79" s="3"/>
      <c r="D79" s="3"/>
      <c r="E79" s="3"/>
      <c r="F79" s="3"/>
      <c r="G79" s="3"/>
      <c r="H79" s="3"/>
      <c r="I79" s="3"/>
      <c r="J79" s="3"/>
      <c r="L79" s="26">
        <v>0</v>
      </c>
      <c r="M79" s="26">
        <v>0</v>
      </c>
      <c r="N79" s="26">
        <v>0</v>
      </c>
      <c r="O79" s="26">
        <v>0</v>
      </c>
      <c r="P79" s="26">
        <v>2700</v>
      </c>
      <c r="Q79" s="26">
        <v>0</v>
      </c>
      <c r="R79" s="26">
        <v>0</v>
      </c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2:33" x14ac:dyDescent="0.25">
      <c r="B80" t="s">
        <v>37</v>
      </c>
      <c r="C80" s="3"/>
      <c r="D80" s="3"/>
      <c r="E80" s="3"/>
      <c r="F80" s="3"/>
      <c r="G80" s="3"/>
      <c r="H80" s="3"/>
      <c r="I80" s="3"/>
      <c r="J80" s="3"/>
      <c r="L80" s="26">
        <v>254</v>
      </c>
      <c r="M80" s="26">
        <v>345</v>
      </c>
      <c r="N80" s="26">
        <v>381</v>
      </c>
      <c r="O80" s="26">
        <v>283</v>
      </c>
      <c r="P80" s="26">
        <v>324</v>
      </c>
      <c r="Q80" s="26">
        <v>1621</v>
      </c>
      <c r="R80" s="26">
        <f>935+365</f>
        <v>1300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x14ac:dyDescent="0.25">
      <c r="B81" s="1" t="s">
        <v>73</v>
      </c>
      <c r="C81" s="3"/>
      <c r="D81" s="3"/>
      <c r="E81" s="3"/>
      <c r="F81" s="3"/>
      <c r="G81" s="3"/>
      <c r="H81" s="3"/>
      <c r="I81" s="3"/>
      <c r="J81" s="3"/>
      <c r="L81" s="27">
        <f t="shared" ref="L81:P81" si="38">SUM(L76:L80)</f>
        <v>19438</v>
      </c>
      <c r="M81" s="27">
        <f t="shared" si="38"/>
        <v>34740</v>
      </c>
      <c r="N81" s="27">
        <f t="shared" si="38"/>
        <v>35386</v>
      </c>
      <c r="O81" s="27">
        <f t="shared" si="38"/>
        <v>32550</v>
      </c>
      <c r="P81" s="27">
        <f t="shared" si="38"/>
        <v>32261</v>
      </c>
      <c r="Q81" s="27">
        <f>SUM(Q76:Q80)</f>
        <v>30741</v>
      </c>
      <c r="R81" s="27">
        <f>SUM(R76:R80)</f>
        <v>28584</v>
      </c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x14ac:dyDescent="0.25">
      <c r="C82" s="3"/>
      <c r="D82" s="3"/>
      <c r="E82" s="3"/>
      <c r="F82" s="3"/>
      <c r="G82" s="3"/>
      <c r="H82" s="3"/>
      <c r="I82" s="3"/>
      <c r="J82" s="3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x14ac:dyDescent="0.25">
      <c r="B83" s="1" t="s">
        <v>74</v>
      </c>
      <c r="C83" s="3"/>
      <c r="D83" s="3"/>
      <c r="E83" s="3"/>
      <c r="F83" s="3"/>
      <c r="G83" s="3"/>
      <c r="H83" s="3"/>
      <c r="I83" s="3"/>
      <c r="J83" s="3"/>
      <c r="L83" s="27">
        <f t="shared" ref="L83:P83" si="39">L81+L75</f>
        <v>40631</v>
      </c>
      <c r="M83" s="27">
        <f t="shared" si="39"/>
        <v>42914</v>
      </c>
      <c r="N83" s="27">
        <f t="shared" si="39"/>
        <v>44449</v>
      </c>
      <c r="O83" s="27">
        <f t="shared" si="39"/>
        <v>41129</v>
      </c>
      <c r="P83" s="27">
        <f t="shared" si="39"/>
        <v>40877</v>
      </c>
      <c r="Q83" s="27">
        <f>Q81+Q75</f>
        <v>42060</v>
      </c>
      <c r="R83" s="27">
        <f>R81+R75</f>
        <v>37365</v>
      </c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x14ac:dyDescent="0.25">
      <c r="C84" s="3"/>
      <c r="D84" s="3"/>
      <c r="E84" s="3"/>
      <c r="F84" s="3"/>
      <c r="G84" s="3"/>
      <c r="H84" s="3"/>
      <c r="I84" s="3"/>
      <c r="J84" s="3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x14ac:dyDescent="0.25">
      <c r="B85" s="1" t="s">
        <v>75</v>
      </c>
      <c r="C85" s="3"/>
      <c r="D85" s="3"/>
      <c r="E85" s="3"/>
      <c r="F85" s="3"/>
      <c r="G85" s="3"/>
      <c r="H85" s="3"/>
      <c r="I85" s="3"/>
      <c r="J85" s="3"/>
      <c r="L85" s="27">
        <f>14789+39</f>
        <v>14828</v>
      </c>
      <c r="M85" s="27">
        <v>6357</v>
      </c>
      <c r="N85" s="27">
        <v>2925</v>
      </c>
      <c r="O85" s="27">
        <v>-1606</v>
      </c>
      <c r="P85" s="27">
        <v>-3923</v>
      </c>
      <c r="Q85" s="27">
        <v>-3490</v>
      </c>
      <c r="R85" s="27">
        <f>-2238+50</f>
        <v>-2188</v>
      </c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x14ac:dyDescent="0.25">
      <c r="C86" s="3"/>
      <c r="D86" s="3"/>
      <c r="E86" s="3"/>
      <c r="F86" s="3"/>
      <c r="G86" s="3"/>
      <c r="H86" s="3"/>
      <c r="I86" s="3"/>
      <c r="J86" s="3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x14ac:dyDescent="0.25">
      <c r="B87" s="1" t="s">
        <v>76</v>
      </c>
      <c r="C87" s="3"/>
      <c r="D87" s="3"/>
      <c r="E87" s="3"/>
      <c r="F87" s="3"/>
      <c r="G87" s="3"/>
      <c r="H87" s="3"/>
      <c r="I87" s="3"/>
      <c r="J87" s="3"/>
      <c r="L87" s="27">
        <f t="shared" ref="L87:P87" si="40">L85+L83</f>
        <v>55459</v>
      </c>
      <c r="M87" s="27">
        <f t="shared" si="40"/>
        <v>49271</v>
      </c>
      <c r="N87" s="27">
        <f t="shared" si="40"/>
        <v>47374</v>
      </c>
      <c r="O87" s="27">
        <f t="shared" si="40"/>
        <v>39523</v>
      </c>
      <c r="P87" s="27">
        <f t="shared" si="40"/>
        <v>36954</v>
      </c>
      <c r="Q87" s="27">
        <f>Q85+Q83</f>
        <v>38570</v>
      </c>
      <c r="R87" s="27">
        <f>R85+R83</f>
        <v>35177</v>
      </c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x14ac:dyDescent="0.25">
      <c r="C88" s="3"/>
      <c r="D88" s="3"/>
      <c r="E88" s="3"/>
      <c r="F88" s="3"/>
      <c r="G88" s="3"/>
      <c r="H88" s="3"/>
      <c r="I88" s="3"/>
      <c r="J88" s="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x14ac:dyDescent="0.25">
      <c r="A89" s="4" t="s">
        <v>8</v>
      </c>
      <c r="B89" s="2" t="s">
        <v>77</v>
      </c>
      <c r="C89" s="3"/>
      <c r="D89" s="3"/>
      <c r="E89" s="3"/>
      <c r="F89" s="3"/>
      <c r="G89" s="3"/>
      <c r="H89" s="3"/>
      <c r="I89" s="3"/>
      <c r="J89" s="3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x14ac:dyDescent="0.25">
      <c r="B90" t="s">
        <v>84</v>
      </c>
      <c r="C90" s="3"/>
      <c r="D90" s="3"/>
      <c r="E90" s="3"/>
      <c r="F90" s="3"/>
      <c r="G90" s="3"/>
      <c r="H90" s="3"/>
      <c r="I90" s="3"/>
      <c r="J90" s="3"/>
      <c r="L90" s="26">
        <v>227</v>
      </c>
      <c r="M90" s="26">
        <v>226</v>
      </c>
      <c r="N90" s="26">
        <v>257</v>
      </c>
      <c r="O90" s="26">
        <v>244</v>
      </c>
      <c r="P90" s="26">
        <v>226</v>
      </c>
      <c r="Q90" s="26">
        <v>272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x14ac:dyDescent="0.25">
      <c r="B91" t="s">
        <v>78</v>
      </c>
      <c r="C91" s="3"/>
      <c r="D91" s="3"/>
      <c r="E91" s="3"/>
      <c r="F91" s="3"/>
      <c r="G91" s="3"/>
      <c r="H91" s="3"/>
      <c r="I91" s="3"/>
      <c r="J91" s="3"/>
      <c r="L91" s="26">
        <f>-129+27+218-21+980-41-13+79</f>
        <v>1100</v>
      </c>
      <c r="M91" s="26">
        <f>-8+42-79+89+11-108-56-52+452</f>
        <v>291</v>
      </c>
      <c r="N91" s="26">
        <f>20+2+53-29-15+218-33-49+712</f>
        <v>879</v>
      </c>
      <c r="O91" s="26">
        <f>-18+57+163-149+165-215-26-175+170</f>
        <v>-28</v>
      </c>
      <c r="P91" s="26">
        <f>-21+14+92-118-129-424-20-156+199</f>
        <v>-563</v>
      </c>
      <c r="Q91" s="26">
        <f>6-15+38+6+280-362-20-136+287</f>
        <v>84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x14ac:dyDescent="0.25">
      <c r="B92" s="1" t="s">
        <v>79</v>
      </c>
      <c r="C92" s="3"/>
      <c r="D92" s="3"/>
      <c r="E92" s="3"/>
      <c r="F92" s="3"/>
      <c r="G92" s="3"/>
      <c r="H92" s="3"/>
      <c r="I92" s="3"/>
      <c r="J92" s="3"/>
      <c r="K92" s="6"/>
      <c r="L92" s="27">
        <v>8391</v>
      </c>
      <c r="M92" s="27">
        <v>7837</v>
      </c>
      <c r="N92" s="27">
        <v>8385</v>
      </c>
      <c r="O92" s="27">
        <v>8405</v>
      </c>
      <c r="P92" s="27">
        <v>8256</v>
      </c>
      <c r="Q92" s="27">
        <v>9287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x14ac:dyDescent="0.25">
      <c r="C93" s="3"/>
      <c r="D93" s="3"/>
      <c r="E93" s="3"/>
      <c r="F93" s="3"/>
      <c r="G93" s="3"/>
      <c r="H93" s="3"/>
      <c r="I93" s="3"/>
      <c r="J93" s="3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x14ac:dyDescent="0.25">
      <c r="B94" t="s">
        <v>80</v>
      </c>
      <c r="C94" s="3"/>
      <c r="D94" s="3"/>
      <c r="E94" s="3"/>
      <c r="F94" s="3"/>
      <c r="G94" s="3"/>
      <c r="H94" s="3"/>
      <c r="I94" s="3"/>
      <c r="J94" s="3"/>
      <c r="L94" s="26">
        <v>-238</v>
      </c>
      <c r="M94" s="26">
        <v>-246</v>
      </c>
      <c r="N94" s="26">
        <v>-231</v>
      </c>
      <c r="O94" s="26">
        <v>-169</v>
      </c>
      <c r="P94" s="26">
        <v>-205</v>
      </c>
      <c r="Q94" s="26">
        <v>-196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x14ac:dyDescent="0.25">
      <c r="B95" s="1" t="s">
        <v>81</v>
      </c>
      <c r="C95" s="3"/>
      <c r="D95" s="3"/>
      <c r="E95" s="3"/>
      <c r="F95" s="3"/>
      <c r="G95" s="3"/>
      <c r="H95" s="3"/>
      <c r="I95" s="3"/>
      <c r="J95" s="3"/>
      <c r="L95" s="27">
        <v>-12988</v>
      </c>
      <c r="M95" s="27">
        <v>-2398</v>
      </c>
      <c r="N95" s="27">
        <v>-143</v>
      </c>
      <c r="O95" s="27">
        <v>1212</v>
      </c>
      <c r="P95" s="27">
        <v>782</v>
      </c>
      <c r="Q95" s="27">
        <v>-1283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x14ac:dyDescent="0.25">
      <c r="C96" s="3"/>
      <c r="D96" s="3"/>
      <c r="E96" s="3"/>
      <c r="F96" s="3"/>
      <c r="G96" s="3"/>
      <c r="H96" s="3"/>
      <c r="I96" s="3"/>
      <c r="J96" s="3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2:33" x14ac:dyDescent="0.25">
      <c r="B97" s="1" t="s">
        <v>82</v>
      </c>
      <c r="C97" s="3"/>
      <c r="D97" s="3"/>
      <c r="E97" s="3"/>
      <c r="F97" s="3"/>
      <c r="G97" s="3"/>
      <c r="H97" s="3"/>
      <c r="I97" s="3"/>
      <c r="J97" s="3"/>
      <c r="L97" s="27">
        <v>4716</v>
      </c>
      <c r="M97" s="27">
        <v>-4712</v>
      </c>
      <c r="N97" s="27">
        <v>-5396</v>
      </c>
      <c r="O97" s="27">
        <v>-10029</v>
      </c>
      <c r="P97" s="27">
        <v>-9541</v>
      </c>
      <c r="Q97" s="27">
        <v>-8374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2:33" x14ac:dyDescent="0.25">
      <c r="C98" s="3"/>
      <c r="D98" s="3"/>
      <c r="E98" s="3"/>
      <c r="F98" s="3"/>
      <c r="G98" s="3"/>
      <c r="H98" s="3"/>
      <c r="I98" s="3"/>
      <c r="J98" s="3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2:33" x14ac:dyDescent="0.25">
      <c r="B99" s="1" t="s">
        <v>83</v>
      </c>
      <c r="C99" s="3"/>
      <c r="D99" s="3"/>
      <c r="E99" s="3"/>
      <c r="F99" s="3"/>
      <c r="G99" s="3"/>
      <c r="H99" s="3"/>
      <c r="I99" s="3"/>
      <c r="J99" s="3"/>
      <c r="L99" s="27">
        <f t="shared" ref="L99:P99" si="41">L97+L95+L92</f>
        <v>119</v>
      </c>
      <c r="M99" s="27">
        <f t="shared" si="41"/>
        <v>727</v>
      </c>
      <c r="N99" s="27">
        <f t="shared" si="41"/>
        <v>2846</v>
      </c>
      <c r="O99" s="27">
        <f t="shared" si="41"/>
        <v>-412</v>
      </c>
      <c r="P99" s="27">
        <f t="shared" si="41"/>
        <v>-503</v>
      </c>
      <c r="Q99" s="27">
        <f>Q97+Q95+Q92</f>
        <v>-370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2:33" x14ac:dyDescent="0.25">
      <c r="C100" s="3"/>
      <c r="D100" s="3"/>
      <c r="E100" s="3"/>
      <c r="F100" s="3"/>
      <c r="G100" s="3"/>
      <c r="H100" s="3"/>
      <c r="I100" s="3"/>
      <c r="J100" s="3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2:33" x14ac:dyDescent="0.25">
      <c r="B101" s="1" t="s">
        <v>85</v>
      </c>
      <c r="C101" s="3"/>
      <c r="D101" s="3"/>
      <c r="E101" s="3"/>
      <c r="F101" s="3"/>
      <c r="G101" s="3"/>
      <c r="H101" s="3"/>
      <c r="I101" s="3"/>
      <c r="J101" s="3"/>
      <c r="L101" s="27">
        <f t="shared" ref="L101:Q101" si="42">L31-L37+L90+L91+L94</f>
        <v>7830</v>
      </c>
      <c r="M101" s="27">
        <f t="shared" si="42"/>
        <v>8533</v>
      </c>
      <c r="N101" s="27">
        <f t="shared" si="42"/>
        <v>9342</v>
      </c>
      <c r="O101" s="27">
        <f t="shared" si="42"/>
        <v>10258</v>
      </c>
      <c r="P101" s="27">
        <f t="shared" si="42"/>
        <v>9752</v>
      </c>
      <c r="Q101" s="27">
        <f t="shared" si="42"/>
        <v>8909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2:33" x14ac:dyDescent="0.25">
      <c r="C102" s="3"/>
      <c r="D102" s="3"/>
      <c r="E102" s="3"/>
      <c r="F102" s="3"/>
      <c r="G102" s="3"/>
      <c r="H102" s="3"/>
      <c r="I102" s="3"/>
      <c r="J102" s="3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2:33" x14ac:dyDescent="0.25">
      <c r="C103" s="3"/>
      <c r="D103" s="3"/>
      <c r="E103" s="3"/>
      <c r="F103" s="3"/>
      <c r="G103" s="3"/>
      <c r="H103" s="3"/>
      <c r="I103" s="3"/>
      <c r="J103" s="3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2:33" x14ac:dyDescent="0.25">
      <c r="C104" s="3"/>
      <c r="D104" s="3"/>
      <c r="E104" s="3"/>
      <c r="F104" s="3"/>
      <c r="G104" s="3"/>
      <c r="H104" s="3"/>
      <c r="I104" s="3"/>
      <c r="J104" s="3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2:33" x14ac:dyDescent="0.25">
      <c r="C105" s="3"/>
      <c r="D105" s="3"/>
      <c r="E105" s="3"/>
      <c r="F105" s="3"/>
      <c r="G105" s="3"/>
      <c r="H105" s="3"/>
      <c r="I105" s="3"/>
      <c r="J105" s="3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2:33" x14ac:dyDescent="0.25">
      <c r="C106" s="3"/>
      <c r="D106" s="3"/>
      <c r="E106" s="3"/>
      <c r="F106" s="3"/>
      <c r="G106" s="3"/>
      <c r="H106" s="3"/>
      <c r="I106" s="3"/>
      <c r="J106" s="3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2:33" x14ac:dyDescent="0.25">
      <c r="C107" s="3"/>
      <c r="D107" s="3"/>
      <c r="E107" s="3"/>
      <c r="F107" s="3"/>
      <c r="G107" s="3"/>
      <c r="H107" s="3"/>
      <c r="I107" s="3"/>
      <c r="J107" s="3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2:33" x14ac:dyDescent="0.25">
      <c r="C108" s="3"/>
      <c r="D108" s="3"/>
      <c r="E108" s="3"/>
      <c r="F108" s="3"/>
      <c r="G108" s="3"/>
      <c r="H108" s="3"/>
      <c r="I108" s="3"/>
      <c r="J108" s="3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2:33" x14ac:dyDescent="0.25">
      <c r="C109" s="3"/>
      <c r="D109" s="3"/>
      <c r="E109" s="3"/>
      <c r="F109" s="3"/>
      <c r="G109" s="3"/>
      <c r="H109" s="3"/>
      <c r="I109" s="3"/>
      <c r="J109" s="3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2:33" x14ac:dyDescent="0.25">
      <c r="C110" s="3"/>
      <c r="D110" s="3"/>
      <c r="E110" s="3"/>
      <c r="F110" s="3"/>
      <c r="G110" s="3"/>
      <c r="H110" s="3"/>
      <c r="I110" s="3"/>
      <c r="J110" s="3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2:33" x14ac:dyDescent="0.25">
      <c r="C111" s="3"/>
      <c r="D111" s="3"/>
      <c r="E111" s="3"/>
      <c r="F111" s="3"/>
      <c r="G111" s="3"/>
      <c r="H111" s="3"/>
      <c r="I111" s="3"/>
      <c r="J111" s="3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2:33" x14ac:dyDescent="0.25">
      <c r="C112" s="3"/>
      <c r="D112" s="3"/>
      <c r="E112" s="3"/>
      <c r="F112" s="3"/>
      <c r="G112" s="3"/>
      <c r="H112" s="3"/>
      <c r="I112" s="3"/>
      <c r="J112" s="3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3:33" x14ac:dyDescent="0.25">
      <c r="C113" s="3"/>
      <c r="D113" s="3"/>
      <c r="E113" s="3"/>
      <c r="F113" s="3"/>
      <c r="G113" s="3"/>
      <c r="H113" s="3"/>
      <c r="I113" s="3"/>
      <c r="J113" s="3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3:33" x14ac:dyDescent="0.25">
      <c r="C114" s="3"/>
      <c r="D114" s="3"/>
      <c r="E114" s="3"/>
      <c r="F114" s="3"/>
      <c r="G114" s="3"/>
      <c r="H114" s="3"/>
      <c r="I114" s="3"/>
      <c r="J114" s="3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3:33" x14ac:dyDescent="0.25">
      <c r="C115" s="3"/>
      <c r="D115" s="3"/>
      <c r="E115" s="3"/>
      <c r="F115" s="3"/>
      <c r="G115" s="3"/>
      <c r="H115" s="3"/>
      <c r="I115" s="3"/>
      <c r="J115" s="3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3:33" x14ac:dyDescent="0.25">
      <c r="C116" s="3"/>
      <c r="D116" s="3"/>
      <c r="E116" s="3"/>
      <c r="F116" s="3"/>
      <c r="G116" s="3"/>
      <c r="H116" s="3"/>
      <c r="I116" s="3"/>
      <c r="J116" s="3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3:33" x14ac:dyDescent="0.25">
      <c r="C117" s="3"/>
      <c r="D117" s="3"/>
      <c r="E117" s="3"/>
      <c r="F117" s="3"/>
      <c r="G117" s="3"/>
      <c r="H117" s="3"/>
      <c r="I117" s="3"/>
      <c r="J117" s="3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3:33" x14ac:dyDescent="0.25">
      <c r="C118" s="3"/>
      <c r="D118" s="3"/>
      <c r="E118" s="3"/>
      <c r="F118" s="3"/>
      <c r="G118" s="3"/>
      <c r="H118" s="3"/>
      <c r="I118" s="3"/>
      <c r="J118" s="3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3:33" x14ac:dyDescent="0.25">
      <c r="C119" s="3"/>
      <c r="D119" s="3"/>
      <c r="E119" s="3"/>
      <c r="F119" s="3"/>
      <c r="G119" s="3"/>
      <c r="H119" s="3"/>
      <c r="I119" s="3"/>
      <c r="J119" s="3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3:33" x14ac:dyDescent="0.25">
      <c r="C120" s="3"/>
      <c r="D120" s="3"/>
      <c r="E120" s="3"/>
      <c r="F120" s="3"/>
      <c r="G120" s="3"/>
      <c r="H120" s="3"/>
      <c r="I120" s="3"/>
      <c r="J120" s="3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3:33" x14ac:dyDescent="0.25">
      <c r="C121" s="3"/>
      <c r="D121" s="3"/>
      <c r="E121" s="3"/>
      <c r="F121" s="3"/>
      <c r="G121" s="3"/>
      <c r="H121" s="3"/>
      <c r="I121" s="3"/>
      <c r="J121" s="3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3:33" x14ac:dyDescent="0.25">
      <c r="C122" s="3"/>
      <c r="D122" s="3"/>
      <c r="E122" s="3"/>
      <c r="F122" s="3"/>
      <c r="G122" s="3"/>
      <c r="H122" s="3"/>
      <c r="I122" s="3"/>
      <c r="J122" s="3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3:33" x14ac:dyDescent="0.25">
      <c r="C123" s="3"/>
      <c r="D123" s="3"/>
      <c r="E123" s="3"/>
      <c r="F123" s="3"/>
      <c r="G123" s="3"/>
      <c r="H123" s="3"/>
      <c r="I123" s="3"/>
      <c r="J123" s="3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3:33" x14ac:dyDescent="0.25">
      <c r="C124" s="3"/>
      <c r="D124" s="3"/>
      <c r="E124" s="3"/>
      <c r="F124" s="3"/>
      <c r="G124" s="3"/>
      <c r="H124" s="3"/>
      <c r="I124" s="3"/>
      <c r="J124" s="3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3:33" x14ac:dyDescent="0.25">
      <c r="C125" s="3"/>
      <c r="D125" s="3"/>
      <c r="E125" s="3"/>
      <c r="F125" s="3"/>
      <c r="G125" s="3"/>
      <c r="H125" s="3"/>
      <c r="I125" s="3"/>
      <c r="J125" s="3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3:33" x14ac:dyDescent="0.25">
      <c r="C126" s="3"/>
      <c r="D126" s="3"/>
      <c r="E126" s="3"/>
      <c r="F126" s="3"/>
      <c r="G126" s="3"/>
      <c r="H126" s="3"/>
      <c r="I126" s="3"/>
      <c r="J126" s="3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3:33" x14ac:dyDescent="0.25">
      <c r="C127" s="3"/>
      <c r="D127" s="3"/>
      <c r="E127" s="3"/>
      <c r="F127" s="3"/>
      <c r="G127" s="3"/>
      <c r="H127" s="3"/>
      <c r="I127" s="3"/>
      <c r="J127" s="3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3:33" x14ac:dyDescent="0.25">
      <c r="C128" s="3"/>
      <c r="D128" s="3"/>
      <c r="E128" s="3"/>
      <c r="F128" s="3"/>
      <c r="G128" s="3"/>
      <c r="H128" s="3"/>
      <c r="I128" s="3"/>
      <c r="J128" s="3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3:33" x14ac:dyDescent="0.25">
      <c r="C129" s="3"/>
      <c r="D129" s="3"/>
      <c r="E129" s="3"/>
      <c r="F129" s="3"/>
      <c r="G129" s="3"/>
      <c r="H129" s="3"/>
      <c r="I129" s="3"/>
      <c r="J129" s="3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3:33" x14ac:dyDescent="0.25">
      <c r="C130" s="3"/>
      <c r="D130" s="3"/>
      <c r="E130" s="3"/>
      <c r="F130" s="3"/>
      <c r="G130" s="3"/>
      <c r="H130" s="3"/>
      <c r="I130" s="3"/>
      <c r="J130" s="3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3:33" x14ac:dyDescent="0.25">
      <c r="C131" s="3"/>
      <c r="D131" s="3"/>
      <c r="E131" s="3"/>
      <c r="F131" s="3"/>
      <c r="G131" s="3"/>
      <c r="H131" s="3"/>
      <c r="I131" s="3"/>
      <c r="J131" s="3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3:33" x14ac:dyDescent="0.25">
      <c r="C132" s="3"/>
      <c r="D132" s="3"/>
      <c r="E132" s="3"/>
      <c r="F132" s="3"/>
      <c r="G132" s="3"/>
      <c r="H132" s="3"/>
      <c r="I132" s="3"/>
      <c r="J132" s="3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3:33" x14ac:dyDescent="0.25">
      <c r="C133" s="3"/>
      <c r="D133" s="3"/>
      <c r="E133" s="3"/>
      <c r="F133" s="3"/>
      <c r="G133" s="3"/>
      <c r="H133" s="3"/>
      <c r="I133" s="3"/>
      <c r="J133" s="3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3:33" x14ac:dyDescent="0.25">
      <c r="C134" s="3"/>
      <c r="D134" s="3"/>
      <c r="E134" s="3"/>
      <c r="F134" s="3"/>
      <c r="G134" s="3"/>
      <c r="H134" s="3"/>
      <c r="I134" s="3"/>
      <c r="J134" s="3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3:33" x14ac:dyDescent="0.25">
      <c r="C135" s="3"/>
      <c r="D135" s="3"/>
      <c r="E135" s="3"/>
      <c r="F135" s="3"/>
      <c r="G135" s="3"/>
      <c r="H135" s="3"/>
      <c r="I135" s="3"/>
      <c r="J135" s="3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3:33" x14ac:dyDescent="0.25">
      <c r="C136" s="3"/>
      <c r="D136" s="3"/>
      <c r="E136" s="3"/>
      <c r="F136" s="3"/>
      <c r="G136" s="3"/>
      <c r="H136" s="3"/>
      <c r="I136" s="3"/>
      <c r="J136" s="3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3:33" x14ac:dyDescent="0.25">
      <c r="C137" s="3"/>
      <c r="D137" s="3"/>
      <c r="E137" s="3"/>
      <c r="F137" s="3"/>
      <c r="G137" s="3"/>
      <c r="H137" s="3"/>
      <c r="I137" s="3"/>
      <c r="J137" s="3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3:33" x14ac:dyDescent="0.25">
      <c r="C138" s="3"/>
      <c r="D138" s="3"/>
      <c r="E138" s="3"/>
      <c r="F138" s="3"/>
      <c r="G138" s="3"/>
      <c r="H138" s="3"/>
      <c r="I138" s="3"/>
      <c r="J138" s="3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3:33" x14ac:dyDescent="0.25">
      <c r="C139" s="3"/>
      <c r="D139" s="3"/>
      <c r="E139" s="3"/>
      <c r="F139" s="3"/>
      <c r="G139" s="3"/>
      <c r="H139" s="3"/>
      <c r="I139" s="3"/>
      <c r="J139" s="3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3:33" x14ac:dyDescent="0.25">
      <c r="C140" s="3"/>
      <c r="D140" s="3"/>
      <c r="E140" s="3"/>
      <c r="F140" s="3"/>
      <c r="G140" s="3"/>
      <c r="H140" s="3"/>
      <c r="I140" s="3"/>
      <c r="J140" s="3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3:33" x14ac:dyDescent="0.25">
      <c r="C141" s="3"/>
      <c r="D141" s="3"/>
      <c r="E141" s="3"/>
      <c r="F141" s="3"/>
      <c r="G141" s="3"/>
      <c r="H141" s="3"/>
      <c r="I141" s="3"/>
      <c r="J141" s="3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3:33" x14ac:dyDescent="0.25">
      <c r="C142" s="3"/>
      <c r="D142" s="3"/>
      <c r="E142" s="3"/>
      <c r="F142" s="3"/>
      <c r="G142" s="3"/>
      <c r="H142" s="3"/>
      <c r="I142" s="3"/>
      <c r="J142" s="3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3:33" x14ac:dyDescent="0.25">
      <c r="C143" s="3"/>
      <c r="D143" s="3"/>
      <c r="E143" s="3"/>
      <c r="F143" s="3"/>
      <c r="G143" s="3"/>
      <c r="H143" s="3"/>
      <c r="I143" s="3"/>
      <c r="J143" s="3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3:33" x14ac:dyDescent="0.25">
      <c r="C144" s="3"/>
      <c r="D144" s="3"/>
      <c r="E144" s="3"/>
      <c r="F144" s="3"/>
      <c r="G144" s="3"/>
      <c r="H144" s="3"/>
      <c r="I144" s="3"/>
      <c r="J144" s="3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3:33" x14ac:dyDescent="0.25">
      <c r="C145" s="3"/>
      <c r="D145" s="3"/>
      <c r="E145" s="3"/>
      <c r="F145" s="3"/>
      <c r="G145" s="3"/>
      <c r="H145" s="3"/>
      <c r="I145" s="3"/>
      <c r="J145" s="3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3:33" x14ac:dyDescent="0.25">
      <c r="C146" s="3"/>
      <c r="D146" s="3"/>
      <c r="E146" s="3"/>
      <c r="F146" s="3"/>
      <c r="G146" s="3"/>
      <c r="H146" s="3"/>
      <c r="I146" s="3"/>
      <c r="J146" s="3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3:33" x14ac:dyDescent="0.25">
      <c r="C147" s="3"/>
      <c r="D147" s="3"/>
      <c r="E147" s="3"/>
      <c r="F147" s="3"/>
      <c r="G147" s="3"/>
      <c r="H147" s="3"/>
      <c r="I147" s="3"/>
      <c r="J147" s="3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3:33" x14ac:dyDescent="0.25">
      <c r="C148" s="3"/>
      <c r="D148" s="3"/>
      <c r="E148" s="3"/>
      <c r="F148" s="3"/>
      <c r="G148" s="3"/>
      <c r="H148" s="3"/>
      <c r="I148" s="3"/>
      <c r="J148" s="3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3:33" x14ac:dyDescent="0.25">
      <c r="C149" s="3"/>
      <c r="D149" s="3"/>
      <c r="E149" s="3"/>
      <c r="F149" s="3"/>
      <c r="G149" s="3"/>
      <c r="H149" s="3"/>
      <c r="I149" s="3"/>
      <c r="J149" s="3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3:33" x14ac:dyDescent="0.25">
      <c r="C150" s="3"/>
      <c r="D150" s="3"/>
      <c r="E150" s="3"/>
      <c r="F150" s="3"/>
      <c r="G150" s="3"/>
      <c r="H150" s="3"/>
      <c r="I150" s="3"/>
      <c r="J150" s="3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3:33" x14ac:dyDescent="0.25">
      <c r="C151" s="3"/>
      <c r="D151" s="3"/>
      <c r="E151" s="3"/>
      <c r="F151" s="3"/>
      <c r="G151" s="3"/>
      <c r="H151" s="3"/>
      <c r="I151" s="3"/>
      <c r="J151" s="3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3:33" x14ac:dyDescent="0.25">
      <c r="C152" s="3"/>
      <c r="D152" s="3"/>
      <c r="E152" s="3"/>
      <c r="F152" s="3"/>
      <c r="G152" s="3"/>
      <c r="H152" s="3"/>
      <c r="I152" s="3"/>
      <c r="J152" s="3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3:33" x14ac:dyDescent="0.25">
      <c r="C153" s="3"/>
      <c r="D153" s="3"/>
      <c r="E153" s="3"/>
      <c r="F153" s="3"/>
      <c r="G153" s="3"/>
      <c r="H153" s="3"/>
      <c r="I153" s="3"/>
      <c r="J153" s="3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3:33" x14ac:dyDescent="0.25">
      <c r="C154" s="3"/>
      <c r="D154" s="3"/>
      <c r="E154" s="3"/>
      <c r="F154" s="3"/>
      <c r="G154" s="3"/>
      <c r="H154" s="3"/>
      <c r="I154" s="3"/>
      <c r="J154" s="3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3:33" x14ac:dyDescent="0.25">
      <c r="C155" s="3"/>
      <c r="D155" s="3"/>
      <c r="E155" s="3"/>
      <c r="F155" s="3"/>
      <c r="G155" s="3"/>
      <c r="H155" s="3"/>
      <c r="I155" s="3"/>
      <c r="J155" s="3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3:33" x14ac:dyDescent="0.25">
      <c r="C156" s="3"/>
      <c r="D156" s="3"/>
      <c r="E156" s="3"/>
      <c r="F156" s="3"/>
      <c r="G156" s="3"/>
      <c r="H156" s="3"/>
      <c r="I156" s="3"/>
      <c r="J156" s="3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3:33" x14ac:dyDescent="0.25">
      <c r="C157" s="3"/>
      <c r="D157" s="3"/>
      <c r="E157" s="3"/>
      <c r="F157" s="3"/>
      <c r="G157" s="3"/>
      <c r="H157" s="3"/>
      <c r="I157" s="3"/>
      <c r="J157" s="3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3:33" x14ac:dyDescent="0.25">
      <c r="C158" s="3"/>
      <c r="D158" s="3"/>
      <c r="E158" s="3"/>
      <c r="F158" s="3"/>
      <c r="G158" s="3"/>
      <c r="H158" s="3"/>
      <c r="I158" s="3"/>
      <c r="J158" s="3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3:33" x14ac:dyDescent="0.25">
      <c r="C159" s="3"/>
      <c r="D159" s="3"/>
      <c r="E159" s="3"/>
      <c r="F159" s="3"/>
      <c r="G159" s="3"/>
      <c r="H159" s="3"/>
      <c r="I159" s="3"/>
      <c r="J159" s="3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3:33" x14ac:dyDescent="0.25">
      <c r="C160" s="3"/>
      <c r="D160" s="3"/>
      <c r="E160" s="3"/>
      <c r="F160" s="3"/>
      <c r="G160" s="3"/>
      <c r="H160" s="3"/>
      <c r="I160" s="3"/>
      <c r="J160" s="3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3:33" x14ac:dyDescent="0.25">
      <c r="C161" s="3"/>
      <c r="D161" s="3"/>
      <c r="E161" s="3"/>
      <c r="F161" s="3"/>
      <c r="G161" s="3"/>
      <c r="H161" s="3"/>
      <c r="I161" s="3"/>
      <c r="J161" s="3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3:33" x14ac:dyDescent="0.25">
      <c r="C162" s="3"/>
      <c r="D162" s="3"/>
      <c r="E162" s="3"/>
      <c r="F162" s="3"/>
      <c r="G162" s="3"/>
      <c r="H162" s="3"/>
      <c r="I162" s="3"/>
      <c r="J162" s="3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3:33" x14ac:dyDescent="0.25">
      <c r="C163" s="3"/>
      <c r="D163" s="3"/>
      <c r="E163" s="3"/>
      <c r="F163" s="3"/>
      <c r="G163" s="3"/>
      <c r="H163" s="3"/>
      <c r="I163" s="3"/>
      <c r="J163" s="3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3:33" x14ac:dyDescent="0.25">
      <c r="C164" s="3"/>
      <c r="D164" s="3"/>
      <c r="E164" s="3"/>
      <c r="F164" s="3"/>
      <c r="G164" s="3"/>
      <c r="H164" s="3"/>
      <c r="I164" s="3"/>
      <c r="J164" s="3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3:33" x14ac:dyDescent="0.25">
      <c r="C165" s="3"/>
      <c r="D165" s="3"/>
      <c r="E165" s="3"/>
      <c r="F165" s="3"/>
      <c r="G165" s="3"/>
      <c r="H165" s="3"/>
      <c r="I165" s="3"/>
      <c r="J165" s="3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3:33" x14ac:dyDescent="0.25">
      <c r="C166" s="3"/>
      <c r="D166" s="3"/>
      <c r="E166" s="3"/>
      <c r="F166" s="3"/>
      <c r="G166" s="3"/>
      <c r="H166" s="3"/>
      <c r="I166" s="3"/>
      <c r="J166" s="3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3:33" x14ac:dyDescent="0.25">
      <c r="C167" s="3"/>
      <c r="D167" s="3"/>
      <c r="E167" s="3"/>
      <c r="F167" s="3"/>
      <c r="G167" s="3"/>
      <c r="H167" s="3"/>
      <c r="I167" s="3"/>
      <c r="J167" s="3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3:33" x14ac:dyDescent="0.25">
      <c r="C168" s="3"/>
      <c r="D168" s="3"/>
      <c r="E168" s="3"/>
      <c r="F168" s="3"/>
      <c r="G168" s="3"/>
      <c r="H168" s="3"/>
      <c r="I168" s="3"/>
      <c r="J168" s="3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3:33" x14ac:dyDescent="0.25">
      <c r="C169" s="3"/>
      <c r="D169" s="3"/>
      <c r="E169" s="3"/>
      <c r="F169" s="3"/>
      <c r="G169" s="3"/>
      <c r="H169" s="3"/>
      <c r="I169" s="3"/>
      <c r="J169" s="3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3:33" x14ac:dyDescent="0.25">
      <c r="C170" s="3"/>
      <c r="D170" s="3"/>
      <c r="E170" s="3"/>
      <c r="F170" s="3"/>
      <c r="G170" s="3"/>
      <c r="H170" s="3"/>
      <c r="I170" s="3"/>
      <c r="J170" s="3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3:33" x14ac:dyDescent="0.25">
      <c r="C171" s="3"/>
      <c r="D171" s="3"/>
      <c r="E171" s="3"/>
      <c r="F171" s="3"/>
      <c r="G171" s="3"/>
      <c r="H171" s="3"/>
      <c r="I171" s="3"/>
      <c r="J171" s="3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3:33" x14ac:dyDescent="0.25">
      <c r="C172" s="3"/>
      <c r="D172" s="3"/>
      <c r="E172" s="3"/>
      <c r="F172" s="3"/>
      <c r="G172" s="3"/>
      <c r="H172" s="3"/>
      <c r="I172" s="3"/>
      <c r="J172" s="3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3:33" x14ac:dyDescent="0.25">
      <c r="C173" s="3"/>
      <c r="D173" s="3"/>
      <c r="E173" s="3"/>
      <c r="F173" s="3"/>
      <c r="G173" s="3"/>
      <c r="H173" s="3"/>
      <c r="I173" s="3"/>
      <c r="J173" s="3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3:33" x14ac:dyDescent="0.25">
      <c r="C174" s="3"/>
      <c r="D174" s="3"/>
      <c r="E174" s="3"/>
      <c r="F174" s="3"/>
      <c r="G174" s="3"/>
      <c r="H174" s="3"/>
      <c r="I174" s="3"/>
      <c r="J174" s="3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3:33" x14ac:dyDescent="0.25">
      <c r="C175" s="3"/>
      <c r="D175" s="3"/>
      <c r="E175" s="3"/>
      <c r="F175" s="3"/>
      <c r="G175" s="3"/>
      <c r="H175" s="3"/>
      <c r="I175" s="3"/>
      <c r="J175" s="3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3:33" x14ac:dyDescent="0.25">
      <c r="C176" s="3"/>
      <c r="D176" s="3"/>
      <c r="E176" s="3"/>
      <c r="F176" s="3"/>
      <c r="G176" s="3"/>
      <c r="H176" s="3"/>
      <c r="I176" s="3"/>
      <c r="J176" s="3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3:33" x14ac:dyDescent="0.25">
      <c r="C177" s="3"/>
      <c r="D177" s="3"/>
      <c r="E177" s="3"/>
      <c r="F177" s="3"/>
      <c r="G177" s="3"/>
      <c r="H177" s="3"/>
      <c r="I177" s="3"/>
      <c r="J177" s="3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3:33" x14ac:dyDescent="0.25">
      <c r="C178" s="3"/>
      <c r="D178" s="3"/>
      <c r="E178" s="3"/>
      <c r="F178" s="3"/>
      <c r="G178" s="3"/>
      <c r="H178" s="3"/>
      <c r="I178" s="3"/>
      <c r="J178" s="3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3:33" x14ac:dyDescent="0.25">
      <c r="C179" s="3"/>
      <c r="D179" s="3"/>
      <c r="E179" s="3"/>
      <c r="F179" s="3"/>
      <c r="G179" s="3"/>
      <c r="H179" s="3"/>
      <c r="I179" s="3"/>
      <c r="J179" s="3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3:33" x14ac:dyDescent="0.25">
      <c r="C180" s="3"/>
      <c r="D180" s="3"/>
      <c r="E180" s="3"/>
      <c r="F180" s="3"/>
      <c r="G180" s="3"/>
      <c r="H180" s="3"/>
      <c r="I180" s="3"/>
      <c r="J180" s="3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3:33" x14ac:dyDescent="0.25">
      <c r="C181" s="3"/>
      <c r="D181" s="3"/>
      <c r="E181" s="3"/>
      <c r="F181" s="3"/>
      <c r="G181" s="3"/>
      <c r="H181" s="3"/>
      <c r="I181" s="3"/>
      <c r="J181" s="3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3:33" x14ac:dyDescent="0.25">
      <c r="C182" s="3"/>
      <c r="D182" s="3"/>
      <c r="E182" s="3"/>
      <c r="F182" s="3"/>
      <c r="G182" s="3"/>
      <c r="H182" s="3"/>
      <c r="I182" s="3"/>
      <c r="J182" s="3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3:33" x14ac:dyDescent="0.25">
      <c r="C183" s="3"/>
      <c r="D183" s="3"/>
      <c r="E183" s="3"/>
      <c r="F183" s="3"/>
      <c r="G183" s="3"/>
      <c r="H183" s="3"/>
      <c r="I183" s="3"/>
      <c r="J183" s="3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3:33" x14ac:dyDescent="0.25">
      <c r="C184" s="3"/>
      <c r="D184" s="3"/>
      <c r="E184" s="3"/>
      <c r="F184" s="3"/>
      <c r="G184" s="3"/>
      <c r="H184" s="3"/>
      <c r="I184" s="3"/>
      <c r="J184" s="3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3:33" x14ac:dyDescent="0.25">
      <c r="C185" s="3"/>
      <c r="D185" s="3"/>
      <c r="E185" s="3"/>
      <c r="F185" s="3"/>
      <c r="G185" s="3"/>
      <c r="H185" s="3"/>
      <c r="I185" s="3"/>
      <c r="J185" s="3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3:33" x14ac:dyDescent="0.25">
      <c r="C186" s="3"/>
      <c r="D186" s="3"/>
      <c r="E186" s="3"/>
      <c r="F186" s="3"/>
      <c r="G186" s="3"/>
      <c r="H186" s="3"/>
      <c r="I186" s="3"/>
      <c r="J186" s="3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3:33" x14ac:dyDescent="0.25">
      <c r="C187" s="3"/>
      <c r="D187" s="3"/>
      <c r="E187" s="3"/>
      <c r="F187" s="3"/>
      <c r="G187" s="3"/>
      <c r="H187" s="3"/>
      <c r="I187" s="3"/>
      <c r="J187" s="3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3:33" x14ac:dyDescent="0.25">
      <c r="C188" s="3"/>
      <c r="D188" s="3"/>
      <c r="E188" s="3"/>
      <c r="F188" s="3"/>
      <c r="G188" s="3"/>
      <c r="H188" s="3"/>
      <c r="I188" s="3"/>
      <c r="J188" s="3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3:33" x14ac:dyDescent="0.25">
      <c r="C189" s="3"/>
      <c r="D189" s="3"/>
      <c r="E189" s="3"/>
      <c r="F189" s="3"/>
      <c r="G189" s="3"/>
      <c r="H189" s="3"/>
      <c r="I189" s="3"/>
      <c r="J189" s="3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3:33" x14ac:dyDescent="0.25">
      <c r="C190" s="3"/>
      <c r="D190" s="3"/>
      <c r="E190" s="3"/>
      <c r="F190" s="3"/>
      <c r="G190" s="3"/>
      <c r="H190" s="3"/>
      <c r="I190" s="3"/>
      <c r="J190" s="3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3:33" x14ac:dyDescent="0.25">
      <c r="C191" s="3"/>
      <c r="D191" s="3"/>
      <c r="E191" s="3"/>
      <c r="F191" s="3"/>
      <c r="G191" s="3"/>
      <c r="H191" s="3"/>
      <c r="I191" s="3"/>
      <c r="J191" s="3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3:33" x14ac:dyDescent="0.25">
      <c r="C192" s="3"/>
      <c r="D192" s="3"/>
      <c r="E192" s="3"/>
      <c r="F192" s="3"/>
      <c r="G192" s="3"/>
      <c r="H192" s="3"/>
      <c r="I192" s="3"/>
      <c r="J192" s="3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3:33" x14ac:dyDescent="0.25">
      <c r="C193" s="3"/>
      <c r="D193" s="3"/>
      <c r="E193" s="3"/>
      <c r="F193" s="3"/>
      <c r="G193" s="3"/>
      <c r="H193" s="3"/>
      <c r="I193" s="3"/>
      <c r="J193" s="3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3:33" x14ac:dyDescent="0.25">
      <c r="C194" s="3"/>
      <c r="D194" s="3"/>
      <c r="E194" s="3"/>
      <c r="F194" s="3"/>
      <c r="G194" s="3"/>
      <c r="H194" s="3"/>
      <c r="I194" s="3"/>
      <c r="J194" s="3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3:33" x14ac:dyDescent="0.25">
      <c r="C195" s="3"/>
      <c r="D195" s="3"/>
      <c r="E195" s="3"/>
      <c r="F195" s="3"/>
      <c r="G195" s="3"/>
      <c r="H195" s="3"/>
      <c r="I195" s="3"/>
      <c r="J195" s="3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3:33" x14ac:dyDescent="0.25">
      <c r="C196" s="3"/>
      <c r="D196" s="3"/>
      <c r="E196" s="3"/>
      <c r="F196" s="3"/>
      <c r="G196" s="3"/>
      <c r="H196" s="3"/>
      <c r="I196" s="3"/>
      <c r="J196" s="3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3:33" x14ac:dyDescent="0.25">
      <c r="C197" s="3"/>
      <c r="D197" s="3"/>
      <c r="E197" s="3"/>
      <c r="F197" s="3"/>
      <c r="G197" s="3"/>
      <c r="H197" s="3"/>
      <c r="I197" s="3"/>
      <c r="J197" s="3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3:33" x14ac:dyDescent="0.25">
      <c r="C198" s="3"/>
      <c r="D198" s="3"/>
      <c r="E198" s="3"/>
      <c r="F198" s="3"/>
      <c r="G198" s="3"/>
      <c r="H198" s="3"/>
      <c r="I198" s="3"/>
      <c r="J198" s="3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3:33" x14ac:dyDescent="0.25">
      <c r="C199" s="3"/>
      <c r="D199" s="3"/>
      <c r="E199" s="3"/>
      <c r="F199" s="3"/>
      <c r="G199" s="3"/>
      <c r="H199" s="3"/>
      <c r="I199" s="3"/>
      <c r="J199" s="3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3:33" x14ac:dyDescent="0.25">
      <c r="C200" s="3"/>
      <c r="D200" s="3"/>
      <c r="E200" s="3"/>
      <c r="F200" s="3"/>
      <c r="G200" s="3"/>
      <c r="H200" s="3"/>
      <c r="I200" s="3"/>
      <c r="J200" s="3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3:33" x14ac:dyDescent="0.25">
      <c r="C201" s="3"/>
      <c r="D201" s="3"/>
      <c r="E201" s="3"/>
      <c r="F201" s="3"/>
      <c r="G201" s="3"/>
      <c r="H201" s="3"/>
      <c r="I201" s="3"/>
      <c r="J201" s="3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3:33" x14ac:dyDescent="0.25">
      <c r="C202" s="3"/>
      <c r="D202" s="3"/>
      <c r="E202" s="3"/>
      <c r="F202" s="3"/>
      <c r="G202" s="3"/>
      <c r="H202" s="3"/>
      <c r="I202" s="3"/>
      <c r="J202" s="3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3:33" x14ac:dyDescent="0.25">
      <c r="C203" s="3"/>
      <c r="D203" s="3"/>
      <c r="E203" s="3"/>
      <c r="F203" s="3"/>
      <c r="G203" s="3"/>
      <c r="H203" s="3"/>
      <c r="I203" s="3"/>
      <c r="J203" s="3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3:33" x14ac:dyDescent="0.25">
      <c r="C204" s="3"/>
      <c r="D204" s="3"/>
      <c r="E204" s="3"/>
      <c r="F204" s="3"/>
      <c r="G204" s="3"/>
      <c r="H204" s="3"/>
      <c r="I204" s="3"/>
      <c r="J204" s="3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3:33" x14ac:dyDescent="0.25">
      <c r="C205" s="3"/>
      <c r="D205" s="3"/>
      <c r="E205" s="3"/>
      <c r="F205" s="3"/>
      <c r="G205" s="3"/>
      <c r="H205" s="3"/>
      <c r="I205" s="3"/>
      <c r="J205" s="3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3:33" x14ac:dyDescent="0.25">
      <c r="C206" s="3"/>
      <c r="D206" s="3"/>
      <c r="E206" s="3"/>
      <c r="F206" s="3"/>
      <c r="G206" s="3"/>
      <c r="H206" s="3"/>
      <c r="I206" s="3"/>
      <c r="J206" s="3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3:33" x14ac:dyDescent="0.25">
      <c r="C207" s="3"/>
      <c r="D207" s="3"/>
      <c r="E207" s="3"/>
      <c r="F207" s="3"/>
      <c r="G207" s="3"/>
      <c r="H207" s="3"/>
      <c r="I207" s="3"/>
      <c r="J207" s="3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3:33" x14ac:dyDescent="0.25">
      <c r="C208" s="3"/>
      <c r="D208" s="3"/>
      <c r="E208" s="3"/>
      <c r="F208" s="3"/>
      <c r="G208" s="3"/>
      <c r="H208" s="3"/>
      <c r="I208" s="3"/>
      <c r="J208" s="3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3:33" x14ac:dyDescent="0.25">
      <c r="C209" s="3"/>
      <c r="D209" s="3"/>
      <c r="E209" s="3"/>
      <c r="F209" s="3"/>
      <c r="G209" s="3"/>
      <c r="H209" s="3"/>
      <c r="I209" s="3"/>
      <c r="J209" s="3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3:33" x14ac:dyDescent="0.25">
      <c r="C210" s="3"/>
      <c r="D210" s="3"/>
      <c r="E210" s="3"/>
      <c r="F210" s="3"/>
      <c r="G210" s="3"/>
      <c r="H210" s="3"/>
      <c r="I210" s="3"/>
      <c r="J210" s="3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3:33" x14ac:dyDescent="0.25">
      <c r="C211" s="3"/>
      <c r="D211" s="3"/>
      <c r="E211" s="3"/>
      <c r="F211" s="3"/>
      <c r="G211" s="3"/>
      <c r="H211" s="3"/>
      <c r="I211" s="3"/>
      <c r="J211" s="3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3:33" x14ac:dyDescent="0.25">
      <c r="C212" s="3"/>
      <c r="D212" s="3"/>
      <c r="E212" s="3"/>
      <c r="F212" s="3"/>
      <c r="G212" s="3"/>
      <c r="H212" s="3"/>
      <c r="I212" s="3"/>
      <c r="J212" s="3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3:33" x14ac:dyDescent="0.25">
      <c r="C213" s="3"/>
      <c r="D213" s="3"/>
      <c r="E213" s="3"/>
      <c r="F213" s="3"/>
      <c r="G213" s="3"/>
      <c r="H213" s="3"/>
      <c r="I213" s="3"/>
      <c r="J213" s="3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3:33" x14ac:dyDescent="0.25">
      <c r="C214" s="3"/>
      <c r="D214" s="3"/>
      <c r="E214" s="3"/>
      <c r="F214" s="3"/>
      <c r="G214" s="3"/>
      <c r="H214" s="3"/>
      <c r="I214" s="3"/>
      <c r="J214" s="3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3:33" x14ac:dyDescent="0.25">
      <c r="C215" s="3"/>
      <c r="D215" s="3"/>
      <c r="E215" s="3"/>
      <c r="F215" s="3"/>
      <c r="G215" s="3"/>
      <c r="H215" s="3"/>
      <c r="I215" s="3"/>
      <c r="J215" s="3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3:33" x14ac:dyDescent="0.25">
      <c r="C216" s="3"/>
      <c r="D216" s="3"/>
      <c r="E216" s="3"/>
      <c r="F216" s="3"/>
      <c r="G216" s="3"/>
      <c r="H216" s="3"/>
      <c r="I216" s="3"/>
      <c r="J216" s="3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3:33" x14ac:dyDescent="0.25">
      <c r="C217" s="3"/>
      <c r="D217" s="3"/>
      <c r="E217" s="3"/>
      <c r="F217" s="3"/>
      <c r="G217" s="3"/>
      <c r="H217" s="3"/>
      <c r="I217" s="3"/>
      <c r="J217" s="3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3:33" x14ac:dyDescent="0.25">
      <c r="C218" s="3"/>
      <c r="D218" s="3"/>
      <c r="E218" s="3"/>
      <c r="F218" s="3"/>
      <c r="G218" s="3"/>
      <c r="H218" s="3"/>
      <c r="I218" s="3"/>
      <c r="J218" s="3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3:33" x14ac:dyDescent="0.25">
      <c r="C219" s="3"/>
      <c r="D219" s="3"/>
      <c r="E219" s="3"/>
      <c r="F219" s="3"/>
      <c r="G219" s="3"/>
      <c r="H219" s="3"/>
      <c r="I219" s="3"/>
      <c r="J219" s="3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3:33" x14ac:dyDescent="0.25">
      <c r="C220" s="3"/>
      <c r="D220" s="3"/>
      <c r="E220" s="3"/>
      <c r="F220" s="3"/>
      <c r="G220" s="3"/>
      <c r="H220" s="3"/>
      <c r="I220" s="3"/>
      <c r="J220" s="3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3:33" x14ac:dyDescent="0.25">
      <c r="C221" s="3"/>
      <c r="D221" s="3"/>
      <c r="E221" s="3"/>
      <c r="F221" s="3"/>
      <c r="G221" s="3"/>
      <c r="H221" s="3"/>
      <c r="I221" s="3"/>
      <c r="J221" s="3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3:33" x14ac:dyDescent="0.25">
      <c r="C222" s="3"/>
      <c r="D222" s="3"/>
      <c r="E222" s="3"/>
      <c r="F222" s="3"/>
      <c r="G222" s="3"/>
      <c r="H222" s="3"/>
      <c r="I222" s="3"/>
      <c r="J222" s="3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3:33" x14ac:dyDescent="0.25">
      <c r="C223" s="3"/>
      <c r="D223" s="3"/>
      <c r="E223" s="3"/>
      <c r="F223" s="3"/>
      <c r="G223" s="3"/>
      <c r="H223" s="3"/>
      <c r="I223" s="3"/>
      <c r="J223" s="3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3:33" x14ac:dyDescent="0.25">
      <c r="C224" s="3"/>
      <c r="D224" s="3"/>
      <c r="E224" s="3"/>
      <c r="F224" s="3"/>
      <c r="G224" s="3"/>
      <c r="H224" s="3"/>
      <c r="I224" s="3"/>
      <c r="J224" s="3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3:33" x14ac:dyDescent="0.25">
      <c r="C225" s="3"/>
      <c r="D225" s="3"/>
      <c r="E225" s="3"/>
      <c r="F225" s="3"/>
      <c r="G225" s="3"/>
      <c r="H225" s="3"/>
      <c r="I225" s="3"/>
      <c r="J225" s="3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3:33" x14ac:dyDescent="0.25">
      <c r="C226" s="3"/>
      <c r="D226" s="3"/>
      <c r="E226" s="3"/>
      <c r="F226" s="3"/>
      <c r="G226" s="3"/>
      <c r="H226" s="3"/>
      <c r="I226" s="3"/>
      <c r="J226" s="3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3:33" x14ac:dyDescent="0.25">
      <c r="C227" s="3"/>
      <c r="D227" s="3"/>
      <c r="E227" s="3"/>
      <c r="F227" s="3"/>
      <c r="G227" s="3"/>
      <c r="H227" s="3"/>
      <c r="I227" s="3"/>
      <c r="J227" s="3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3:33" x14ac:dyDescent="0.25">
      <c r="C228" s="3"/>
      <c r="D228" s="3"/>
      <c r="E228" s="3"/>
      <c r="F228" s="3"/>
      <c r="G228" s="3"/>
      <c r="H228" s="3"/>
      <c r="I228" s="3"/>
      <c r="J228" s="3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3:33" x14ac:dyDescent="0.25">
      <c r="C229" s="3"/>
      <c r="D229" s="3"/>
      <c r="E229" s="3"/>
      <c r="F229" s="3"/>
      <c r="G229" s="3"/>
      <c r="H229" s="3"/>
      <c r="I229" s="3"/>
      <c r="J229" s="3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3:33" x14ac:dyDescent="0.25">
      <c r="C230" s="3"/>
      <c r="D230" s="3"/>
      <c r="E230" s="3"/>
      <c r="F230" s="3"/>
      <c r="G230" s="3"/>
      <c r="H230" s="3"/>
      <c r="I230" s="3"/>
      <c r="J230" s="3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3:33" x14ac:dyDescent="0.25">
      <c r="C231" s="3"/>
      <c r="D231" s="3"/>
      <c r="E231" s="3"/>
      <c r="F231" s="3"/>
      <c r="G231" s="3"/>
      <c r="H231" s="3"/>
      <c r="I231" s="3"/>
      <c r="J231" s="3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3:33" x14ac:dyDescent="0.25">
      <c r="C232" s="3"/>
      <c r="D232" s="3"/>
      <c r="E232" s="3"/>
      <c r="F232" s="3"/>
      <c r="G232" s="3"/>
      <c r="H232" s="3"/>
      <c r="I232" s="3"/>
      <c r="J232" s="3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3:33" x14ac:dyDescent="0.25">
      <c r="C233" s="3"/>
      <c r="D233" s="3"/>
      <c r="E233" s="3"/>
      <c r="F233" s="3"/>
      <c r="G233" s="3"/>
      <c r="H233" s="3"/>
      <c r="I233" s="3"/>
      <c r="J233" s="3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3:33" x14ac:dyDescent="0.25">
      <c r="C234" s="3"/>
      <c r="D234" s="3"/>
      <c r="E234" s="3"/>
      <c r="F234" s="3"/>
      <c r="G234" s="3"/>
      <c r="H234" s="3"/>
      <c r="I234" s="3"/>
      <c r="J234" s="3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3:33" x14ac:dyDescent="0.25">
      <c r="C235" s="3"/>
      <c r="D235" s="3"/>
      <c r="E235" s="3"/>
      <c r="F235" s="3"/>
      <c r="G235" s="3"/>
      <c r="H235" s="3"/>
      <c r="I235" s="3"/>
      <c r="J235" s="3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3:33" x14ac:dyDescent="0.25">
      <c r="C236" s="3"/>
      <c r="D236" s="3"/>
      <c r="E236" s="3"/>
      <c r="F236" s="3"/>
      <c r="G236" s="3"/>
      <c r="H236" s="3"/>
      <c r="I236" s="3"/>
      <c r="J236" s="3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3:33" x14ac:dyDescent="0.25">
      <c r="C237" s="3"/>
      <c r="D237" s="3"/>
      <c r="E237" s="3"/>
      <c r="F237" s="3"/>
      <c r="G237" s="3"/>
      <c r="H237" s="3"/>
      <c r="I237" s="3"/>
      <c r="J237" s="3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3:33" x14ac:dyDescent="0.25">
      <c r="C238" s="3"/>
      <c r="D238" s="3"/>
      <c r="E238" s="3"/>
      <c r="F238" s="3"/>
      <c r="G238" s="3"/>
      <c r="H238" s="3"/>
      <c r="I238" s="3"/>
      <c r="J238" s="3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3:33" x14ac:dyDescent="0.25">
      <c r="C239" s="3"/>
      <c r="D239" s="3"/>
      <c r="E239" s="3"/>
      <c r="F239" s="3"/>
      <c r="G239" s="3"/>
      <c r="H239" s="3"/>
      <c r="I239" s="3"/>
      <c r="J239" s="3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3:33" x14ac:dyDescent="0.25">
      <c r="C240" s="3"/>
      <c r="D240" s="3"/>
      <c r="E240" s="3"/>
      <c r="F240" s="3"/>
      <c r="G240" s="3"/>
      <c r="H240" s="3"/>
      <c r="I240" s="3"/>
      <c r="J240" s="3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3:33" x14ac:dyDescent="0.25">
      <c r="C241" s="3"/>
      <c r="D241" s="3"/>
      <c r="E241" s="3"/>
      <c r="F241" s="3"/>
      <c r="G241" s="3"/>
      <c r="H241" s="3"/>
      <c r="I241" s="3"/>
      <c r="J241" s="3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3:33" x14ac:dyDescent="0.25">
      <c r="C242" s="3"/>
      <c r="D242" s="3"/>
      <c r="E242" s="3"/>
      <c r="F242" s="3"/>
      <c r="G242" s="3"/>
      <c r="H242" s="3"/>
      <c r="I242" s="3"/>
      <c r="J242" s="3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3:33" x14ac:dyDescent="0.25">
      <c r="C243" s="3"/>
      <c r="D243" s="3"/>
      <c r="E243" s="3"/>
      <c r="F243" s="3"/>
      <c r="G243" s="3"/>
      <c r="H243" s="3"/>
      <c r="I243" s="3"/>
      <c r="J243" s="3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3:33" x14ac:dyDescent="0.25">
      <c r="C244" s="3"/>
      <c r="D244" s="3"/>
      <c r="E244" s="3"/>
      <c r="F244" s="3"/>
      <c r="G244" s="3"/>
      <c r="H244" s="3"/>
      <c r="I244" s="3"/>
      <c r="J244" s="3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3:33" x14ac:dyDescent="0.25">
      <c r="C245" s="3"/>
      <c r="D245" s="3"/>
      <c r="E245" s="3"/>
      <c r="F245" s="3"/>
      <c r="G245" s="3"/>
      <c r="H245" s="3"/>
      <c r="I245" s="3"/>
      <c r="J245" s="3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3:33" x14ac:dyDescent="0.25">
      <c r="C246" s="3"/>
      <c r="D246" s="3"/>
      <c r="E246" s="3"/>
      <c r="F246" s="3"/>
      <c r="G246" s="3"/>
      <c r="H246" s="3"/>
      <c r="I246" s="3"/>
      <c r="J246" s="3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3:33" x14ac:dyDescent="0.25">
      <c r="C247" s="3"/>
      <c r="D247" s="3"/>
      <c r="E247" s="3"/>
      <c r="F247" s="3"/>
      <c r="G247" s="3"/>
      <c r="H247" s="3"/>
      <c r="I247" s="3"/>
      <c r="J247" s="3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3:33" x14ac:dyDescent="0.25">
      <c r="C248" s="3"/>
      <c r="D248" s="3"/>
      <c r="E248" s="3"/>
      <c r="F248" s="3"/>
      <c r="G248" s="3"/>
      <c r="H248" s="3"/>
      <c r="I248" s="3"/>
      <c r="J248" s="3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3:33" x14ac:dyDescent="0.25">
      <c r="C249" s="3"/>
      <c r="D249" s="3"/>
      <c r="E249" s="3"/>
      <c r="F249" s="3"/>
      <c r="G249" s="3"/>
      <c r="H249" s="3"/>
      <c r="I249" s="3"/>
      <c r="J249" s="3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3:33" x14ac:dyDescent="0.25">
      <c r="C250" s="3"/>
      <c r="D250" s="3"/>
      <c r="E250" s="3"/>
      <c r="F250" s="3"/>
      <c r="G250" s="3"/>
      <c r="H250" s="3"/>
      <c r="I250" s="3"/>
      <c r="J250" s="3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3:33" x14ac:dyDescent="0.25">
      <c r="C251" s="3"/>
      <c r="D251" s="3"/>
      <c r="E251" s="3"/>
      <c r="F251" s="3"/>
      <c r="G251" s="3"/>
      <c r="H251" s="3"/>
      <c r="I251" s="3"/>
      <c r="J251" s="3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3:33" x14ac:dyDescent="0.25">
      <c r="C252" s="3"/>
      <c r="D252" s="3"/>
      <c r="E252" s="3"/>
      <c r="F252" s="3"/>
      <c r="G252" s="3"/>
      <c r="H252" s="3"/>
      <c r="I252" s="3"/>
      <c r="J252" s="3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3:33" x14ac:dyDescent="0.25">
      <c r="C253" s="3"/>
      <c r="D253" s="3"/>
      <c r="E253" s="3"/>
      <c r="F253" s="3"/>
      <c r="G253" s="3"/>
      <c r="H253" s="3"/>
      <c r="I253" s="3"/>
      <c r="J253" s="3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3:33" x14ac:dyDescent="0.25">
      <c r="C254" s="3"/>
      <c r="D254" s="3"/>
      <c r="E254" s="3"/>
      <c r="F254" s="3"/>
      <c r="G254" s="3"/>
      <c r="H254" s="3"/>
      <c r="I254" s="3"/>
      <c r="J254" s="3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3:33" x14ac:dyDescent="0.25">
      <c r="C255" s="3"/>
      <c r="D255" s="3"/>
      <c r="E255" s="3"/>
      <c r="F255" s="3"/>
      <c r="G255" s="3"/>
      <c r="H255" s="3"/>
      <c r="I255" s="3"/>
      <c r="J255" s="3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3:33" x14ac:dyDescent="0.25">
      <c r="C256" s="3"/>
      <c r="D256" s="3"/>
      <c r="E256" s="3"/>
      <c r="F256" s="3"/>
      <c r="G256" s="3"/>
      <c r="H256" s="3"/>
      <c r="I256" s="3"/>
      <c r="J256" s="3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3:33" x14ac:dyDescent="0.25">
      <c r="C257" s="3"/>
      <c r="D257" s="3"/>
      <c r="E257" s="3"/>
      <c r="F257" s="3"/>
      <c r="G257" s="3"/>
      <c r="H257" s="3"/>
      <c r="I257" s="3"/>
      <c r="J257" s="3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3:33" x14ac:dyDescent="0.25">
      <c r="C258" s="3"/>
      <c r="D258" s="3"/>
      <c r="E258" s="3"/>
      <c r="F258" s="3"/>
      <c r="G258" s="3"/>
      <c r="H258" s="3"/>
      <c r="I258" s="3"/>
      <c r="J258" s="3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3:33" x14ac:dyDescent="0.25">
      <c r="C259" s="3"/>
      <c r="D259" s="3"/>
      <c r="E259" s="3"/>
      <c r="F259" s="3"/>
      <c r="G259" s="3"/>
      <c r="H259" s="3"/>
      <c r="I259" s="3"/>
      <c r="J259" s="3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3:33" x14ac:dyDescent="0.25">
      <c r="C260" s="3"/>
      <c r="D260" s="3"/>
      <c r="E260" s="3"/>
      <c r="F260" s="3"/>
      <c r="G260" s="3"/>
      <c r="H260" s="3"/>
      <c r="I260" s="3"/>
      <c r="J260" s="3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3:33" x14ac:dyDescent="0.25">
      <c r="C261" s="3"/>
      <c r="D261" s="3"/>
      <c r="E261" s="3"/>
      <c r="F261" s="3"/>
      <c r="G261" s="3"/>
      <c r="H261" s="3"/>
      <c r="I261" s="3"/>
      <c r="J261" s="3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3:33" x14ac:dyDescent="0.25">
      <c r="C262" s="3"/>
      <c r="D262" s="3"/>
      <c r="E262" s="3"/>
      <c r="F262" s="3"/>
      <c r="G262" s="3"/>
      <c r="H262" s="3"/>
      <c r="I262" s="3"/>
      <c r="J262" s="3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3:33" x14ac:dyDescent="0.25">
      <c r="C263" s="3"/>
      <c r="D263" s="3"/>
      <c r="E263" s="3"/>
      <c r="F263" s="3"/>
      <c r="G263" s="3"/>
      <c r="H263" s="3"/>
      <c r="I263" s="3"/>
      <c r="J263" s="3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3:33" x14ac:dyDescent="0.25">
      <c r="C264" s="3"/>
      <c r="D264" s="3"/>
      <c r="E264" s="3"/>
      <c r="F264" s="3"/>
      <c r="G264" s="3"/>
      <c r="H264" s="3"/>
      <c r="I264" s="3"/>
      <c r="J264" s="3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3:33" x14ac:dyDescent="0.25">
      <c r="C265" s="3"/>
      <c r="D265" s="3"/>
      <c r="E265" s="3"/>
      <c r="F265" s="3"/>
      <c r="G265" s="3"/>
      <c r="H265" s="3"/>
      <c r="I265" s="3"/>
      <c r="J265" s="3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3:33" x14ac:dyDescent="0.25">
      <c r="C266" s="3"/>
      <c r="D266" s="3"/>
      <c r="E266" s="3"/>
      <c r="F266" s="3"/>
      <c r="G266" s="3"/>
      <c r="H266" s="3"/>
      <c r="I266" s="3"/>
      <c r="J266" s="3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3:33" x14ac:dyDescent="0.25">
      <c r="C267" s="3"/>
      <c r="D267" s="3"/>
      <c r="E267" s="3"/>
      <c r="F267" s="3"/>
      <c r="G267" s="3"/>
      <c r="H267" s="3"/>
      <c r="I267" s="3"/>
      <c r="J267" s="3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3:33" x14ac:dyDescent="0.25">
      <c r="C268" s="3"/>
      <c r="D268" s="3"/>
      <c r="E268" s="3"/>
      <c r="F268" s="3"/>
      <c r="G268" s="3"/>
      <c r="H268" s="3"/>
      <c r="I268" s="3"/>
      <c r="J268" s="3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3:33" x14ac:dyDescent="0.25">
      <c r="C269" s="3"/>
      <c r="D269" s="3"/>
      <c r="E269" s="3"/>
      <c r="F269" s="3"/>
      <c r="G269" s="3"/>
      <c r="H269" s="3"/>
      <c r="I269" s="3"/>
      <c r="J269" s="3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3:33" x14ac:dyDescent="0.25">
      <c r="C270" s="3"/>
      <c r="D270" s="3"/>
      <c r="E270" s="3"/>
      <c r="F270" s="3"/>
      <c r="G270" s="3"/>
      <c r="H270" s="3"/>
      <c r="I270" s="3"/>
      <c r="J270" s="3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3:33" x14ac:dyDescent="0.25">
      <c r="C271" s="3"/>
      <c r="D271" s="3"/>
      <c r="E271" s="3"/>
      <c r="F271" s="3"/>
      <c r="G271" s="3"/>
      <c r="H271" s="3"/>
      <c r="I271" s="3"/>
      <c r="J271" s="3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3:33" x14ac:dyDescent="0.25">
      <c r="C272" s="3"/>
      <c r="D272" s="3"/>
      <c r="E272" s="3"/>
      <c r="F272" s="3"/>
      <c r="G272" s="3"/>
      <c r="H272" s="3"/>
      <c r="I272" s="3"/>
      <c r="J272" s="3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3:33" x14ac:dyDescent="0.25">
      <c r="C273" s="3"/>
      <c r="D273" s="3"/>
      <c r="E273" s="3"/>
      <c r="F273" s="3"/>
      <c r="G273" s="3"/>
      <c r="H273" s="3"/>
      <c r="I273" s="3"/>
      <c r="J273" s="3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3:33" x14ac:dyDescent="0.25">
      <c r="C274" s="3"/>
      <c r="D274" s="3"/>
      <c r="E274" s="3"/>
      <c r="F274" s="3"/>
      <c r="G274" s="3"/>
      <c r="H274" s="3"/>
      <c r="I274" s="3"/>
      <c r="J274" s="3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3:33" x14ac:dyDescent="0.25">
      <c r="C275" s="3"/>
      <c r="D275" s="3"/>
      <c r="E275" s="3"/>
      <c r="F275" s="3"/>
      <c r="G275" s="3"/>
      <c r="H275" s="3"/>
      <c r="I275" s="3"/>
      <c r="J275" s="3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3:33" x14ac:dyDescent="0.25">
      <c r="C276" s="3"/>
      <c r="D276" s="3"/>
      <c r="E276" s="3"/>
      <c r="F276" s="3"/>
      <c r="G276" s="3"/>
      <c r="H276" s="3"/>
      <c r="I276" s="3"/>
      <c r="J276" s="3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3:33" x14ac:dyDescent="0.25">
      <c r="C277" s="3"/>
      <c r="D277" s="3"/>
      <c r="E277" s="3"/>
      <c r="F277" s="3"/>
      <c r="G277" s="3"/>
      <c r="H277" s="3"/>
      <c r="I277" s="3"/>
      <c r="J277" s="3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3:33" x14ac:dyDescent="0.25">
      <c r="C278" s="3"/>
      <c r="D278" s="3"/>
      <c r="E278" s="3"/>
      <c r="F278" s="3"/>
      <c r="G278" s="3"/>
      <c r="H278" s="3"/>
      <c r="I278" s="3"/>
      <c r="J278" s="3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3:33" x14ac:dyDescent="0.25">
      <c r="C279" s="3"/>
      <c r="D279" s="3"/>
      <c r="E279" s="3"/>
      <c r="F279" s="3"/>
      <c r="G279" s="3"/>
      <c r="H279" s="3"/>
      <c r="I279" s="3"/>
      <c r="J279" s="3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3:33" x14ac:dyDescent="0.25">
      <c r="C280" s="3"/>
      <c r="D280" s="3"/>
      <c r="E280" s="3"/>
      <c r="F280" s="3"/>
      <c r="G280" s="3"/>
      <c r="H280" s="3"/>
      <c r="I280" s="3"/>
      <c r="J280" s="3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3:33" x14ac:dyDescent="0.25">
      <c r="C281" s="3"/>
      <c r="D281" s="3"/>
      <c r="E281" s="3"/>
      <c r="F281" s="3"/>
      <c r="G281" s="3"/>
      <c r="H281" s="3"/>
      <c r="I281" s="3"/>
      <c r="J281" s="3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3:33" x14ac:dyDescent="0.25">
      <c r="C282" s="3"/>
      <c r="D282" s="3"/>
      <c r="E282" s="3"/>
      <c r="F282" s="3"/>
      <c r="G282" s="3"/>
      <c r="H282" s="3"/>
      <c r="I282" s="3"/>
      <c r="J282" s="3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3:33" x14ac:dyDescent="0.25">
      <c r="C283" s="3"/>
      <c r="D283" s="3"/>
      <c r="E283" s="3"/>
      <c r="F283" s="3"/>
      <c r="G283" s="3"/>
      <c r="H283" s="3"/>
      <c r="I283" s="3"/>
      <c r="J283" s="3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3:33" x14ac:dyDescent="0.25">
      <c r="C284" s="3"/>
      <c r="D284" s="3"/>
      <c r="E284" s="3"/>
      <c r="F284" s="3"/>
      <c r="G284" s="3"/>
      <c r="H284" s="3"/>
      <c r="I284" s="3"/>
      <c r="J284" s="3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3:33" x14ac:dyDescent="0.25">
      <c r="C285" s="3"/>
      <c r="D285" s="3"/>
      <c r="E285" s="3"/>
      <c r="F285" s="3"/>
      <c r="G285" s="3"/>
      <c r="H285" s="3"/>
      <c r="I285" s="3"/>
      <c r="J285" s="3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3:33" x14ac:dyDescent="0.25">
      <c r="C286" s="3"/>
      <c r="D286" s="3"/>
      <c r="E286" s="3"/>
      <c r="F286" s="3"/>
      <c r="G286" s="3"/>
      <c r="H286" s="3"/>
      <c r="I286" s="3"/>
      <c r="J286" s="3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3:33" x14ac:dyDescent="0.25">
      <c r="C287" s="3"/>
      <c r="D287" s="3"/>
      <c r="E287" s="3"/>
      <c r="F287" s="3"/>
      <c r="G287" s="3"/>
      <c r="H287" s="3"/>
      <c r="I287" s="3"/>
      <c r="J287" s="3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3:33" x14ac:dyDescent="0.25">
      <c r="C288" s="3"/>
      <c r="D288" s="3"/>
      <c r="E288" s="3"/>
      <c r="F288" s="3"/>
      <c r="G288" s="3"/>
      <c r="H288" s="3"/>
      <c r="I288" s="3"/>
      <c r="J288" s="3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3:33" x14ac:dyDescent="0.25">
      <c r="C289" s="3"/>
      <c r="D289" s="3"/>
      <c r="E289" s="3"/>
      <c r="F289" s="3"/>
      <c r="G289" s="3"/>
      <c r="H289" s="3"/>
      <c r="I289" s="3"/>
      <c r="J289" s="3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3:33" x14ac:dyDescent="0.25">
      <c r="C290" s="3"/>
      <c r="D290" s="3"/>
      <c r="E290" s="3"/>
      <c r="F290" s="3"/>
      <c r="G290" s="3"/>
      <c r="H290" s="3"/>
      <c r="I290" s="3"/>
      <c r="J290" s="3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3:33" x14ac:dyDescent="0.25">
      <c r="C291" s="3"/>
      <c r="D291" s="3"/>
      <c r="E291" s="3"/>
      <c r="F291" s="3"/>
      <c r="G291" s="3"/>
      <c r="H291" s="3"/>
      <c r="I291" s="3"/>
      <c r="J291" s="3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3:33" x14ac:dyDescent="0.25">
      <c r="C292" s="3"/>
      <c r="D292" s="3"/>
      <c r="E292" s="3"/>
      <c r="F292" s="3"/>
      <c r="G292" s="3"/>
      <c r="H292" s="3"/>
      <c r="I292" s="3"/>
      <c r="J292" s="3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3:33" x14ac:dyDescent="0.25">
      <c r="C293" s="3"/>
      <c r="D293" s="3"/>
      <c r="E293" s="3"/>
      <c r="F293" s="3"/>
      <c r="G293" s="3"/>
      <c r="H293" s="3"/>
      <c r="I293" s="3"/>
      <c r="J293" s="3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3:33" x14ac:dyDescent="0.25">
      <c r="C294" s="3"/>
      <c r="D294" s="3"/>
      <c r="E294" s="3"/>
      <c r="F294" s="3"/>
      <c r="G294" s="3"/>
      <c r="H294" s="3"/>
      <c r="I294" s="3"/>
      <c r="J294" s="3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3:33" x14ac:dyDescent="0.25">
      <c r="C295" s="3"/>
      <c r="D295" s="3"/>
      <c r="E295" s="3"/>
      <c r="F295" s="3"/>
      <c r="G295" s="3"/>
      <c r="H295" s="3"/>
      <c r="I295" s="3"/>
      <c r="J295" s="3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3:33" x14ac:dyDescent="0.25">
      <c r="C296" s="3"/>
      <c r="D296" s="3"/>
      <c r="E296" s="3"/>
      <c r="F296" s="3"/>
      <c r="G296" s="3"/>
      <c r="H296" s="3"/>
      <c r="I296" s="3"/>
      <c r="J296" s="3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3:33" x14ac:dyDescent="0.25">
      <c r="C297" s="3"/>
      <c r="D297" s="3"/>
      <c r="E297" s="3"/>
      <c r="F297" s="3"/>
      <c r="G297" s="3"/>
      <c r="H297" s="3"/>
      <c r="I297" s="3"/>
      <c r="J297" s="3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3:33" x14ac:dyDescent="0.25">
      <c r="C298" s="3"/>
      <c r="D298" s="3"/>
      <c r="E298" s="3"/>
      <c r="F298" s="3"/>
      <c r="G298" s="3"/>
      <c r="H298" s="3"/>
      <c r="I298" s="3"/>
      <c r="J298" s="3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3:33" x14ac:dyDescent="0.25">
      <c r="C299" s="3"/>
      <c r="D299" s="3"/>
      <c r="E299" s="3"/>
      <c r="F299" s="3"/>
      <c r="G299" s="3"/>
      <c r="H299" s="3"/>
      <c r="I299" s="3"/>
      <c r="J299" s="3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3:33" x14ac:dyDescent="0.25">
      <c r="C300" s="3"/>
      <c r="D300" s="3"/>
      <c r="E300" s="3"/>
      <c r="F300" s="3"/>
      <c r="G300" s="3"/>
      <c r="H300" s="3"/>
      <c r="I300" s="3"/>
      <c r="J300" s="3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3:33" x14ac:dyDescent="0.25">
      <c r="C301" s="3"/>
      <c r="D301" s="3"/>
      <c r="E301" s="3"/>
      <c r="F301" s="3"/>
      <c r="G301" s="3"/>
      <c r="H301" s="3"/>
      <c r="I301" s="3"/>
      <c r="J301" s="3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3:33" x14ac:dyDescent="0.25">
      <c r="C302" s="3"/>
      <c r="D302" s="3"/>
      <c r="E302" s="3"/>
      <c r="F302" s="3"/>
      <c r="G302" s="3"/>
      <c r="H302" s="3"/>
      <c r="I302" s="3"/>
      <c r="J302" s="3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3:33" x14ac:dyDescent="0.25">
      <c r="C303" s="3"/>
      <c r="D303" s="3"/>
      <c r="E303" s="3"/>
      <c r="F303" s="3"/>
      <c r="G303" s="3"/>
      <c r="H303" s="3"/>
      <c r="I303" s="3"/>
      <c r="J303" s="3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3:33" x14ac:dyDescent="0.25">
      <c r="C304" s="3"/>
      <c r="D304" s="3"/>
      <c r="E304" s="3"/>
      <c r="F304" s="3"/>
      <c r="G304" s="3"/>
      <c r="H304" s="3"/>
      <c r="I304" s="3"/>
      <c r="J304" s="3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3:33" x14ac:dyDescent="0.25">
      <c r="C305" s="3"/>
      <c r="D305" s="3"/>
      <c r="E305" s="3"/>
      <c r="F305" s="3"/>
      <c r="G305" s="3"/>
      <c r="H305" s="3"/>
      <c r="I305" s="3"/>
      <c r="J305" s="3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3:33" x14ac:dyDescent="0.25">
      <c r="C306" s="3"/>
      <c r="D306" s="3"/>
      <c r="E306" s="3"/>
      <c r="F306" s="3"/>
      <c r="G306" s="3"/>
      <c r="H306" s="3"/>
      <c r="I306" s="3"/>
      <c r="J306" s="3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3:33" x14ac:dyDescent="0.25">
      <c r="C307" s="3"/>
      <c r="D307" s="3"/>
      <c r="E307" s="3"/>
      <c r="F307" s="3"/>
      <c r="G307" s="3"/>
      <c r="H307" s="3"/>
      <c r="I307" s="3"/>
      <c r="J307" s="3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3:33" x14ac:dyDescent="0.25">
      <c r="C308" s="3"/>
      <c r="D308" s="3"/>
      <c r="E308" s="3"/>
      <c r="F308" s="3"/>
      <c r="G308" s="3"/>
      <c r="H308" s="3"/>
      <c r="I308" s="3"/>
      <c r="J308" s="3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3:33" x14ac:dyDescent="0.25">
      <c r="C309" s="3"/>
      <c r="D309" s="3"/>
      <c r="E309" s="3"/>
      <c r="F309" s="3"/>
      <c r="G309" s="3"/>
      <c r="H309" s="3"/>
      <c r="I309" s="3"/>
      <c r="J309" s="3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3:33" x14ac:dyDescent="0.25">
      <c r="C310" s="3"/>
      <c r="D310" s="3"/>
      <c r="E310" s="3"/>
      <c r="F310" s="3"/>
      <c r="G310" s="3"/>
      <c r="H310" s="3"/>
      <c r="I310" s="3"/>
      <c r="J310" s="3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3:33" x14ac:dyDescent="0.25">
      <c r="C311" s="3"/>
      <c r="D311" s="3"/>
      <c r="E311" s="3"/>
      <c r="F311" s="3"/>
      <c r="G311" s="3"/>
      <c r="H311" s="3"/>
      <c r="I311" s="3"/>
      <c r="J311" s="3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3:33" x14ac:dyDescent="0.25">
      <c r="C312" s="3"/>
      <c r="D312" s="3"/>
      <c r="E312" s="3"/>
      <c r="F312" s="3"/>
      <c r="G312" s="3"/>
      <c r="H312" s="3"/>
      <c r="I312" s="3"/>
      <c r="J312" s="3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3:33" x14ac:dyDescent="0.25">
      <c r="C313" s="3"/>
      <c r="D313" s="3"/>
      <c r="E313" s="3"/>
      <c r="F313" s="3"/>
      <c r="G313" s="3"/>
      <c r="H313" s="3"/>
      <c r="I313" s="3"/>
      <c r="J313" s="3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3:33" x14ac:dyDescent="0.25">
      <c r="C314" s="3"/>
      <c r="D314" s="3"/>
      <c r="E314" s="3"/>
      <c r="F314" s="3"/>
      <c r="G314" s="3"/>
      <c r="H314" s="3"/>
      <c r="I314" s="3"/>
      <c r="J314" s="3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3:33" x14ac:dyDescent="0.25">
      <c r="C315" s="3"/>
      <c r="D315" s="3"/>
      <c r="E315" s="3"/>
      <c r="F315" s="3"/>
      <c r="G315" s="3"/>
      <c r="H315" s="3"/>
      <c r="I315" s="3"/>
      <c r="J315" s="3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3:33" x14ac:dyDescent="0.25">
      <c r="C316" s="3"/>
      <c r="D316" s="3"/>
      <c r="E316" s="3"/>
      <c r="F316" s="3"/>
      <c r="G316" s="3"/>
      <c r="H316" s="3"/>
      <c r="I316" s="3"/>
      <c r="J316" s="3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3:33" x14ac:dyDescent="0.25">
      <c r="C317" s="3"/>
      <c r="D317" s="3"/>
      <c r="E317" s="3"/>
      <c r="F317" s="3"/>
      <c r="G317" s="3"/>
      <c r="H317" s="3"/>
      <c r="I317" s="3"/>
      <c r="J317" s="3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3:33" x14ac:dyDescent="0.25">
      <c r="C318" s="3"/>
      <c r="D318" s="3"/>
      <c r="E318" s="3"/>
      <c r="F318" s="3"/>
      <c r="G318" s="3"/>
      <c r="H318" s="3"/>
      <c r="I318" s="3"/>
      <c r="J318" s="3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3:33" x14ac:dyDescent="0.25">
      <c r="C319" s="3"/>
      <c r="D319" s="3"/>
      <c r="E319" s="3"/>
      <c r="F319" s="3"/>
      <c r="G319" s="3"/>
      <c r="H319" s="3"/>
      <c r="I319" s="3"/>
      <c r="J319" s="3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3:33" x14ac:dyDescent="0.25">
      <c r="C320" s="3"/>
      <c r="D320" s="3"/>
      <c r="E320" s="3"/>
      <c r="F320" s="3"/>
      <c r="G320" s="3"/>
      <c r="H320" s="3"/>
      <c r="I320" s="3"/>
      <c r="J320" s="3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3:33" x14ac:dyDescent="0.25">
      <c r="C321" s="3"/>
      <c r="D321" s="3"/>
      <c r="E321" s="3"/>
      <c r="F321" s="3"/>
      <c r="G321" s="3"/>
      <c r="H321" s="3"/>
      <c r="I321" s="3"/>
      <c r="J321" s="3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3:33" x14ac:dyDescent="0.25">
      <c r="C322" s="3"/>
      <c r="D322" s="3"/>
      <c r="E322" s="3"/>
      <c r="F322" s="3"/>
      <c r="G322" s="3"/>
      <c r="H322" s="3"/>
      <c r="I322" s="3"/>
      <c r="J322" s="3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3:33" x14ac:dyDescent="0.25">
      <c r="C323" s="3"/>
      <c r="D323" s="3"/>
      <c r="E323" s="3"/>
      <c r="F323" s="3"/>
      <c r="G323" s="3"/>
      <c r="H323" s="3"/>
      <c r="I323" s="3"/>
      <c r="J323" s="3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3:33" x14ac:dyDescent="0.25">
      <c r="C324" s="3"/>
      <c r="D324" s="3"/>
      <c r="E324" s="3"/>
      <c r="F324" s="3"/>
      <c r="G324" s="3"/>
      <c r="H324" s="3"/>
      <c r="I324" s="3"/>
      <c r="J324" s="3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3:33" x14ac:dyDescent="0.25">
      <c r="C325" s="3"/>
      <c r="D325" s="3"/>
      <c r="E325" s="3"/>
      <c r="F325" s="3"/>
      <c r="G325" s="3"/>
      <c r="H325" s="3"/>
      <c r="I325" s="3"/>
      <c r="J325" s="3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3:33" x14ac:dyDescent="0.25">
      <c r="C326" s="3"/>
      <c r="D326" s="3"/>
      <c r="E326" s="3"/>
      <c r="F326" s="3"/>
      <c r="G326" s="3"/>
      <c r="H326" s="3"/>
      <c r="I326" s="3"/>
      <c r="J326" s="3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3:33" x14ac:dyDescent="0.25">
      <c r="C327" s="3"/>
      <c r="D327" s="3"/>
      <c r="E327" s="3"/>
      <c r="F327" s="3"/>
      <c r="G327" s="3"/>
      <c r="H327" s="3"/>
      <c r="I327" s="3"/>
      <c r="J327" s="3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3:33" x14ac:dyDescent="0.25">
      <c r="C328" s="3"/>
      <c r="D328" s="3"/>
      <c r="E328" s="3"/>
      <c r="F328" s="3"/>
      <c r="G328" s="3"/>
      <c r="H328" s="3"/>
      <c r="I328" s="3"/>
      <c r="J328" s="3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3:33" x14ac:dyDescent="0.25">
      <c r="C329" s="3"/>
      <c r="D329" s="3"/>
      <c r="E329" s="3"/>
      <c r="F329" s="3"/>
      <c r="G329" s="3"/>
      <c r="H329" s="3"/>
      <c r="I329" s="3"/>
      <c r="J329" s="3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3:33" x14ac:dyDescent="0.25">
      <c r="C330" s="3"/>
      <c r="D330" s="3"/>
      <c r="E330" s="3"/>
      <c r="F330" s="3"/>
      <c r="G330" s="3"/>
      <c r="H330" s="3"/>
      <c r="I330" s="3"/>
      <c r="J330" s="3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3:33" x14ac:dyDescent="0.25">
      <c r="C331" s="3"/>
      <c r="D331" s="3"/>
      <c r="E331" s="3"/>
      <c r="F331" s="3"/>
      <c r="G331" s="3"/>
      <c r="H331" s="3"/>
      <c r="I331" s="3"/>
      <c r="J331" s="3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3:33" x14ac:dyDescent="0.25">
      <c r="C332" s="3"/>
      <c r="D332" s="3"/>
      <c r="E332" s="3"/>
      <c r="F332" s="3"/>
      <c r="G332" s="3"/>
      <c r="H332" s="3"/>
      <c r="I332" s="3"/>
      <c r="J332" s="3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3:33" x14ac:dyDescent="0.25">
      <c r="C333" s="3"/>
      <c r="D333" s="3"/>
      <c r="E333" s="3"/>
      <c r="F333" s="3"/>
      <c r="G333" s="3"/>
      <c r="H333" s="3"/>
      <c r="I333" s="3"/>
      <c r="J333" s="3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3:33" x14ac:dyDescent="0.25">
      <c r="C334" s="3"/>
      <c r="D334" s="3"/>
      <c r="E334" s="3"/>
      <c r="F334" s="3"/>
      <c r="G334" s="3"/>
      <c r="H334" s="3"/>
      <c r="I334" s="3"/>
      <c r="J334" s="3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3:33" x14ac:dyDescent="0.25">
      <c r="C335" s="3"/>
      <c r="D335" s="3"/>
      <c r="E335" s="3"/>
      <c r="F335" s="3"/>
      <c r="G335" s="3"/>
      <c r="H335" s="3"/>
      <c r="I335" s="3"/>
      <c r="J335" s="3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3:33" x14ac:dyDescent="0.25">
      <c r="C336" s="3"/>
      <c r="D336" s="3"/>
      <c r="E336" s="3"/>
      <c r="F336" s="3"/>
      <c r="G336" s="3"/>
      <c r="H336" s="3"/>
      <c r="I336" s="3"/>
      <c r="J336" s="3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3:33" x14ac:dyDescent="0.25">
      <c r="C337" s="3"/>
      <c r="D337" s="3"/>
      <c r="E337" s="3"/>
      <c r="F337" s="3"/>
      <c r="G337" s="3"/>
      <c r="H337" s="3"/>
      <c r="I337" s="3"/>
      <c r="J337" s="3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3:33" x14ac:dyDescent="0.25">
      <c r="C338" s="3"/>
      <c r="D338" s="3"/>
      <c r="E338" s="3"/>
      <c r="F338" s="3"/>
      <c r="G338" s="3"/>
      <c r="H338" s="3"/>
      <c r="I338" s="3"/>
      <c r="J338" s="3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3:33" x14ac:dyDescent="0.25">
      <c r="C339" s="3"/>
      <c r="D339" s="3"/>
      <c r="E339" s="3"/>
      <c r="F339" s="3"/>
      <c r="G339" s="3"/>
      <c r="H339" s="3"/>
      <c r="I339" s="3"/>
      <c r="J339" s="3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3:33" x14ac:dyDescent="0.25">
      <c r="C340" s="3"/>
      <c r="D340" s="3"/>
      <c r="E340" s="3"/>
      <c r="F340" s="3"/>
      <c r="G340" s="3"/>
      <c r="H340" s="3"/>
      <c r="I340" s="3"/>
      <c r="J340" s="3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3:33" x14ac:dyDescent="0.25">
      <c r="C341" s="3"/>
      <c r="D341" s="3"/>
      <c r="E341" s="3"/>
      <c r="F341" s="3"/>
      <c r="G341" s="3"/>
      <c r="H341" s="3"/>
      <c r="I341" s="3"/>
      <c r="J341" s="3"/>
    </row>
    <row r="342" spans="3:33" x14ac:dyDescent="0.25">
      <c r="C342" s="3"/>
      <c r="D342" s="3"/>
      <c r="E342" s="3"/>
      <c r="F342" s="3"/>
      <c r="G342" s="3"/>
      <c r="H342" s="3"/>
      <c r="I342" s="3"/>
      <c r="J342" s="3"/>
    </row>
    <row r="343" spans="3:33" x14ac:dyDescent="0.25">
      <c r="C343" s="3"/>
      <c r="D343" s="3"/>
      <c r="E343" s="3"/>
      <c r="F343" s="3"/>
      <c r="G343" s="3"/>
      <c r="H343" s="3"/>
      <c r="I343" s="3"/>
      <c r="J343" s="3"/>
    </row>
    <row r="344" spans="3:33" x14ac:dyDescent="0.25">
      <c r="C344" s="3"/>
      <c r="D344" s="3"/>
      <c r="E344" s="3"/>
      <c r="F344" s="3"/>
      <c r="G344" s="3"/>
      <c r="H344" s="3"/>
      <c r="I344" s="3"/>
      <c r="J344" s="3"/>
    </row>
    <row r="345" spans="3:33" x14ac:dyDescent="0.25">
      <c r="C345" s="3"/>
      <c r="D345" s="3"/>
      <c r="E345" s="3"/>
      <c r="F345" s="3"/>
      <c r="G345" s="3"/>
      <c r="H345" s="3"/>
      <c r="I345" s="3"/>
      <c r="J345" s="3"/>
    </row>
    <row r="346" spans="3:33" x14ac:dyDescent="0.25">
      <c r="C346" s="3"/>
      <c r="D346" s="3"/>
      <c r="E346" s="3"/>
      <c r="F346" s="3"/>
      <c r="G346" s="3"/>
      <c r="H346" s="3"/>
      <c r="I346" s="3"/>
      <c r="J346" s="3"/>
    </row>
    <row r="347" spans="3:33" x14ac:dyDescent="0.25">
      <c r="C347" s="3"/>
      <c r="D347" s="3"/>
      <c r="E347" s="3"/>
      <c r="F347" s="3"/>
      <c r="G347" s="3"/>
      <c r="H347" s="3"/>
      <c r="I347" s="3"/>
      <c r="J347" s="3"/>
    </row>
    <row r="348" spans="3:33" x14ac:dyDescent="0.25">
      <c r="C348" s="3"/>
      <c r="D348" s="3"/>
      <c r="E348" s="3"/>
      <c r="F348" s="3"/>
      <c r="G348" s="3"/>
      <c r="H348" s="3"/>
      <c r="I348" s="3"/>
      <c r="J348" s="3"/>
    </row>
    <row r="349" spans="3:33" x14ac:dyDescent="0.25">
      <c r="C349" s="3"/>
      <c r="D349" s="3"/>
      <c r="E349" s="3"/>
      <c r="F349" s="3"/>
      <c r="G349" s="3"/>
      <c r="H349" s="3"/>
      <c r="I349" s="3"/>
      <c r="J349" s="3"/>
    </row>
    <row r="350" spans="3:33" x14ac:dyDescent="0.25">
      <c r="C350" s="3"/>
      <c r="D350" s="3"/>
      <c r="E350" s="3"/>
      <c r="F350" s="3"/>
      <c r="G350" s="3"/>
      <c r="H350" s="3"/>
      <c r="I350" s="3"/>
      <c r="J350" s="3"/>
    </row>
    <row r="351" spans="3:33" x14ac:dyDescent="0.25">
      <c r="C351" s="3"/>
      <c r="D351" s="3"/>
      <c r="E351" s="3"/>
      <c r="F351" s="3"/>
      <c r="G351" s="3"/>
      <c r="H351" s="3"/>
      <c r="I351" s="3"/>
      <c r="J351" s="3"/>
    </row>
    <row r="352" spans="3:33" x14ac:dyDescent="0.25">
      <c r="C352" s="3"/>
      <c r="D352" s="3"/>
      <c r="E352" s="3"/>
      <c r="F352" s="3"/>
      <c r="G352" s="3"/>
      <c r="H352" s="3"/>
      <c r="I352" s="3"/>
      <c r="J352" s="3"/>
    </row>
    <row r="353" spans="3:10" x14ac:dyDescent="0.25">
      <c r="C353" s="3"/>
      <c r="D353" s="3"/>
      <c r="E353" s="3"/>
      <c r="F353" s="3"/>
      <c r="G353" s="3"/>
      <c r="H353" s="3"/>
      <c r="I353" s="3"/>
      <c r="J353" s="3"/>
    </row>
    <row r="354" spans="3:10" x14ac:dyDescent="0.25">
      <c r="C354" s="3"/>
      <c r="D354" s="3"/>
      <c r="E354" s="3"/>
      <c r="F354" s="3"/>
      <c r="G354" s="3"/>
      <c r="H354" s="3"/>
      <c r="I354" s="3"/>
      <c r="J354" s="3"/>
    </row>
    <row r="355" spans="3:10" x14ac:dyDescent="0.25">
      <c r="C355" s="3"/>
      <c r="D355" s="3"/>
      <c r="E355" s="3"/>
      <c r="F355" s="3"/>
      <c r="G355" s="3"/>
      <c r="H355" s="3"/>
      <c r="I355" s="3"/>
      <c r="J355" s="3"/>
    </row>
    <row r="356" spans="3:10" x14ac:dyDescent="0.25">
      <c r="C356" s="3"/>
      <c r="D356" s="3"/>
      <c r="E356" s="3"/>
      <c r="F356" s="3"/>
      <c r="G356" s="3"/>
      <c r="H356" s="3"/>
      <c r="I356" s="3"/>
      <c r="J356" s="3"/>
    </row>
    <row r="357" spans="3:10" x14ac:dyDescent="0.25">
      <c r="C357" s="3"/>
      <c r="D357" s="3"/>
      <c r="E357" s="3"/>
      <c r="F357" s="3"/>
      <c r="G357" s="3"/>
      <c r="H357" s="3"/>
      <c r="I357" s="3"/>
      <c r="J357" s="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57F9-C4DB-4307-8BCE-CCB612E8D1EA}">
  <dimension ref="A1:I3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C6:H6"/>
    </sheetView>
  </sheetViews>
  <sheetFormatPr defaultRowHeight="15" x14ac:dyDescent="0.25"/>
  <cols>
    <col min="1" max="1" width="4.7109375" bestFit="1" customWidth="1"/>
    <col min="2" max="2" width="32.42578125" bestFit="1" customWidth="1"/>
  </cols>
  <sheetData>
    <row r="1" spans="1:9" x14ac:dyDescent="0.25">
      <c r="A1" s="9" t="s">
        <v>86</v>
      </c>
    </row>
    <row r="2" spans="1:9" x14ac:dyDescent="0.25">
      <c r="B2" s="2" t="s">
        <v>87</v>
      </c>
      <c r="C2" s="7">
        <v>18</v>
      </c>
      <c r="D2" s="7">
        <f>C2+1</f>
        <v>19</v>
      </c>
      <c r="E2" s="7">
        <f t="shared" ref="E2:I2" si="0">D2+1</f>
        <v>20</v>
      </c>
      <c r="F2" s="7">
        <f t="shared" si="0"/>
        <v>21</v>
      </c>
      <c r="G2" s="7">
        <f t="shared" si="0"/>
        <v>22</v>
      </c>
      <c r="H2" s="7">
        <f t="shared" si="0"/>
        <v>23</v>
      </c>
      <c r="I2" s="7">
        <f t="shared" si="0"/>
        <v>24</v>
      </c>
    </row>
    <row r="3" spans="1:9" x14ac:dyDescent="0.25">
      <c r="B3" s="2" t="s">
        <v>102</v>
      </c>
    </row>
    <row r="4" spans="1:9" x14ac:dyDescent="0.25">
      <c r="B4" t="s">
        <v>103</v>
      </c>
      <c r="C4" s="8">
        <f>Financials!L38/Financials!L85</f>
        <v>0.4698543296466145</v>
      </c>
      <c r="D4" s="8">
        <f>Financials!M38/Financials!M85</f>
        <v>-0.20418436369356616</v>
      </c>
      <c r="E4" s="8">
        <f>Financials!N38/Financials!N85</f>
        <v>1.5227350427350428</v>
      </c>
      <c r="F4" s="8">
        <f>Financials!O38/Financials!O85</f>
        <v>-1.5410958904109588</v>
      </c>
      <c r="G4" s="8">
        <f>Financials!P38/Financials!P85</f>
        <v>-1.4692837114453225</v>
      </c>
      <c r="H4" s="8">
        <f>Financials!Q38/Financials!Q85</f>
        <v>-2.329512893982808</v>
      </c>
    </row>
    <row r="5" spans="1:9" x14ac:dyDescent="0.25">
      <c r="B5" t="s">
        <v>104</v>
      </c>
    </row>
    <row r="6" spans="1:9" x14ac:dyDescent="0.25">
      <c r="B6" t="s">
        <v>105</v>
      </c>
      <c r="C6" s="8">
        <f>Financials!L31*(1-Financials!L52)/(Financials!L70+Financials!L76+Financials!L85-Financials!L55)</f>
        <v>0.17324832530910686</v>
      </c>
      <c r="D6" s="8">
        <f>Financials!M31*(1-Financials!M52)/(Financials!M70+Financials!M76+Financials!M85-Financials!M55)</f>
        <v>-0.54202286863982441</v>
      </c>
      <c r="E6" s="8">
        <f>Financials!N31*(1-Financials!N52)/(Financials!N70+Financials!N76+Financials!N85-Financials!N55)</f>
        <v>0.25604848412045866</v>
      </c>
      <c r="F6" s="8">
        <f>Financials!O31*(1-Financials!O52)/(Financials!O70+Financials!O76+Financials!O85-Financials!O55)</f>
        <v>0.34173545569314001</v>
      </c>
      <c r="G6" s="8">
        <f>Financials!P31*(1-Financials!P52)/(Financials!P70+Financials!P76+Financials!P85-Financials!P55)</f>
        <v>0.49648932464478124</v>
      </c>
      <c r="H6" s="8">
        <f>Financials!Q31*(1-Financials!Q52)/(Financials!Q70+Financials!Q76+Financials!Q85-Financials!Q55)</f>
        <v>0.45077984625148976</v>
      </c>
    </row>
    <row r="7" spans="1:9" x14ac:dyDescent="0.25">
      <c r="B7" t="s">
        <v>106</v>
      </c>
    </row>
    <row r="8" spans="1:9" x14ac:dyDescent="0.25">
      <c r="B8" t="s">
        <v>107</v>
      </c>
    </row>
    <row r="9" spans="1:9" x14ac:dyDescent="0.25">
      <c r="B9" t="s">
        <v>108</v>
      </c>
    </row>
    <row r="10" spans="1:9" x14ac:dyDescent="0.25">
      <c r="B10" t="s">
        <v>107</v>
      </c>
    </row>
    <row r="13" spans="1:9" x14ac:dyDescent="0.25">
      <c r="B13" s="2" t="s">
        <v>109</v>
      </c>
    </row>
    <row r="14" spans="1:9" x14ac:dyDescent="0.25">
      <c r="B14" t="s">
        <v>110</v>
      </c>
    </row>
    <row r="15" spans="1:9" x14ac:dyDescent="0.25">
      <c r="B15" t="s">
        <v>111</v>
      </c>
    </row>
    <row r="16" spans="1:9" x14ac:dyDescent="0.25">
      <c r="B16" t="s">
        <v>112</v>
      </c>
    </row>
    <row r="17" spans="2:2" x14ac:dyDescent="0.25">
      <c r="B17" t="s">
        <v>113</v>
      </c>
    </row>
    <row r="18" spans="2:2" x14ac:dyDescent="0.25">
      <c r="B18" t="s">
        <v>114</v>
      </c>
    </row>
    <row r="20" spans="2:2" x14ac:dyDescent="0.25">
      <c r="B20" s="2" t="s">
        <v>115</v>
      </c>
    </row>
    <row r="21" spans="2:2" x14ac:dyDescent="0.25">
      <c r="B21" t="s">
        <v>116</v>
      </c>
    </row>
    <row r="22" spans="2:2" x14ac:dyDescent="0.25">
      <c r="B22" t="s">
        <v>117</v>
      </c>
    </row>
    <row r="23" spans="2:2" x14ac:dyDescent="0.25">
      <c r="B23" t="s">
        <v>118</v>
      </c>
    </row>
    <row r="24" spans="2:2" x14ac:dyDescent="0.25">
      <c r="B24" t="s">
        <v>119</v>
      </c>
    </row>
    <row r="25" spans="2:2" x14ac:dyDescent="0.25">
      <c r="B25" t="s">
        <v>120</v>
      </c>
    </row>
    <row r="27" spans="2:2" x14ac:dyDescent="0.25">
      <c r="B27" s="2" t="s">
        <v>121</v>
      </c>
    </row>
    <row r="28" spans="2:2" x14ac:dyDescent="0.25">
      <c r="B28" s="23" t="s">
        <v>122</v>
      </c>
    </row>
    <row r="29" spans="2:2" x14ac:dyDescent="0.25">
      <c r="B29" t="s">
        <v>123</v>
      </c>
    </row>
    <row r="30" spans="2:2" x14ac:dyDescent="0.25">
      <c r="B30" t="s">
        <v>7</v>
      </c>
    </row>
    <row r="31" spans="2:2" x14ac:dyDescent="0.25">
      <c r="B31" t="s">
        <v>124</v>
      </c>
    </row>
    <row r="32" spans="2:2" x14ac:dyDescent="0.25">
      <c r="B32" t="s">
        <v>125</v>
      </c>
    </row>
    <row r="33" spans="2:2" x14ac:dyDescent="0.25">
      <c r="B33" t="s">
        <v>126</v>
      </c>
    </row>
    <row r="34" spans="2:2" x14ac:dyDescent="0.25">
      <c r="B34" s="23" t="s">
        <v>127</v>
      </c>
    </row>
    <row r="35" spans="2:2" x14ac:dyDescent="0.25">
      <c r="B35" t="s">
        <v>128</v>
      </c>
    </row>
    <row r="36" spans="2:2" x14ac:dyDescent="0.25">
      <c r="B36" t="s">
        <v>129</v>
      </c>
    </row>
    <row r="37" spans="2:2" x14ac:dyDescent="0.25">
      <c r="B37" t="s">
        <v>130</v>
      </c>
    </row>
    <row r="38" spans="2:2" x14ac:dyDescent="0.25">
      <c r="B38" t="s">
        <v>131</v>
      </c>
    </row>
  </sheetData>
  <hyperlinks>
    <hyperlink ref="A1" location="Main!A1" display="Main" xr:uid="{47B1903B-A7E4-4972-9491-9EBD5667D1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2024-07-26T15:41:25Z</dcterms:created>
  <dcterms:modified xsi:type="dcterms:W3CDTF">2025-04-11T09:12:24Z</dcterms:modified>
</cp:coreProperties>
</file>