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087766BA-8E6C-426B-A7BC-EEA48C2B822A}" xr6:coauthVersionLast="47" xr6:coauthVersionMax="47" xr10:uidLastSave="{00000000-0000-0000-0000-000000000000}"/>
  <bookViews>
    <workbookView xWindow="-120" yWindow="-120" windowWidth="38640" windowHeight="21060" xr2:uid="{237199C3-ED65-4E36-BE9B-24893DBB0CE2}"/>
  </bookViews>
  <sheets>
    <sheet name="Main" sheetId="1" r:id="rId1"/>
    <sheet name="Model" sheetId="2" r:id="rId2"/>
    <sheet name="Ratios" sheetId="3" r:id="rId3"/>
    <sheet name="D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3" l="1"/>
  <c r="I4" i="3"/>
  <c r="Q37" i="2"/>
  <c r="P37" i="2"/>
  <c r="O37" i="2"/>
  <c r="L37" i="2"/>
  <c r="N37" i="2"/>
  <c r="M37" i="2"/>
  <c r="O44" i="2"/>
  <c r="N44" i="2"/>
  <c r="M44" i="2"/>
  <c r="Q43" i="2"/>
  <c r="P43" i="2"/>
  <c r="Q42" i="2"/>
  <c r="P42" i="2"/>
  <c r="O42" i="2"/>
  <c r="N42" i="2"/>
  <c r="M42" i="2"/>
  <c r="Q41" i="2"/>
  <c r="P41" i="2"/>
  <c r="O41" i="2"/>
  <c r="N41" i="2"/>
  <c r="M41" i="2"/>
  <c r="R43" i="2"/>
  <c r="R42" i="2"/>
  <c r="R41" i="2"/>
  <c r="Q142" i="2"/>
  <c r="P142" i="2"/>
  <c r="O142" i="2"/>
  <c r="N142" i="2"/>
  <c r="M142" i="2"/>
  <c r="L142" i="2"/>
  <c r="R142" i="2"/>
  <c r="R128" i="2"/>
  <c r="R129" i="2" s="1"/>
  <c r="R120" i="2"/>
  <c r="R109" i="2"/>
  <c r="R101" i="2"/>
  <c r="R91" i="2"/>
  <c r="R79" i="2"/>
  <c r="R86" i="2" s="1"/>
  <c r="R72" i="2"/>
  <c r="R61" i="2"/>
  <c r="R55" i="2"/>
  <c r="R60" i="2" s="1"/>
  <c r="K7" i="1"/>
  <c r="R32" i="2"/>
  <c r="Q16" i="2"/>
  <c r="P16" i="2"/>
  <c r="R16" i="2"/>
  <c r="R11" i="2"/>
  <c r="R22" i="2"/>
  <c r="F37" i="2"/>
  <c r="F34" i="2"/>
  <c r="F32" i="2"/>
  <c r="F31" i="2"/>
  <c r="F29" i="2"/>
  <c r="F28" i="2"/>
  <c r="F25" i="2"/>
  <c r="F23" i="2"/>
  <c r="P5" i="2"/>
  <c r="Q5" i="2"/>
  <c r="L5" i="2"/>
  <c r="M5" i="2"/>
  <c r="N5" i="2"/>
  <c r="O5" i="2"/>
  <c r="L4" i="2"/>
  <c r="L3" i="2" s="1"/>
  <c r="M4" i="2"/>
  <c r="M3" i="2" s="1"/>
  <c r="N4" i="2"/>
  <c r="N3" i="2" s="1"/>
  <c r="O4" i="2"/>
  <c r="O3" i="2" s="1"/>
  <c r="V60" i="4"/>
  <c r="V58" i="4"/>
  <c r="V57" i="4"/>
  <c r="V31" i="4" a="1"/>
  <c r="V31" i="4" s="1"/>
  <c r="U31" i="4" a="1"/>
  <c r="U31" i="4" s="1"/>
  <c r="T31" i="4" a="1"/>
  <c r="T31" i="4" s="1"/>
  <c r="S31" i="4" a="1"/>
  <c r="S31" i="4" s="1"/>
  <c r="R31" i="4" a="1"/>
  <c r="R31" i="4" s="1"/>
  <c r="Q31" i="4" a="1"/>
  <c r="Q31" i="4" s="1"/>
  <c r="P31" i="4" a="1"/>
  <c r="P31" i="4" s="1"/>
  <c r="O31" i="4" a="1"/>
  <c r="O31" i="4" s="1"/>
  <c r="N31" i="4" a="1"/>
  <c r="N31" i="4" s="1"/>
  <c r="M31" i="4" a="1"/>
  <c r="M31" i="4" s="1"/>
  <c r="V25" i="4" a="1"/>
  <c r="V25" i="4" s="1"/>
  <c r="U25" i="4" a="1"/>
  <c r="U25" i="4" s="1"/>
  <c r="T25" i="4" a="1"/>
  <c r="T25" i="4" s="1"/>
  <c r="S25" i="4" a="1"/>
  <c r="S25" i="4" s="1"/>
  <c r="R25" i="4" a="1"/>
  <c r="R25" i="4" s="1"/>
  <c r="Q25" i="4" a="1"/>
  <c r="Q25" i="4" s="1"/>
  <c r="P25" i="4" a="1"/>
  <c r="P25" i="4" s="1"/>
  <c r="O25" i="4" a="1"/>
  <c r="O25" i="4" s="1"/>
  <c r="N25" i="4" a="1"/>
  <c r="N25" i="4" s="1"/>
  <c r="M25" i="4" a="1"/>
  <c r="M25" i="4" s="1"/>
  <c r="L44" i="4"/>
  <c r="K44" i="4"/>
  <c r="J44" i="4"/>
  <c r="J45" i="4" s="1"/>
  <c r="I44" i="4"/>
  <c r="I45" i="4" s="1"/>
  <c r="H44" i="4"/>
  <c r="G44" i="4"/>
  <c r="L41" i="4"/>
  <c r="K41" i="4"/>
  <c r="J41" i="4"/>
  <c r="J42" i="4" s="1"/>
  <c r="I41" i="4"/>
  <c r="I42" i="4" s="1"/>
  <c r="H41" i="4"/>
  <c r="G41" i="4"/>
  <c r="L36" i="4"/>
  <c r="K36" i="4"/>
  <c r="J36" i="4"/>
  <c r="I36" i="4"/>
  <c r="H36" i="4"/>
  <c r="G36" i="4"/>
  <c r="J24" i="4"/>
  <c r="I24" i="4"/>
  <c r="H24" i="4"/>
  <c r="G24" i="4"/>
  <c r="J4" i="4"/>
  <c r="M52" i="4"/>
  <c r="N52" i="4" s="1"/>
  <c r="O52" i="4" s="1"/>
  <c r="P52" i="4" s="1"/>
  <c r="Q52" i="4" s="1"/>
  <c r="R52" i="4" s="1"/>
  <c r="S52" i="4" s="1"/>
  <c r="T52" i="4" s="1"/>
  <c r="U52" i="4" s="1"/>
  <c r="V52" i="4" s="1"/>
  <c r="H23" i="4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E19" i="4"/>
  <c r="R74" i="2" l="1"/>
  <c r="R93" i="2"/>
  <c r="R103" i="2" s="1"/>
  <c r="R24" i="2"/>
  <c r="H45" i="4"/>
  <c r="I25" i="4"/>
  <c r="J25" i="4"/>
  <c r="H42" i="4"/>
  <c r="H25" i="4"/>
  <c r="G42" i="4"/>
  <c r="G45" i="4"/>
  <c r="R27" i="2" l="1"/>
  <c r="R45" i="2"/>
  <c r="D2" i="3"/>
  <c r="E2" i="3" s="1"/>
  <c r="F2" i="3" s="1"/>
  <c r="G2" i="3" s="1"/>
  <c r="H2" i="3" s="1"/>
  <c r="I2" i="3" s="1"/>
  <c r="M128" i="2"/>
  <c r="M129" i="2" s="1"/>
  <c r="Q11" i="2"/>
  <c r="P11" i="2"/>
  <c r="N11" i="2"/>
  <c r="M11" i="2"/>
  <c r="L11" i="2"/>
  <c r="O11" i="2"/>
  <c r="P147" i="2"/>
  <c r="P129" i="2"/>
  <c r="O129" i="2"/>
  <c r="N129" i="2"/>
  <c r="L129" i="2"/>
  <c r="Q129" i="2"/>
  <c r="P120" i="2"/>
  <c r="K47" i="4" s="1"/>
  <c r="O120" i="2"/>
  <c r="J47" i="4" s="1"/>
  <c r="J48" i="4" s="1"/>
  <c r="N120" i="2"/>
  <c r="I47" i="4" s="1"/>
  <c r="I48" i="4" s="1"/>
  <c r="M120" i="2"/>
  <c r="H47" i="4" s="1"/>
  <c r="H48" i="4" s="1"/>
  <c r="L120" i="2"/>
  <c r="G47" i="4" s="1"/>
  <c r="G48" i="4" s="1"/>
  <c r="Q120" i="2"/>
  <c r="L47" i="4" s="1"/>
  <c r="P101" i="2"/>
  <c r="O101" i="2"/>
  <c r="N101" i="2"/>
  <c r="M101" i="2"/>
  <c r="L101" i="2"/>
  <c r="Q101" i="2"/>
  <c r="P91" i="2"/>
  <c r="O91" i="2"/>
  <c r="N91" i="2"/>
  <c r="M91" i="2"/>
  <c r="L91" i="2"/>
  <c r="Q91" i="2"/>
  <c r="P79" i="2"/>
  <c r="P86" i="2" s="1"/>
  <c r="O79" i="2"/>
  <c r="O86" i="2" s="1"/>
  <c r="N79" i="2"/>
  <c r="N86" i="2" s="1"/>
  <c r="M79" i="2"/>
  <c r="M86" i="2" s="1"/>
  <c r="L79" i="2"/>
  <c r="L86" i="2" s="1"/>
  <c r="Q79" i="2"/>
  <c r="Q86" i="2" s="1"/>
  <c r="P61" i="2"/>
  <c r="P72" i="2" s="1"/>
  <c r="O61" i="2"/>
  <c r="O72" i="2" s="1"/>
  <c r="N61" i="2"/>
  <c r="N72" i="2" s="1"/>
  <c r="M61" i="2"/>
  <c r="M72" i="2" s="1"/>
  <c r="L61" i="2"/>
  <c r="L72" i="2" s="1"/>
  <c r="Q61" i="2"/>
  <c r="Q72" i="2" s="1"/>
  <c r="P55" i="2"/>
  <c r="P60" i="2" s="1"/>
  <c r="O55" i="2"/>
  <c r="O60" i="2" s="1"/>
  <c r="N55" i="2"/>
  <c r="N60" i="2" s="1"/>
  <c r="M55" i="2"/>
  <c r="M60" i="2" s="1"/>
  <c r="L55" i="2"/>
  <c r="L60" i="2" s="1"/>
  <c r="Q55" i="2"/>
  <c r="Q60" i="2"/>
  <c r="P22" i="2"/>
  <c r="P44" i="2" s="1"/>
  <c r="Q22" i="2"/>
  <c r="I44" i="2"/>
  <c r="H44" i="2"/>
  <c r="G44" i="2"/>
  <c r="L25" i="2"/>
  <c r="M25" i="2"/>
  <c r="N25" i="2"/>
  <c r="O24" i="2"/>
  <c r="O27" i="2" s="1"/>
  <c r="N24" i="2"/>
  <c r="N45" i="2" s="1"/>
  <c r="M24" i="2"/>
  <c r="M45" i="2" s="1"/>
  <c r="L24" i="2"/>
  <c r="E24" i="2"/>
  <c r="E27" i="2" s="1"/>
  <c r="E46" i="2" s="1"/>
  <c r="D24" i="2"/>
  <c r="D27" i="2" s="1"/>
  <c r="D46" i="2" s="1"/>
  <c r="C24" i="2"/>
  <c r="C45" i="2" s="1"/>
  <c r="J24" i="2"/>
  <c r="J27" i="2" s="1"/>
  <c r="J46" i="2" s="1"/>
  <c r="I24" i="2"/>
  <c r="I45" i="2" s="1"/>
  <c r="H24" i="2"/>
  <c r="H45" i="2" s="1"/>
  <c r="G24" i="2"/>
  <c r="G27" i="2" s="1"/>
  <c r="G46" i="2" s="1"/>
  <c r="K5" i="1"/>
  <c r="Q44" i="2" l="1"/>
  <c r="R44" i="2"/>
  <c r="R46" i="2"/>
  <c r="R30" i="2"/>
  <c r="O30" i="2"/>
  <c r="O33" i="2" s="1"/>
  <c r="O35" i="2" s="1"/>
  <c r="O47" i="2" s="1"/>
  <c r="J30" i="4"/>
  <c r="K24" i="4"/>
  <c r="K48" i="4" s="1"/>
  <c r="Q24" i="2"/>
  <c r="Q27" i="2" s="1"/>
  <c r="L24" i="4"/>
  <c r="F22" i="2"/>
  <c r="L74" i="2"/>
  <c r="Q93" i="2"/>
  <c r="Q103" i="2" s="1"/>
  <c r="N74" i="2"/>
  <c r="M93" i="2"/>
  <c r="M103" i="2" s="1"/>
  <c r="N93" i="2"/>
  <c r="N103" i="2" s="1"/>
  <c r="O93" i="2"/>
  <c r="O103" i="2" s="1"/>
  <c r="M74" i="2"/>
  <c r="L93" i="2"/>
  <c r="L103" i="2" s="1"/>
  <c r="Q74" i="2"/>
  <c r="P74" i="2"/>
  <c r="O74" i="2"/>
  <c r="P93" i="2"/>
  <c r="P103" i="2" s="1"/>
  <c r="I27" i="2"/>
  <c r="I46" i="2" s="1"/>
  <c r="H27" i="2"/>
  <c r="H46" i="2" s="1"/>
  <c r="P24" i="2"/>
  <c r="P27" i="2" s="1"/>
  <c r="D45" i="2"/>
  <c r="J45" i="2"/>
  <c r="E45" i="2"/>
  <c r="G45" i="2"/>
  <c r="L27" i="2"/>
  <c r="L45" i="2"/>
  <c r="Q45" i="2"/>
  <c r="Q46" i="2"/>
  <c r="C27" i="2"/>
  <c r="C46" i="2" s="1"/>
  <c r="O46" i="2"/>
  <c r="M27" i="2"/>
  <c r="O45" i="2"/>
  <c r="K8" i="1"/>
  <c r="N27" i="2"/>
  <c r="J30" i="2"/>
  <c r="D30" i="2"/>
  <c r="E30" i="2"/>
  <c r="G30" i="2"/>
  <c r="R33" i="2" l="1"/>
  <c r="R48" i="2"/>
  <c r="O48" i="2"/>
  <c r="F6" i="3" s="1"/>
  <c r="O107" i="2"/>
  <c r="O121" i="2" s="1"/>
  <c r="O145" i="2" s="1"/>
  <c r="H30" i="4"/>
  <c r="L30" i="2"/>
  <c r="G30" i="4"/>
  <c r="I30" i="4"/>
  <c r="J44" i="2"/>
  <c r="F24" i="2"/>
  <c r="P30" i="2"/>
  <c r="K30" i="4"/>
  <c r="L25" i="4"/>
  <c r="L45" i="4"/>
  <c r="L42" i="4"/>
  <c r="M24" i="4"/>
  <c r="Q30" i="2"/>
  <c r="L30" i="4"/>
  <c r="L48" i="4"/>
  <c r="K31" i="4"/>
  <c r="K25" i="4"/>
  <c r="K45" i="4"/>
  <c r="K42" i="4"/>
  <c r="J39" i="4"/>
  <c r="J50" i="4" s="1"/>
  <c r="J37" i="4"/>
  <c r="J31" i="4"/>
  <c r="P46" i="2"/>
  <c r="F4" i="3"/>
  <c r="P45" i="2"/>
  <c r="I30" i="2"/>
  <c r="I48" i="2" s="1"/>
  <c r="C30" i="2"/>
  <c r="C33" i="2" s="1"/>
  <c r="C35" i="2" s="1"/>
  <c r="H30" i="2"/>
  <c r="H33" i="2" s="1"/>
  <c r="H35" i="2" s="1"/>
  <c r="L46" i="2"/>
  <c r="N30" i="2"/>
  <c r="N46" i="2"/>
  <c r="E33" i="2"/>
  <c r="E35" i="2" s="1"/>
  <c r="E48" i="2"/>
  <c r="J33" i="2"/>
  <c r="J35" i="2" s="1"/>
  <c r="J48" i="2"/>
  <c r="M30" i="2"/>
  <c r="M46" i="2"/>
  <c r="G33" i="2"/>
  <c r="G35" i="2" s="1"/>
  <c r="G38" i="2" s="1"/>
  <c r="G48" i="2"/>
  <c r="D33" i="2"/>
  <c r="D35" i="2" s="1"/>
  <c r="D48" i="2"/>
  <c r="L33" i="2"/>
  <c r="L48" i="2"/>
  <c r="C6" i="3" s="1"/>
  <c r="R35" i="2" l="1"/>
  <c r="R107" i="2"/>
  <c r="R121" i="2" s="1"/>
  <c r="R145" i="2" s="1"/>
  <c r="H47" i="2"/>
  <c r="H38" i="2"/>
  <c r="N24" i="4"/>
  <c r="M30" i="4"/>
  <c r="M36" i="4" s="1"/>
  <c r="M39" i="4" s="1"/>
  <c r="M41" i="4"/>
  <c r="M44" i="4"/>
  <c r="M47" i="4"/>
  <c r="K39" i="4"/>
  <c r="K50" i="4" s="1"/>
  <c r="K37" i="4"/>
  <c r="E47" i="2"/>
  <c r="E38" i="2"/>
  <c r="L37" i="4"/>
  <c r="L31" i="4"/>
  <c r="L39" i="4"/>
  <c r="L50" i="4" s="1"/>
  <c r="Q33" i="2"/>
  <c r="Q48" i="2"/>
  <c r="H6" i="3" s="1"/>
  <c r="P33" i="2"/>
  <c r="P48" i="2"/>
  <c r="G6" i="3" s="1"/>
  <c r="F27" i="2"/>
  <c r="F45" i="2"/>
  <c r="D47" i="2"/>
  <c r="D38" i="2"/>
  <c r="I39" i="4"/>
  <c r="I50" i="4" s="1"/>
  <c r="I37" i="4"/>
  <c r="I31" i="4"/>
  <c r="G37" i="4"/>
  <c r="G31" i="4"/>
  <c r="G39" i="4"/>
  <c r="G50" i="4" s="1"/>
  <c r="H39" i="4"/>
  <c r="H50" i="4" s="1"/>
  <c r="H31" i="4"/>
  <c r="H37" i="4"/>
  <c r="J47" i="2"/>
  <c r="J38" i="2"/>
  <c r="I33" i="2"/>
  <c r="I35" i="2" s="1"/>
  <c r="H48" i="2"/>
  <c r="C48" i="2"/>
  <c r="L35" i="2"/>
  <c r="L107" i="2"/>
  <c r="L121" i="2" s="1"/>
  <c r="L145" i="2" s="1"/>
  <c r="C38" i="2"/>
  <c r="C47" i="2"/>
  <c r="M33" i="2"/>
  <c r="M48" i="2"/>
  <c r="D6" i="3" s="1"/>
  <c r="N33" i="2"/>
  <c r="N48" i="2"/>
  <c r="E6" i="3" s="1"/>
  <c r="G47" i="2"/>
  <c r="R37" i="2" l="1"/>
  <c r="R47" i="2"/>
  <c r="C4" i="3"/>
  <c r="Q35" i="2"/>
  <c r="Q107" i="2"/>
  <c r="Q121" i="2" s="1"/>
  <c r="Q145" i="2" s="1"/>
  <c r="Q147" i="2" s="1"/>
  <c r="R146" i="2" s="1"/>
  <c r="R147" i="2" s="1"/>
  <c r="F46" i="2"/>
  <c r="F30" i="2"/>
  <c r="P35" i="2"/>
  <c r="P107" i="2"/>
  <c r="P121" i="2" s="1"/>
  <c r="P145" i="2" s="1"/>
  <c r="P146" i="2" s="1"/>
  <c r="O147" i="2" s="1"/>
  <c r="O146" i="2" s="1"/>
  <c r="N147" i="2" s="1"/>
  <c r="I47" i="2"/>
  <c r="I38" i="2"/>
  <c r="M50" i="4"/>
  <c r="M51" i="4" s="1"/>
  <c r="N30" i="4"/>
  <c r="N36" i="4" s="1"/>
  <c r="N39" i="4" s="1"/>
  <c r="N44" i="4"/>
  <c r="O24" i="4"/>
  <c r="N41" i="4"/>
  <c r="N47" i="4"/>
  <c r="L47" i="2"/>
  <c r="N35" i="2"/>
  <c r="N107" i="2"/>
  <c r="N121" i="2" s="1"/>
  <c r="N145" i="2" s="1"/>
  <c r="N146" i="2" s="1"/>
  <c r="M147" i="2" s="1"/>
  <c r="M35" i="2"/>
  <c r="M107" i="2"/>
  <c r="M121" i="2" s="1"/>
  <c r="M145" i="2" s="1"/>
  <c r="N47" i="2" l="1"/>
  <c r="E4" i="3"/>
  <c r="O30" i="4"/>
  <c r="O36" i="4" s="1"/>
  <c r="O39" i="4" s="1"/>
  <c r="P24" i="4"/>
  <c r="O41" i="4"/>
  <c r="O47" i="4"/>
  <c r="O44" i="4"/>
  <c r="N50" i="4"/>
  <c r="N51" i="4" s="1"/>
  <c r="G4" i="3"/>
  <c r="P47" i="2"/>
  <c r="F33" i="2"/>
  <c r="F35" i="2" s="1"/>
  <c r="F48" i="2"/>
  <c r="H4" i="3"/>
  <c r="Q47" i="2"/>
  <c r="D4" i="3"/>
  <c r="M146" i="2"/>
  <c r="L147" i="2" s="1"/>
  <c r="L146" i="2" s="1"/>
  <c r="M47" i="2"/>
  <c r="F38" i="2" l="1"/>
  <c r="F47" i="2"/>
  <c r="P30" i="4"/>
  <c r="P36" i="4" s="1"/>
  <c r="P39" i="4" s="1"/>
  <c r="P47" i="4"/>
  <c r="P44" i="4"/>
  <c r="Q24" i="4"/>
  <c r="P41" i="4"/>
  <c r="O50" i="4"/>
  <c r="O51" i="4" s="1"/>
  <c r="Q30" i="4" l="1"/>
  <c r="Q36" i="4" s="1"/>
  <c r="Q39" i="4" s="1"/>
  <c r="Q41" i="4"/>
  <c r="R24" i="4"/>
  <c r="Q44" i="4"/>
  <c r="Q47" i="4"/>
  <c r="P50" i="4"/>
  <c r="P51" i="4" s="1"/>
  <c r="R30" i="4" l="1"/>
  <c r="R36" i="4" s="1"/>
  <c r="R39" i="4" s="1"/>
  <c r="R41" i="4"/>
  <c r="R47" i="4"/>
  <c r="R44" i="4"/>
  <c r="S24" i="4"/>
  <c r="Q50" i="4"/>
  <c r="Q51" i="4" s="1"/>
  <c r="S30" i="4" l="1"/>
  <c r="S36" i="4" s="1"/>
  <c r="S39" i="4" s="1"/>
  <c r="T24" i="4"/>
  <c r="S41" i="4"/>
  <c r="S44" i="4"/>
  <c r="S47" i="4"/>
  <c r="R50" i="4"/>
  <c r="R51" i="4" s="1"/>
  <c r="T30" i="4" l="1"/>
  <c r="T36" i="4" s="1"/>
  <c r="T39" i="4" s="1"/>
  <c r="T41" i="4"/>
  <c r="U24" i="4"/>
  <c r="T44" i="4"/>
  <c r="T47" i="4"/>
  <c r="S50" i="4"/>
  <c r="S51" i="4" s="1"/>
  <c r="U30" i="4" l="1"/>
  <c r="U36" i="4" s="1"/>
  <c r="U39" i="4" s="1"/>
  <c r="U44" i="4"/>
  <c r="V24" i="4"/>
  <c r="U41" i="4"/>
  <c r="U47" i="4"/>
  <c r="T50" i="4"/>
  <c r="T51" i="4" s="1"/>
  <c r="V30" i="4" l="1"/>
  <c r="V36" i="4" s="1"/>
  <c r="V39" i="4" s="1"/>
  <c r="V44" i="4"/>
  <c r="V41" i="4"/>
  <c r="V47" i="4"/>
  <c r="U50" i="4"/>
  <c r="U51" i="4" s="1"/>
  <c r="V50" i="4" l="1"/>
  <c r="V54" i="4" l="1"/>
  <c r="V55" i="4" s="1"/>
  <c r="V51" i="4"/>
  <c r="V53" i="4" s="1"/>
  <c r="V56" i="4" l="1"/>
  <c r="V59" i="4" s="1"/>
  <c r="V61" i="4" s="1"/>
  <c r="J5" i="4" s="1"/>
  <c r="J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R32" authorId="0" shapeId="0" xr:uid="{6D5C46FB-CE0D-4CA2-86E1-CFA7528B556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Impairment related to RBH Eyquity Investment</t>
        </r>
      </text>
    </comment>
    <comment ref="R109" authorId="0" shapeId="0" xr:uid="{13110409-64B3-42BF-8836-F6B38B57281D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Impairment of RBH Equity Investment and Loss on Slae of Vectura Group</t>
        </r>
      </text>
    </comment>
    <comment ref="M128" authorId="0" shapeId="0" xr:uid="{0C4B47A4-4CF9-483E-A432-77B5692BE9A4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Deconsolidation of RBH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<sst xmlns="http://schemas.openxmlformats.org/spreadsheetml/2006/main" count="352" uniqueCount="261">
  <si>
    <t>Philipp Morris</t>
  </si>
  <si>
    <t>Price</t>
  </si>
  <si>
    <t>Shares</t>
  </si>
  <si>
    <t>MC</t>
  </si>
  <si>
    <t>Cash</t>
  </si>
  <si>
    <t>Debt</t>
  </si>
  <si>
    <t>EV</t>
  </si>
  <si>
    <t>Main</t>
  </si>
  <si>
    <t>Income Statement</t>
  </si>
  <si>
    <t>Q123</t>
  </si>
  <si>
    <t>Q223</t>
  </si>
  <si>
    <t>Q323</t>
  </si>
  <si>
    <t>Q423</t>
  </si>
  <si>
    <t>Q124</t>
  </si>
  <si>
    <t>Q224</t>
  </si>
  <si>
    <t>Q324</t>
  </si>
  <si>
    <t>Q424</t>
  </si>
  <si>
    <t>x</t>
  </si>
  <si>
    <t>Net Income</t>
  </si>
  <si>
    <t>Revenue</t>
  </si>
  <si>
    <t>COGS</t>
  </si>
  <si>
    <t>Gross Profit</t>
  </si>
  <si>
    <t>SGA</t>
  </si>
  <si>
    <t>Operating Profit</t>
  </si>
  <si>
    <t>Interest Expense</t>
  </si>
  <si>
    <t>Pension Expenses</t>
  </si>
  <si>
    <t>Pretax Income</t>
  </si>
  <si>
    <t>Income Tax Expense</t>
  </si>
  <si>
    <t>Minorities</t>
  </si>
  <si>
    <t>Net Income to Firm</t>
  </si>
  <si>
    <t>EPS</t>
  </si>
  <si>
    <t>Combustible Tabacco</t>
  </si>
  <si>
    <t>Smoke-Free</t>
  </si>
  <si>
    <t>FY18</t>
  </si>
  <si>
    <t>FY19</t>
  </si>
  <si>
    <t>FY20</t>
  </si>
  <si>
    <t>FY21</t>
  </si>
  <si>
    <t>FY22</t>
  </si>
  <si>
    <t>FY23</t>
  </si>
  <si>
    <t>FY24</t>
  </si>
  <si>
    <t>Other Income</t>
  </si>
  <si>
    <t xml:space="preserve">Metrics </t>
  </si>
  <si>
    <t>Revenue Growth</t>
  </si>
  <si>
    <t>Gross Margin</t>
  </si>
  <si>
    <t>Operating Margin</t>
  </si>
  <si>
    <t>Net Margin</t>
  </si>
  <si>
    <t>Tax Margin</t>
  </si>
  <si>
    <t>Business Model</t>
  </si>
  <si>
    <t>Segment</t>
  </si>
  <si>
    <t>% of Revenue</t>
  </si>
  <si>
    <t>established 1847</t>
  </si>
  <si>
    <t>Cigarettes</t>
  </si>
  <si>
    <t>Brands</t>
  </si>
  <si>
    <t>Competitors</t>
  </si>
  <si>
    <t>12,5 b invested since 2008 for smoke-free products</t>
  </si>
  <si>
    <t>heat-not-burn</t>
  </si>
  <si>
    <t>vapors</t>
  </si>
  <si>
    <t>oral nicotine</t>
  </si>
  <si>
    <t>In 2022 acquistion of Swedish Match AB -&gt; Leader for orinal nicotine (snus)</t>
  </si>
  <si>
    <t>ZYN</t>
  </si>
  <si>
    <t>IQOS</t>
  </si>
  <si>
    <t>Smoke-Free:</t>
  </si>
  <si>
    <t>Markets</t>
  </si>
  <si>
    <t>Malboro, Parliament, Chesterfield, L&amp;M, PM, Local Brands</t>
  </si>
  <si>
    <t>IQOS, Zynn</t>
  </si>
  <si>
    <t>IQOS HEETS</t>
  </si>
  <si>
    <t>Wellnes/Health</t>
  </si>
  <si>
    <t>Health Wellnes</t>
  </si>
  <si>
    <t>Balance Sheet</t>
  </si>
  <si>
    <t>Cash and Cash Equivalents</t>
  </si>
  <si>
    <t>Inventories</t>
  </si>
  <si>
    <t>Other Raw Materials</t>
  </si>
  <si>
    <t>Tobacco Leaf</t>
  </si>
  <si>
    <t>Finished Products</t>
  </si>
  <si>
    <t>Other Current Assets</t>
  </si>
  <si>
    <t>Total Current Assets</t>
  </si>
  <si>
    <t>Other Receivables</t>
  </si>
  <si>
    <t>Account Receivables</t>
  </si>
  <si>
    <t>PP&amp;E at Cost:</t>
  </si>
  <si>
    <t xml:space="preserve">Land </t>
  </si>
  <si>
    <t>Building and Equipment</t>
  </si>
  <si>
    <t>Machinery</t>
  </si>
  <si>
    <t>Construction in Progress</t>
  </si>
  <si>
    <t>Accumulated Depreciation</t>
  </si>
  <si>
    <t>Goodwill</t>
  </si>
  <si>
    <t>Other Intangibles</t>
  </si>
  <si>
    <t>Equity Investment</t>
  </si>
  <si>
    <t>Deffered Income Taxes</t>
  </si>
  <si>
    <t xml:space="preserve">Other </t>
  </si>
  <si>
    <t>Non-Current Assets</t>
  </si>
  <si>
    <t>Total Assets</t>
  </si>
  <si>
    <t>Short Term Borrowings</t>
  </si>
  <si>
    <t>Current Portion of Debt</t>
  </si>
  <si>
    <t>Accounts Payable</t>
  </si>
  <si>
    <t>Accrued Liabilties</t>
  </si>
  <si>
    <t>Marketing and Selling</t>
  </si>
  <si>
    <t>Taxes (Exclunfing Income Tax)</t>
  </si>
  <si>
    <t>Employment Cost</t>
  </si>
  <si>
    <t>Dividends Payable</t>
  </si>
  <si>
    <t>Other</t>
  </si>
  <si>
    <t>Income Tax</t>
  </si>
  <si>
    <t>Income Tax and other</t>
  </si>
  <si>
    <t>Total</t>
  </si>
  <si>
    <t>Current Liabilties</t>
  </si>
  <si>
    <t>Long-Term Debt</t>
  </si>
  <si>
    <t>Deffered Income Tax</t>
  </si>
  <si>
    <t>Non-Current Liabilities</t>
  </si>
  <si>
    <t>Total Liabilties</t>
  </si>
  <si>
    <t>Common Stock</t>
  </si>
  <si>
    <t>Additional Paid-In Capital</t>
  </si>
  <si>
    <t>Retained Earnings</t>
  </si>
  <si>
    <t>Accumalted Income</t>
  </si>
  <si>
    <t>Treassury Stock</t>
  </si>
  <si>
    <t xml:space="preserve">Minorties </t>
  </si>
  <si>
    <t>Total Equity</t>
  </si>
  <si>
    <t>Equity &amp; Laibilties</t>
  </si>
  <si>
    <t>Net Earnings</t>
  </si>
  <si>
    <t>Cash Flow Statement</t>
  </si>
  <si>
    <t>D&amp;A</t>
  </si>
  <si>
    <t>Goodwill Impairment</t>
  </si>
  <si>
    <t>Asset Impairment</t>
  </si>
  <si>
    <t>Receivables Net</t>
  </si>
  <si>
    <t>Change in WC:</t>
  </si>
  <si>
    <t>CFFO</t>
  </si>
  <si>
    <t>Pension Plan</t>
  </si>
  <si>
    <t>CapEx</t>
  </si>
  <si>
    <t>Other Acquisitions</t>
  </si>
  <si>
    <t>Acqusition of Swedish Match</t>
  </si>
  <si>
    <t>Altria Group Agreement</t>
  </si>
  <si>
    <t>Hedges and Derivates</t>
  </si>
  <si>
    <t>CFFI</t>
  </si>
  <si>
    <t>CFFF</t>
  </si>
  <si>
    <t>Net Issuance Short Term Borrowings</t>
  </si>
  <si>
    <t>Repayment Long-Term Borrowings</t>
  </si>
  <si>
    <t>Issuances Long-Term Borrowings</t>
  </si>
  <si>
    <t>Debt related to Swedish Match</t>
  </si>
  <si>
    <t>Repayment of Debt Related to SM</t>
  </si>
  <si>
    <t>Long-Term Debt Repaid</t>
  </si>
  <si>
    <t>Repurchase of Common Stock</t>
  </si>
  <si>
    <t>Dividend Paid</t>
  </si>
  <si>
    <t>Payments to acquire SM</t>
  </si>
  <si>
    <t>Payments to Non-Controlling Interest</t>
  </si>
  <si>
    <t>Issuance of Long Term Debt</t>
  </si>
  <si>
    <t>Currency Exchnage Effect</t>
  </si>
  <si>
    <t>Change in Cash</t>
  </si>
  <si>
    <t>Cash BOP</t>
  </si>
  <si>
    <t>Cash EOP</t>
  </si>
  <si>
    <t>Cigarrete Market-Share</t>
  </si>
  <si>
    <t>Smokefree Market-Share</t>
  </si>
  <si>
    <t>Total Market Share</t>
  </si>
  <si>
    <t>Ratios</t>
  </si>
  <si>
    <t>Average</t>
  </si>
  <si>
    <t>Median</t>
  </si>
  <si>
    <t>Etragskennzahlen</t>
  </si>
  <si>
    <t>Eigenkapitalrendite (ROE)</t>
  </si>
  <si>
    <t>Return on Capital Employed (ROCE)</t>
  </si>
  <si>
    <t>EBIT/(Long Term Assets + Working Capital (Exclusive of cash)-Accounts Payables)</t>
  </si>
  <si>
    <t>Return on Capital Invested (ROIC)</t>
  </si>
  <si>
    <t>(EBIT-Tax Expenses)/(Book Value of Equity + Book Value of Debt - Book Value of Cash)</t>
  </si>
  <si>
    <t>Retention Rate</t>
  </si>
  <si>
    <t>1 - Dividends/Net Income</t>
  </si>
  <si>
    <t>Expected Growth</t>
  </si>
  <si>
    <t>Retention rate * ROE</t>
  </si>
  <si>
    <t>Reinvestment Rate</t>
  </si>
  <si>
    <t>Net CapEx + Change in WC / EBIT * (1-t)</t>
  </si>
  <si>
    <t>Reinvestment rate * ROIC</t>
  </si>
  <si>
    <t>Kennzahlen zur finanziellen Stabilität</t>
  </si>
  <si>
    <t>EK-Quote</t>
  </si>
  <si>
    <t>Book Value of Equity/Total of Balance Sheet</t>
  </si>
  <si>
    <t>Gearing</t>
  </si>
  <si>
    <t>(Debt - Cash (Net Debt))/Book Value of Equity</t>
  </si>
  <si>
    <t>Net Debt / EBITDA</t>
  </si>
  <si>
    <t>Net Debt/EBITDA</t>
  </si>
  <si>
    <t>Goodwill-Anteil</t>
  </si>
  <si>
    <t>Goodwill/Balance Sheet Total</t>
  </si>
  <si>
    <t>Kennzahlen WC Management</t>
  </si>
  <si>
    <t>Debitorenlaufzeit</t>
  </si>
  <si>
    <t>Accounts Receivables/Revenue*360</t>
  </si>
  <si>
    <t>Kreditorenlaufzeit</t>
  </si>
  <si>
    <t>Accounts Payable/Revenue*360</t>
  </si>
  <si>
    <t>Umschlaghäufigkeit der Vorräte</t>
  </si>
  <si>
    <t>Cogs/Inventory</t>
  </si>
  <si>
    <t>Lagedauer</t>
  </si>
  <si>
    <t>360/Umschlaghäufigkeit der Vorräte</t>
  </si>
  <si>
    <t>Cash Conversion Cycle = Debitorenlaufzeit + Lagedauer - Kreditorenlaufzeit</t>
  </si>
  <si>
    <t>Bewertungskennzahlen</t>
  </si>
  <si>
    <t>Equitymultiplikatoren:</t>
  </si>
  <si>
    <t>Market Cap</t>
  </si>
  <si>
    <t>Share Price/EPS</t>
  </si>
  <si>
    <t>PEG Ratio</t>
  </si>
  <si>
    <t>P/E Ratio / Growth</t>
  </si>
  <si>
    <t>Market Cap/Book Vakue of Equity</t>
  </si>
  <si>
    <t>Entitymultipliaktoren</t>
  </si>
  <si>
    <t>EV/EBITDA</t>
  </si>
  <si>
    <t>EV/EBIT</t>
  </si>
  <si>
    <t>EV/FCF</t>
  </si>
  <si>
    <t>EV/Sales</t>
  </si>
  <si>
    <t>EV/Revenue</t>
  </si>
  <si>
    <t>Cash Conversion</t>
  </si>
  <si>
    <t>P/E Ratio</t>
  </si>
  <si>
    <t>P/B Ratio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</si>
  <si>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</si>
  <si>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</si>
  <si>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</si>
  <si>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</si>
  <si>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</si>
  <si>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</si>
  <si>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</si>
  <si>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</si>
  <si>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</si>
  <si>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</si>
  <si>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</si>
  <si>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</si>
  <si>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</si>
  <si>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</si>
  <si>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</si>
  <si>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</si>
  <si>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</si>
  <si>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TGR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</si>
  <si>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</si>
  <si>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</si>
  <si>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</si>
  <si>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</si>
  <si>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</si>
  <si>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</si>
  <si>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</si>
  <si>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</si>
  <si>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</si>
  <si>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</si>
  <si>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</si>
  <si>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</si>
  <si>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</si>
  <si>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</si>
  <si>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</si>
  <si>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</si>
  <si>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</si>
  <si>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</si>
  <si>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</si>
  <si>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</si>
  <si>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</si>
  <si>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Sensitivity Analysis</t>
  </si>
  <si>
    <t>PM</t>
  </si>
  <si>
    <t>Phil Morris DCF</t>
  </si>
  <si>
    <t>Net Income / Equity</t>
  </si>
  <si>
    <t>Interest Coverage Ratio</t>
  </si>
  <si>
    <t>EBIT/Interest Expense</t>
  </si>
  <si>
    <t>Subsidary of Altria Group (MO)</t>
  </si>
  <si>
    <t>Till 2008 intgrated in Phil Morris International -&gt;  Spin Off</t>
  </si>
  <si>
    <t>PM is responsible solely for International Markets and Altria Group for US Market</t>
  </si>
  <si>
    <t>Descripition</t>
  </si>
  <si>
    <t>numbers in mio USD</t>
  </si>
  <si>
    <t>TAM excl. China and US</t>
  </si>
  <si>
    <t>PMI Shimpment Volume (in billion)</t>
  </si>
  <si>
    <t>Heated Tobacco</t>
  </si>
  <si>
    <t>Nicotine Pouches</t>
  </si>
  <si>
    <t xml:space="preserve">Snus </t>
  </si>
  <si>
    <t>Moist Snuff</t>
  </si>
  <si>
    <t>Other Oral Products</t>
  </si>
  <si>
    <t>Total Oral Products</t>
  </si>
  <si>
    <t>Equity Investment Loss &amp; other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</si>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</sst>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\(#,##0.0\)"/>
    <numFmt numFmtId="165" formatCode="#,##0.0000;\(#,##0.0000\)"/>
    <numFmt numFmtId="166" formatCode="&quot;FY&quot;0"/>
    <numFmt numFmtId="167" formatCode="#,##0.0;[Red]#,##0.0"/>
    <numFmt numFmtId="168" formatCode="0.0%"/>
    <numFmt numFmtId="169" formatCode="&quot;FY&quot;0&quot;A&quot;"/>
    <numFmt numFmtId="170" formatCode="&quot;FY&quot;0&quot;E&quot;"/>
    <numFmt numFmtId="171" formatCode="0.0"/>
    <numFmt numFmtId="172" formatCode="#,##0;\(#,##0\)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9" fontId="0" fillId="0" borderId="0" xfId="2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/>
    <xf numFmtId="0" fontId="4" fillId="0" borderId="7" xfId="0" applyFont="1" applyBorder="1"/>
    <xf numFmtId="9" fontId="0" fillId="0" borderId="0" xfId="0" applyNumberFormat="1"/>
    <xf numFmtId="9" fontId="0" fillId="0" borderId="5" xfId="0" applyNumberFormat="1" applyBorder="1"/>
    <xf numFmtId="0" fontId="1" fillId="0" borderId="9" xfId="0" applyFont="1" applyBorder="1"/>
    <xf numFmtId="9" fontId="0" fillId="0" borderId="10" xfId="0" applyNumberFormat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0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10" fillId="0" borderId="10" xfId="0" applyFont="1" applyBorder="1"/>
    <xf numFmtId="0" fontId="0" fillId="0" borderId="12" xfId="0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8" fillId="3" borderId="0" xfId="0" applyFont="1" applyFill="1"/>
    <xf numFmtId="0" fontId="8" fillId="4" borderId="0" xfId="0" applyFont="1" applyFill="1"/>
    <xf numFmtId="0" fontId="9" fillId="4" borderId="0" xfId="0" applyFont="1" applyFill="1"/>
    <xf numFmtId="168" fontId="0" fillId="2" borderId="14" xfId="2" applyNumberFormat="1" applyFont="1" applyFill="1" applyBorder="1" applyAlignment="1">
      <alignment horizontal="center"/>
    </xf>
    <xf numFmtId="169" fontId="8" fillId="3" borderId="0" xfId="0" applyNumberFormat="1" applyFont="1" applyFill="1"/>
    <xf numFmtId="170" fontId="8" fillId="3" borderId="0" xfId="0" applyNumberFormat="1" applyFont="1" applyFill="1"/>
    <xf numFmtId="0" fontId="11" fillId="0" borderId="0" xfId="0" applyFont="1" applyAlignment="1">
      <alignment horizontal="left" indent="1"/>
    </xf>
    <xf numFmtId="0" fontId="11" fillId="0" borderId="0" xfId="0" applyFont="1"/>
    <xf numFmtId="9" fontId="11" fillId="0" borderId="0" xfId="2" applyFont="1"/>
    <xf numFmtId="168" fontId="0" fillId="2" borderId="14" xfId="2" applyNumberFormat="1" applyFont="1" applyFill="1" applyBorder="1" applyAlignment="1">
      <alignment horizontal="left"/>
    </xf>
    <xf numFmtId="0" fontId="1" fillId="5" borderId="1" xfId="0" applyFont="1" applyFill="1" applyBorder="1"/>
    <xf numFmtId="0" fontId="1" fillId="5" borderId="2" xfId="0" applyFont="1" applyFill="1" applyBorder="1"/>
    <xf numFmtId="167" fontId="1" fillId="5" borderId="2" xfId="0" applyNumberFormat="1" applyFont="1" applyFill="1" applyBorder="1"/>
    <xf numFmtId="167" fontId="1" fillId="5" borderId="3" xfId="0" applyNumberFormat="1" applyFont="1" applyFill="1" applyBorder="1"/>
    <xf numFmtId="168" fontId="11" fillId="0" borderId="0" xfId="2" applyNumberFormat="1" applyFont="1"/>
    <xf numFmtId="168" fontId="11" fillId="0" borderId="0" xfId="0" applyNumberFormat="1" applyFont="1"/>
    <xf numFmtId="167" fontId="1" fillId="5" borderId="4" xfId="0" applyNumberFormat="1" applyFont="1" applyFill="1" applyBorder="1"/>
    <xf numFmtId="167" fontId="1" fillId="5" borderId="5" xfId="0" applyNumberFormat="1" applyFont="1" applyFill="1" applyBorder="1"/>
    <xf numFmtId="167" fontId="1" fillId="5" borderId="6" xfId="0" applyNumberFormat="1" applyFont="1" applyFill="1" applyBorder="1"/>
    <xf numFmtId="167" fontId="1" fillId="5" borderId="9" xfId="0" applyNumberFormat="1" applyFont="1" applyFill="1" applyBorder="1"/>
    <xf numFmtId="167" fontId="1" fillId="5" borderId="10" xfId="0" applyNumberFormat="1" applyFont="1" applyFill="1" applyBorder="1"/>
    <xf numFmtId="167" fontId="1" fillId="5" borderId="11" xfId="0" applyNumberFormat="1" applyFont="1" applyFill="1" applyBorder="1"/>
    <xf numFmtId="167" fontId="0" fillId="0" borderId="10" xfId="0" applyNumberFormat="1" applyBorder="1"/>
    <xf numFmtId="167" fontId="0" fillId="0" borderId="2" xfId="0" applyNumberFormat="1" applyBorder="1"/>
    <xf numFmtId="0" fontId="0" fillId="6" borderId="4" xfId="0" applyFill="1" applyBorder="1"/>
    <xf numFmtId="2" fontId="12" fillId="6" borderId="5" xfId="0" applyNumberFormat="1" applyFont="1" applyFill="1" applyBorder="1"/>
    <xf numFmtId="10" fontId="8" fillId="6" borderId="5" xfId="0" applyNumberFormat="1" applyFont="1" applyFill="1" applyBorder="1"/>
    <xf numFmtId="168" fontId="8" fillId="6" borderId="0" xfId="0" applyNumberFormat="1" applyFont="1" applyFill="1"/>
    <xf numFmtId="171" fontId="0" fillId="0" borderId="0" xfId="0" applyNumberFormat="1"/>
    <xf numFmtId="14" fontId="0" fillId="2" borderId="13" xfId="0" applyNumberFormat="1" applyFill="1" applyBorder="1" applyAlignment="1">
      <alignment horizontal="center"/>
    </xf>
    <xf numFmtId="14" fontId="0" fillId="2" borderId="14" xfId="0" applyNumberFormat="1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168" fontId="0" fillId="2" borderId="14" xfId="2" applyNumberFormat="1" applyFont="1" applyFill="1" applyBorder="1" applyAlignment="1">
      <alignment horizontal="right"/>
    </xf>
    <xf numFmtId="9" fontId="0" fillId="2" borderId="14" xfId="2" applyFont="1" applyFill="1" applyBorder="1" applyAlignment="1">
      <alignment horizontal="center"/>
    </xf>
    <xf numFmtId="172" fontId="0" fillId="0" borderId="0" xfId="0" applyNumberFormat="1"/>
    <xf numFmtId="172" fontId="1" fillId="0" borderId="0" xfId="0" applyNumberFormat="1" applyFont="1"/>
    <xf numFmtId="168" fontId="0" fillId="0" borderId="0" xfId="2" applyNumberFormat="1" applyFont="1"/>
    <xf numFmtId="164" fontId="0" fillId="0" borderId="0" xfId="0" applyNumberFormat="1" applyAlignment="1">
      <alignment horizontal="right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 vertical="center" textRotation="90"/>
    </xf>
    <xf numFmtId="0" fontId="1" fillId="6" borderId="16" xfId="0" applyFont="1" applyFill="1" applyBorder="1" applyAlignment="1">
      <alignment horizontal="center" vertical="center" textRotation="90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8893-A6D1-4F9C-9C30-8A2037A3C6D2}">
  <dimension ref="A1:L18"/>
  <sheetViews>
    <sheetView tabSelected="1" topLeftCell="E1" zoomScale="200" zoomScaleNormal="200" workbookViewId="0">
      <selection activeCell="K8" sqref="K8"/>
    </sheetView>
  </sheetViews>
  <sheetFormatPr defaultRowHeight="15" x14ac:dyDescent="0.25"/>
  <cols>
    <col min="1" max="1" width="4.42578125" customWidth="1"/>
    <col min="2" max="2" width="13.85546875" bestFit="1" customWidth="1"/>
    <col min="3" max="3" width="11.5703125" customWidth="1"/>
    <col min="4" max="4" width="47.85546875" bestFit="1" customWidth="1"/>
    <col min="5" max="5" width="7.42578125" bestFit="1" customWidth="1"/>
    <col min="6" max="6" width="11.7109375" bestFit="1" customWidth="1"/>
    <col min="10" max="10" width="14.5703125" bestFit="1" customWidth="1"/>
    <col min="11" max="11" width="8.85546875" bestFit="1" customWidth="1"/>
  </cols>
  <sheetData>
    <row r="1" spans="1:12" x14ac:dyDescent="0.25">
      <c r="A1" s="1" t="s">
        <v>0</v>
      </c>
    </row>
    <row r="2" spans="1:12" x14ac:dyDescent="0.25">
      <c r="A2" t="s">
        <v>250</v>
      </c>
      <c r="J2" s="2"/>
    </row>
    <row r="3" spans="1:12" x14ac:dyDescent="0.25">
      <c r="J3" t="s">
        <v>1</v>
      </c>
      <c r="K3" s="3">
        <v>145.31</v>
      </c>
    </row>
    <row r="4" spans="1:12" x14ac:dyDescent="0.25">
      <c r="B4" s="6" t="s">
        <v>47</v>
      </c>
      <c r="J4" t="s">
        <v>2</v>
      </c>
      <c r="K4" s="73">
        <v>1554.857221</v>
      </c>
      <c r="L4" s="5" t="s">
        <v>16</v>
      </c>
    </row>
    <row r="5" spans="1:12" x14ac:dyDescent="0.25">
      <c r="B5" s="9" t="s">
        <v>48</v>
      </c>
      <c r="C5" s="10" t="s">
        <v>49</v>
      </c>
      <c r="D5" s="10" t="s">
        <v>52</v>
      </c>
      <c r="E5" s="10" t="s">
        <v>62</v>
      </c>
      <c r="F5" s="11" t="s">
        <v>53</v>
      </c>
      <c r="J5" t="s">
        <v>3</v>
      </c>
      <c r="K5" s="73">
        <f>K4*K3</f>
        <v>225936.30278351001</v>
      </c>
    </row>
    <row r="6" spans="1:12" x14ac:dyDescent="0.25">
      <c r="B6" s="18" t="s">
        <v>51</v>
      </c>
      <c r="C6" s="21">
        <v>0.63</v>
      </c>
      <c r="D6" s="12" t="s">
        <v>63</v>
      </c>
      <c r="E6" s="12">
        <v>175</v>
      </c>
      <c r="F6" s="13"/>
      <c r="J6" t="s">
        <v>4</v>
      </c>
      <c r="K6" s="73">
        <v>4216</v>
      </c>
      <c r="L6" s="5" t="s">
        <v>16</v>
      </c>
    </row>
    <row r="7" spans="1:12" x14ac:dyDescent="0.25">
      <c r="B7" s="19" t="s">
        <v>61</v>
      </c>
      <c r="C7" s="20">
        <v>0.36</v>
      </c>
      <c r="D7" t="s">
        <v>64</v>
      </c>
      <c r="E7">
        <v>84</v>
      </c>
      <c r="F7" s="15"/>
      <c r="J7" t="s">
        <v>5</v>
      </c>
      <c r="K7" s="73">
        <f>137+3392+42166</f>
        <v>45695</v>
      </c>
      <c r="L7" s="5" t="s">
        <v>16</v>
      </c>
    </row>
    <row r="8" spans="1:12" x14ac:dyDescent="0.25">
      <c r="B8" s="14" t="s">
        <v>55</v>
      </c>
      <c r="D8" t="s">
        <v>65</v>
      </c>
      <c r="F8" s="15"/>
      <c r="J8" t="s">
        <v>6</v>
      </c>
      <c r="K8" s="73">
        <f>K5-K6+K7</f>
        <v>267415.30278351001</v>
      </c>
    </row>
    <row r="9" spans="1:12" x14ac:dyDescent="0.25">
      <c r="B9" s="14" t="s">
        <v>56</v>
      </c>
      <c r="D9" t="s">
        <v>60</v>
      </c>
      <c r="F9" s="15"/>
    </row>
    <row r="10" spans="1:12" x14ac:dyDescent="0.25">
      <c r="B10" s="14" t="s">
        <v>57</v>
      </c>
      <c r="D10" t="s">
        <v>59</v>
      </c>
      <c r="F10" s="15"/>
    </row>
    <row r="11" spans="1:12" x14ac:dyDescent="0.25">
      <c r="B11" s="22" t="s">
        <v>66</v>
      </c>
      <c r="C11" s="23">
        <v>0.01</v>
      </c>
      <c r="D11" s="16"/>
      <c r="E11" s="16"/>
      <c r="F11" s="17"/>
    </row>
    <row r="13" spans="1:12" x14ac:dyDescent="0.25">
      <c r="B13" t="s">
        <v>50</v>
      </c>
    </row>
    <row r="14" spans="1:12" x14ac:dyDescent="0.25">
      <c r="B14" t="s">
        <v>54</v>
      </c>
    </row>
    <row r="15" spans="1:12" x14ac:dyDescent="0.25">
      <c r="B15" t="s">
        <v>58</v>
      </c>
    </row>
    <row r="16" spans="1:12" x14ac:dyDescent="0.25">
      <c r="B16" t="s">
        <v>246</v>
      </c>
    </row>
    <row r="17" spans="2:2" x14ac:dyDescent="0.25">
      <c r="B17" t="s">
        <v>247</v>
      </c>
    </row>
    <row r="18" spans="2:2" x14ac:dyDescent="0.25">
      <c r="B18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3366-37BF-42AE-A4D4-8E7E11818534}">
  <dimension ref="A1:AM215"/>
  <sheetViews>
    <sheetView zoomScale="200" zoomScaleNormal="200" workbookViewId="0">
      <pane xSplit="2" ySplit="2" topLeftCell="O22" activePane="bottomRight" state="frozen"/>
      <selection pane="topRight" activeCell="C1" sqref="C1"/>
      <selection pane="bottomLeft" activeCell="A3" sqref="A3"/>
      <selection pane="bottomRight" activeCell="R37" sqref="O37:R37"/>
    </sheetView>
  </sheetViews>
  <sheetFormatPr defaultRowHeight="15" x14ac:dyDescent="0.25"/>
  <cols>
    <col min="1" max="1" width="4.7109375" bestFit="1" customWidth="1"/>
    <col min="2" max="2" width="30.140625" bestFit="1" customWidth="1"/>
    <col min="12" max="14" width="9.28515625" bestFit="1" customWidth="1"/>
    <col min="15" max="15" width="9.7109375" bestFit="1" customWidth="1"/>
    <col min="16" max="17" width="9.28515625" bestFit="1" customWidth="1"/>
  </cols>
  <sheetData>
    <row r="1" spans="1:33" x14ac:dyDescent="0.25">
      <c r="A1" s="4" t="s">
        <v>7</v>
      </c>
    </row>
    <row r="2" spans="1:33" x14ac:dyDescent="0.25"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</row>
    <row r="3" spans="1:33" x14ac:dyDescent="0.25">
      <c r="B3" t="s">
        <v>251</v>
      </c>
      <c r="C3" s="5"/>
      <c r="D3" s="5"/>
      <c r="E3" s="5"/>
      <c r="F3" s="5"/>
      <c r="G3" s="3"/>
      <c r="H3" s="3"/>
      <c r="I3" s="3"/>
      <c r="J3" s="3"/>
      <c r="K3" s="3"/>
      <c r="L3" s="3">
        <f t="shared" ref="L3:N3" si="0">L9*(1/L4)+(L10*(L5/1))</f>
        <v>2773.3773078052436</v>
      </c>
      <c r="M3" s="3">
        <f t="shared" si="0"/>
        <v>2698.6749394198469</v>
      </c>
      <c r="N3" s="3">
        <f t="shared" si="0"/>
        <v>2271.3013805415167</v>
      </c>
      <c r="O3" s="3">
        <f>O9*(1/O4)+(O10*(O5/1))</f>
        <v>2291.4054489051632</v>
      </c>
      <c r="P3" s="3">
        <v>2621.5</v>
      </c>
      <c r="Q3" s="3">
        <v>2579.9</v>
      </c>
      <c r="R3" s="3">
        <v>2618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3" x14ac:dyDescent="0.25">
      <c r="B4" t="s">
        <v>147</v>
      </c>
      <c r="C4" s="5"/>
      <c r="D4" s="5"/>
      <c r="E4" s="5"/>
      <c r="F4" s="3"/>
      <c r="G4" s="3"/>
      <c r="H4" s="3"/>
      <c r="I4" s="3"/>
      <c r="J4" s="3"/>
      <c r="K4" s="3"/>
      <c r="L4" s="8">
        <f>26.7/100</f>
        <v>0.26700000000000002</v>
      </c>
      <c r="M4" s="8">
        <f>26.2/100</f>
        <v>0.26200000000000001</v>
      </c>
      <c r="N4" s="8">
        <f>27.7/100</f>
        <v>0.27699999999999997</v>
      </c>
      <c r="O4" s="8">
        <f>27.31/100</f>
        <v>0.27310000000000001</v>
      </c>
      <c r="P4" s="75">
        <v>0.27700000000000002</v>
      </c>
      <c r="Q4" s="75">
        <v>0.23699999999999999</v>
      </c>
      <c r="R4" s="75">
        <v>0.23499999999999999</v>
      </c>
    </row>
    <row r="5" spans="1:33" x14ac:dyDescent="0.25">
      <c r="B5" t="s">
        <v>148</v>
      </c>
      <c r="C5" s="5"/>
      <c r="D5" s="5"/>
      <c r="E5" s="5"/>
      <c r="F5" s="3"/>
      <c r="G5" s="3"/>
      <c r="H5" s="3"/>
      <c r="I5" s="3"/>
      <c r="J5" s="3"/>
      <c r="K5" s="3"/>
      <c r="L5" s="8">
        <f>1.6/100</f>
        <v>1.6E-2</v>
      </c>
      <c r="M5" s="8">
        <f>2.2/100</f>
        <v>2.2000000000000002E-2</v>
      </c>
      <c r="N5" s="8">
        <f>3/100</f>
        <v>0.03</v>
      </c>
      <c r="O5" s="8">
        <f>3.5/100</f>
        <v>3.5000000000000003E-2</v>
      </c>
      <c r="P5" s="8">
        <f>4.1/100</f>
        <v>4.0999999999999995E-2</v>
      </c>
      <c r="Q5" s="75">
        <f>4.7/100</f>
        <v>4.7E-2</v>
      </c>
      <c r="R5" s="75">
        <v>5.1999999999999998E-2</v>
      </c>
      <c r="T5" s="29"/>
    </row>
    <row r="6" spans="1:33" x14ac:dyDescent="0.25">
      <c r="B6" t="s">
        <v>149</v>
      </c>
      <c r="C6" s="5"/>
      <c r="D6" s="5"/>
      <c r="E6" s="5"/>
      <c r="F6" s="3"/>
      <c r="G6" s="3"/>
      <c r="H6" s="3"/>
      <c r="I6" s="3"/>
      <c r="J6" s="3"/>
      <c r="K6" s="3"/>
      <c r="L6" s="76" t="s">
        <v>260</v>
      </c>
      <c r="M6" s="76" t="s">
        <v>260</v>
      </c>
      <c r="N6" s="76" t="s">
        <v>260</v>
      </c>
      <c r="O6" s="76" t="s">
        <v>260</v>
      </c>
      <c r="P6" s="75">
        <v>0.27700000000000002</v>
      </c>
      <c r="Q6" s="75">
        <v>0.28100000000000003</v>
      </c>
      <c r="R6" s="75">
        <v>0.28699999999999998</v>
      </c>
      <c r="T6" s="29"/>
    </row>
    <row r="7" spans="1:33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T7" s="28"/>
    </row>
    <row r="8" spans="1:33" x14ac:dyDescent="0.25">
      <c r="B8" s="6" t="s">
        <v>252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B9" t="s">
        <v>51</v>
      </c>
      <c r="C9" s="3"/>
      <c r="D9" s="3"/>
      <c r="E9" s="3"/>
      <c r="F9" s="3"/>
      <c r="G9" s="3"/>
      <c r="H9" s="3"/>
      <c r="I9" s="3"/>
      <c r="J9" s="3"/>
      <c r="K9" s="3"/>
      <c r="L9" s="3">
        <v>740.31500000000005</v>
      </c>
      <c r="M9" s="3">
        <v>706.70899999999995</v>
      </c>
      <c r="N9" s="3">
        <v>628.51800000000003</v>
      </c>
      <c r="O9" s="3">
        <v>624.875</v>
      </c>
      <c r="P9" s="3">
        <v>621.9</v>
      </c>
      <c r="Q9" s="3">
        <v>612.9</v>
      </c>
      <c r="R9" s="3">
        <v>616.827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B10" t="s">
        <v>253</v>
      </c>
      <c r="C10" s="3"/>
      <c r="D10" s="3"/>
      <c r="E10" s="3"/>
      <c r="F10" s="3"/>
      <c r="G10" s="3"/>
      <c r="H10" s="3"/>
      <c r="I10" s="3"/>
      <c r="J10" s="3"/>
      <c r="K10" s="3"/>
      <c r="L10" s="3">
        <v>41.372</v>
      </c>
      <c r="M10" s="3">
        <v>59.652000000000001</v>
      </c>
      <c r="N10" s="3">
        <v>76.111000000000004</v>
      </c>
      <c r="O10" s="3">
        <v>94.975999999999999</v>
      </c>
      <c r="P10" s="3">
        <v>109.2</v>
      </c>
      <c r="Q10" s="3">
        <v>125.3</v>
      </c>
      <c r="R10" s="3">
        <v>137.74299999999999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B11" t="s">
        <v>102</v>
      </c>
      <c r="C11" s="3"/>
      <c r="D11" s="3"/>
      <c r="E11" s="3"/>
      <c r="F11" s="3"/>
      <c r="G11" s="3"/>
      <c r="H11" s="3"/>
      <c r="I11" s="3"/>
      <c r="J11" s="3"/>
      <c r="K11" s="3"/>
      <c r="L11" s="3">
        <f t="shared" ref="L11:N11" si="1">L9+L10</f>
        <v>781.68700000000001</v>
      </c>
      <c r="M11" s="3">
        <f t="shared" si="1"/>
        <v>766.36099999999999</v>
      </c>
      <c r="N11" s="3">
        <f t="shared" si="1"/>
        <v>704.62900000000002</v>
      </c>
      <c r="O11" s="3">
        <f>O9+O10</f>
        <v>719.851</v>
      </c>
      <c r="P11" s="3">
        <f t="shared" ref="P11" si="2">P9+P10</f>
        <v>731.1</v>
      </c>
      <c r="Q11" s="3">
        <f>Q9+Q10</f>
        <v>738.19999999999993</v>
      </c>
      <c r="R11" s="3">
        <f>R9+R10</f>
        <v>754.56999999999994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B12" t="s">
        <v>254</v>
      </c>
      <c r="C12" s="3"/>
      <c r="D12" s="3"/>
      <c r="E12" s="3"/>
      <c r="F12" s="3"/>
      <c r="G12" s="3"/>
      <c r="H12" s="3"/>
      <c r="I12" s="3"/>
      <c r="J12" s="3"/>
      <c r="K12" s="3"/>
      <c r="L12" s="76" t="s">
        <v>260</v>
      </c>
      <c r="M12" s="76" t="s">
        <v>260</v>
      </c>
      <c r="N12" s="76" t="s">
        <v>260</v>
      </c>
      <c r="O12" s="76" t="s">
        <v>260</v>
      </c>
      <c r="P12" s="3">
        <v>4.2500000000000003E-2</v>
      </c>
      <c r="Q12" s="3">
        <v>0.42109999999999997</v>
      </c>
      <c r="R12" s="3">
        <v>0.64400000000000002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B13" t="s">
        <v>255</v>
      </c>
      <c r="C13" s="3"/>
      <c r="D13" s="3"/>
      <c r="E13" s="3"/>
      <c r="F13" s="3"/>
      <c r="G13" s="3"/>
      <c r="H13" s="3"/>
      <c r="I13" s="3"/>
      <c r="J13" s="3"/>
      <c r="K13" s="3"/>
      <c r="L13" s="76" t="s">
        <v>260</v>
      </c>
      <c r="M13" s="76" t="s">
        <v>260</v>
      </c>
      <c r="N13" s="76" t="s">
        <v>260</v>
      </c>
      <c r="O13" s="76" t="s">
        <v>260</v>
      </c>
      <c r="P13" s="3">
        <v>5.4800000000000001E-2</v>
      </c>
      <c r="Q13" s="3">
        <v>0.2404</v>
      </c>
      <c r="R13" s="3">
        <v>0.23960000000000001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B14" t="s">
        <v>256</v>
      </c>
      <c r="C14" s="3"/>
      <c r="D14" s="3"/>
      <c r="E14" s="3"/>
      <c r="F14" s="3"/>
      <c r="G14" s="3"/>
      <c r="H14" s="3"/>
      <c r="I14" s="3"/>
      <c r="J14" s="3"/>
      <c r="K14" s="3"/>
      <c r="L14" s="76" t="s">
        <v>260</v>
      </c>
      <c r="M14" s="76" t="s">
        <v>260</v>
      </c>
      <c r="N14" s="76" t="s">
        <v>260</v>
      </c>
      <c r="O14" s="76" t="s">
        <v>260</v>
      </c>
      <c r="P14" s="3">
        <v>1.6E-2</v>
      </c>
      <c r="Q14" s="3">
        <v>0.13370000000000001</v>
      </c>
      <c r="R14" s="3">
        <v>0.1346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B15" t="s">
        <v>257</v>
      </c>
      <c r="C15" s="3"/>
      <c r="D15" s="3"/>
      <c r="E15" s="3"/>
      <c r="F15" s="3"/>
      <c r="G15" s="3"/>
      <c r="H15" s="3"/>
      <c r="I15" s="3"/>
      <c r="J15" s="3"/>
      <c r="K15" s="3"/>
      <c r="L15" s="76" t="s">
        <v>260</v>
      </c>
      <c r="M15" s="76" t="s">
        <v>260</v>
      </c>
      <c r="N15" s="76" t="s">
        <v>260</v>
      </c>
      <c r="O15" s="76" t="s">
        <v>260</v>
      </c>
      <c r="P15" s="3">
        <v>0</v>
      </c>
      <c r="Q15" s="3">
        <v>4.1999999999999997E-3</v>
      </c>
      <c r="R15" s="3">
        <v>3.3999999999999998E-3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B16" t="s">
        <v>258</v>
      </c>
      <c r="C16" s="3"/>
      <c r="D16" s="3"/>
      <c r="E16" s="3"/>
      <c r="F16" s="3"/>
      <c r="G16" s="3"/>
      <c r="H16" s="3"/>
      <c r="I16" s="3"/>
      <c r="J16" s="3"/>
      <c r="K16" s="3"/>
      <c r="L16" s="76" t="s">
        <v>260</v>
      </c>
      <c r="M16" s="76" t="s">
        <v>260</v>
      </c>
      <c r="N16" s="76" t="s">
        <v>260</v>
      </c>
      <c r="O16" s="76" t="s">
        <v>260</v>
      </c>
      <c r="P16" s="3">
        <f t="shared" ref="P16:Q16" si="3">+SUM(P12:P15)</f>
        <v>0.1133</v>
      </c>
      <c r="Q16" s="3">
        <f t="shared" si="3"/>
        <v>0.7994</v>
      </c>
      <c r="R16" s="3">
        <f>+SUM(R12:R15)</f>
        <v>1.0216000000000001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9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9" x14ac:dyDescent="0.25">
      <c r="A18" s="7" t="s">
        <v>17</v>
      </c>
      <c r="B18" s="6" t="s">
        <v>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9" x14ac:dyDescent="0.25">
      <c r="A19" s="7"/>
      <c r="B19" t="s">
        <v>31</v>
      </c>
      <c r="C19" s="73"/>
      <c r="D19" s="73"/>
      <c r="E19" s="73"/>
      <c r="F19" s="73"/>
      <c r="G19" s="73"/>
      <c r="H19" s="73"/>
      <c r="I19" s="73"/>
      <c r="J19" s="73"/>
      <c r="K19" s="73"/>
      <c r="L19" s="73">
        <v>25529</v>
      </c>
      <c r="M19" s="73">
        <v>24218</v>
      </c>
      <c r="N19" s="73">
        <v>21867</v>
      </c>
      <c r="O19" s="73">
        <v>22067</v>
      </c>
      <c r="P19" s="73">
        <v>21572</v>
      </c>
      <c r="Q19" s="73">
        <v>22334</v>
      </c>
      <c r="R19" s="73">
        <v>23218</v>
      </c>
      <c r="S19" s="73"/>
      <c r="T19" s="73"/>
      <c r="U19" s="73"/>
      <c r="V19" s="73"/>
      <c r="W19" s="73"/>
      <c r="X19" s="73"/>
      <c r="Y19" s="73"/>
      <c r="Z19" s="73"/>
    </row>
    <row r="20" spans="1:39" x14ac:dyDescent="0.25">
      <c r="A20" s="7"/>
      <c r="B20" t="s">
        <v>32</v>
      </c>
      <c r="C20" s="73"/>
      <c r="D20" s="73"/>
      <c r="E20" s="73"/>
      <c r="F20" s="73"/>
      <c r="G20" s="73"/>
      <c r="H20" s="73"/>
      <c r="I20" s="73"/>
      <c r="J20" s="73"/>
      <c r="K20" s="73"/>
      <c r="L20" s="73">
        <v>4096</v>
      </c>
      <c r="M20" s="73">
        <v>5587</v>
      </c>
      <c r="N20" s="73">
        <v>6827</v>
      </c>
      <c r="O20" s="73">
        <v>9237</v>
      </c>
      <c r="P20" s="73">
        <v>9919</v>
      </c>
      <c r="Q20" s="73">
        <v>12534</v>
      </c>
      <c r="R20" s="73">
        <v>14327</v>
      </c>
      <c r="S20" s="73"/>
      <c r="T20" s="73"/>
      <c r="U20" s="73"/>
      <c r="V20" s="73"/>
      <c r="W20" s="73"/>
      <c r="X20" s="73"/>
      <c r="Y20" s="73"/>
      <c r="Z20" s="73"/>
    </row>
    <row r="21" spans="1:39" x14ac:dyDescent="0.25">
      <c r="A21" s="7"/>
      <c r="B21" t="s">
        <v>66</v>
      </c>
      <c r="C21" s="73"/>
      <c r="D21" s="73"/>
      <c r="E21" s="73"/>
      <c r="F21" s="73"/>
      <c r="G21" s="73"/>
      <c r="H21" s="73"/>
      <c r="I21" s="73"/>
      <c r="J21" s="73"/>
      <c r="K21" s="73"/>
      <c r="L21" s="73">
        <v>0</v>
      </c>
      <c r="M21" s="73">
        <v>0</v>
      </c>
      <c r="N21" s="73">
        <v>0</v>
      </c>
      <c r="O21" s="73">
        <v>101</v>
      </c>
      <c r="P21" s="73">
        <v>271</v>
      </c>
      <c r="Q21" s="73">
        <v>306</v>
      </c>
      <c r="R21" s="73">
        <v>333</v>
      </c>
      <c r="S21" s="73"/>
      <c r="T21" s="73"/>
      <c r="U21" s="73"/>
      <c r="V21" s="73"/>
      <c r="W21" s="73"/>
      <c r="X21" s="73"/>
      <c r="Y21" s="73"/>
      <c r="Z21" s="73"/>
    </row>
    <row r="22" spans="1:39" x14ac:dyDescent="0.25">
      <c r="B22" s="1" t="s">
        <v>19</v>
      </c>
      <c r="C22" s="74">
        <v>8019</v>
      </c>
      <c r="D22" s="74">
        <v>8967</v>
      </c>
      <c r="E22" s="74">
        <v>9141</v>
      </c>
      <c r="F22" s="74">
        <f>+Q22-SUM(C22:E22)</f>
        <v>9047</v>
      </c>
      <c r="G22" s="74">
        <v>8793</v>
      </c>
      <c r="H22" s="74">
        <v>9468</v>
      </c>
      <c r="I22" s="74">
        <v>9911</v>
      </c>
      <c r="J22" s="74"/>
      <c r="K22" s="73"/>
      <c r="L22" s="74">
        <v>29625</v>
      </c>
      <c r="M22" s="74">
        <v>29805</v>
      </c>
      <c r="N22" s="74">
        <v>28694</v>
      </c>
      <c r="O22" s="74">
        <v>31405</v>
      </c>
      <c r="P22" s="74">
        <f t="shared" ref="P22" si="4">SUM(P19:P21)</f>
        <v>31762</v>
      </c>
      <c r="Q22" s="74">
        <f>SUM(Q19:Q21)</f>
        <v>35174</v>
      </c>
      <c r="R22" s="74">
        <f>SUM(R19:R21)</f>
        <v>37878</v>
      </c>
      <c r="S22" s="73"/>
      <c r="T22" s="73"/>
      <c r="U22" s="73"/>
      <c r="V22" s="73"/>
      <c r="W22" s="73"/>
      <c r="X22" s="73"/>
      <c r="Y22" s="73"/>
      <c r="Z22" s="7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25">
      <c r="B23" t="s">
        <v>20</v>
      </c>
      <c r="C23" s="73">
        <v>3038</v>
      </c>
      <c r="D23" s="73">
        <v>3228</v>
      </c>
      <c r="E23" s="73">
        <v>3165</v>
      </c>
      <c r="F23" s="73">
        <f>+Q23-SUM(C23:E23)</f>
        <v>3462</v>
      </c>
      <c r="G23" s="73">
        <v>3195</v>
      </c>
      <c r="H23" s="73">
        <v>3345</v>
      </c>
      <c r="I23" s="73">
        <v>3366</v>
      </c>
      <c r="J23" s="73"/>
      <c r="K23" s="73"/>
      <c r="L23" s="73">
        <v>10758</v>
      </c>
      <c r="M23" s="73">
        <v>10513</v>
      </c>
      <c r="N23" s="73">
        <v>9569</v>
      </c>
      <c r="O23" s="73">
        <v>10030</v>
      </c>
      <c r="P23" s="73">
        <v>11402</v>
      </c>
      <c r="Q23" s="73">
        <v>12893</v>
      </c>
      <c r="R23" s="73">
        <v>13329</v>
      </c>
      <c r="S23" s="73"/>
      <c r="T23" s="73"/>
      <c r="U23" s="73"/>
      <c r="V23" s="73"/>
      <c r="W23" s="73"/>
      <c r="X23" s="73"/>
      <c r="Y23" s="73"/>
      <c r="Z23" s="7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25">
      <c r="B24" t="s">
        <v>21</v>
      </c>
      <c r="C24" s="73">
        <f t="shared" ref="C24:F24" si="5">C22-C23</f>
        <v>4981</v>
      </c>
      <c r="D24" s="73">
        <f t="shared" si="5"/>
        <v>5739</v>
      </c>
      <c r="E24" s="73">
        <f t="shared" si="5"/>
        <v>5976</v>
      </c>
      <c r="F24" s="73">
        <f t="shared" si="5"/>
        <v>5585</v>
      </c>
      <c r="G24" s="73">
        <f>G22-G23</f>
        <v>5598</v>
      </c>
      <c r="H24" s="73">
        <f t="shared" ref="H24:J24" si="6">H22-H23</f>
        <v>6123</v>
      </c>
      <c r="I24" s="73">
        <f t="shared" si="6"/>
        <v>6545</v>
      </c>
      <c r="J24" s="73">
        <f t="shared" si="6"/>
        <v>0</v>
      </c>
      <c r="K24" s="73"/>
      <c r="L24" s="73">
        <f t="shared" ref="L24" si="7">L22-L23</f>
        <v>18867</v>
      </c>
      <c r="M24" s="73">
        <f t="shared" ref="M24" si="8">M22-M23</f>
        <v>19292</v>
      </c>
      <c r="N24" s="73">
        <f t="shared" ref="N24" si="9">N22-N23</f>
        <v>19125</v>
      </c>
      <c r="O24" s="73">
        <f t="shared" ref="O24" si="10">O22-O23</f>
        <v>21375</v>
      </c>
      <c r="P24" s="73">
        <f t="shared" ref="P24" si="11">P22-P23</f>
        <v>20360</v>
      </c>
      <c r="Q24" s="73">
        <f t="shared" ref="Q24:R24" si="12">Q22-Q23</f>
        <v>22281</v>
      </c>
      <c r="R24" s="73">
        <f t="shared" si="12"/>
        <v>24549</v>
      </c>
      <c r="S24" s="73"/>
      <c r="T24" s="73"/>
      <c r="U24" s="73"/>
      <c r="V24" s="73"/>
      <c r="W24" s="73"/>
      <c r="X24" s="73"/>
      <c r="Y24" s="73"/>
      <c r="Z24" s="7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B25" t="s">
        <v>22</v>
      </c>
      <c r="C25" s="73">
        <v>2250</v>
      </c>
      <c r="D25" s="73">
        <v>2508</v>
      </c>
      <c r="E25" s="73">
        <v>2606</v>
      </c>
      <c r="F25" s="73">
        <f>+Q25-SUM(C25:E25)</f>
        <v>2696</v>
      </c>
      <c r="G25" s="73">
        <v>2553</v>
      </c>
      <c r="H25" s="73">
        <v>2679</v>
      </c>
      <c r="I25" s="73">
        <v>2891</v>
      </c>
      <c r="J25" s="73"/>
      <c r="K25" s="73"/>
      <c r="L25" s="73">
        <f>7408+82</f>
        <v>7490</v>
      </c>
      <c r="M25" s="73">
        <f>8695+66</f>
        <v>8761</v>
      </c>
      <c r="N25" s="73">
        <f>7384+73</f>
        <v>7457</v>
      </c>
      <c r="O25" s="73">
        <v>8400</v>
      </c>
      <c r="P25" s="73">
        <v>8114</v>
      </c>
      <c r="Q25" s="73">
        <v>10060</v>
      </c>
      <c r="R25" s="73">
        <v>11147</v>
      </c>
      <c r="S25" s="73"/>
      <c r="T25" s="73"/>
      <c r="U25" s="73"/>
      <c r="V25" s="73"/>
      <c r="W25" s="73"/>
      <c r="X25" s="73"/>
      <c r="Y25" s="73"/>
      <c r="Z25" s="7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x14ac:dyDescent="0.25">
      <c r="B26" t="s">
        <v>40</v>
      </c>
      <c r="C26" s="73">
        <v>0</v>
      </c>
      <c r="D26" s="73">
        <v>-665</v>
      </c>
      <c r="E26" s="73">
        <v>0</v>
      </c>
      <c r="F26" s="73">
        <v>0</v>
      </c>
      <c r="G26" s="73">
        <v>0</v>
      </c>
      <c r="H26" s="73">
        <v>0</v>
      </c>
      <c r="I26" s="73">
        <v>0</v>
      </c>
      <c r="J26" s="73">
        <v>0</v>
      </c>
      <c r="K26" s="73"/>
      <c r="L26" s="73">
        <v>0</v>
      </c>
      <c r="M26" s="73">
        <v>0</v>
      </c>
      <c r="N26" s="73">
        <v>0</v>
      </c>
      <c r="O26" s="73">
        <v>0</v>
      </c>
      <c r="P26" s="73">
        <v>0</v>
      </c>
      <c r="Q26" s="73">
        <v>-665</v>
      </c>
      <c r="R26" s="73">
        <v>0</v>
      </c>
      <c r="S26" s="73"/>
      <c r="T26" s="73"/>
      <c r="U26" s="73"/>
      <c r="V26" s="73"/>
      <c r="W26" s="73"/>
      <c r="X26" s="73"/>
      <c r="Y26" s="73"/>
      <c r="Z26" s="7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25">
      <c r="B27" t="s">
        <v>23</v>
      </c>
      <c r="C27" s="73">
        <f>C24-C25+C26</f>
        <v>2731</v>
      </c>
      <c r="D27" s="73">
        <f t="shared" ref="D27:J27" si="13">D24-D25+D26</f>
        <v>2566</v>
      </c>
      <c r="E27" s="73">
        <f t="shared" si="13"/>
        <v>3370</v>
      </c>
      <c r="F27" s="73">
        <f t="shared" si="13"/>
        <v>2889</v>
      </c>
      <c r="G27" s="73">
        <f t="shared" si="13"/>
        <v>3045</v>
      </c>
      <c r="H27" s="73">
        <f t="shared" si="13"/>
        <v>3444</v>
      </c>
      <c r="I27" s="73">
        <f t="shared" si="13"/>
        <v>3654</v>
      </c>
      <c r="J27" s="73">
        <f t="shared" si="13"/>
        <v>0</v>
      </c>
      <c r="K27" s="73"/>
      <c r="L27" s="73">
        <f t="shared" ref="L27" si="14">L24-L25+L26</f>
        <v>11377</v>
      </c>
      <c r="M27" s="73">
        <f t="shared" ref="M27" si="15">M24-M25+M26</f>
        <v>10531</v>
      </c>
      <c r="N27" s="73">
        <f t="shared" ref="N27" si="16">N24-N25+N26</f>
        <v>11668</v>
      </c>
      <c r="O27" s="73">
        <f t="shared" ref="O27" si="17">O24-O25+O26</f>
        <v>12975</v>
      </c>
      <c r="P27" s="73">
        <f t="shared" ref="P27" si="18">P24-P25+P26</f>
        <v>12246</v>
      </c>
      <c r="Q27" s="73">
        <f t="shared" ref="Q27:R27" si="19">Q24-Q25+Q26</f>
        <v>11556</v>
      </c>
      <c r="R27" s="73">
        <f t="shared" si="19"/>
        <v>13402</v>
      </c>
      <c r="S27" s="73"/>
      <c r="T27" s="73"/>
      <c r="U27" s="73"/>
      <c r="V27" s="73"/>
      <c r="W27" s="73"/>
      <c r="X27" s="73"/>
      <c r="Y27" s="73"/>
      <c r="Z27" s="7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x14ac:dyDescent="0.25">
      <c r="B28" t="s">
        <v>24</v>
      </c>
      <c r="C28" s="73">
        <v>230</v>
      </c>
      <c r="D28" s="73">
        <v>297</v>
      </c>
      <c r="E28" s="73">
        <v>261</v>
      </c>
      <c r="F28" s="73">
        <f>+Q28-SUM(C28:E28)</f>
        <v>273</v>
      </c>
      <c r="G28" s="73">
        <v>299</v>
      </c>
      <c r="H28" s="73">
        <v>329</v>
      </c>
      <c r="I28" s="73">
        <v>189</v>
      </c>
      <c r="J28" s="73"/>
      <c r="K28" s="73"/>
      <c r="L28" s="73">
        <v>665</v>
      </c>
      <c r="M28" s="73">
        <v>570</v>
      </c>
      <c r="N28" s="73">
        <v>618</v>
      </c>
      <c r="O28" s="73">
        <v>628</v>
      </c>
      <c r="P28" s="73">
        <v>588</v>
      </c>
      <c r="Q28" s="73">
        <v>1061</v>
      </c>
      <c r="R28" s="73">
        <v>1143</v>
      </c>
      <c r="S28" s="73"/>
      <c r="T28" s="73"/>
      <c r="U28" s="73"/>
      <c r="V28" s="73"/>
      <c r="W28" s="73"/>
      <c r="X28" s="73"/>
      <c r="Y28" s="73"/>
      <c r="Z28" s="7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25">
      <c r="B29" t="s">
        <v>25</v>
      </c>
      <c r="C29" s="73">
        <v>22</v>
      </c>
      <c r="D29" s="73">
        <v>6</v>
      </c>
      <c r="E29" s="73">
        <v>8</v>
      </c>
      <c r="F29" s="73">
        <f>+Q29-SUM(C29:E29)</f>
        <v>9</v>
      </c>
      <c r="G29" s="73">
        <v>15</v>
      </c>
      <c r="H29" s="73">
        <v>14</v>
      </c>
      <c r="I29" s="73">
        <v>15</v>
      </c>
      <c r="J29" s="73"/>
      <c r="K29" s="73"/>
      <c r="L29" s="73">
        <v>41</v>
      </c>
      <c r="M29" s="73">
        <v>89</v>
      </c>
      <c r="N29" s="73">
        <v>97</v>
      </c>
      <c r="O29" s="73">
        <v>115</v>
      </c>
      <c r="P29" s="73">
        <v>24</v>
      </c>
      <c r="Q29" s="73">
        <v>45</v>
      </c>
      <c r="R29" s="73">
        <v>60</v>
      </c>
      <c r="S29" s="73"/>
      <c r="T29" s="73"/>
      <c r="U29" s="73"/>
      <c r="V29" s="73"/>
      <c r="W29" s="73"/>
      <c r="X29" s="73"/>
      <c r="Y29" s="73"/>
      <c r="Z29" s="7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25">
      <c r="B30" t="s">
        <v>26</v>
      </c>
      <c r="C30" s="73">
        <f t="shared" ref="C30:F30" si="20">C27-C28-C29</f>
        <v>2479</v>
      </c>
      <c r="D30" s="73">
        <f t="shared" si="20"/>
        <v>2263</v>
      </c>
      <c r="E30" s="73">
        <f t="shared" si="20"/>
        <v>3101</v>
      </c>
      <c r="F30" s="73">
        <f t="shared" si="20"/>
        <v>2607</v>
      </c>
      <c r="G30" s="73">
        <f>G27-G28-G29</f>
        <v>2731</v>
      </c>
      <c r="H30" s="73">
        <f t="shared" ref="H30:J30" si="21">H27-H28-H29</f>
        <v>3101</v>
      </c>
      <c r="I30" s="73">
        <f t="shared" si="21"/>
        <v>3450</v>
      </c>
      <c r="J30" s="73">
        <f t="shared" si="21"/>
        <v>0</v>
      </c>
      <c r="K30" s="73"/>
      <c r="L30" s="73">
        <f t="shared" ref="L30" si="22">L27-L28-L29</f>
        <v>10671</v>
      </c>
      <c r="M30" s="73">
        <f t="shared" ref="M30" si="23">M27-M28-M29</f>
        <v>9872</v>
      </c>
      <c r="N30" s="73">
        <f t="shared" ref="N30" si="24">N27-N28-N29</f>
        <v>10953</v>
      </c>
      <c r="O30" s="73">
        <f t="shared" ref="O30" si="25">O27-O28-O29</f>
        <v>12232</v>
      </c>
      <c r="P30" s="73">
        <f t="shared" ref="P30" si="26">P27-P28-P29</f>
        <v>11634</v>
      </c>
      <c r="Q30" s="73">
        <f t="shared" ref="Q30:R30" si="27">Q27-Q28-Q29</f>
        <v>10450</v>
      </c>
      <c r="R30" s="73">
        <f t="shared" si="27"/>
        <v>12199</v>
      </c>
      <c r="S30" s="73"/>
      <c r="T30" s="73"/>
      <c r="U30" s="73"/>
      <c r="V30" s="73"/>
      <c r="W30" s="73"/>
      <c r="X30" s="73"/>
      <c r="Y30" s="73"/>
      <c r="Z30" s="7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x14ac:dyDescent="0.25">
      <c r="B31" t="s">
        <v>27</v>
      </c>
      <c r="C31" s="73">
        <v>428</v>
      </c>
      <c r="D31" s="73">
        <v>560</v>
      </c>
      <c r="E31" s="73">
        <v>1031</v>
      </c>
      <c r="F31" s="73">
        <f>+Q31-SUM(C31:E31)</f>
        <v>320</v>
      </c>
      <c r="G31" s="73">
        <v>676</v>
      </c>
      <c r="H31" s="73">
        <v>734</v>
      </c>
      <c r="I31" s="73">
        <v>735</v>
      </c>
      <c r="J31" s="73"/>
      <c r="K31" s="73"/>
      <c r="L31" s="73">
        <v>2445</v>
      </c>
      <c r="M31" s="73">
        <v>2293</v>
      </c>
      <c r="N31" s="73">
        <v>2377</v>
      </c>
      <c r="O31" s="73">
        <v>2671</v>
      </c>
      <c r="P31" s="73">
        <v>2244</v>
      </c>
      <c r="Q31" s="73">
        <v>2339</v>
      </c>
      <c r="R31" s="73">
        <v>3017</v>
      </c>
      <c r="S31" s="73"/>
      <c r="T31" s="73"/>
      <c r="U31" s="73"/>
      <c r="V31" s="73"/>
      <c r="W31" s="73"/>
      <c r="X31" s="73"/>
      <c r="Y31" s="73"/>
      <c r="Z31" s="7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x14ac:dyDescent="0.25">
      <c r="B32" t="s">
        <v>259</v>
      </c>
      <c r="C32" s="73">
        <v>-51</v>
      </c>
      <c r="D32" s="73">
        <v>21</v>
      </c>
      <c r="E32" s="73">
        <v>-101</v>
      </c>
      <c r="F32" s="73">
        <f>+Q32-SUM(C32:E32)</f>
        <v>-26</v>
      </c>
      <c r="G32" s="73">
        <v>-191</v>
      </c>
      <c r="H32" s="73">
        <v>-161</v>
      </c>
      <c r="I32" s="73">
        <v>-500</v>
      </c>
      <c r="J32" s="73"/>
      <c r="K32" s="73"/>
      <c r="L32" s="73">
        <v>-60</v>
      </c>
      <c r="M32" s="73">
        <v>-149</v>
      </c>
      <c r="N32" s="73">
        <v>-16</v>
      </c>
      <c r="O32" s="73">
        <v>-149</v>
      </c>
      <c r="P32" s="73">
        <v>-137</v>
      </c>
      <c r="Q32" s="73">
        <v>-157</v>
      </c>
      <c r="R32" s="73">
        <f>-637+2316</f>
        <v>1679</v>
      </c>
      <c r="S32" s="73"/>
      <c r="T32" s="73"/>
      <c r="U32" s="73"/>
      <c r="V32" s="73"/>
      <c r="W32" s="73"/>
      <c r="X32" s="73"/>
      <c r="Y32" s="73"/>
      <c r="Z32" s="7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x14ac:dyDescent="0.25">
      <c r="B33" t="s">
        <v>18</v>
      </c>
      <c r="C33" s="73">
        <f t="shared" ref="C33:F33" si="28">C30-C31-C32</f>
        <v>2102</v>
      </c>
      <c r="D33" s="73">
        <f t="shared" si="28"/>
        <v>1682</v>
      </c>
      <c r="E33" s="73">
        <f t="shared" si="28"/>
        <v>2171</v>
      </c>
      <c r="F33" s="73">
        <f t="shared" si="28"/>
        <v>2313</v>
      </c>
      <c r="G33" s="73">
        <f>G30-G31-G32</f>
        <v>2246</v>
      </c>
      <c r="H33" s="73">
        <f t="shared" ref="H33:J33" si="29">H30-H31-H32</f>
        <v>2528</v>
      </c>
      <c r="I33" s="73">
        <f t="shared" si="29"/>
        <v>3215</v>
      </c>
      <c r="J33" s="73">
        <f t="shared" si="29"/>
        <v>0</v>
      </c>
      <c r="K33" s="73"/>
      <c r="L33" s="73">
        <f t="shared" ref="L33" si="30">L30-L31-L32</f>
        <v>8286</v>
      </c>
      <c r="M33" s="73">
        <f t="shared" ref="M33" si="31">M30-M31-M32</f>
        <v>7728</v>
      </c>
      <c r="N33" s="73">
        <f t="shared" ref="N33" si="32">N30-N31-N32</f>
        <v>8592</v>
      </c>
      <c r="O33" s="73">
        <f t="shared" ref="O33" si="33">O30-O31-O32</f>
        <v>9710</v>
      </c>
      <c r="P33" s="73">
        <f t="shared" ref="P33" si="34">P30-P31-P32</f>
        <v>9527</v>
      </c>
      <c r="Q33" s="73">
        <f t="shared" ref="Q33" si="35">Q30-Q31-Q32</f>
        <v>8268</v>
      </c>
      <c r="R33" s="73">
        <f>R30-R31-R32</f>
        <v>7503</v>
      </c>
      <c r="S33" s="73"/>
      <c r="T33" s="73"/>
      <c r="U33" s="73"/>
      <c r="V33" s="73"/>
      <c r="W33" s="73"/>
      <c r="X33" s="73"/>
      <c r="Y33" s="73"/>
      <c r="Z33" s="7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x14ac:dyDescent="0.25">
      <c r="B34" t="s">
        <v>28</v>
      </c>
      <c r="C34" s="73">
        <v>107</v>
      </c>
      <c r="D34" s="73">
        <v>144</v>
      </c>
      <c r="E34" s="73">
        <v>117</v>
      </c>
      <c r="F34" s="73">
        <f>+Q34-SUM(C34:E34)</f>
        <v>87</v>
      </c>
      <c r="G34" s="73">
        <v>98</v>
      </c>
      <c r="H34" s="73">
        <v>122</v>
      </c>
      <c r="I34" s="73">
        <v>133</v>
      </c>
      <c r="J34" s="73"/>
      <c r="K34" s="73"/>
      <c r="L34" s="73">
        <v>375</v>
      </c>
      <c r="M34" s="73">
        <v>543</v>
      </c>
      <c r="N34" s="73">
        <v>536</v>
      </c>
      <c r="O34" s="73">
        <v>601</v>
      </c>
      <c r="P34" s="73">
        <v>479</v>
      </c>
      <c r="Q34" s="73">
        <v>455</v>
      </c>
      <c r="R34" s="73">
        <v>446</v>
      </c>
      <c r="S34" s="73"/>
      <c r="T34" s="73"/>
      <c r="U34" s="73"/>
      <c r="V34" s="73"/>
      <c r="W34" s="73"/>
      <c r="X34" s="73"/>
      <c r="Y34" s="73"/>
      <c r="Z34" s="7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x14ac:dyDescent="0.25">
      <c r="B35" s="1" t="s">
        <v>29</v>
      </c>
      <c r="C35" s="74">
        <f t="shared" ref="C35:F35" si="36">C33-C34</f>
        <v>1995</v>
      </c>
      <c r="D35" s="74">
        <f t="shared" si="36"/>
        <v>1538</v>
      </c>
      <c r="E35" s="74">
        <f t="shared" si="36"/>
        <v>2054</v>
      </c>
      <c r="F35" s="74">
        <f t="shared" si="36"/>
        <v>2226</v>
      </c>
      <c r="G35" s="74">
        <f>G33-G34</f>
        <v>2148</v>
      </c>
      <c r="H35" s="74">
        <f t="shared" ref="H35:J35" si="37">H33-H34</f>
        <v>2406</v>
      </c>
      <c r="I35" s="74">
        <f t="shared" si="37"/>
        <v>3082</v>
      </c>
      <c r="J35" s="74">
        <f t="shared" si="37"/>
        <v>0</v>
      </c>
      <c r="K35" s="73"/>
      <c r="L35" s="74">
        <f t="shared" ref="L35" si="38">L33-L34</f>
        <v>7911</v>
      </c>
      <c r="M35" s="74">
        <f t="shared" ref="M35" si="39">M33-M34</f>
        <v>7185</v>
      </c>
      <c r="N35" s="74">
        <f t="shared" ref="N35" si="40">N33-N34</f>
        <v>8056</v>
      </c>
      <c r="O35" s="74">
        <f t="shared" ref="O35" si="41">O33-O34</f>
        <v>9109</v>
      </c>
      <c r="P35" s="74">
        <f t="shared" ref="P35" si="42">P33-P34</f>
        <v>9048</v>
      </c>
      <c r="Q35" s="74">
        <f t="shared" ref="Q35:R35" si="43">Q33-Q34</f>
        <v>7813</v>
      </c>
      <c r="R35" s="74">
        <f t="shared" si="43"/>
        <v>7057</v>
      </c>
      <c r="S35" s="73"/>
      <c r="T35" s="73"/>
      <c r="U35" s="73"/>
      <c r="V35" s="73"/>
      <c r="W35" s="73"/>
      <c r="X35" s="73"/>
      <c r="Y35" s="73"/>
      <c r="Z35" s="7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x14ac:dyDescent="0.25">
      <c r="B37" t="s">
        <v>30</v>
      </c>
      <c r="C37" s="3">
        <v>1.28</v>
      </c>
      <c r="D37" s="3">
        <v>1.01</v>
      </c>
      <c r="E37" s="3">
        <v>1.32</v>
      </c>
      <c r="F37" s="3">
        <f>+Q37-SUM(C37:E37)</f>
        <v>1.4241494845360823</v>
      </c>
      <c r="G37" s="3">
        <v>1.38</v>
      </c>
      <c r="H37" s="3">
        <v>1.54</v>
      </c>
      <c r="I37" s="3">
        <v>1.98</v>
      </c>
      <c r="J37" s="3"/>
      <c r="K37" s="3"/>
      <c r="L37" s="3">
        <f t="shared" ref="L37:Q37" si="44">+L35/L38</f>
        <v>5.0874598070739552</v>
      </c>
      <c r="M37" s="3">
        <f t="shared" si="44"/>
        <v>4.6176092544987144</v>
      </c>
      <c r="N37" s="3">
        <f t="shared" si="44"/>
        <v>5.1707317073170733</v>
      </c>
      <c r="O37" s="3">
        <f t="shared" si="44"/>
        <v>5.8428479794740218</v>
      </c>
      <c r="P37" s="3">
        <f t="shared" si="44"/>
        <v>5.8374193548387101</v>
      </c>
      <c r="Q37" s="3">
        <f t="shared" si="44"/>
        <v>5.0341494845360826</v>
      </c>
      <c r="R37" s="3">
        <f>+R35/R38</f>
        <v>4.5411840411840414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x14ac:dyDescent="0.25">
      <c r="B38" t="s">
        <v>2</v>
      </c>
      <c r="C38" s="3">
        <f t="shared" ref="C38:J38" si="45">C35/C37</f>
        <v>1558.59375</v>
      </c>
      <c r="D38" s="3">
        <f t="shared" si="45"/>
        <v>1522.7722772277227</v>
      </c>
      <c r="E38" s="3">
        <f t="shared" si="45"/>
        <v>1556.060606060606</v>
      </c>
      <c r="F38" s="3">
        <f t="shared" si="45"/>
        <v>1563.0381671100497</v>
      </c>
      <c r="G38" s="3">
        <f t="shared" si="45"/>
        <v>1556.521739130435</v>
      </c>
      <c r="H38" s="3">
        <f t="shared" si="45"/>
        <v>1562.3376623376623</v>
      </c>
      <c r="I38" s="3">
        <f t="shared" si="45"/>
        <v>1556.5656565656566</v>
      </c>
      <c r="J38" s="3" t="e">
        <f t="shared" si="45"/>
        <v>#DIV/0!</v>
      </c>
      <c r="K38" s="3"/>
      <c r="L38" s="73">
        <v>1555</v>
      </c>
      <c r="M38" s="73">
        <v>1556</v>
      </c>
      <c r="N38" s="73">
        <v>1558</v>
      </c>
      <c r="O38" s="73">
        <v>1559</v>
      </c>
      <c r="P38" s="73">
        <v>1550</v>
      </c>
      <c r="Q38" s="73">
        <v>1552</v>
      </c>
      <c r="R38" s="73">
        <v>1554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x14ac:dyDescent="0.25">
      <c r="A40" s="7" t="s">
        <v>17</v>
      </c>
      <c r="B40" s="6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x14ac:dyDescent="0.25">
      <c r="B41" t="s">
        <v>31</v>
      </c>
      <c r="C41" s="3"/>
      <c r="D41" s="3"/>
      <c r="E41" s="3"/>
      <c r="F41" s="3"/>
      <c r="G41" s="3"/>
      <c r="H41" s="3"/>
      <c r="I41" s="3"/>
      <c r="J41" s="3"/>
      <c r="K41" s="3"/>
      <c r="L41" s="8"/>
      <c r="M41" s="8">
        <f t="shared" ref="M41:R42" si="46">M19/L19-1</f>
        <v>-5.1353362842257777E-2</v>
      </c>
      <c r="N41" s="8">
        <f t="shared" si="46"/>
        <v>-9.7076554628788503E-2</v>
      </c>
      <c r="O41" s="8">
        <f t="shared" si="46"/>
        <v>9.1462020396031463E-3</v>
      </c>
      <c r="P41" s="8">
        <f t="shared" si="46"/>
        <v>-2.2431685321974038E-2</v>
      </c>
      <c r="Q41" s="8">
        <f t="shared" si="46"/>
        <v>3.5323567587613569E-2</v>
      </c>
      <c r="R41" s="8">
        <f t="shared" si="46"/>
        <v>3.9580908032595952E-2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x14ac:dyDescent="0.25">
      <c r="B42" t="s">
        <v>32</v>
      </c>
      <c r="C42" s="3"/>
      <c r="D42" s="3"/>
      <c r="E42" s="3"/>
      <c r="F42" s="3"/>
      <c r="G42" s="3"/>
      <c r="H42" s="3"/>
      <c r="I42" s="3"/>
      <c r="J42" s="3"/>
      <c r="K42" s="3"/>
      <c r="L42" s="8"/>
      <c r="M42" s="8">
        <f t="shared" si="46"/>
        <v>0.364013671875</v>
      </c>
      <c r="N42" s="8">
        <f t="shared" si="46"/>
        <v>0.22194379810273857</v>
      </c>
      <c r="O42" s="8">
        <f t="shared" si="46"/>
        <v>0.35301010692837265</v>
      </c>
      <c r="P42" s="8">
        <f t="shared" si="46"/>
        <v>7.3833495723719889E-2</v>
      </c>
      <c r="Q42" s="8">
        <f t="shared" si="46"/>
        <v>0.26363544712168574</v>
      </c>
      <c r="R42" s="8">
        <f t="shared" si="46"/>
        <v>0.1430509015477901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x14ac:dyDescent="0.25">
      <c r="B43" t="s">
        <v>67</v>
      </c>
      <c r="C43" s="3"/>
      <c r="D43" s="3"/>
      <c r="E43" s="3"/>
      <c r="F43" s="3"/>
      <c r="G43" s="3"/>
      <c r="H43" s="3"/>
      <c r="I43" s="3"/>
      <c r="J43" s="3"/>
      <c r="K43" s="3"/>
      <c r="L43" s="8"/>
      <c r="M43" s="8">
        <v>0</v>
      </c>
      <c r="N43" s="8">
        <v>0</v>
      </c>
      <c r="O43" s="8">
        <v>0</v>
      </c>
      <c r="P43" s="8">
        <f t="shared" ref="P43:R44" si="47">P21/O21-1</f>
        <v>1.6831683168316833</v>
      </c>
      <c r="Q43" s="8">
        <f t="shared" si="47"/>
        <v>0.12915129151291516</v>
      </c>
      <c r="R43" s="8">
        <f t="shared" si="47"/>
        <v>8.8235294117646967E-2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x14ac:dyDescent="0.25">
      <c r="B44" t="s">
        <v>42</v>
      </c>
      <c r="C44" s="3"/>
      <c r="D44" s="3"/>
      <c r="E44" s="3"/>
      <c r="F44" s="3"/>
      <c r="G44" s="8">
        <f>G22/C22-1</f>
        <v>9.6520763187429859E-2</v>
      </c>
      <c r="H44" s="8">
        <f>H22/D22-1</f>
        <v>5.5871528939444692E-2</v>
      </c>
      <c r="I44" s="8">
        <f>I22/E22-1</f>
        <v>8.4235860409145547E-2</v>
      </c>
      <c r="J44" s="8">
        <f>J22/F22-1</f>
        <v>-1</v>
      </c>
      <c r="K44" s="3"/>
      <c r="L44" s="8"/>
      <c r="M44" s="8">
        <f>M22/L22-1</f>
        <v>6.0759493670885512E-3</v>
      </c>
      <c r="N44" s="8">
        <f>N22/M22-1</f>
        <v>-3.7275624895151793E-2</v>
      </c>
      <c r="O44" s="8">
        <f>O22/N22-1</f>
        <v>9.4479682163518541E-2</v>
      </c>
      <c r="P44" s="8">
        <f t="shared" si="47"/>
        <v>1.1367616621557053E-2</v>
      </c>
      <c r="Q44" s="8">
        <f t="shared" si="47"/>
        <v>0.10742396574523005</v>
      </c>
      <c r="R44" s="8">
        <f t="shared" si="47"/>
        <v>7.6874964462386952E-2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x14ac:dyDescent="0.25">
      <c r="B45" t="s">
        <v>43</v>
      </c>
      <c r="C45" s="8">
        <f t="shared" ref="C45:J45" si="48">C24/C22</f>
        <v>0.62114976929791743</v>
      </c>
      <c r="D45" s="8">
        <f t="shared" si="48"/>
        <v>0.64001338240214123</v>
      </c>
      <c r="E45" s="8">
        <f t="shared" si="48"/>
        <v>0.65375779455201843</v>
      </c>
      <c r="F45" s="8">
        <f t="shared" si="48"/>
        <v>0.61733171216978</v>
      </c>
      <c r="G45" s="8">
        <f t="shared" si="48"/>
        <v>0.63664278403275332</v>
      </c>
      <c r="H45" s="8">
        <f t="shared" si="48"/>
        <v>0.64670468948035487</v>
      </c>
      <c r="I45" s="8">
        <f t="shared" si="48"/>
        <v>0.660377358490566</v>
      </c>
      <c r="J45" s="8" t="e">
        <f t="shared" si="48"/>
        <v>#DIV/0!</v>
      </c>
      <c r="K45" s="3"/>
      <c r="L45" s="8">
        <f t="shared" ref="L45:R45" si="49">L24/L22</f>
        <v>0.63686075949367094</v>
      </c>
      <c r="M45" s="8">
        <f t="shared" si="49"/>
        <v>0.64727394732427446</v>
      </c>
      <c r="N45" s="8">
        <f t="shared" si="49"/>
        <v>0.666515647870635</v>
      </c>
      <c r="O45" s="8">
        <f t="shared" si="49"/>
        <v>0.68062410444196786</v>
      </c>
      <c r="P45" s="8">
        <f t="shared" si="49"/>
        <v>0.64101756816321387</v>
      </c>
      <c r="Q45" s="8">
        <f t="shared" si="49"/>
        <v>0.63345084437368515</v>
      </c>
      <c r="R45" s="8">
        <f t="shared" si="49"/>
        <v>0.64810708062727707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x14ac:dyDescent="0.25">
      <c r="B46" t="s">
        <v>44</v>
      </c>
      <c r="C46" s="8">
        <f t="shared" ref="C46:J46" si="50">C27/C22</f>
        <v>0.34056615538097018</v>
      </c>
      <c r="D46" s="8">
        <f t="shared" si="50"/>
        <v>0.28616036578565851</v>
      </c>
      <c r="E46" s="8">
        <f t="shared" si="50"/>
        <v>0.36866863581665027</v>
      </c>
      <c r="F46" s="8">
        <f t="shared" si="50"/>
        <v>0.31933237537305181</v>
      </c>
      <c r="G46" s="8">
        <f t="shared" si="50"/>
        <v>0.34629819174343229</v>
      </c>
      <c r="H46" s="8">
        <f t="shared" si="50"/>
        <v>0.3637515842839037</v>
      </c>
      <c r="I46" s="8">
        <f t="shared" si="50"/>
        <v>0.36868126324286149</v>
      </c>
      <c r="J46" s="8" t="e">
        <f t="shared" si="50"/>
        <v>#DIV/0!</v>
      </c>
      <c r="K46" s="3"/>
      <c r="L46" s="8">
        <f t="shared" ref="L46:R46" si="51">L27/L22</f>
        <v>0.38403375527426159</v>
      </c>
      <c r="M46" s="8">
        <f t="shared" si="51"/>
        <v>0.35332997819157858</v>
      </c>
      <c r="N46" s="8">
        <f t="shared" si="51"/>
        <v>0.40663553356102322</v>
      </c>
      <c r="O46" s="8">
        <f t="shared" si="51"/>
        <v>0.4131507721700366</v>
      </c>
      <c r="P46" s="8">
        <f t="shared" si="51"/>
        <v>0.38555506580190163</v>
      </c>
      <c r="Q46" s="8">
        <f t="shared" si="51"/>
        <v>0.32853812475123673</v>
      </c>
      <c r="R46" s="8">
        <f t="shared" si="51"/>
        <v>0.35382015945931677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x14ac:dyDescent="0.25">
      <c r="B47" t="s">
        <v>45</v>
      </c>
      <c r="C47" s="8">
        <f t="shared" ref="C47:J47" si="52">C35/C22</f>
        <v>0.24878413767302657</v>
      </c>
      <c r="D47" s="8">
        <f t="shared" si="52"/>
        <v>0.17151778744284599</v>
      </c>
      <c r="E47" s="8">
        <f t="shared" si="52"/>
        <v>0.22470189257192869</v>
      </c>
      <c r="F47" s="8">
        <f t="shared" si="52"/>
        <v>0.2460484138388416</v>
      </c>
      <c r="G47" s="8">
        <f t="shared" si="52"/>
        <v>0.24428522688502219</v>
      </c>
      <c r="H47" s="8">
        <f t="shared" si="52"/>
        <v>0.25411913814955639</v>
      </c>
      <c r="I47" s="8">
        <f t="shared" si="52"/>
        <v>0.31096761174452631</v>
      </c>
      <c r="J47" s="8" t="e">
        <f t="shared" si="52"/>
        <v>#DIV/0!</v>
      </c>
      <c r="K47" s="3"/>
      <c r="L47" s="8">
        <f t="shared" ref="L47:R47" si="53">L35/L22</f>
        <v>0.26703797468354429</v>
      </c>
      <c r="M47" s="8">
        <f t="shared" si="53"/>
        <v>0.24106693507800706</v>
      </c>
      <c r="N47" s="8">
        <f t="shared" si="53"/>
        <v>0.28075555865337704</v>
      </c>
      <c r="O47" s="8">
        <f t="shared" si="53"/>
        <v>0.29004935519821684</v>
      </c>
      <c r="P47" s="8">
        <f t="shared" si="53"/>
        <v>0.28486871103834771</v>
      </c>
      <c r="Q47" s="8">
        <f t="shared" si="53"/>
        <v>0.2221242963552624</v>
      </c>
      <c r="R47" s="8">
        <f t="shared" si="53"/>
        <v>0.18630867522044459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x14ac:dyDescent="0.25">
      <c r="B48" t="s">
        <v>46</v>
      </c>
      <c r="C48" s="8">
        <f t="shared" ref="C48:J48" si="54">C31/C30</f>
        <v>0.17265026220250101</v>
      </c>
      <c r="D48" s="8">
        <f t="shared" si="54"/>
        <v>0.2474591250552364</v>
      </c>
      <c r="E48" s="8">
        <f t="shared" si="54"/>
        <v>0.33247339567881329</v>
      </c>
      <c r="F48" s="8">
        <f t="shared" si="54"/>
        <v>0.12274645186037592</v>
      </c>
      <c r="G48" s="8">
        <f t="shared" si="54"/>
        <v>0.24752837788355914</v>
      </c>
      <c r="H48" s="8">
        <f t="shared" si="54"/>
        <v>0.23669783940664302</v>
      </c>
      <c r="I48" s="8">
        <f t="shared" si="54"/>
        <v>0.21304347826086956</v>
      </c>
      <c r="J48" s="8" t="e">
        <f t="shared" si="54"/>
        <v>#DIV/0!</v>
      </c>
      <c r="K48" s="3"/>
      <c r="L48" s="8">
        <f t="shared" ref="L48:R48" si="55">L31/L30</f>
        <v>0.2291256676974979</v>
      </c>
      <c r="M48" s="8">
        <f t="shared" si="55"/>
        <v>0.23227309562398704</v>
      </c>
      <c r="N48" s="8">
        <f t="shared" si="55"/>
        <v>0.2170181685383</v>
      </c>
      <c r="O48" s="8">
        <f t="shared" si="55"/>
        <v>0.2183616742969261</v>
      </c>
      <c r="P48" s="8">
        <f t="shared" si="55"/>
        <v>0.19288292934502321</v>
      </c>
      <c r="Q48" s="8">
        <f t="shared" si="55"/>
        <v>0.22382775119617224</v>
      </c>
      <c r="R48" s="8">
        <f t="shared" si="55"/>
        <v>0.24731535371751784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x14ac:dyDescent="0.25">
      <c r="A51" s="7" t="s">
        <v>17</v>
      </c>
      <c r="B51" s="6" t="s">
        <v>68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x14ac:dyDescent="0.25">
      <c r="B52" t="s">
        <v>69</v>
      </c>
      <c r="C52" s="73"/>
      <c r="D52" s="73"/>
      <c r="E52" s="73"/>
      <c r="F52" s="73"/>
      <c r="G52" s="73"/>
      <c r="H52" s="73"/>
      <c r="I52" s="73"/>
      <c r="J52" s="73"/>
      <c r="K52" s="73"/>
      <c r="L52" s="73">
        <v>6593</v>
      </c>
      <c r="M52" s="73">
        <v>6861</v>
      </c>
      <c r="N52" s="73">
        <v>7280</v>
      </c>
      <c r="O52" s="73">
        <v>4496</v>
      </c>
      <c r="P52" s="73">
        <v>3207</v>
      </c>
      <c r="Q52" s="73">
        <v>3060</v>
      </c>
      <c r="R52" s="73">
        <v>4216</v>
      </c>
      <c r="S52" s="73"/>
      <c r="T52" s="73"/>
      <c r="U52" s="73"/>
      <c r="V52" s="73"/>
      <c r="W52" s="73"/>
      <c r="X52" s="73"/>
      <c r="Y52" s="7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x14ac:dyDescent="0.25">
      <c r="B53" t="s">
        <v>77</v>
      </c>
      <c r="C53" s="73"/>
      <c r="D53" s="73"/>
      <c r="E53" s="73"/>
      <c r="F53" s="73"/>
      <c r="G53" s="73"/>
      <c r="H53" s="73"/>
      <c r="I53" s="73"/>
      <c r="J53" s="73"/>
      <c r="K53" s="73"/>
      <c r="L53" s="73">
        <v>2950</v>
      </c>
      <c r="M53" s="73">
        <v>3080</v>
      </c>
      <c r="N53" s="73">
        <v>2905</v>
      </c>
      <c r="O53" s="73">
        <v>3123</v>
      </c>
      <c r="P53" s="73">
        <v>3850</v>
      </c>
      <c r="Q53" s="73">
        <v>3461</v>
      </c>
      <c r="R53" s="73">
        <v>3789</v>
      </c>
      <c r="S53" s="73"/>
      <c r="T53" s="73"/>
      <c r="U53" s="73"/>
      <c r="V53" s="73"/>
      <c r="W53" s="73"/>
      <c r="X53" s="73"/>
      <c r="Y53" s="7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x14ac:dyDescent="0.25">
      <c r="B54" t="s">
        <v>76</v>
      </c>
      <c r="C54" s="73"/>
      <c r="D54" s="73"/>
      <c r="E54" s="73"/>
      <c r="F54" s="73"/>
      <c r="G54" s="73"/>
      <c r="H54" s="73"/>
      <c r="I54" s="73"/>
      <c r="J54" s="73"/>
      <c r="K54" s="73"/>
      <c r="L54" s="73">
        <v>614</v>
      </c>
      <c r="M54" s="73">
        <v>637</v>
      </c>
      <c r="N54" s="73">
        <v>856</v>
      </c>
      <c r="O54" s="73">
        <v>817</v>
      </c>
      <c r="P54" s="73">
        <v>906</v>
      </c>
      <c r="Q54" s="73">
        <v>930</v>
      </c>
      <c r="R54" s="73">
        <v>886</v>
      </c>
      <c r="S54" s="73"/>
      <c r="T54" s="73"/>
      <c r="U54" s="73"/>
      <c r="V54" s="73"/>
      <c r="W54" s="73"/>
      <c r="X54" s="73"/>
      <c r="Y54" s="7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x14ac:dyDescent="0.25">
      <c r="B55" t="s">
        <v>70</v>
      </c>
      <c r="C55" s="73"/>
      <c r="D55" s="73"/>
      <c r="E55" s="73"/>
      <c r="F55" s="73"/>
      <c r="G55" s="73"/>
      <c r="H55" s="73"/>
      <c r="I55" s="73"/>
      <c r="J55" s="73"/>
      <c r="K55" s="73"/>
      <c r="L55" s="73">
        <f t="shared" ref="L55:P55" si="56">SUM(L56:L58)</f>
        <v>8804</v>
      </c>
      <c r="M55" s="73">
        <f t="shared" si="56"/>
        <v>9235</v>
      </c>
      <c r="N55" s="73">
        <f t="shared" si="56"/>
        <v>9591</v>
      </c>
      <c r="O55" s="73">
        <f t="shared" si="56"/>
        <v>8720</v>
      </c>
      <c r="P55" s="73">
        <f t="shared" si="56"/>
        <v>9886</v>
      </c>
      <c r="Q55" s="73">
        <f>SUM(Q56:Q58)</f>
        <v>10774</v>
      </c>
      <c r="R55" s="73">
        <f>SUM(R56:R58)</f>
        <v>9453</v>
      </c>
      <c r="S55" s="73"/>
      <c r="T55" s="73"/>
      <c r="U55" s="73"/>
      <c r="V55" s="73"/>
      <c r="W55" s="73"/>
      <c r="X55" s="73"/>
      <c r="Y55" s="7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x14ac:dyDescent="0.25">
      <c r="B56" s="24" t="s">
        <v>72</v>
      </c>
      <c r="C56" s="73"/>
      <c r="D56" s="73"/>
      <c r="E56" s="73"/>
      <c r="F56" s="73"/>
      <c r="G56" s="73"/>
      <c r="H56" s="73"/>
      <c r="I56" s="73"/>
      <c r="J56" s="73"/>
      <c r="K56" s="73"/>
      <c r="L56" s="73">
        <v>2318</v>
      </c>
      <c r="M56" s="73">
        <v>2052</v>
      </c>
      <c r="N56" s="73">
        <v>2063</v>
      </c>
      <c r="O56" s="73">
        <v>1642</v>
      </c>
      <c r="P56" s="73">
        <v>1674</v>
      </c>
      <c r="Q56" s="73">
        <v>1942</v>
      </c>
      <c r="R56" s="73">
        <v>2080</v>
      </c>
      <c r="S56" s="73"/>
      <c r="T56" s="73"/>
      <c r="U56" s="73"/>
      <c r="V56" s="73"/>
      <c r="W56" s="73"/>
      <c r="X56" s="73"/>
      <c r="Y56" s="7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x14ac:dyDescent="0.25">
      <c r="B57" s="24" t="s">
        <v>71</v>
      </c>
      <c r="C57" s="73"/>
      <c r="D57" s="73"/>
      <c r="E57" s="73"/>
      <c r="F57" s="73"/>
      <c r="G57" s="73"/>
      <c r="H57" s="73"/>
      <c r="I57" s="73"/>
      <c r="J57" s="73"/>
      <c r="K57" s="73"/>
      <c r="L57" s="73">
        <v>1405</v>
      </c>
      <c r="M57" s="73">
        <v>1596</v>
      </c>
      <c r="N57" s="73">
        <v>1712</v>
      </c>
      <c r="O57" s="73">
        <v>1652</v>
      </c>
      <c r="P57" s="73">
        <v>2028</v>
      </c>
      <c r="Q57" s="73">
        <v>2293</v>
      </c>
      <c r="R57" s="73">
        <v>2261</v>
      </c>
      <c r="S57" s="73"/>
      <c r="T57" s="73"/>
      <c r="U57" s="73"/>
      <c r="V57" s="73"/>
      <c r="W57" s="73"/>
      <c r="X57" s="73"/>
      <c r="Y57" s="7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x14ac:dyDescent="0.25">
      <c r="B58" s="24" t="s">
        <v>73</v>
      </c>
      <c r="C58" s="73"/>
      <c r="D58" s="73"/>
      <c r="E58" s="73"/>
      <c r="F58" s="73"/>
      <c r="G58" s="73"/>
      <c r="H58" s="73"/>
      <c r="I58" s="73"/>
      <c r="J58" s="73"/>
      <c r="K58" s="73"/>
      <c r="L58" s="73">
        <v>5081</v>
      </c>
      <c r="M58" s="73">
        <v>5587</v>
      </c>
      <c r="N58" s="73">
        <v>5816</v>
      </c>
      <c r="O58" s="73">
        <v>5426</v>
      </c>
      <c r="P58" s="73">
        <v>6184</v>
      </c>
      <c r="Q58" s="73">
        <v>6539</v>
      </c>
      <c r="R58" s="73">
        <v>5112</v>
      </c>
      <c r="S58" s="73"/>
      <c r="T58" s="73"/>
      <c r="U58" s="73"/>
      <c r="V58" s="73"/>
      <c r="W58" s="73"/>
      <c r="X58" s="73"/>
      <c r="Y58" s="7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x14ac:dyDescent="0.25">
      <c r="B59" s="25" t="s">
        <v>74</v>
      </c>
      <c r="C59" s="73"/>
      <c r="D59" s="73"/>
      <c r="E59" s="73"/>
      <c r="F59" s="73"/>
      <c r="G59" s="73"/>
      <c r="H59" s="73"/>
      <c r="I59" s="73"/>
      <c r="J59" s="73"/>
      <c r="K59" s="73"/>
      <c r="L59" s="73">
        <v>481</v>
      </c>
      <c r="M59" s="73">
        <v>701</v>
      </c>
      <c r="N59" s="73">
        <v>860</v>
      </c>
      <c r="O59" s="73">
        <v>561</v>
      </c>
      <c r="P59" s="73">
        <v>1770</v>
      </c>
      <c r="Q59" s="73">
        <v>1530</v>
      </c>
      <c r="R59" s="73">
        <v>1826</v>
      </c>
      <c r="S59" s="73"/>
      <c r="T59" s="73"/>
      <c r="U59" s="73"/>
      <c r="V59" s="73"/>
      <c r="W59" s="73"/>
      <c r="X59" s="73"/>
      <c r="Y59" s="7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x14ac:dyDescent="0.25">
      <c r="B60" s="26" t="s">
        <v>75</v>
      </c>
      <c r="C60" s="73"/>
      <c r="D60" s="73"/>
      <c r="E60" s="73"/>
      <c r="F60" s="73"/>
      <c r="G60" s="73"/>
      <c r="H60" s="73"/>
      <c r="I60" s="73"/>
      <c r="J60" s="73"/>
      <c r="K60" s="73"/>
      <c r="L60" s="74">
        <f t="shared" ref="L60:P60" si="57">SUM(L52:L55,L59)</f>
        <v>19442</v>
      </c>
      <c r="M60" s="74">
        <f t="shared" si="57"/>
        <v>20514</v>
      </c>
      <c r="N60" s="74">
        <f t="shared" si="57"/>
        <v>21492</v>
      </c>
      <c r="O60" s="74">
        <f t="shared" si="57"/>
        <v>17717</v>
      </c>
      <c r="P60" s="74">
        <f t="shared" si="57"/>
        <v>19619</v>
      </c>
      <c r="Q60" s="74">
        <f>SUM(Q52:Q55,Q59)</f>
        <v>19755</v>
      </c>
      <c r="R60" s="74">
        <f>SUM(R52:R55,R59)</f>
        <v>20170</v>
      </c>
      <c r="S60" s="73"/>
      <c r="T60" s="73"/>
      <c r="U60" s="73"/>
      <c r="V60" s="73"/>
      <c r="W60" s="73"/>
      <c r="X60" s="73"/>
      <c r="Y60" s="7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x14ac:dyDescent="0.25">
      <c r="B61" s="25" t="s">
        <v>78</v>
      </c>
      <c r="C61" s="73"/>
      <c r="D61" s="73"/>
      <c r="E61" s="73"/>
      <c r="F61" s="73"/>
      <c r="G61" s="73"/>
      <c r="H61" s="73"/>
      <c r="I61" s="73"/>
      <c r="J61" s="73"/>
      <c r="K61" s="73"/>
      <c r="L61" s="73">
        <f t="shared" ref="L61:P61" si="58">SUM(L62:L66)</f>
        <v>7201</v>
      </c>
      <c r="M61" s="73">
        <f t="shared" si="58"/>
        <v>6631</v>
      </c>
      <c r="N61" s="73">
        <f t="shared" si="58"/>
        <v>6365</v>
      </c>
      <c r="O61" s="73">
        <f t="shared" si="58"/>
        <v>6168</v>
      </c>
      <c r="P61" s="73">
        <f t="shared" si="58"/>
        <v>6710</v>
      </c>
      <c r="Q61" s="73">
        <f>SUM(Q62:Q66)</f>
        <v>7516</v>
      </c>
      <c r="R61" s="73">
        <f>SUM(R62:R66)</f>
        <v>7310</v>
      </c>
      <c r="S61" s="73"/>
      <c r="T61" s="73"/>
      <c r="U61" s="73"/>
      <c r="V61" s="73"/>
      <c r="W61" s="73"/>
      <c r="X61" s="73"/>
      <c r="Y61" s="7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x14ac:dyDescent="0.25">
      <c r="B62" s="24" t="s">
        <v>79</v>
      </c>
      <c r="C62" s="73"/>
      <c r="D62" s="73"/>
      <c r="E62" s="73"/>
      <c r="F62" s="73"/>
      <c r="G62" s="73"/>
      <c r="H62" s="73"/>
      <c r="I62" s="73"/>
      <c r="J62" s="73"/>
      <c r="K62" s="73"/>
      <c r="L62" s="73">
        <v>600</v>
      </c>
      <c r="M62" s="73">
        <v>566</v>
      </c>
      <c r="N62" s="73">
        <v>590</v>
      </c>
      <c r="O62" s="73">
        <v>565</v>
      </c>
      <c r="P62" s="73">
        <v>545</v>
      </c>
      <c r="Q62" s="73">
        <v>550</v>
      </c>
      <c r="R62" s="73">
        <v>581</v>
      </c>
      <c r="S62" s="73"/>
      <c r="T62" s="73"/>
      <c r="U62" s="73"/>
      <c r="V62" s="73"/>
      <c r="W62" s="73"/>
      <c r="X62" s="73"/>
      <c r="Y62" s="7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x14ac:dyDescent="0.25">
      <c r="B63" s="24" t="s">
        <v>80</v>
      </c>
      <c r="C63" s="73"/>
      <c r="D63" s="73"/>
      <c r="E63" s="73"/>
      <c r="F63" s="73"/>
      <c r="G63" s="73"/>
      <c r="H63" s="73"/>
      <c r="I63" s="73"/>
      <c r="J63" s="73"/>
      <c r="K63" s="73"/>
      <c r="L63" s="73">
        <v>3975</v>
      </c>
      <c r="M63" s="73">
        <v>4132</v>
      </c>
      <c r="N63" s="73">
        <v>4410</v>
      </c>
      <c r="O63" s="73">
        <v>4293</v>
      </c>
      <c r="P63" s="73">
        <v>4291</v>
      </c>
      <c r="Q63" s="73">
        <v>4617</v>
      </c>
      <c r="R63" s="73">
        <v>4391</v>
      </c>
      <c r="S63" s="73"/>
      <c r="T63" s="73"/>
      <c r="U63" s="73"/>
      <c r="V63" s="73"/>
      <c r="W63" s="73"/>
      <c r="X63" s="73"/>
      <c r="Y63" s="7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x14ac:dyDescent="0.25">
      <c r="B64" s="24" t="s">
        <v>81</v>
      </c>
      <c r="C64" s="73"/>
      <c r="D64" s="73"/>
      <c r="E64" s="73"/>
      <c r="F64" s="73"/>
      <c r="G64" s="73"/>
      <c r="H64" s="73"/>
      <c r="I64" s="73"/>
      <c r="J64" s="73"/>
      <c r="K64" s="73"/>
      <c r="L64" s="73">
        <v>9096</v>
      </c>
      <c r="M64" s="73">
        <v>9354</v>
      </c>
      <c r="N64" s="73">
        <v>9460</v>
      </c>
      <c r="O64" s="73">
        <v>9275</v>
      </c>
      <c r="P64" s="73">
        <v>9549</v>
      </c>
      <c r="Q64" s="73">
        <v>10713</v>
      </c>
      <c r="R64" s="73">
        <v>10632</v>
      </c>
      <c r="S64" s="73"/>
      <c r="T64" s="73"/>
      <c r="U64" s="73"/>
      <c r="V64" s="73"/>
      <c r="W64" s="73"/>
      <c r="X64" s="73"/>
      <c r="Y64" s="7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2:39" x14ac:dyDescent="0.25">
      <c r="B65" s="24" t="s">
        <v>82</v>
      </c>
      <c r="C65" s="73"/>
      <c r="D65" s="73"/>
      <c r="E65" s="73"/>
      <c r="F65" s="73"/>
      <c r="G65" s="73"/>
      <c r="H65" s="73"/>
      <c r="I65" s="73"/>
      <c r="J65" s="73"/>
      <c r="K65" s="73"/>
      <c r="L65" s="73">
        <v>886</v>
      </c>
      <c r="M65" s="73">
        <v>394</v>
      </c>
      <c r="N65" s="73">
        <v>449</v>
      </c>
      <c r="O65" s="73">
        <v>599</v>
      </c>
      <c r="P65" s="73">
        <v>1058</v>
      </c>
      <c r="Q65" s="73">
        <v>1200</v>
      </c>
      <c r="R65" s="73">
        <v>1081</v>
      </c>
      <c r="S65" s="73"/>
      <c r="T65" s="73"/>
      <c r="U65" s="73"/>
      <c r="V65" s="73"/>
      <c r="W65" s="73"/>
      <c r="X65" s="73"/>
      <c r="Y65" s="7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2:39" x14ac:dyDescent="0.25">
      <c r="B66" s="24" t="s">
        <v>83</v>
      </c>
      <c r="C66" s="73"/>
      <c r="D66" s="73"/>
      <c r="E66" s="73"/>
      <c r="F66" s="73"/>
      <c r="G66" s="73"/>
      <c r="H66" s="73"/>
      <c r="I66" s="73"/>
      <c r="J66" s="73"/>
      <c r="K66" s="73"/>
      <c r="L66" s="73">
        <v>-7356</v>
      </c>
      <c r="M66" s="73">
        <v>-7815</v>
      </c>
      <c r="N66" s="73">
        <v>-8544</v>
      </c>
      <c r="O66" s="73">
        <v>-8564</v>
      </c>
      <c r="P66" s="73">
        <v>-8733</v>
      </c>
      <c r="Q66" s="73">
        <v>-9564</v>
      </c>
      <c r="R66" s="73">
        <v>-9375</v>
      </c>
      <c r="S66" s="73"/>
      <c r="T66" s="73"/>
      <c r="U66" s="73"/>
      <c r="V66" s="73"/>
      <c r="W66" s="73"/>
      <c r="X66" s="73"/>
      <c r="Y66" s="7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2:39" x14ac:dyDescent="0.25">
      <c r="B67" t="s">
        <v>84</v>
      </c>
      <c r="C67" s="73"/>
      <c r="D67" s="73"/>
      <c r="E67" s="73"/>
      <c r="F67" s="73"/>
      <c r="G67" s="73"/>
      <c r="H67" s="73"/>
      <c r="I67" s="73"/>
      <c r="J67" s="73"/>
      <c r="K67" s="73"/>
      <c r="L67" s="73">
        <v>7189</v>
      </c>
      <c r="M67" s="73">
        <v>5858</v>
      </c>
      <c r="N67" s="73">
        <v>5964</v>
      </c>
      <c r="O67" s="73">
        <v>6680</v>
      </c>
      <c r="P67" s="73">
        <v>19655</v>
      </c>
      <c r="Q67" s="73">
        <v>16779</v>
      </c>
      <c r="R67" s="73">
        <v>16600</v>
      </c>
      <c r="S67" s="73"/>
      <c r="T67" s="73"/>
      <c r="U67" s="73"/>
      <c r="V67" s="73"/>
      <c r="W67" s="73"/>
      <c r="X67" s="73"/>
      <c r="Y67" s="7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5">
      <c r="B68" t="s">
        <v>85</v>
      </c>
      <c r="C68" s="73"/>
      <c r="D68" s="73"/>
      <c r="E68" s="73"/>
      <c r="F68" s="73"/>
      <c r="G68" s="73"/>
      <c r="H68" s="73"/>
      <c r="I68" s="73"/>
      <c r="J68" s="73"/>
      <c r="K68" s="73"/>
      <c r="L68" s="73">
        <v>2278</v>
      </c>
      <c r="M68" s="73">
        <v>2113</v>
      </c>
      <c r="N68" s="73">
        <v>2019</v>
      </c>
      <c r="O68" s="73">
        <v>2818</v>
      </c>
      <c r="P68" s="73">
        <v>6732</v>
      </c>
      <c r="Q68" s="73">
        <v>9864</v>
      </c>
      <c r="R68" s="73">
        <v>11327</v>
      </c>
      <c r="S68" s="73"/>
      <c r="T68" s="73"/>
      <c r="U68" s="73"/>
      <c r="V68" s="73"/>
      <c r="W68" s="73"/>
      <c r="X68" s="73"/>
      <c r="Y68" s="7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2:39" x14ac:dyDescent="0.25">
      <c r="B69" t="s">
        <v>86</v>
      </c>
      <c r="C69" s="73"/>
      <c r="D69" s="73"/>
      <c r="E69" s="73"/>
      <c r="F69" s="73"/>
      <c r="G69" s="73"/>
      <c r="H69" s="73"/>
      <c r="I69" s="73"/>
      <c r="J69" s="73"/>
      <c r="K69" s="73"/>
      <c r="L69" s="73">
        <v>1269</v>
      </c>
      <c r="M69" s="73">
        <v>4635</v>
      </c>
      <c r="N69" s="73">
        <v>4798</v>
      </c>
      <c r="O69" s="73">
        <v>4463</v>
      </c>
      <c r="P69" s="73">
        <v>4431</v>
      </c>
      <c r="Q69" s="73">
        <v>4929</v>
      </c>
      <c r="R69" s="73">
        <v>2654</v>
      </c>
      <c r="S69" s="73"/>
      <c r="T69" s="73"/>
      <c r="U69" s="73"/>
      <c r="V69" s="73"/>
      <c r="W69" s="73"/>
      <c r="X69" s="73"/>
      <c r="Y69" s="7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2:39" x14ac:dyDescent="0.25">
      <c r="B70" t="s">
        <v>87</v>
      </c>
      <c r="C70" s="73"/>
      <c r="D70" s="73"/>
      <c r="E70" s="73"/>
      <c r="F70" s="73"/>
      <c r="G70" s="73"/>
      <c r="H70" s="73"/>
      <c r="I70" s="73"/>
      <c r="J70" s="73"/>
      <c r="K70" s="73"/>
      <c r="L70" s="73">
        <v>977</v>
      </c>
      <c r="M70" s="73">
        <v>1153</v>
      </c>
      <c r="N70" s="73">
        <v>1410</v>
      </c>
      <c r="O70" s="73">
        <v>895</v>
      </c>
      <c r="P70" s="73">
        <v>603</v>
      </c>
      <c r="Q70" s="73">
        <v>814</v>
      </c>
      <c r="R70" s="73">
        <v>940</v>
      </c>
      <c r="S70" s="73"/>
      <c r="T70" s="73"/>
      <c r="U70" s="73"/>
      <c r="V70" s="73"/>
      <c r="W70" s="73"/>
      <c r="X70" s="73"/>
      <c r="Y70" s="7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2:39" x14ac:dyDescent="0.25">
      <c r="B71" t="s">
        <v>88</v>
      </c>
      <c r="C71" s="73"/>
      <c r="D71" s="73"/>
      <c r="E71" s="73"/>
      <c r="F71" s="73"/>
      <c r="G71" s="73"/>
      <c r="H71" s="73"/>
      <c r="I71" s="73"/>
      <c r="J71" s="73"/>
      <c r="K71" s="73"/>
      <c r="L71" s="73">
        <v>1445</v>
      </c>
      <c r="M71" s="73">
        <v>1971</v>
      </c>
      <c r="N71" s="73">
        <v>2767</v>
      </c>
      <c r="O71" s="73">
        <v>2549</v>
      </c>
      <c r="P71" s="73">
        <v>3931</v>
      </c>
      <c r="Q71" s="73">
        <v>5647</v>
      </c>
      <c r="R71" s="73">
        <v>2783</v>
      </c>
      <c r="S71" s="73"/>
      <c r="T71" s="73"/>
      <c r="U71" s="73"/>
      <c r="V71" s="73"/>
      <c r="W71" s="73"/>
      <c r="X71" s="73"/>
      <c r="Y71" s="7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2:39" x14ac:dyDescent="0.25">
      <c r="B72" s="1" t="s">
        <v>89</v>
      </c>
      <c r="C72" s="73"/>
      <c r="D72" s="73"/>
      <c r="E72" s="73"/>
      <c r="F72" s="73"/>
      <c r="G72" s="73"/>
      <c r="H72" s="73"/>
      <c r="I72" s="73"/>
      <c r="J72" s="73"/>
      <c r="K72" s="73"/>
      <c r="L72" s="74">
        <f t="shared" ref="L72:P72" si="59">SUM(L61,L67:L71)</f>
        <v>20359</v>
      </c>
      <c r="M72" s="74">
        <f t="shared" si="59"/>
        <v>22361</v>
      </c>
      <c r="N72" s="74">
        <f t="shared" si="59"/>
        <v>23323</v>
      </c>
      <c r="O72" s="74">
        <f t="shared" si="59"/>
        <v>23573</v>
      </c>
      <c r="P72" s="74">
        <f t="shared" si="59"/>
        <v>42062</v>
      </c>
      <c r="Q72" s="74">
        <f>SUM(Q61,Q67:Q71)</f>
        <v>45549</v>
      </c>
      <c r="R72" s="74">
        <f>SUM(R61,R67:R71)</f>
        <v>41614</v>
      </c>
      <c r="S72" s="73"/>
      <c r="T72" s="73"/>
      <c r="U72" s="73"/>
      <c r="V72" s="73"/>
      <c r="W72" s="73"/>
      <c r="X72" s="73"/>
      <c r="Y72" s="7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2:39" x14ac:dyDescent="0.25"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2:39" x14ac:dyDescent="0.25">
      <c r="B74" s="1" t="s">
        <v>90</v>
      </c>
      <c r="C74" s="73"/>
      <c r="D74" s="73"/>
      <c r="E74" s="73"/>
      <c r="F74" s="73"/>
      <c r="G74" s="73"/>
      <c r="H74" s="73"/>
      <c r="I74" s="73"/>
      <c r="J74" s="73"/>
      <c r="K74" s="73"/>
      <c r="L74" s="74">
        <f t="shared" ref="L74:R74" si="60">L72+L60</f>
        <v>39801</v>
      </c>
      <c r="M74" s="74">
        <f t="shared" si="60"/>
        <v>42875</v>
      </c>
      <c r="N74" s="74">
        <f t="shared" si="60"/>
        <v>44815</v>
      </c>
      <c r="O74" s="74">
        <f t="shared" si="60"/>
        <v>41290</v>
      </c>
      <c r="P74" s="74">
        <f t="shared" si="60"/>
        <v>61681</v>
      </c>
      <c r="Q74" s="74">
        <f t="shared" si="60"/>
        <v>65304</v>
      </c>
      <c r="R74" s="74">
        <f t="shared" si="60"/>
        <v>61784</v>
      </c>
      <c r="S74" s="73"/>
      <c r="T74" s="73"/>
      <c r="U74" s="73"/>
      <c r="V74" s="73"/>
      <c r="W74" s="73"/>
      <c r="X74" s="73"/>
      <c r="Y74" s="7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2:39" x14ac:dyDescent="0.25"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2:39" x14ac:dyDescent="0.25">
      <c r="B76" t="s">
        <v>91</v>
      </c>
      <c r="C76" s="73"/>
      <c r="D76" s="73"/>
      <c r="E76" s="73"/>
      <c r="F76" s="73"/>
      <c r="G76" s="73"/>
      <c r="H76" s="73"/>
      <c r="I76" s="73"/>
      <c r="J76" s="73"/>
      <c r="K76" s="73"/>
      <c r="L76" s="73">
        <v>730</v>
      </c>
      <c r="M76" s="73">
        <v>338</v>
      </c>
      <c r="N76" s="73">
        <v>244</v>
      </c>
      <c r="O76" s="73">
        <v>225</v>
      </c>
      <c r="P76" s="73">
        <v>5637</v>
      </c>
      <c r="Q76" s="73">
        <v>1968</v>
      </c>
      <c r="R76" s="73">
        <v>137</v>
      </c>
      <c r="S76" s="73"/>
      <c r="T76" s="73"/>
      <c r="U76" s="73"/>
      <c r="V76" s="73"/>
      <c r="W76" s="73"/>
      <c r="X76" s="73"/>
      <c r="Y76" s="7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2:39" x14ac:dyDescent="0.25">
      <c r="B77" t="s">
        <v>92</v>
      </c>
      <c r="C77" s="73"/>
      <c r="D77" s="73"/>
      <c r="E77" s="73"/>
      <c r="F77" s="73"/>
      <c r="G77" s="73"/>
      <c r="H77" s="73"/>
      <c r="I77" s="73"/>
      <c r="J77" s="73"/>
      <c r="K77" s="73"/>
      <c r="L77" s="73">
        <v>4054</v>
      </c>
      <c r="M77" s="73">
        <v>4051</v>
      </c>
      <c r="N77" s="73">
        <v>3124</v>
      </c>
      <c r="O77" s="73">
        <v>2798</v>
      </c>
      <c r="P77" s="73">
        <v>2611</v>
      </c>
      <c r="Q77" s="73">
        <v>4698</v>
      </c>
      <c r="R77" s="73">
        <v>3392</v>
      </c>
      <c r="S77" s="73"/>
      <c r="T77" s="73"/>
      <c r="U77" s="73"/>
      <c r="V77" s="73"/>
      <c r="W77" s="73"/>
      <c r="X77" s="73"/>
      <c r="Y77" s="7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2:39" x14ac:dyDescent="0.25">
      <c r="B78" t="s">
        <v>93</v>
      </c>
      <c r="C78" s="73"/>
      <c r="D78" s="73"/>
      <c r="E78" s="73"/>
      <c r="F78" s="73"/>
      <c r="G78" s="73"/>
      <c r="H78" s="73"/>
      <c r="I78" s="73"/>
      <c r="J78" s="73"/>
      <c r="K78" s="73"/>
      <c r="L78" s="73">
        <v>2068</v>
      </c>
      <c r="M78" s="73">
        <v>2299</v>
      </c>
      <c r="N78" s="73">
        <v>2780</v>
      </c>
      <c r="O78" s="73">
        <v>3331</v>
      </c>
      <c r="P78" s="73">
        <v>4076</v>
      </c>
      <c r="Q78" s="73">
        <v>4143</v>
      </c>
      <c r="R78" s="73">
        <v>3952</v>
      </c>
      <c r="S78" s="73"/>
      <c r="T78" s="73"/>
      <c r="U78" s="73"/>
      <c r="V78" s="73"/>
      <c r="W78" s="73"/>
      <c r="X78" s="73"/>
      <c r="Y78" s="7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2:39" x14ac:dyDescent="0.25">
      <c r="B79" t="s">
        <v>94</v>
      </c>
      <c r="C79" s="73"/>
      <c r="D79" s="73"/>
      <c r="E79" s="73"/>
      <c r="F79" s="73"/>
      <c r="G79" s="73"/>
      <c r="H79" s="73"/>
      <c r="I79" s="73"/>
      <c r="J79" s="73"/>
      <c r="K79" s="73"/>
      <c r="L79" s="73">
        <f t="shared" ref="L79:P79" si="61">SUM(L80:L84)</f>
        <v>9763</v>
      </c>
      <c r="M79" s="73">
        <f t="shared" si="61"/>
        <v>11349</v>
      </c>
      <c r="N79" s="73">
        <f t="shared" si="61"/>
        <v>12376</v>
      </c>
      <c r="O79" s="73">
        <f t="shared" si="61"/>
        <v>11876</v>
      </c>
      <c r="P79" s="73">
        <f t="shared" si="61"/>
        <v>13972</v>
      </c>
      <c r="Q79" s="73">
        <f>SUM(Q80:Q84)</f>
        <v>14416</v>
      </c>
      <c r="R79" s="73">
        <f>SUM(R80:R84)</f>
        <v>14176</v>
      </c>
      <c r="S79" s="73"/>
      <c r="T79" s="73"/>
      <c r="U79" s="73"/>
      <c r="V79" s="73"/>
      <c r="W79" s="73"/>
      <c r="X79" s="73"/>
      <c r="Y79" s="7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2:39" x14ac:dyDescent="0.25">
      <c r="B80" s="24" t="s">
        <v>95</v>
      </c>
      <c r="C80" s="73"/>
      <c r="D80" s="73"/>
      <c r="E80" s="73"/>
      <c r="F80" s="73"/>
      <c r="G80" s="73"/>
      <c r="H80" s="73"/>
      <c r="I80" s="73"/>
      <c r="J80" s="73"/>
      <c r="K80" s="73"/>
      <c r="L80" s="73">
        <v>732</v>
      </c>
      <c r="M80" s="73">
        <v>666</v>
      </c>
      <c r="N80" s="73">
        <v>782</v>
      </c>
      <c r="O80" s="73">
        <v>811</v>
      </c>
      <c r="P80" s="73">
        <v>695</v>
      </c>
      <c r="Q80" s="73">
        <v>862</v>
      </c>
      <c r="R80" s="73">
        <v>1015</v>
      </c>
      <c r="S80" s="73"/>
      <c r="T80" s="73"/>
      <c r="U80" s="73"/>
      <c r="V80" s="73"/>
      <c r="W80" s="73"/>
      <c r="X80" s="73"/>
      <c r="Y80" s="7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2:39" x14ac:dyDescent="0.25">
      <c r="B81" s="24" t="s">
        <v>96</v>
      </c>
      <c r="C81" s="73"/>
      <c r="D81" s="73"/>
      <c r="E81" s="73"/>
      <c r="F81" s="73"/>
      <c r="G81" s="73"/>
      <c r="H81" s="73"/>
      <c r="I81" s="73"/>
      <c r="J81" s="73"/>
      <c r="K81" s="73"/>
      <c r="L81" s="73">
        <v>5088</v>
      </c>
      <c r="M81" s="73">
        <v>5837</v>
      </c>
      <c r="N81" s="73">
        <v>6403</v>
      </c>
      <c r="O81" s="73">
        <v>6324</v>
      </c>
      <c r="P81" s="73">
        <v>7440</v>
      </c>
      <c r="Q81" s="73">
        <v>7514</v>
      </c>
      <c r="R81" s="73">
        <v>6904</v>
      </c>
      <c r="S81" s="73"/>
      <c r="T81" s="73"/>
      <c r="U81" s="73"/>
      <c r="V81" s="73"/>
      <c r="W81" s="73"/>
      <c r="X81" s="73"/>
      <c r="Y81" s="7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2:39" x14ac:dyDescent="0.25">
      <c r="B82" s="24" t="s">
        <v>97</v>
      </c>
      <c r="C82" s="73"/>
      <c r="D82" s="73"/>
      <c r="E82" s="73"/>
      <c r="F82" s="73"/>
      <c r="G82" s="73"/>
      <c r="H82" s="73"/>
      <c r="I82" s="73"/>
      <c r="J82" s="73"/>
      <c r="K82" s="73"/>
      <c r="L82" s="73">
        <v>794</v>
      </c>
      <c r="M82" s="73">
        <v>1042</v>
      </c>
      <c r="N82" s="73">
        <v>1189</v>
      </c>
      <c r="O82" s="73">
        <v>1146</v>
      </c>
      <c r="P82" s="73">
        <v>1168</v>
      </c>
      <c r="Q82" s="73">
        <v>1262</v>
      </c>
      <c r="R82" s="73">
        <v>1305</v>
      </c>
      <c r="S82" s="73"/>
      <c r="T82" s="73"/>
      <c r="U82" s="73"/>
      <c r="V82" s="73"/>
      <c r="W82" s="73"/>
      <c r="X82" s="73"/>
      <c r="Y82" s="7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2:39" x14ac:dyDescent="0.25">
      <c r="B83" s="24" t="s">
        <v>98</v>
      </c>
      <c r="C83" s="73"/>
      <c r="D83" s="73"/>
      <c r="E83" s="73"/>
      <c r="F83" s="73"/>
      <c r="G83" s="73"/>
      <c r="H83" s="73"/>
      <c r="I83" s="73"/>
      <c r="J83" s="73"/>
      <c r="K83" s="73"/>
      <c r="L83" s="73">
        <v>1783</v>
      </c>
      <c r="M83" s="73">
        <v>1831</v>
      </c>
      <c r="N83" s="73">
        <v>1880</v>
      </c>
      <c r="O83" s="73">
        <v>1958</v>
      </c>
      <c r="P83" s="73">
        <v>1990</v>
      </c>
      <c r="Q83" s="73">
        <v>2041</v>
      </c>
      <c r="R83" s="73">
        <v>2120</v>
      </c>
      <c r="S83" s="73"/>
      <c r="T83" s="73"/>
      <c r="U83" s="73"/>
      <c r="V83" s="73"/>
      <c r="W83" s="73"/>
      <c r="X83" s="73"/>
      <c r="Y83" s="7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2:39" x14ac:dyDescent="0.25">
      <c r="B84" s="24" t="s">
        <v>99</v>
      </c>
      <c r="C84" s="73"/>
      <c r="D84" s="73"/>
      <c r="E84" s="73"/>
      <c r="F84" s="73"/>
      <c r="G84" s="73"/>
      <c r="H84" s="73"/>
      <c r="I84" s="73"/>
      <c r="J84" s="73"/>
      <c r="K84" s="73"/>
      <c r="L84" s="73">
        <v>1366</v>
      </c>
      <c r="M84" s="73">
        <v>1973</v>
      </c>
      <c r="N84" s="73">
        <v>2122</v>
      </c>
      <c r="O84" s="73">
        <v>1637</v>
      </c>
      <c r="P84" s="73">
        <v>2679</v>
      </c>
      <c r="Q84" s="73">
        <v>2737</v>
      </c>
      <c r="R84" s="73">
        <v>2832</v>
      </c>
      <c r="S84" s="73"/>
      <c r="T84" s="73"/>
      <c r="U84" s="73"/>
      <c r="V84" s="73"/>
      <c r="W84" s="73"/>
      <c r="X84" s="73"/>
      <c r="Y84" s="7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2:39" x14ac:dyDescent="0.25">
      <c r="B85" t="s">
        <v>101</v>
      </c>
      <c r="C85" s="73"/>
      <c r="D85" s="73"/>
      <c r="E85" s="73"/>
      <c r="F85" s="73"/>
      <c r="G85" s="73"/>
      <c r="H85" s="73"/>
      <c r="I85" s="73"/>
      <c r="J85" s="73"/>
      <c r="K85" s="73"/>
      <c r="L85" s="73">
        <v>576</v>
      </c>
      <c r="M85" s="73">
        <v>796</v>
      </c>
      <c r="N85" s="73">
        <v>1091</v>
      </c>
      <c r="O85" s="73">
        <v>1025</v>
      </c>
      <c r="P85" s="73">
        <v>1040</v>
      </c>
      <c r="Q85" s="73">
        <v>1158</v>
      </c>
      <c r="R85" s="73">
        <v>1258</v>
      </c>
      <c r="S85" s="73"/>
      <c r="T85" s="73"/>
      <c r="U85" s="73"/>
      <c r="V85" s="73"/>
      <c r="W85" s="73"/>
      <c r="X85" s="73"/>
      <c r="Y85" s="7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2:39" x14ac:dyDescent="0.25">
      <c r="B86" s="26" t="s">
        <v>103</v>
      </c>
      <c r="C86" s="73"/>
      <c r="D86" s="73"/>
      <c r="E86" s="73"/>
      <c r="F86" s="73"/>
      <c r="G86" s="73"/>
      <c r="H86" s="73"/>
      <c r="I86" s="73"/>
      <c r="J86" s="73"/>
      <c r="K86" s="73"/>
      <c r="L86" s="74">
        <f t="shared" ref="L86:P86" si="62">SUM(L76:L79,L85)</f>
        <v>17191</v>
      </c>
      <c r="M86" s="74">
        <f>SUM(M76:M79,M85)</f>
        <v>18833</v>
      </c>
      <c r="N86" s="74">
        <f t="shared" si="62"/>
        <v>19615</v>
      </c>
      <c r="O86" s="74">
        <f t="shared" si="62"/>
        <v>19255</v>
      </c>
      <c r="P86" s="74">
        <f t="shared" si="62"/>
        <v>27336</v>
      </c>
      <c r="Q86" s="74">
        <f>SUM(Q76:Q79,Q85)</f>
        <v>26383</v>
      </c>
      <c r="R86" s="74">
        <f>SUM(R76:R79,R85)</f>
        <v>22915</v>
      </c>
      <c r="S86" s="73"/>
      <c r="T86" s="73"/>
      <c r="U86" s="73"/>
      <c r="V86" s="73"/>
      <c r="W86" s="73"/>
      <c r="X86" s="73"/>
      <c r="Y86" s="7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2:39" x14ac:dyDescent="0.25">
      <c r="B87" s="25" t="s">
        <v>104</v>
      </c>
      <c r="C87" s="73"/>
      <c r="D87" s="73"/>
      <c r="E87" s="73"/>
      <c r="F87" s="73"/>
      <c r="G87" s="73"/>
      <c r="H87" s="73"/>
      <c r="I87" s="73"/>
      <c r="J87" s="73"/>
      <c r="K87" s="73"/>
      <c r="L87" s="73">
        <v>26975</v>
      </c>
      <c r="M87" s="73">
        <v>26656</v>
      </c>
      <c r="N87" s="73">
        <v>28168</v>
      </c>
      <c r="O87" s="73">
        <v>24783</v>
      </c>
      <c r="P87" s="73">
        <v>34875</v>
      </c>
      <c r="Q87" s="73">
        <v>41243</v>
      </c>
      <c r="R87" s="73">
        <v>42166</v>
      </c>
      <c r="S87" s="73"/>
      <c r="T87" s="73"/>
      <c r="U87" s="73"/>
      <c r="V87" s="73"/>
      <c r="W87" s="73"/>
      <c r="X87" s="73"/>
      <c r="Y87" s="7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2:39" x14ac:dyDescent="0.25">
      <c r="B88" s="25" t="s">
        <v>105</v>
      </c>
      <c r="C88" s="73"/>
      <c r="D88" s="73"/>
      <c r="E88" s="73"/>
      <c r="F88" s="73"/>
      <c r="G88" s="73"/>
      <c r="H88" s="73"/>
      <c r="I88" s="73"/>
      <c r="J88" s="73"/>
      <c r="K88" s="73"/>
      <c r="L88" s="73">
        <v>898</v>
      </c>
      <c r="M88" s="73">
        <v>908</v>
      </c>
      <c r="N88" s="73">
        <v>684</v>
      </c>
      <c r="O88" s="73">
        <v>726</v>
      </c>
      <c r="P88" s="73">
        <v>1956</v>
      </c>
      <c r="Q88" s="73">
        <v>2335</v>
      </c>
      <c r="R88" s="73">
        <v>2517</v>
      </c>
      <c r="S88" s="73"/>
      <c r="T88" s="73"/>
      <c r="U88" s="73"/>
      <c r="V88" s="73"/>
      <c r="W88" s="73"/>
      <c r="X88" s="73"/>
      <c r="Y88" s="7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2:39" x14ac:dyDescent="0.25">
      <c r="B89" s="25" t="s">
        <v>97</v>
      </c>
      <c r="C89" s="73"/>
      <c r="D89" s="73"/>
      <c r="E89" s="73"/>
      <c r="F89" s="73"/>
      <c r="G89" s="73"/>
      <c r="H89" s="73"/>
      <c r="I89" s="73"/>
      <c r="J89" s="73"/>
      <c r="K89" s="73"/>
      <c r="L89" s="73">
        <v>3083</v>
      </c>
      <c r="M89" s="73">
        <v>3634</v>
      </c>
      <c r="N89" s="73">
        <v>4470</v>
      </c>
      <c r="O89" s="73">
        <v>2968</v>
      </c>
      <c r="P89" s="73">
        <v>1984</v>
      </c>
      <c r="Q89" s="73">
        <v>3046</v>
      </c>
      <c r="R89" s="73">
        <v>2940</v>
      </c>
      <c r="S89" s="73"/>
      <c r="T89" s="73"/>
      <c r="U89" s="73"/>
      <c r="V89" s="73"/>
      <c r="W89" s="73"/>
      <c r="X89" s="73"/>
      <c r="Y89" s="7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2:39" x14ac:dyDescent="0.25">
      <c r="B90" s="25" t="s">
        <v>101</v>
      </c>
      <c r="C90" s="73"/>
      <c r="D90" s="73"/>
      <c r="E90" s="73"/>
      <c r="F90" s="73"/>
      <c r="G90" s="73"/>
      <c r="H90" s="73"/>
      <c r="I90" s="73"/>
      <c r="J90" s="73"/>
      <c r="K90" s="73"/>
      <c r="L90" s="73">
        <v>2393</v>
      </c>
      <c r="M90" s="73">
        <v>2443</v>
      </c>
      <c r="N90" s="73">
        <v>2509</v>
      </c>
      <c r="O90" s="73">
        <v>1766</v>
      </c>
      <c r="P90" s="73">
        <v>1841</v>
      </c>
      <c r="Q90" s="73">
        <v>1743</v>
      </c>
      <c r="R90" s="73">
        <v>1116</v>
      </c>
      <c r="S90" s="73"/>
      <c r="T90" s="73"/>
      <c r="U90" s="73"/>
      <c r="V90" s="73"/>
      <c r="W90" s="73"/>
      <c r="X90" s="73"/>
      <c r="Y90" s="7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2:39" x14ac:dyDescent="0.25">
      <c r="B91" s="26" t="s">
        <v>106</v>
      </c>
      <c r="C91" s="73"/>
      <c r="D91" s="73"/>
      <c r="E91" s="73"/>
      <c r="F91" s="73"/>
      <c r="G91" s="73"/>
      <c r="H91" s="73"/>
      <c r="I91" s="73"/>
      <c r="J91" s="73"/>
      <c r="K91" s="73"/>
      <c r="L91" s="74">
        <f t="shared" ref="L91:P91" si="63">SUM(L87:L90)</f>
        <v>33349</v>
      </c>
      <c r="M91" s="74">
        <f t="shared" si="63"/>
        <v>33641</v>
      </c>
      <c r="N91" s="74">
        <f t="shared" si="63"/>
        <v>35831</v>
      </c>
      <c r="O91" s="74">
        <f t="shared" si="63"/>
        <v>30243</v>
      </c>
      <c r="P91" s="74">
        <f t="shared" si="63"/>
        <v>40656</v>
      </c>
      <c r="Q91" s="74">
        <f>SUM(Q87:Q90)</f>
        <v>48367</v>
      </c>
      <c r="R91" s="74">
        <f>SUM(R87:R90)</f>
        <v>48739</v>
      </c>
      <c r="S91" s="73"/>
      <c r="T91" s="73"/>
      <c r="U91" s="73"/>
      <c r="V91" s="73"/>
      <c r="W91" s="73"/>
      <c r="X91" s="73"/>
      <c r="Y91" s="7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2:39" x14ac:dyDescent="0.25">
      <c r="B92" s="25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2:39" x14ac:dyDescent="0.25">
      <c r="B93" s="26" t="s">
        <v>107</v>
      </c>
      <c r="C93" s="73"/>
      <c r="D93" s="73"/>
      <c r="E93" s="73"/>
      <c r="F93" s="73"/>
      <c r="G93" s="73"/>
      <c r="H93" s="73"/>
      <c r="I93" s="73"/>
      <c r="J93" s="73"/>
      <c r="K93" s="73"/>
      <c r="L93" s="74">
        <f t="shared" ref="L93:P93" si="64">L86+L91</f>
        <v>50540</v>
      </c>
      <c r="M93" s="74">
        <f t="shared" si="64"/>
        <v>52474</v>
      </c>
      <c r="N93" s="74">
        <f t="shared" si="64"/>
        <v>55446</v>
      </c>
      <c r="O93" s="74">
        <f t="shared" si="64"/>
        <v>49498</v>
      </c>
      <c r="P93" s="74">
        <f t="shared" si="64"/>
        <v>67992</v>
      </c>
      <c r="Q93" s="74">
        <f>Q86+Q91</f>
        <v>74750</v>
      </c>
      <c r="R93" s="74">
        <f>R86+R91</f>
        <v>71654</v>
      </c>
      <c r="S93" s="73"/>
      <c r="T93" s="73"/>
      <c r="U93" s="73"/>
      <c r="V93" s="73"/>
      <c r="W93" s="73"/>
      <c r="X93" s="73"/>
      <c r="Y93" s="7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2:39" x14ac:dyDescent="0.25">
      <c r="B94" s="25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2:39" x14ac:dyDescent="0.25">
      <c r="B95" s="25" t="s">
        <v>108</v>
      </c>
      <c r="C95" s="73"/>
      <c r="D95" s="73"/>
      <c r="E95" s="73"/>
      <c r="F95" s="73"/>
      <c r="G95" s="73"/>
      <c r="H95" s="73"/>
      <c r="I95" s="73"/>
      <c r="J95" s="73"/>
      <c r="K95" s="73"/>
      <c r="L95" s="73">
        <v>0</v>
      </c>
      <c r="M95" s="73">
        <v>0</v>
      </c>
      <c r="N95" s="73">
        <v>0</v>
      </c>
      <c r="O95" s="73">
        <v>0</v>
      </c>
      <c r="P95" s="73">
        <v>0</v>
      </c>
      <c r="Q95" s="73">
        <v>0</v>
      </c>
      <c r="R95" s="73">
        <v>0</v>
      </c>
      <c r="S95" s="73"/>
      <c r="T95" s="73"/>
      <c r="U95" s="73"/>
      <c r="V95" s="73"/>
      <c r="W95" s="73"/>
      <c r="X95" s="73"/>
      <c r="Y95" s="7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2:39" x14ac:dyDescent="0.25">
      <c r="B96" s="25" t="s">
        <v>109</v>
      </c>
      <c r="C96" s="73"/>
      <c r="D96" s="73"/>
      <c r="E96" s="73"/>
      <c r="F96" s="73"/>
      <c r="G96" s="73"/>
      <c r="H96" s="73"/>
      <c r="I96" s="73"/>
      <c r="J96" s="73"/>
      <c r="K96" s="73"/>
      <c r="L96" s="73">
        <v>1939</v>
      </c>
      <c r="M96" s="73">
        <v>2019</v>
      </c>
      <c r="N96" s="73">
        <v>2105</v>
      </c>
      <c r="O96" s="73">
        <v>2225</v>
      </c>
      <c r="P96" s="73">
        <v>2230</v>
      </c>
      <c r="Q96" s="73">
        <v>2285</v>
      </c>
      <c r="R96" s="73">
        <v>2335</v>
      </c>
      <c r="S96" s="73"/>
      <c r="T96" s="73"/>
      <c r="U96" s="73"/>
      <c r="V96" s="73"/>
      <c r="W96" s="73"/>
      <c r="X96" s="73"/>
      <c r="Y96" s="7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x14ac:dyDescent="0.25">
      <c r="B97" s="25" t="s">
        <v>110</v>
      </c>
      <c r="C97" s="73"/>
      <c r="D97" s="73"/>
      <c r="E97" s="73"/>
      <c r="F97" s="73"/>
      <c r="G97" s="73"/>
      <c r="H97" s="73"/>
      <c r="I97" s="73"/>
      <c r="J97" s="73"/>
      <c r="K97" s="73"/>
      <c r="L97" s="73">
        <v>31014</v>
      </c>
      <c r="M97" s="73">
        <v>30987</v>
      </c>
      <c r="N97" s="73">
        <v>31638</v>
      </c>
      <c r="O97" s="73">
        <v>33082</v>
      </c>
      <c r="P97" s="73">
        <v>34289</v>
      </c>
      <c r="Q97" s="73">
        <v>34090</v>
      </c>
      <c r="R97" s="73">
        <v>32869</v>
      </c>
      <c r="S97" s="73"/>
      <c r="T97" s="73"/>
      <c r="U97" s="73"/>
      <c r="V97" s="73"/>
      <c r="W97" s="73"/>
      <c r="X97" s="73"/>
      <c r="Y97" s="7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x14ac:dyDescent="0.25">
      <c r="B98" s="25" t="s">
        <v>111</v>
      </c>
      <c r="C98" s="73"/>
      <c r="D98" s="73"/>
      <c r="E98" s="73"/>
      <c r="F98" s="73"/>
      <c r="G98" s="73"/>
      <c r="H98" s="73"/>
      <c r="I98" s="73"/>
      <c r="J98" s="73"/>
      <c r="K98" s="73"/>
      <c r="L98" s="73">
        <v>-10111</v>
      </c>
      <c r="M98" s="73">
        <v>-9363</v>
      </c>
      <c r="N98" s="73">
        <v>-11181</v>
      </c>
      <c r="O98" s="73">
        <v>-9577</v>
      </c>
      <c r="P98" s="73">
        <v>-9559</v>
      </c>
      <c r="Q98" s="73">
        <v>-11815</v>
      </c>
      <c r="R98" s="73">
        <v>-11314</v>
      </c>
      <c r="S98" s="73"/>
      <c r="T98" s="73"/>
      <c r="U98" s="73"/>
      <c r="V98" s="73"/>
      <c r="W98" s="73"/>
      <c r="X98" s="73"/>
      <c r="Y98" s="7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x14ac:dyDescent="0.25">
      <c r="B99" s="25" t="s">
        <v>112</v>
      </c>
      <c r="C99" s="73"/>
      <c r="D99" s="73"/>
      <c r="E99" s="73"/>
      <c r="F99" s="73"/>
      <c r="G99" s="73"/>
      <c r="H99" s="73"/>
      <c r="I99" s="73"/>
      <c r="J99" s="73"/>
      <c r="K99" s="73"/>
      <c r="L99" s="73">
        <v>-35301</v>
      </c>
      <c r="M99" s="73">
        <v>-35220</v>
      </c>
      <c r="N99" s="73">
        <v>-35129</v>
      </c>
      <c r="O99" s="73">
        <v>-35836</v>
      </c>
      <c r="P99" s="73">
        <v>-35917</v>
      </c>
      <c r="Q99" s="73">
        <v>-35785</v>
      </c>
      <c r="R99" s="73">
        <v>-35640</v>
      </c>
      <c r="S99" s="73"/>
      <c r="T99" s="73"/>
      <c r="U99" s="73"/>
      <c r="V99" s="73"/>
      <c r="W99" s="73"/>
      <c r="X99" s="73"/>
      <c r="Y99" s="7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x14ac:dyDescent="0.25">
      <c r="B100" s="25" t="s">
        <v>113</v>
      </c>
      <c r="C100" s="73"/>
      <c r="D100" s="73"/>
      <c r="E100" s="73"/>
      <c r="F100" s="73"/>
      <c r="G100" s="73"/>
      <c r="H100" s="73"/>
      <c r="I100" s="73"/>
      <c r="J100" s="73"/>
      <c r="K100" s="73"/>
      <c r="L100" s="73">
        <v>1720</v>
      </c>
      <c r="M100" s="73">
        <v>1978</v>
      </c>
      <c r="N100" s="73">
        <v>1936</v>
      </c>
      <c r="O100" s="73">
        <v>1898</v>
      </c>
      <c r="P100" s="73">
        <v>2646</v>
      </c>
      <c r="Q100" s="73">
        <v>1779</v>
      </c>
      <c r="R100" s="73">
        <v>1880</v>
      </c>
      <c r="S100" s="73"/>
      <c r="T100" s="73"/>
      <c r="U100" s="73"/>
      <c r="V100" s="73"/>
      <c r="W100" s="73"/>
      <c r="X100" s="73"/>
      <c r="Y100" s="7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x14ac:dyDescent="0.25">
      <c r="B101" s="26" t="s">
        <v>114</v>
      </c>
      <c r="C101" s="73"/>
      <c r="D101" s="73"/>
      <c r="E101" s="73"/>
      <c r="F101" s="73"/>
      <c r="G101" s="73"/>
      <c r="H101" s="73"/>
      <c r="I101" s="73"/>
      <c r="J101" s="73"/>
      <c r="K101" s="73"/>
      <c r="L101" s="74">
        <f t="shared" ref="L101:P101" si="65">SUM(L95:L100)</f>
        <v>-10739</v>
      </c>
      <c r="M101" s="74">
        <f t="shared" si="65"/>
        <v>-9599</v>
      </c>
      <c r="N101" s="74">
        <f t="shared" si="65"/>
        <v>-10631</v>
      </c>
      <c r="O101" s="74">
        <f t="shared" si="65"/>
        <v>-8208</v>
      </c>
      <c r="P101" s="74">
        <f t="shared" si="65"/>
        <v>-6311</v>
      </c>
      <c r="Q101" s="74">
        <f>SUM(Q95:Q100)</f>
        <v>-9446</v>
      </c>
      <c r="R101" s="74">
        <f>SUM(R95:R100)</f>
        <v>-9870</v>
      </c>
      <c r="S101" s="73"/>
      <c r="T101" s="73"/>
      <c r="U101" s="73"/>
      <c r="V101" s="73"/>
      <c r="W101" s="73"/>
      <c r="X101" s="73"/>
      <c r="Y101" s="7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x14ac:dyDescent="0.25">
      <c r="B102" s="25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x14ac:dyDescent="0.25">
      <c r="B103" s="26" t="s">
        <v>115</v>
      </c>
      <c r="C103" s="73"/>
      <c r="D103" s="73"/>
      <c r="E103" s="73"/>
      <c r="F103" s="73"/>
      <c r="G103" s="73"/>
      <c r="H103" s="73"/>
      <c r="I103" s="73"/>
      <c r="J103" s="73"/>
      <c r="K103" s="73"/>
      <c r="L103" s="74">
        <f t="shared" ref="L103:P103" si="66">L93+L101</f>
        <v>39801</v>
      </c>
      <c r="M103" s="74">
        <f t="shared" si="66"/>
        <v>42875</v>
      </c>
      <c r="N103" s="74">
        <f t="shared" si="66"/>
        <v>44815</v>
      </c>
      <c r="O103" s="74">
        <f t="shared" si="66"/>
        <v>41290</v>
      </c>
      <c r="P103" s="74">
        <f t="shared" si="66"/>
        <v>61681</v>
      </c>
      <c r="Q103" s="74">
        <f>Q93+Q101</f>
        <v>65304</v>
      </c>
      <c r="R103" s="74">
        <f>R93+R101</f>
        <v>61784</v>
      </c>
      <c r="S103" s="73"/>
      <c r="T103" s="73"/>
      <c r="U103" s="73"/>
      <c r="V103" s="73"/>
      <c r="W103" s="73"/>
      <c r="X103" s="73"/>
      <c r="Y103" s="7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x14ac:dyDescent="0.25">
      <c r="B104" s="25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x14ac:dyDescent="0.25">
      <c r="B105" s="25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x14ac:dyDescent="0.25">
      <c r="A106" s="7" t="s">
        <v>17</v>
      </c>
      <c r="B106" s="6" t="s">
        <v>117</v>
      </c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x14ac:dyDescent="0.25">
      <c r="B107" s="25" t="s">
        <v>116</v>
      </c>
      <c r="C107" s="73"/>
      <c r="D107" s="73"/>
      <c r="E107" s="73"/>
      <c r="F107" s="73"/>
      <c r="G107" s="73"/>
      <c r="H107" s="73"/>
      <c r="I107" s="73"/>
      <c r="J107" s="73"/>
      <c r="K107" s="73"/>
      <c r="L107" s="73">
        <f t="shared" ref="L107:R107" si="67">L33</f>
        <v>8286</v>
      </c>
      <c r="M107" s="73">
        <f t="shared" si="67"/>
        <v>7728</v>
      </c>
      <c r="N107" s="73">
        <f t="shared" si="67"/>
        <v>8592</v>
      </c>
      <c r="O107" s="73">
        <f t="shared" si="67"/>
        <v>9710</v>
      </c>
      <c r="P107" s="73">
        <f t="shared" si="67"/>
        <v>9527</v>
      </c>
      <c r="Q107" s="73">
        <f t="shared" si="67"/>
        <v>8268</v>
      </c>
      <c r="R107" s="73">
        <f t="shared" si="67"/>
        <v>7503</v>
      </c>
      <c r="S107" s="73"/>
      <c r="T107" s="73"/>
      <c r="U107" s="73"/>
      <c r="V107" s="73"/>
      <c r="W107" s="73"/>
      <c r="X107" s="73"/>
      <c r="Y107" s="7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x14ac:dyDescent="0.25">
      <c r="B108" s="25" t="s">
        <v>118</v>
      </c>
      <c r="C108" s="73"/>
      <c r="D108" s="73"/>
      <c r="E108" s="73"/>
      <c r="F108" s="73"/>
      <c r="G108" s="73"/>
      <c r="H108" s="73"/>
      <c r="I108" s="73"/>
      <c r="J108" s="73"/>
      <c r="K108" s="73"/>
      <c r="L108" s="73">
        <v>989</v>
      </c>
      <c r="M108" s="73">
        <v>964</v>
      </c>
      <c r="N108" s="73">
        <v>981</v>
      </c>
      <c r="O108" s="73">
        <v>998</v>
      </c>
      <c r="P108" s="73">
        <v>1077</v>
      </c>
      <c r="Q108" s="73">
        <v>1398</v>
      </c>
      <c r="R108" s="73">
        <v>1787</v>
      </c>
      <c r="S108" s="73"/>
      <c r="T108" s="73"/>
      <c r="U108" s="73"/>
      <c r="V108" s="73"/>
      <c r="W108" s="73"/>
      <c r="X108" s="73"/>
      <c r="Y108" s="7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x14ac:dyDescent="0.25">
      <c r="B109" s="25" t="s">
        <v>119</v>
      </c>
      <c r="C109" s="73"/>
      <c r="D109" s="73"/>
      <c r="E109" s="73"/>
      <c r="F109" s="73"/>
      <c r="G109" s="73"/>
      <c r="H109" s="73"/>
      <c r="I109" s="73"/>
      <c r="J109" s="73"/>
      <c r="K109" s="73"/>
      <c r="L109" s="73">
        <v>0</v>
      </c>
      <c r="M109" s="73">
        <v>0</v>
      </c>
      <c r="N109" s="73">
        <v>0</v>
      </c>
      <c r="O109" s="73">
        <v>0</v>
      </c>
      <c r="P109" s="73">
        <v>112</v>
      </c>
      <c r="Q109" s="73">
        <v>680</v>
      </c>
      <c r="R109" s="73">
        <f>27+206+2316</f>
        <v>2549</v>
      </c>
      <c r="S109" s="73"/>
      <c r="T109" s="73"/>
      <c r="U109" s="73"/>
      <c r="V109" s="73"/>
      <c r="W109" s="73"/>
      <c r="X109" s="73"/>
      <c r="Y109" s="7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x14ac:dyDescent="0.25">
      <c r="B110" s="25" t="s">
        <v>105</v>
      </c>
      <c r="C110" s="73"/>
      <c r="D110" s="73"/>
      <c r="E110" s="73"/>
      <c r="F110" s="73"/>
      <c r="G110" s="73"/>
      <c r="H110" s="73"/>
      <c r="I110" s="73"/>
      <c r="J110" s="73"/>
      <c r="K110" s="73"/>
      <c r="L110" s="73">
        <v>-100</v>
      </c>
      <c r="M110" s="73">
        <v>-141</v>
      </c>
      <c r="N110" s="73">
        <v>-143</v>
      </c>
      <c r="O110" s="73">
        <v>-17</v>
      </c>
      <c r="P110" s="73">
        <v>-234</v>
      </c>
      <c r="Q110" s="73">
        <v>-330</v>
      </c>
      <c r="R110" s="73">
        <v>-123</v>
      </c>
      <c r="S110" s="73"/>
      <c r="T110" s="73"/>
      <c r="U110" s="73"/>
      <c r="V110" s="73"/>
      <c r="W110" s="73"/>
      <c r="X110" s="73"/>
      <c r="Y110" s="7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x14ac:dyDescent="0.25">
      <c r="B111" s="25" t="s">
        <v>120</v>
      </c>
      <c r="C111" s="73"/>
      <c r="D111" s="73"/>
      <c r="E111" s="73"/>
      <c r="F111" s="73"/>
      <c r="G111" s="73"/>
      <c r="H111" s="73"/>
      <c r="I111" s="73"/>
      <c r="J111" s="73"/>
      <c r="K111" s="73"/>
      <c r="L111" s="73">
        <v>-3</v>
      </c>
      <c r="M111" s="73">
        <v>371</v>
      </c>
      <c r="N111" s="73">
        <v>-14</v>
      </c>
      <c r="O111" s="73">
        <v>-22</v>
      </c>
      <c r="P111" s="73">
        <v>-93</v>
      </c>
      <c r="Q111" s="73">
        <v>30</v>
      </c>
      <c r="R111" s="73">
        <v>122</v>
      </c>
      <c r="S111" s="73"/>
      <c r="T111" s="73"/>
      <c r="U111" s="73"/>
      <c r="V111" s="73"/>
      <c r="W111" s="73"/>
      <c r="X111" s="73"/>
      <c r="Y111" s="7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x14ac:dyDescent="0.25">
      <c r="B112" s="27" t="s">
        <v>122</v>
      </c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2:39" x14ac:dyDescent="0.25">
      <c r="B113" s="25" t="s">
        <v>121</v>
      </c>
      <c r="C113" s="73"/>
      <c r="D113" s="73"/>
      <c r="E113" s="73"/>
      <c r="F113" s="73"/>
      <c r="G113" s="73"/>
      <c r="H113" s="73"/>
      <c r="I113" s="73"/>
      <c r="J113" s="73"/>
      <c r="K113" s="73"/>
      <c r="L113" s="73">
        <v>53</v>
      </c>
      <c r="M113" s="73">
        <v>-331</v>
      </c>
      <c r="N113" s="73">
        <v>26</v>
      </c>
      <c r="O113" s="73">
        <v>-198</v>
      </c>
      <c r="P113" s="73">
        <v>-871</v>
      </c>
      <c r="Q113" s="73">
        <v>314</v>
      </c>
      <c r="R113" s="73">
        <v>-738</v>
      </c>
      <c r="S113" s="73"/>
      <c r="T113" s="73"/>
      <c r="U113" s="73"/>
      <c r="V113" s="73"/>
      <c r="W113" s="73"/>
      <c r="X113" s="73"/>
      <c r="Y113" s="7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2:39" x14ac:dyDescent="0.25">
      <c r="B114" s="25" t="s">
        <v>70</v>
      </c>
      <c r="C114" s="73"/>
      <c r="D114" s="73"/>
      <c r="E114" s="73"/>
      <c r="F114" s="73"/>
      <c r="G114" s="73"/>
      <c r="H114" s="73"/>
      <c r="I114" s="73"/>
      <c r="J114" s="73"/>
      <c r="K114" s="73"/>
      <c r="L114" s="73">
        <v>-613</v>
      </c>
      <c r="M114" s="73">
        <v>-548</v>
      </c>
      <c r="N114" s="73">
        <v>-165</v>
      </c>
      <c r="O114" s="73">
        <v>549</v>
      </c>
      <c r="P114" s="73">
        <v>-1287</v>
      </c>
      <c r="Q114" s="73">
        <v>-862</v>
      </c>
      <c r="R114" s="73">
        <v>552</v>
      </c>
      <c r="S114" s="73"/>
      <c r="T114" s="73"/>
      <c r="U114" s="73"/>
      <c r="V114" s="73"/>
      <c r="W114" s="73"/>
      <c r="X114" s="73"/>
      <c r="Y114" s="7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2:39" x14ac:dyDescent="0.25">
      <c r="B115" s="25" t="s">
        <v>93</v>
      </c>
      <c r="C115" s="73"/>
      <c r="D115" s="73"/>
      <c r="E115" s="73"/>
      <c r="F115" s="73"/>
      <c r="G115" s="73"/>
      <c r="H115" s="73"/>
      <c r="I115" s="73"/>
      <c r="J115" s="73"/>
      <c r="K115" s="73"/>
      <c r="L115" s="73">
        <v>-51</v>
      </c>
      <c r="M115" s="73">
        <v>451</v>
      </c>
      <c r="N115" s="73">
        <v>406</v>
      </c>
      <c r="O115" s="73">
        <v>653</v>
      </c>
      <c r="P115" s="73">
        <v>719</v>
      </c>
      <c r="Q115" s="73">
        <v>-288</v>
      </c>
      <c r="R115" s="73">
        <v>297</v>
      </c>
      <c r="S115" s="73"/>
      <c r="T115" s="73"/>
      <c r="U115" s="73"/>
      <c r="V115" s="73"/>
      <c r="W115" s="73"/>
      <c r="X115" s="73"/>
      <c r="Y115" s="7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2:39" x14ac:dyDescent="0.25">
      <c r="B116" s="25" t="s">
        <v>94</v>
      </c>
      <c r="C116" s="73"/>
      <c r="D116" s="73"/>
      <c r="E116" s="73"/>
      <c r="F116" s="73"/>
      <c r="G116" s="73"/>
      <c r="H116" s="73"/>
      <c r="I116" s="73"/>
      <c r="J116" s="73"/>
      <c r="K116" s="73"/>
      <c r="L116" s="73">
        <v>910</v>
      </c>
      <c r="M116" s="73">
        <v>1108</v>
      </c>
      <c r="N116" s="73">
        <v>121</v>
      </c>
      <c r="O116" s="73">
        <v>623</v>
      </c>
      <c r="P116" s="73">
        <v>1862</v>
      </c>
      <c r="Q116" s="73">
        <v>-232</v>
      </c>
      <c r="R116" s="73">
        <v>628</v>
      </c>
      <c r="S116" s="73"/>
      <c r="T116" s="73"/>
      <c r="U116" s="73"/>
      <c r="V116" s="73"/>
      <c r="W116" s="73"/>
      <c r="X116" s="73"/>
      <c r="Y116" s="7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2:39" x14ac:dyDescent="0.25">
      <c r="B117" s="25" t="s">
        <v>100</v>
      </c>
      <c r="C117" s="73"/>
      <c r="D117" s="73"/>
      <c r="E117" s="73"/>
      <c r="F117" s="73"/>
      <c r="G117" s="73"/>
      <c r="H117" s="73"/>
      <c r="I117" s="73"/>
      <c r="J117" s="73"/>
      <c r="K117" s="73"/>
      <c r="L117" s="73">
        <v>-135</v>
      </c>
      <c r="M117" s="73">
        <v>75</v>
      </c>
      <c r="N117" s="73">
        <v>-260</v>
      </c>
      <c r="O117" s="73">
        <v>-260</v>
      </c>
      <c r="P117" s="73">
        <v>-261</v>
      </c>
      <c r="Q117" s="73">
        <v>-232</v>
      </c>
      <c r="R117" s="73">
        <v>-62</v>
      </c>
      <c r="S117" s="73"/>
      <c r="T117" s="73"/>
      <c r="U117" s="73"/>
      <c r="V117" s="73"/>
      <c r="W117" s="73"/>
      <c r="X117" s="73"/>
      <c r="Y117" s="7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2:39" x14ac:dyDescent="0.25">
      <c r="B118" s="25" t="s">
        <v>124</v>
      </c>
      <c r="C118" s="73"/>
      <c r="D118" s="73"/>
      <c r="E118" s="73"/>
      <c r="F118" s="73"/>
      <c r="G118" s="73"/>
      <c r="H118" s="73"/>
      <c r="I118" s="73"/>
      <c r="J118" s="73"/>
      <c r="K118" s="73"/>
      <c r="L118" s="73">
        <v>-110</v>
      </c>
      <c r="M118" s="73">
        <v>-200</v>
      </c>
      <c r="N118" s="73">
        <v>-102</v>
      </c>
      <c r="O118" s="73">
        <v>-269</v>
      </c>
      <c r="P118" s="73">
        <v>3</v>
      </c>
      <c r="Q118" s="73">
        <v>-21</v>
      </c>
      <c r="R118" s="73">
        <v>-110</v>
      </c>
      <c r="S118" s="73"/>
      <c r="T118" s="73"/>
      <c r="U118" s="73"/>
      <c r="V118" s="73"/>
      <c r="W118" s="73"/>
      <c r="X118" s="73"/>
      <c r="Y118" s="7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2:39" x14ac:dyDescent="0.25">
      <c r="B119" s="25" t="s">
        <v>99</v>
      </c>
      <c r="C119" s="73"/>
      <c r="D119" s="73"/>
      <c r="E119" s="73"/>
      <c r="F119" s="73"/>
      <c r="G119" s="73"/>
      <c r="H119" s="73"/>
      <c r="I119" s="73"/>
      <c r="J119" s="73"/>
      <c r="K119" s="73"/>
      <c r="L119" s="73">
        <v>252</v>
      </c>
      <c r="M119" s="73">
        <v>613</v>
      </c>
      <c r="N119" s="73">
        <v>370</v>
      </c>
      <c r="O119" s="73">
        <v>200</v>
      </c>
      <c r="P119" s="73">
        <v>249</v>
      </c>
      <c r="Q119" s="73">
        <v>479</v>
      </c>
      <c r="R119" s="73">
        <v>-188</v>
      </c>
      <c r="S119" s="73"/>
      <c r="T119" s="73"/>
      <c r="U119" s="73"/>
      <c r="V119" s="73"/>
      <c r="W119" s="73"/>
      <c r="X119" s="73"/>
      <c r="Y119" s="7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2:39" x14ac:dyDescent="0.25">
      <c r="B120" s="25" t="s">
        <v>102</v>
      </c>
      <c r="C120" s="73"/>
      <c r="D120" s="73"/>
      <c r="E120" s="73"/>
      <c r="F120" s="73"/>
      <c r="G120" s="73"/>
      <c r="H120" s="73"/>
      <c r="I120" s="73"/>
      <c r="J120" s="73"/>
      <c r="K120" s="73"/>
      <c r="L120" s="73">
        <f t="shared" ref="L120:P120" si="68">SUM(L113:L119)</f>
        <v>306</v>
      </c>
      <c r="M120" s="73">
        <f t="shared" si="68"/>
        <v>1168</v>
      </c>
      <c r="N120" s="73">
        <f t="shared" si="68"/>
        <v>396</v>
      </c>
      <c r="O120" s="73">
        <f t="shared" si="68"/>
        <v>1298</v>
      </c>
      <c r="P120" s="73">
        <f t="shared" si="68"/>
        <v>414</v>
      </c>
      <c r="Q120" s="73">
        <f>SUM(Q113:Q119)</f>
        <v>-842</v>
      </c>
      <c r="R120" s="73">
        <f>SUM(R113:R119)</f>
        <v>379</v>
      </c>
      <c r="S120" s="73"/>
      <c r="T120" s="73"/>
      <c r="U120" s="73"/>
      <c r="V120" s="73"/>
      <c r="W120" s="73"/>
      <c r="X120" s="73"/>
      <c r="Y120" s="7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2:39" x14ac:dyDescent="0.25">
      <c r="B121" s="26" t="s">
        <v>123</v>
      </c>
      <c r="C121" s="73"/>
      <c r="D121" s="73"/>
      <c r="E121" s="73"/>
      <c r="F121" s="73"/>
      <c r="G121" s="73"/>
      <c r="H121" s="73"/>
      <c r="I121" s="73"/>
      <c r="J121" s="73"/>
      <c r="K121" s="73"/>
      <c r="L121" s="74">
        <f t="shared" ref="L121:P121" si="69">SUM(L107:L111,L120)</f>
        <v>9478</v>
      </c>
      <c r="M121" s="74">
        <f t="shared" si="69"/>
        <v>10090</v>
      </c>
      <c r="N121" s="74">
        <f t="shared" si="69"/>
        <v>9812</v>
      </c>
      <c r="O121" s="74">
        <f t="shared" si="69"/>
        <v>11967</v>
      </c>
      <c r="P121" s="74">
        <f t="shared" si="69"/>
        <v>10803</v>
      </c>
      <c r="Q121" s="74">
        <f>SUM(Q107:Q111,Q120)</f>
        <v>9204</v>
      </c>
      <c r="R121" s="74">
        <f>SUM(R107:R111,R120)</f>
        <v>12217</v>
      </c>
      <c r="S121" s="73"/>
      <c r="T121" s="73"/>
      <c r="U121" s="73"/>
      <c r="V121" s="73"/>
      <c r="W121" s="73"/>
      <c r="X121" s="73"/>
      <c r="Y121" s="7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2:39" x14ac:dyDescent="0.25">
      <c r="B122" s="25" t="s">
        <v>125</v>
      </c>
      <c r="C122" s="73"/>
      <c r="D122" s="73"/>
      <c r="E122" s="73"/>
      <c r="F122" s="73"/>
      <c r="G122" s="73"/>
      <c r="H122" s="73"/>
      <c r="I122" s="73"/>
      <c r="J122" s="73"/>
      <c r="K122" s="73"/>
      <c r="L122" s="73">
        <v>-1436</v>
      </c>
      <c r="M122" s="73">
        <v>-852</v>
      </c>
      <c r="N122" s="73">
        <v>-602</v>
      </c>
      <c r="O122" s="73">
        <v>-748</v>
      </c>
      <c r="P122" s="73">
        <v>-1077</v>
      </c>
      <c r="Q122" s="73">
        <v>-1321</v>
      </c>
      <c r="R122" s="73">
        <v>-1444</v>
      </c>
      <c r="S122" s="73"/>
      <c r="T122" s="73"/>
      <c r="U122" s="73"/>
      <c r="V122" s="73"/>
      <c r="W122" s="73"/>
      <c r="X122" s="73"/>
      <c r="Y122" s="7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2:39" x14ac:dyDescent="0.25">
      <c r="B123" s="25" t="s">
        <v>127</v>
      </c>
      <c r="C123" s="73"/>
      <c r="D123" s="73"/>
      <c r="E123" s="73"/>
      <c r="F123" s="73"/>
      <c r="G123" s="73"/>
      <c r="H123" s="73"/>
      <c r="I123" s="73"/>
      <c r="J123" s="73"/>
      <c r="K123" s="73"/>
      <c r="L123" s="73">
        <v>0</v>
      </c>
      <c r="M123" s="73">
        <v>0</v>
      </c>
      <c r="N123" s="73">
        <v>0</v>
      </c>
      <c r="O123" s="73">
        <v>0</v>
      </c>
      <c r="P123" s="73">
        <v>-13976</v>
      </c>
      <c r="Q123" s="73">
        <v>0</v>
      </c>
      <c r="R123" s="73">
        <v>0</v>
      </c>
      <c r="S123" s="73"/>
      <c r="T123" s="73"/>
      <c r="U123" s="73"/>
      <c r="V123" s="73"/>
      <c r="W123" s="73"/>
      <c r="X123" s="73"/>
      <c r="Y123" s="7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2:39" x14ac:dyDescent="0.25">
      <c r="B124" s="25" t="s">
        <v>126</v>
      </c>
      <c r="C124" s="73"/>
      <c r="D124" s="73"/>
      <c r="E124" s="73"/>
      <c r="F124" s="73"/>
      <c r="G124" s="73"/>
      <c r="H124" s="73"/>
      <c r="I124" s="73"/>
      <c r="J124" s="73"/>
      <c r="K124" s="73"/>
      <c r="L124" s="73">
        <v>0</v>
      </c>
      <c r="M124" s="73">
        <v>0</v>
      </c>
      <c r="N124" s="73">
        <v>0</v>
      </c>
      <c r="O124" s="73">
        <v>-2111</v>
      </c>
      <c r="P124" s="73">
        <v>0</v>
      </c>
      <c r="Q124" s="73">
        <v>0</v>
      </c>
      <c r="R124" s="73">
        <v>43</v>
      </c>
      <c r="S124" s="73"/>
      <c r="T124" s="73"/>
      <c r="U124" s="73"/>
      <c r="V124" s="73"/>
      <c r="W124" s="73"/>
      <c r="X124" s="73"/>
      <c r="Y124" s="7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2:39" x14ac:dyDescent="0.25">
      <c r="B125" s="25" t="s">
        <v>128</v>
      </c>
      <c r="C125" s="73"/>
      <c r="D125" s="73"/>
      <c r="E125" s="73"/>
      <c r="F125" s="73"/>
      <c r="G125" s="73"/>
      <c r="H125" s="73"/>
      <c r="I125" s="73"/>
      <c r="J125" s="73"/>
      <c r="K125" s="73"/>
      <c r="L125" s="73">
        <v>0</v>
      </c>
      <c r="M125" s="73">
        <v>0</v>
      </c>
      <c r="N125" s="73">
        <v>0</v>
      </c>
      <c r="O125" s="73">
        <v>0</v>
      </c>
      <c r="P125" s="73">
        <v>-1002</v>
      </c>
      <c r="Q125" s="73">
        <v>-1775</v>
      </c>
      <c r="R125" s="73">
        <v>0</v>
      </c>
      <c r="S125" s="73"/>
      <c r="T125" s="73"/>
      <c r="U125" s="73"/>
      <c r="V125" s="73"/>
      <c r="W125" s="73"/>
      <c r="X125" s="73"/>
      <c r="Y125" s="7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2:39" x14ac:dyDescent="0.25">
      <c r="B126" s="25" t="s">
        <v>86</v>
      </c>
      <c r="C126" s="73"/>
      <c r="D126" s="73"/>
      <c r="E126" s="73"/>
      <c r="F126" s="73"/>
      <c r="G126" s="73"/>
      <c r="H126" s="73"/>
      <c r="I126" s="73"/>
      <c r="J126" s="73"/>
      <c r="K126" s="73"/>
      <c r="L126" s="73">
        <v>-63</v>
      </c>
      <c r="M126" s="73">
        <v>-31</v>
      </c>
      <c r="N126" s="73">
        <v>-47</v>
      </c>
      <c r="O126" s="73">
        <v>-34</v>
      </c>
      <c r="P126" s="73">
        <v>-20</v>
      </c>
      <c r="Q126" s="73">
        <v>-111</v>
      </c>
      <c r="R126" s="73">
        <v>-124</v>
      </c>
      <c r="S126" s="73"/>
      <c r="T126" s="73"/>
      <c r="U126" s="73"/>
      <c r="V126" s="73"/>
      <c r="W126" s="73"/>
      <c r="X126" s="73"/>
      <c r="Y126" s="7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2:39" x14ac:dyDescent="0.25">
      <c r="B127" s="25" t="s">
        <v>129</v>
      </c>
      <c r="C127" s="73"/>
      <c r="D127" s="73"/>
      <c r="E127" s="73"/>
      <c r="F127" s="73"/>
      <c r="G127" s="73"/>
      <c r="H127" s="73"/>
      <c r="I127" s="73"/>
      <c r="J127" s="73"/>
      <c r="K127" s="73"/>
      <c r="L127" s="73">
        <v>416</v>
      </c>
      <c r="M127" s="73">
        <v>386</v>
      </c>
      <c r="N127" s="73">
        <v>-551</v>
      </c>
      <c r="O127" s="73">
        <v>466</v>
      </c>
      <c r="P127" s="73">
        <v>284</v>
      </c>
      <c r="Q127" s="73">
        <v>-660</v>
      </c>
      <c r="R127" s="73">
        <v>351</v>
      </c>
      <c r="S127" s="73"/>
      <c r="T127" s="73"/>
      <c r="U127" s="73"/>
      <c r="V127" s="73"/>
      <c r="W127" s="73"/>
      <c r="X127" s="73"/>
      <c r="Y127" s="7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2:39" x14ac:dyDescent="0.25">
      <c r="B128" s="25" t="s">
        <v>99</v>
      </c>
      <c r="C128" s="73"/>
      <c r="D128" s="73"/>
      <c r="E128" s="73"/>
      <c r="F128" s="73"/>
      <c r="G128" s="73"/>
      <c r="H128" s="73"/>
      <c r="I128" s="73"/>
      <c r="J128" s="73"/>
      <c r="K128" s="73"/>
      <c r="L128" s="73">
        <v>85</v>
      </c>
      <c r="M128" s="73">
        <f>32-1346</f>
        <v>-1314</v>
      </c>
      <c r="N128" s="73">
        <v>46</v>
      </c>
      <c r="O128" s="73">
        <v>69</v>
      </c>
      <c r="P128" s="73">
        <v>112</v>
      </c>
      <c r="Q128" s="73">
        <v>269</v>
      </c>
      <c r="R128" s="73">
        <f>-54+136</f>
        <v>82</v>
      </c>
      <c r="S128" s="73"/>
      <c r="T128" s="73"/>
      <c r="U128" s="73"/>
      <c r="V128" s="73"/>
      <c r="W128" s="73"/>
      <c r="X128" s="73"/>
      <c r="Y128" s="7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2:39" x14ac:dyDescent="0.25">
      <c r="B129" s="26" t="s">
        <v>130</v>
      </c>
      <c r="C129" s="73"/>
      <c r="D129" s="73"/>
      <c r="E129" s="73"/>
      <c r="F129" s="73"/>
      <c r="G129" s="73"/>
      <c r="H129" s="73"/>
      <c r="I129" s="73"/>
      <c r="J129" s="73"/>
      <c r="K129" s="74"/>
      <c r="L129" s="74">
        <f t="shared" ref="L129:P129" si="70">SUM(L122:L128)</f>
        <v>-998</v>
      </c>
      <c r="M129" s="74">
        <f t="shared" si="70"/>
        <v>-1811</v>
      </c>
      <c r="N129" s="74">
        <f t="shared" si="70"/>
        <v>-1154</v>
      </c>
      <c r="O129" s="74">
        <f t="shared" si="70"/>
        <v>-2358</v>
      </c>
      <c r="P129" s="74">
        <f t="shared" si="70"/>
        <v>-15679</v>
      </c>
      <c r="Q129" s="74">
        <f>SUM(Q122:Q128)</f>
        <v>-3598</v>
      </c>
      <c r="R129" s="74">
        <f>SUM(R122:R128)</f>
        <v>-1092</v>
      </c>
      <c r="S129" s="73"/>
      <c r="T129" s="73"/>
      <c r="U129" s="73"/>
      <c r="V129" s="73"/>
      <c r="W129" s="73"/>
      <c r="X129" s="73"/>
      <c r="Y129" s="7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2:39" x14ac:dyDescent="0.25">
      <c r="B130" s="25" t="s">
        <v>132</v>
      </c>
      <c r="C130" s="73"/>
      <c r="D130" s="73"/>
      <c r="E130" s="73"/>
      <c r="F130" s="73"/>
      <c r="G130" s="73"/>
      <c r="H130" s="73"/>
      <c r="I130" s="73"/>
      <c r="J130" s="73"/>
      <c r="K130" s="73"/>
      <c r="L130" s="73">
        <v>255</v>
      </c>
      <c r="M130" s="73">
        <v>-364</v>
      </c>
      <c r="N130" s="73">
        <v>-70</v>
      </c>
      <c r="O130" s="73">
        <v>0</v>
      </c>
      <c r="P130" s="73">
        <v>876</v>
      </c>
      <c r="Q130" s="73">
        <v>530</v>
      </c>
      <c r="R130" s="73">
        <v>-1461</v>
      </c>
      <c r="S130" s="73"/>
      <c r="T130" s="73"/>
      <c r="U130" s="73"/>
      <c r="V130" s="73"/>
      <c r="W130" s="73"/>
      <c r="X130" s="73"/>
      <c r="Y130" s="7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2:39" x14ac:dyDescent="0.25">
      <c r="B131" s="25" t="s">
        <v>134</v>
      </c>
      <c r="C131" s="73"/>
      <c r="D131" s="73"/>
      <c r="E131" s="73"/>
      <c r="F131" s="73"/>
      <c r="G131" s="73"/>
      <c r="H131" s="73"/>
      <c r="I131" s="73"/>
      <c r="J131" s="73"/>
      <c r="K131" s="73"/>
      <c r="L131" s="73">
        <v>0</v>
      </c>
      <c r="M131" s="73">
        <v>989</v>
      </c>
      <c r="N131" s="73">
        <v>45</v>
      </c>
      <c r="O131" s="73">
        <v>0</v>
      </c>
      <c r="P131" s="73">
        <v>934</v>
      </c>
      <c r="Q131" s="73">
        <v>1366</v>
      </c>
      <c r="R131" s="73">
        <v>100</v>
      </c>
      <c r="S131" s="73"/>
      <c r="T131" s="73"/>
      <c r="U131" s="73"/>
      <c r="V131" s="73"/>
      <c r="W131" s="73"/>
      <c r="X131" s="73"/>
      <c r="Y131" s="7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2:39" x14ac:dyDescent="0.25">
      <c r="B132" s="25" t="s">
        <v>133</v>
      </c>
      <c r="C132" s="73"/>
      <c r="D132" s="73"/>
      <c r="E132" s="73"/>
      <c r="F132" s="73"/>
      <c r="G132" s="73"/>
      <c r="H132" s="73"/>
      <c r="I132" s="73"/>
      <c r="J132" s="73"/>
      <c r="K132" s="73"/>
      <c r="L132" s="73">
        <v>0</v>
      </c>
      <c r="M132" s="73">
        <v>-989</v>
      </c>
      <c r="N132" s="73">
        <v>-45</v>
      </c>
      <c r="O132" s="73">
        <v>0</v>
      </c>
      <c r="P132" s="73">
        <v>-795</v>
      </c>
      <c r="Q132" s="73">
        <v>-1172</v>
      </c>
      <c r="R132" s="73">
        <v>-433</v>
      </c>
      <c r="S132" s="73"/>
      <c r="T132" s="73"/>
      <c r="U132" s="73"/>
      <c r="V132" s="73"/>
      <c r="W132" s="73"/>
      <c r="X132" s="73"/>
      <c r="Y132" s="7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2:39" x14ac:dyDescent="0.25">
      <c r="B133" s="25" t="s">
        <v>135</v>
      </c>
      <c r="C133" s="73"/>
      <c r="D133" s="73"/>
      <c r="E133" s="73"/>
      <c r="F133" s="73"/>
      <c r="G133" s="73"/>
      <c r="H133" s="73"/>
      <c r="I133" s="73"/>
      <c r="J133" s="73"/>
      <c r="K133" s="73"/>
      <c r="L133" s="73">
        <v>0</v>
      </c>
      <c r="M133" s="73">
        <v>0</v>
      </c>
      <c r="N133" s="73">
        <v>0</v>
      </c>
      <c r="O133" s="73">
        <v>0</v>
      </c>
      <c r="P133" s="73">
        <v>13920</v>
      </c>
      <c r="Q133" s="73">
        <v>0</v>
      </c>
      <c r="R133" s="73">
        <v>0</v>
      </c>
      <c r="S133" s="73"/>
      <c r="T133" s="73"/>
      <c r="U133" s="73"/>
      <c r="V133" s="73"/>
      <c r="W133" s="73"/>
      <c r="X133" s="73"/>
      <c r="Y133" s="7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2:39" x14ac:dyDescent="0.25">
      <c r="B134" s="25" t="s">
        <v>136</v>
      </c>
      <c r="C134" s="73"/>
      <c r="D134" s="73"/>
      <c r="E134" s="73"/>
      <c r="F134" s="73"/>
      <c r="G134" s="73"/>
      <c r="H134" s="73"/>
      <c r="I134" s="73"/>
      <c r="J134" s="73"/>
      <c r="K134" s="73"/>
      <c r="L134" s="73">
        <v>0</v>
      </c>
      <c r="M134" s="73">
        <v>0</v>
      </c>
      <c r="N134" s="73">
        <v>0</v>
      </c>
      <c r="O134" s="73">
        <v>0</v>
      </c>
      <c r="P134" s="73">
        <v>-4000</v>
      </c>
      <c r="Q134" s="73">
        <v>-4430</v>
      </c>
      <c r="R134" s="73">
        <v>-3168</v>
      </c>
      <c r="S134" s="73"/>
      <c r="T134" s="73"/>
      <c r="U134" s="73"/>
      <c r="V134" s="73"/>
      <c r="W134" s="73"/>
      <c r="X134" s="73"/>
      <c r="Y134" s="7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2:39" x14ac:dyDescent="0.25">
      <c r="B135" s="25" t="s">
        <v>142</v>
      </c>
      <c r="C135" s="73"/>
      <c r="D135" s="73"/>
      <c r="E135" s="73"/>
      <c r="F135" s="73"/>
      <c r="G135" s="73"/>
      <c r="H135" s="73"/>
      <c r="I135" s="73"/>
      <c r="J135" s="73"/>
      <c r="K135" s="73"/>
      <c r="L135" s="73">
        <v>0</v>
      </c>
      <c r="M135" s="73">
        <v>3819</v>
      </c>
      <c r="N135" s="73">
        <v>3713</v>
      </c>
      <c r="O135" s="73">
        <v>0</v>
      </c>
      <c r="P135" s="73">
        <v>5965</v>
      </c>
      <c r="Q135" s="73">
        <v>9959</v>
      </c>
      <c r="R135" s="73">
        <v>8142</v>
      </c>
      <c r="S135" s="73"/>
      <c r="T135" s="73"/>
      <c r="U135" s="73"/>
      <c r="V135" s="73"/>
      <c r="W135" s="73"/>
      <c r="X135" s="73"/>
      <c r="Y135" s="7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2:39" x14ac:dyDescent="0.25">
      <c r="B136" s="25" t="s">
        <v>137</v>
      </c>
      <c r="C136" s="73"/>
      <c r="D136" s="73"/>
      <c r="E136" s="73"/>
      <c r="F136" s="73"/>
      <c r="G136" s="73"/>
      <c r="H136" s="73"/>
      <c r="I136" s="73"/>
      <c r="J136" s="73"/>
      <c r="K136" s="73"/>
      <c r="L136" s="73">
        <v>-2484</v>
      </c>
      <c r="M136" s="73">
        <v>-3998</v>
      </c>
      <c r="N136" s="73">
        <v>-3999</v>
      </c>
      <c r="O136" s="73">
        <v>-3042</v>
      </c>
      <c r="P136" s="73">
        <v>-2724</v>
      </c>
      <c r="Q136" s="73">
        <v>-2551</v>
      </c>
      <c r="R136" s="73">
        <v>-4803</v>
      </c>
      <c r="S136" s="73"/>
      <c r="T136" s="73"/>
      <c r="U136" s="73"/>
      <c r="V136" s="73"/>
      <c r="W136" s="73"/>
      <c r="X136" s="73"/>
      <c r="Y136" s="7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2:39" x14ac:dyDescent="0.25">
      <c r="B137" s="25" t="s">
        <v>138</v>
      </c>
      <c r="C137" s="73"/>
      <c r="D137" s="73"/>
      <c r="E137" s="73"/>
      <c r="F137" s="73"/>
      <c r="G137" s="73"/>
      <c r="H137" s="73"/>
      <c r="I137" s="73"/>
      <c r="J137" s="73"/>
      <c r="K137" s="73"/>
      <c r="L137" s="73">
        <v>0</v>
      </c>
      <c r="M137" s="73">
        <v>0</v>
      </c>
      <c r="N137" s="73">
        <v>0</v>
      </c>
      <c r="O137" s="73">
        <v>-775</v>
      </c>
      <c r="P137" s="73">
        <v>-209</v>
      </c>
      <c r="Q137" s="73">
        <v>0</v>
      </c>
      <c r="R137" s="73">
        <v>0</v>
      </c>
      <c r="S137" s="73"/>
      <c r="T137" s="73"/>
      <c r="U137" s="73"/>
      <c r="V137" s="73"/>
      <c r="W137" s="73"/>
      <c r="X137" s="73"/>
      <c r="Y137" s="7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2:39" x14ac:dyDescent="0.25">
      <c r="B138" s="25" t="s">
        <v>139</v>
      </c>
      <c r="C138" s="73"/>
      <c r="D138" s="73"/>
      <c r="E138" s="73"/>
      <c r="F138" s="73"/>
      <c r="G138" s="73"/>
      <c r="H138" s="73"/>
      <c r="I138" s="73"/>
      <c r="J138" s="73"/>
      <c r="K138" s="73"/>
      <c r="L138" s="73">
        <v>-6885</v>
      </c>
      <c r="M138" s="73">
        <v>-7161</v>
      </c>
      <c r="N138" s="73">
        <v>-7364</v>
      </c>
      <c r="O138" s="73">
        <v>-7580</v>
      </c>
      <c r="P138" s="73">
        <v>-7812</v>
      </c>
      <c r="Q138" s="73">
        <v>-7964</v>
      </c>
      <c r="R138" s="73">
        <v>-8197</v>
      </c>
      <c r="S138" s="73"/>
      <c r="T138" s="73"/>
      <c r="U138" s="73"/>
      <c r="V138" s="73"/>
      <c r="W138" s="73"/>
      <c r="X138" s="73"/>
      <c r="Y138" s="7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2:39" x14ac:dyDescent="0.25">
      <c r="B139" s="25" t="s">
        <v>140</v>
      </c>
      <c r="C139" s="73"/>
      <c r="D139" s="73"/>
      <c r="E139" s="73"/>
      <c r="F139" s="73"/>
      <c r="G139" s="73"/>
      <c r="H139" s="73"/>
      <c r="I139" s="73"/>
      <c r="J139" s="73"/>
      <c r="K139" s="73"/>
      <c r="L139" s="73">
        <v>0</v>
      </c>
      <c r="M139" s="73">
        <v>0</v>
      </c>
      <c r="N139" s="73">
        <v>0</v>
      </c>
      <c r="O139" s="73">
        <v>0</v>
      </c>
      <c r="P139" s="73">
        <v>-1495</v>
      </c>
      <c r="Q139" s="73">
        <v>-883</v>
      </c>
      <c r="R139" s="73">
        <v>0</v>
      </c>
      <c r="S139" s="73"/>
      <c r="T139" s="73"/>
      <c r="U139" s="73"/>
      <c r="V139" s="73"/>
      <c r="W139" s="73"/>
      <c r="X139" s="73"/>
      <c r="Y139" s="7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2:39" x14ac:dyDescent="0.25">
      <c r="B140" s="25" t="s">
        <v>141</v>
      </c>
      <c r="C140" s="73"/>
      <c r="D140" s="73"/>
      <c r="E140" s="73"/>
      <c r="F140" s="73"/>
      <c r="G140" s="73"/>
      <c r="H140" s="73"/>
      <c r="I140" s="73"/>
      <c r="J140" s="73"/>
      <c r="K140" s="73"/>
      <c r="L140" s="73">
        <v>-81</v>
      </c>
      <c r="M140" s="73">
        <v>-357</v>
      </c>
      <c r="N140" s="73">
        <v>-776</v>
      </c>
      <c r="O140" s="73">
        <v>-580</v>
      </c>
      <c r="P140" s="73">
        <v>-854</v>
      </c>
      <c r="Q140" s="73">
        <v>-437</v>
      </c>
      <c r="R140" s="73">
        <v>-489</v>
      </c>
      <c r="S140" s="73"/>
      <c r="T140" s="73"/>
      <c r="U140" s="73"/>
      <c r="V140" s="73"/>
      <c r="W140" s="73"/>
      <c r="X140" s="73"/>
      <c r="Y140" s="7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2:39" x14ac:dyDescent="0.25">
      <c r="B141" s="25" t="s">
        <v>99</v>
      </c>
      <c r="C141" s="73"/>
      <c r="D141" s="73"/>
      <c r="E141" s="73"/>
      <c r="F141" s="73"/>
      <c r="G141" s="73"/>
      <c r="H141" s="73"/>
      <c r="I141" s="73"/>
      <c r="J141" s="73"/>
      <c r="K141" s="73"/>
      <c r="L141" s="73">
        <v>-456</v>
      </c>
      <c r="M141" s="73">
        <v>0</v>
      </c>
      <c r="N141" s="73">
        <v>0</v>
      </c>
      <c r="O141" s="73">
        <v>0</v>
      </c>
      <c r="P141" s="73">
        <v>0</v>
      </c>
      <c r="Q141" s="73">
        <v>0</v>
      </c>
      <c r="R141" s="73">
        <v>828</v>
      </c>
      <c r="S141" s="73"/>
      <c r="T141" s="73"/>
      <c r="U141" s="73"/>
      <c r="V141" s="73"/>
      <c r="W141" s="73"/>
      <c r="X141" s="73"/>
      <c r="Y141" s="7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2:39" x14ac:dyDescent="0.25">
      <c r="B142" s="26" t="s">
        <v>131</v>
      </c>
      <c r="C142" s="73"/>
      <c r="D142" s="73"/>
      <c r="E142" s="73"/>
      <c r="F142" s="73"/>
      <c r="G142" s="73"/>
      <c r="H142" s="73"/>
      <c r="I142" s="73"/>
      <c r="J142" s="73"/>
      <c r="K142" s="74"/>
      <c r="L142" s="74">
        <f t="shared" ref="L142:Q142" si="71">SUM(L130:L141)</f>
        <v>-9651</v>
      </c>
      <c r="M142" s="74">
        <f t="shared" si="71"/>
        <v>-8061</v>
      </c>
      <c r="N142" s="74">
        <f t="shared" si="71"/>
        <v>-8496</v>
      </c>
      <c r="O142" s="74">
        <f t="shared" si="71"/>
        <v>-11977</v>
      </c>
      <c r="P142" s="74">
        <f t="shared" si="71"/>
        <v>3806</v>
      </c>
      <c r="Q142" s="74">
        <f t="shared" si="71"/>
        <v>-5582</v>
      </c>
      <c r="R142" s="74">
        <f>SUM(R130:R141)</f>
        <v>-9481</v>
      </c>
      <c r="S142" s="73"/>
      <c r="T142" s="73"/>
      <c r="U142" s="73"/>
      <c r="V142" s="73"/>
      <c r="W142" s="73"/>
      <c r="X142" s="73"/>
      <c r="Y142" s="7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2:39" x14ac:dyDescent="0.25"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2:39" x14ac:dyDescent="0.25">
      <c r="B144" s="25" t="s">
        <v>143</v>
      </c>
      <c r="C144" s="73"/>
      <c r="D144" s="73"/>
      <c r="E144" s="73"/>
      <c r="F144" s="73"/>
      <c r="G144" s="73"/>
      <c r="H144" s="73"/>
      <c r="I144" s="73"/>
      <c r="J144" s="73"/>
      <c r="K144" s="73"/>
      <c r="L144" s="73">
        <v>-685</v>
      </c>
      <c r="M144" s="73">
        <v>27</v>
      </c>
      <c r="N144" s="73">
        <v>258</v>
      </c>
      <c r="O144" s="73">
        <v>-417</v>
      </c>
      <c r="P144" s="73">
        <v>-213</v>
      </c>
      <c r="Q144" s="73">
        <v>-95</v>
      </c>
      <c r="R144" s="73">
        <v>-536</v>
      </c>
      <c r="S144" s="73"/>
      <c r="T144" s="73"/>
      <c r="U144" s="73"/>
      <c r="V144" s="73"/>
      <c r="W144" s="73"/>
      <c r="X144" s="73"/>
      <c r="Y144" s="7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2:39" x14ac:dyDescent="0.25">
      <c r="B145" s="26" t="s">
        <v>144</v>
      </c>
      <c r="C145" s="73"/>
      <c r="D145" s="73"/>
      <c r="E145" s="73"/>
      <c r="F145" s="73"/>
      <c r="G145" s="73"/>
      <c r="H145" s="73"/>
      <c r="I145" s="73"/>
      <c r="J145" s="73"/>
      <c r="K145" s="74"/>
      <c r="L145" s="74">
        <f t="shared" ref="L145:P145" si="72">L144+L142+L129+L121</f>
        <v>-1856</v>
      </c>
      <c r="M145" s="74">
        <f t="shared" si="72"/>
        <v>245</v>
      </c>
      <c r="N145" s="74">
        <f t="shared" si="72"/>
        <v>420</v>
      </c>
      <c r="O145" s="74">
        <f t="shared" si="72"/>
        <v>-2785</v>
      </c>
      <c r="P145" s="74">
        <f t="shared" si="72"/>
        <v>-1283</v>
      </c>
      <c r="Q145" s="74">
        <f>Q144+Q142+Q129+Q121</f>
        <v>-71</v>
      </c>
      <c r="R145" s="74">
        <f>R144+R142+R129+R121</f>
        <v>1108</v>
      </c>
      <c r="S145" s="73"/>
      <c r="T145" s="73"/>
      <c r="U145" s="73"/>
      <c r="V145" s="73"/>
      <c r="W145" s="73"/>
      <c r="X145" s="73"/>
      <c r="Y145" s="7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2:39" x14ac:dyDescent="0.25">
      <c r="B146" s="25" t="s">
        <v>145</v>
      </c>
      <c r="C146" s="73"/>
      <c r="D146" s="73"/>
      <c r="E146" s="73"/>
      <c r="F146" s="73"/>
      <c r="G146" s="73"/>
      <c r="H146" s="73"/>
      <c r="I146" s="73"/>
      <c r="J146" s="73"/>
      <c r="K146" s="73"/>
      <c r="L146" s="73">
        <f>L147-L145</f>
        <v>8476</v>
      </c>
      <c r="M146" s="73">
        <f>M147-M145</f>
        <v>6620</v>
      </c>
      <c r="N146" s="73">
        <f>N147-N145</f>
        <v>6865</v>
      </c>
      <c r="O146" s="73">
        <f>O147-O145</f>
        <v>7285</v>
      </c>
      <c r="P146" s="73">
        <f>P147-P145</f>
        <v>4500</v>
      </c>
      <c r="Q146" s="73">
        <v>3217</v>
      </c>
      <c r="R146" s="73">
        <f>Q147</f>
        <v>3146</v>
      </c>
      <c r="S146" s="73"/>
      <c r="T146" s="73"/>
      <c r="U146" s="73"/>
      <c r="V146" s="73"/>
      <c r="W146" s="73"/>
      <c r="X146" s="73"/>
      <c r="Y146" s="7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2:39" x14ac:dyDescent="0.25">
      <c r="B147" s="25" t="s">
        <v>146</v>
      </c>
      <c r="C147" s="73"/>
      <c r="D147" s="73"/>
      <c r="E147" s="73"/>
      <c r="F147" s="73"/>
      <c r="G147" s="73"/>
      <c r="H147" s="73"/>
      <c r="I147" s="73"/>
      <c r="J147" s="73"/>
      <c r="K147" s="73"/>
      <c r="L147" s="73">
        <f>M146</f>
        <v>6620</v>
      </c>
      <c r="M147" s="73">
        <f>N146</f>
        <v>6865</v>
      </c>
      <c r="N147" s="73">
        <f>O146</f>
        <v>7285</v>
      </c>
      <c r="O147" s="73">
        <f>P146</f>
        <v>4500</v>
      </c>
      <c r="P147" s="73">
        <f>Q146</f>
        <v>3217</v>
      </c>
      <c r="Q147" s="73">
        <f>Q146+Q145</f>
        <v>3146</v>
      </c>
      <c r="R147" s="73">
        <f>+R146+R145</f>
        <v>4254</v>
      </c>
      <c r="S147" s="73"/>
      <c r="T147" s="73"/>
      <c r="U147" s="73"/>
      <c r="V147" s="73"/>
      <c r="W147" s="73"/>
      <c r="X147" s="73"/>
      <c r="Y147" s="7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2:39" x14ac:dyDescent="0.25">
      <c r="B148" s="25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2:39" x14ac:dyDescent="0.25">
      <c r="B149" s="25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2:39" x14ac:dyDescent="0.25">
      <c r="B150" s="25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2:39" x14ac:dyDescent="0.25">
      <c r="B151" s="25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2:39" x14ac:dyDescent="0.25">
      <c r="B152" s="25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2:39" x14ac:dyDescent="0.25">
      <c r="B153" s="25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2:39" x14ac:dyDescent="0.25">
      <c r="B154" s="25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2:39" x14ac:dyDescent="0.25">
      <c r="B155" s="25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2:39" x14ac:dyDescent="0.25">
      <c r="B156" s="25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2:39" x14ac:dyDescent="0.25">
      <c r="B157" s="25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2:39" x14ac:dyDescent="0.25">
      <c r="B158" s="25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2:39" x14ac:dyDescent="0.25">
      <c r="B159" s="25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2:39" x14ac:dyDescent="0.25">
      <c r="B160" s="25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2:39" x14ac:dyDescent="0.25">
      <c r="B161" s="25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2:39" x14ac:dyDescent="0.25">
      <c r="B162" s="25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2:39" x14ac:dyDescent="0.25">
      <c r="B163" s="25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2:39" x14ac:dyDescent="0.25">
      <c r="B164" s="2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2:39" x14ac:dyDescent="0.25">
      <c r="B165" s="2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2:39" x14ac:dyDescent="0.25">
      <c r="B166" s="2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2:39" x14ac:dyDescent="0.25">
      <c r="B167" s="2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2:39" x14ac:dyDescent="0.25">
      <c r="B168" s="2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2:39" x14ac:dyDescent="0.25">
      <c r="B169" s="2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2:39" x14ac:dyDescent="0.25">
      <c r="B170" s="2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2:39" x14ac:dyDescent="0.25">
      <c r="B171" s="2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2:39" x14ac:dyDescent="0.25">
      <c r="B172" s="2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2:39" x14ac:dyDescent="0.25">
      <c r="B173" s="2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2:39" x14ac:dyDescent="0.25">
      <c r="B174" s="2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2:39" x14ac:dyDescent="0.25">
      <c r="B175" s="2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2:39" x14ac:dyDescent="0.25">
      <c r="B176" s="2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2:39" x14ac:dyDescent="0.25">
      <c r="B177" s="2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2:39" x14ac:dyDescent="0.25">
      <c r="B178" s="2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2:39" x14ac:dyDescent="0.25">
      <c r="B179" s="2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2:39" x14ac:dyDescent="0.25">
      <c r="B180" s="2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2:39" x14ac:dyDescent="0.25">
      <c r="B181" s="2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2:39" x14ac:dyDescent="0.25">
      <c r="B182" s="2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2:39" x14ac:dyDescent="0.25">
      <c r="B183" s="2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2:39" x14ac:dyDescent="0.25">
      <c r="B184" s="2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2:39" x14ac:dyDescent="0.25">
      <c r="B185" s="2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2:39" x14ac:dyDescent="0.25">
      <c r="B186" s="2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2:39" x14ac:dyDescent="0.25">
      <c r="B187" s="2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2:39" x14ac:dyDescent="0.25">
      <c r="B188" s="2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2:39" x14ac:dyDescent="0.25">
      <c r="B189" s="2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2:39" x14ac:dyDescent="0.25">
      <c r="B190" s="2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2:39" x14ac:dyDescent="0.25">
      <c r="B191" s="2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2:39" x14ac:dyDescent="0.25">
      <c r="B192" s="2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2:39" x14ac:dyDescent="0.25">
      <c r="B193" s="2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2:39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2:39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2:39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2:39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2:39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2:39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2:39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2:39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2:39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2:39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2:39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2:39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2:39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2:39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2:39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3:39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3:39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3:39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3:39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3:39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3:39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3:39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</sheetData>
  <hyperlinks>
    <hyperlink ref="A1" location="Main!A1" display="Main" xr:uid="{447FE18D-CAEE-434C-B3CC-4791ECCACE8F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783D-D508-411E-B5B6-09B9692A1718}">
  <dimension ref="A2:N38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2" sqref="I2"/>
    </sheetView>
  </sheetViews>
  <sheetFormatPr defaultRowHeight="15" x14ac:dyDescent="0.25"/>
  <cols>
    <col min="1" max="1" width="4.5703125" customWidth="1"/>
    <col min="2" max="2" width="32.42578125" bestFit="1" customWidth="1"/>
  </cols>
  <sheetData>
    <row r="2" spans="1:14" x14ac:dyDescent="0.25">
      <c r="B2" s="6" t="s">
        <v>150</v>
      </c>
      <c r="C2" s="30">
        <v>18</v>
      </c>
      <c r="D2" s="30">
        <f>C2+1</f>
        <v>19</v>
      </c>
      <c r="E2" s="30">
        <f t="shared" ref="E2:H2" si="0">D2+1</f>
        <v>20</v>
      </c>
      <c r="F2" s="30">
        <f t="shared" si="0"/>
        <v>21</v>
      </c>
      <c r="G2" s="30">
        <f t="shared" si="0"/>
        <v>22</v>
      </c>
      <c r="H2" s="30">
        <f t="shared" si="0"/>
        <v>23</v>
      </c>
      <c r="I2" s="30">
        <f>H2+1</f>
        <v>24</v>
      </c>
      <c r="K2" t="s">
        <v>151</v>
      </c>
      <c r="L2" t="s">
        <v>152</v>
      </c>
      <c r="N2" t="s">
        <v>249</v>
      </c>
    </row>
    <row r="3" spans="1:14" x14ac:dyDescent="0.25">
      <c r="B3" s="6" t="s">
        <v>153</v>
      </c>
    </row>
    <row r="4" spans="1:14" x14ac:dyDescent="0.25">
      <c r="B4" t="s">
        <v>154</v>
      </c>
      <c r="C4" s="8">
        <f>Model!L35/Model!L101</f>
        <v>-0.73666076915913958</v>
      </c>
      <c r="D4" s="8">
        <f>Model!M35/Model!M101</f>
        <v>-0.74851547036149602</v>
      </c>
      <c r="E4" s="8">
        <f>Model!N35/Model!N101</f>
        <v>-0.75778383971404384</v>
      </c>
      <c r="F4" s="8">
        <f>Model!O35/Model!O101</f>
        <v>-1.109770955165692</v>
      </c>
      <c r="G4" s="8">
        <f>Model!P35/Model!P101</f>
        <v>-1.4336872128030422</v>
      </c>
      <c r="H4" s="8">
        <f>Model!Q35/Model!Q101</f>
        <v>-0.82712259157315271</v>
      </c>
      <c r="I4" s="8">
        <f>Model!R35/Model!R101</f>
        <v>-0.71499493414387028</v>
      </c>
      <c r="J4" s="8"/>
      <c r="K4" s="20"/>
      <c r="L4" s="20"/>
      <c r="N4" t="s">
        <v>243</v>
      </c>
    </row>
    <row r="5" spans="1:14" x14ac:dyDescent="0.25">
      <c r="B5" t="s">
        <v>155</v>
      </c>
      <c r="D5" s="8"/>
      <c r="E5" s="8"/>
      <c r="F5" s="8"/>
      <c r="G5" s="8"/>
      <c r="H5" s="8"/>
      <c r="I5" s="8"/>
      <c r="K5" s="20"/>
      <c r="L5" s="20"/>
      <c r="N5" t="s">
        <v>156</v>
      </c>
    </row>
    <row r="6" spans="1:14" x14ac:dyDescent="0.25">
      <c r="B6" t="s">
        <v>157</v>
      </c>
      <c r="C6" s="8">
        <f>(Model!L27*(1-Model!L48))/(Model!L101+Model!L77+Model!L87+Model!L76-Model!L52)</f>
        <v>0.60790443464376287</v>
      </c>
      <c r="D6" s="8">
        <f>(Model!M27*(1-Model!M48))/(Model!M101+Model!M77+Model!M87+Model!M76-Model!M52)</f>
        <v>0.55433198697180619</v>
      </c>
      <c r="E6" s="8">
        <f>(Model!N27*(1-Model!N48))/(Model!N101+Model!N77+Model!N87+Model!N76-Model!N52)</f>
        <v>0.670519780513403</v>
      </c>
      <c r="F6" s="8">
        <f>(Model!O27*(1-Model!O48))/(Model!O101+Model!O77+Model!O87+Model!O76-Model!O52)</f>
        <v>0.67155060760146901</v>
      </c>
      <c r="G6" s="8">
        <f>(Model!P27*(1-Model!P48))/(Model!P101+Model!P77+Model!P87+Model!P76-Model!P52)</f>
        <v>0.29412157855202636</v>
      </c>
      <c r="H6" s="8">
        <f>(Model!Q27*(1-Model!Q48))/(Model!Q101+Model!Q77+Model!Q87+Model!Q76-Model!Q52)</f>
        <v>0.25335272454811836</v>
      </c>
      <c r="I6" s="8">
        <f>(Model!R27*(1-Model!R48))/(Model!R101+Model!R77+Model!R87+Model!R76-Model!R52)</f>
        <v>0.31913314655565894</v>
      </c>
      <c r="K6" s="20"/>
      <c r="L6" s="20"/>
      <c r="N6" t="s">
        <v>158</v>
      </c>
    </row>
    <row r="7" spans="1:14" x14ac:dyDescent="0.25">
      <c r="B7" t="s">
        <v>159</v>
      </c>
      <c r="D7" s="8"/>
      <c r="E7" s="8"/>
      <c r="F7" s="8"/>
      <c r="G7" s="8"/>
      <c r="H7" s="8"/>
      <c r="I7" s="8"/>
      <c r="K7" s="20"/>
      <c r="L7" s="20"/>
      <c r="N7" t="s">
        <v>160</v>
      </c>
    </row>
    <row r="8" spans="1:14" x14ac:dyDescent="0.25">
      <c r="B8" t="s">
        <v>161</v>
      </c>
      <c r="D8" s="20"/>
      <c r="E8" s="20"/>
      <c r="F8" s="20"/>
      <c r="G8" s="20"/>
      <c r="H8" s="20"/>
      <c r="I8" s="20"/>
      <c r="K8" s="20"/>
      <c r="L8" s="20"/>
      <c r="N8" t="s">
        <v>162</v>
      </c>
    </row>
    <row r="9" spans="1:14" x14ac:dyDescent="0.25">
      <c r="B9" t="s">
        <v>163</v>
      </c>
      <c r="D9" s="8"/>
      <c r="E9" s="8"/>
      <c r="F9" s="8"/>
      <c r="G9" s="8"/>
      <c r="H9" s="8"/>
      <c r="I9" s="8"/>
      <c r="K9" s="20"/>
      <c r="L9" s="20"/>
      <c r="N9" t="s">
        <v>164</v>
      </c>
    </row>
    <row r="10" spans="1:14" x14ac:dyDescent="0.25">
      <c r="B10" t="s">
        <v>161</v>
      </c>
      <c r="D10" s="20"/>
      <c r="E10" s="20"/>
      <c r="F10" s="20"/>
      <c r="G10" s="20"/>
      <c r="H10" s="20"/>
      <c r="I10" s="20"/>
      <c r="K10" s="20"/>
      <c r="L10" s="20"/>
      <c r="N10" t="s">
        <v>165</v>
      </c>
    </row>
    <row r="13" spans="1:14" x14ac:dyDescent="0.25">
      <c r="A13" s="7" t="s">
        <v>17</v>
      </c>
      <c r="B13" s="6" t="s">
        <v>166</v>
      </c>
    </row>
    <row r="14" spans="1:14" x14ac:dyDescent="0.25">
      <c r="B14" t="s">
        <v>167</v>
      </c>
      <c r="D14" s="8"/>
      <c r="E14" s="8"/>
      <c r="F14" s="8"/>
      <c r="G14" s="8"/>
      <c r="H14" s="8"/>
      <c r="I14" s="8"/>
      <c r="K14" s="20"/>
      <c r="L14" s="20"/>
      <c r="N14" t="s">
        <v>168</v>
      </c>
    </row>
    <row r="15" spans="1:14" x14ac:dyDescent="0.25">
      <c r="B15" t="s">
        <v>169</v>
      </c>
      <c r="D15" s="8"/>
      <c r="E15" s="8"/>
      <c r="F15" s="8"/>
      <c r="G15" s="8"/>
      <c r="H15" s="8"/>
      <c r="I15" s="8"/>
      <c r="K15" s="20"/>
      <c r="L15" s="20"/>
      <c r="N15" t="s">
        <v>170</v>
      </c>
    </row>
    <row r="16" spans="1:14" x14ac:dyDescent="0.25">
      <c r="B16" t="s">
        <v>244</v>
      </c>
      <c r="D16" s="8"/>
      <c r="E16" s="8"/>
      <c r="F16" s="8"/>
      <c r="G16" s="8"/>
      <c r="H16" s="8"/>
      <c r="I16" s="8"/>
      <c r="K16" s="20"/>
      <c r="L16" s="20"/>
      <c r="N16" t="s">
        <v>245</v>
      </c>
    </row>
    <row r="17" spans="1:14" x14ac:dyDescent="0.25">
      <c r="B17" t="s">
        <v>171</v>
      </c>
      <c r="D17" s="8"/>
      <c r="E17" s="8"/>
      <c r="F17" s="8"/>
      <c r="G17" s="8"/>
      <c r="H17" s="8"/>
      <c r="I17" s="8"/>
      <c r="K17" s="20"/>
      <c r="L17" s="20"/>
      <c r="N17" t="s">
        <v>172</v>
      </c>
    </row>
    <row r="18" spans="1:14" x14ac:dyDescent="0.25">
      <c r="B18" t="s">
        <v>173</v>
      </c>
      <c r="D18" s="8"/>
      <c r="E18" s="8"/>
      <c r="F18" s="8"/>
      <c r="G18" s="8"/>
      <c r="H18" s="8"/>
      <c r="I18" s="8"/>
      <c r="K18" s="20"/>
      <c r="L18" s="20"/>
      <c r="N18" t="s">
        <v>174</v>
      </c>
    </row>
    <row r="20" spans="1:14" x14ac:dyDescent="0.25">
      <c r="A20" s="7" t="s">
        <v>17</v>
      </c>
      <c r="B20" s="6" t="s">
        <v>175</v>
      </c>
    </row>
    <row r="21" spans="1:14" x14ac:dyDescent="0.25">
      <c r="B21" t="s">
        <v>176</v>
      </c>
      <c r="D21" s="32"/>
      <c r="E21" s="32"/>
      <c r="F21" s="32"/>
      <c r="G21" s="32"/>
      <c r="H21" s="32"/>
      <c r="I21" s="32"/>
      <c r="K21" s="32"/>
      <c r="L21" s="32"/>
      <c r="N21" t="s">
        <v>177</v>
      </c>
    </row>
    <row r="22" spans="1:14" x14ac:dyDescent="0.25">
      <c r="B22" t="s">
        <v>178</v>
      </c>
      <c r="D22" s="32"/>
      <c r="E22" s="32"/>
      <c r="F22" s="32"/>
      <c r="G22" s="32"/>
      <c r="H22" s="32"/>
      <c r="I22" s="32"/>
      <c r="K22" s="32"/>
      <c r="L22" s="32"/>
      <c r="N22" t="s">
        <v>179</v>
      </c>
    </row>
    <row r="23" spans="1:14" x14ac:dyDescent="0.25">
      <c r="B23" t="s">
        <v>180</v>
      </c>
      <c r="D23" s="32"/>
      <c r="E23" s="32"/>
      <c r="F23" s="32"/>
      <c r="G23" s="32"/>
      <c r="H23" s="32"/>
      <c r="I23" s="32"/>
      <c r="K23" s="32"/>
      <c r="L23" s="32"/>
      <c r="N23" t="s">
        <v>181</v>
      </c>
    </row>
    <row r="24" spans="1:14" x14ac:dyDescent="0.25">
      <c r="B24" t="s">
        <v>182</v>
      </c>
      <c r="D24" s="32"/>
      <c r="E24" s="32"/>
      <c r="F24" s="32"/>
      <c r="G24" s="32"/>
      <c r="H24" s="32"/>
      <c r="I24" s="32"/>
      <c r="K24" s="32"/>
      <c r="L24" s="32"/>
      <c r="N24" t="s">
        <v>183</v>
      </c>
    </row>
    <row r="25" spans="1:14" x14ac:dyDescent="0.25">
      <c r="B25" t="s">
        <v>198</v>
      </c>
      <c r="D25" s="32"/>
      <c r="E25" s="32"/>
      <c r="F25" s="32"/>
      <c r="G25" s="32"/>
      <c r="H25" s="32"/>
      <c r="I25" s="32"/>
      <c r="K25" s="32"/>
      <c r="L25" s="32"/>
      <c r="N25" t="s">
        <v>184</v>
      </c>
    </row>
    <row r="27" spans="1:14" x14ac:dyDescent="0.25">
      <c r="A27" s="7" t="s">
        <v>17</v>
      </c>
      <c r="B27" s="6" t="s">
        <v>185</v>
      </c>
    </row>
    <row r="28" spans="1:14" x14ac:dyDescent="0.25">
      <c r="B28" s="2" t="s">
        <v>186</v>
      </c>
    </row>
    <row r="29" spans="1:14" x14ac:dyDescent="0.25">
      <c r="B29" t="s">
        <v>187</v>
      </c>
      <c r="D29" s="31"/>
      <c r="E29" s="31"/>
      <c r="F29" s="31"/>
      <c r="G29" s="31"/>
      <c r="H29" s="31"/>
      <c r="I29" s="31"/>
    </row>
    <row r="30" spans="1:14" x14ac:dyDescent="0.25">
      <c r="B30" t="s">
        <v>6</v>
      </c>
      <c r="D30" s="31"/>
      <c r="E30" s="31"/>
      <c r="F30" s="31"/>
      <c r="G30" s="31"/>
      <c r="H30" s="31"/>
      <c r="I30" s="31"/>
    </row>
    <row r="31" spans="1:14" x14ac:dyDescent="0.25">
      <c r="B31" t="s">
        <v>199</v>
      </c>
      <c r="D31" s="32"/>
      <c r="E31" s="32"/>
      <c r="F31" s="32"/>
      <c r="G31" s="32"/>
      <c r="H31" s="32"/>
      <c r="I31" s="32"/>
      <c r="K31" s="32"/>
      <c r="L31" s="32"/>
      <c r="N31" t="s">
        <v>188</v>
      </c>
    </row>
    <row r="32" spans="1:14" x14ac:dyDescent="0.25">
      <c r="B32" t="s">
        <v>189</v>
      </c>
      <c r="D32" s="33"/>
      <c r="E32" s="32"/>
      <c r="F32" s="32"/>
      <c r="G32" s="32"/>
      <c r="H32" s="32"/>
      <c r="I32" s="32"/>
      <c r="K32" s="32"/>
      <c r="L32" s="32"/>
      <c r="N32" t="s">
        <v>190</v>
      </c>
    </row>
    <row r="33" spans="2:14" x14ac:dyDescent="0.25">
      <c r="B33" t="s">
        <v>200</v>
      </c>
      <c r="D33" s="32"/>
      <c r="E33" s="32"/>
      <c r="F33" s="32"/>
      <c r="G33" s="32"/>
      <c r="H33" s="32"/>
      <c r="I33" s="32"/>
      <c r="K33" s="32"/>
      <c r="L33" s="32"/>
      <c r="N33" t="s">
        <v>191</v>
      </c>
    </row>
    <row r="34" spans="2:14" x14ac:dyDescent="0.25">
      <c r="B34" s="2" t="s">
        <v>192</v>
      </c>
      <c r="K34" s="32"/>
      <c r="L34" s="32"/>
    </row>
    <row r="35" spans="2:14" x14ac:dyDescent="0.25">
      <c r="B35" t="s">
        <v>193</v>
      </c>
      <c r="D35" s="32"/>
      <c r="E35" s="32"/>
      <c r="F35" s="32"/>
      <c r="G35" s="32"/>
      <c r="H35" s="32"/>
      <c r="I35" s="32"/>
      <c r="K35" s="32"/>
      <c r="L35" s="32"/>
      <c r="N35" t="s">
        <v>193</v>
      </c>
    </row>
    <row r="36" spans="2:14" x14ac:dyDescent="0.25">
      <c r="B36" t="s">
        <v>194</v>
      </c>
      <c r="D36" s="32"/>
      <c r="E36" s="32"/>
      <c r="F36" s="32"/>
      <c r="G36" s="32"/>
      <c r="H36" s="32"/>
      <c r="I36" s="32"/>
      <c r="K36" s="32"/>
      <c r="L36" s="32"/>
      <c r="N36" t="s">
        <v>194</v>
      </c>
    </row>
    <row r="37" spans="2:14" x14ac:dyDescent="0.25">
      <c r="B37" t="s">
        <v>195</v>
      </c>
      <c r="D37" s="32"/>
      <c r="E37" s="32"/>
      <c r="F37" s="32"/>
      <c r="G37" s="32"/>
      <c r="H37" s="32"/>
      <c r="I37" s="32"/>
      <c r="K37" s="32"/>
      <c r="L37" s="32"/>
      <c r="N37" t="s">
        <v>195</v>
      </c>
    </row>
    <row r="38" spans="2:14" x14ac:dyDescent="0.25">
      <c r="B38" t="s">
        <v>196</v>
      </c>
      <c r="D38" s="32"/>
      <c r="E38" s="32"/>
      <c r="F38" s="32"/>
      <c r="G38" s="32"/>
      <c r="H38" s="32"/>
      <c r="I38" s="32"/>
      <c r="K38" s="32"/>
      <c r="L38" s="32"/>
      <c r="N38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99A4-A5F7-48F0-B153-B1BC53E6538C}">
  <dimension ref="A2:X75"/>
  <sheetViews>
    <sheetView showGridLines="0" zoomScale="200" zoomScaleNormal="200" workbookViewId="0">
      <selection activeCell="I5" sqref="I5"/>
    </sheetView>
  </sheetViews>
  <sheetFormatPr defaultRowHeight="15" x14ac:dyDescent="0.25"/>
  <cols>
    <col min="1" max="1" width="5.85546875" customWidth="1"/>
    <col min="5" max="5" width="10.5703125" bestFit="1" customWidth="1"/>
    <col min="7" max="20" width="9.28515625" bestFit="1" customWidth="1"/>
  </cols>
  <sheetData>
    <row r="2" spans="1:24" ht="19.5" x14ac:dyDescent="0.3">
      <c r="A2" s="16"/>
      <c r="B2" s="34" t="s">
        <v>242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x14ac:dyDescent="0.25">
      <c r="E3" s="35"/>
    </row>
    <row r="4" spans="1:24" x14ac:dyDescent="0.25">
      <c r="B4" t="s">
        <v>201</v>
      </c>
      <c r="E4" s="36" t="s">
        <v>241</v>
      </c>
      <c r="G4" t="s">
        <v>202</v>
      </c>
      <c r="J4" s="70">
        <f>Main!K3</f>
        <v>145.31</v>
      </c>
    </row>
    <row r="5" spans="1:24" x14ac:dyDescent="0.25">
      <c r="B5" t="s">
        <v>203</v>
      </c>
      <c r="E5" s="68">
        <v>45504</v>
      </c>
      <c r="G5" t="s">
        <v>204</v>
      </c>
      <c r="J5" s="70">
        <f ca="1">V61</f>
        <v>150.00774361442762</v>
      </c>
    </row>
    <row r="6" spans="1:24" x14ac:dyDescent="0.25">
      <c r="B6" t="s">
        <v>205</v>
      </c>
      <c r="E6" s="69">
        <v>45657</v>
      </c>
      <c r="G6" t="s">
        <v>206</v>
      </c>
      <c r="J6" s="72">
        <f ca="1">J5/J4-1</f>
        <v>3.2329114406631554E-2</v>
      </c>
    </row>
    <row r="8" spans="1:24" x14ac:dyDescent="0.25">
      <c r="A8" s="38" t="s">
        <v>17</v>
      </c>
      <c r="B8" s="39" t="s">
        <v>207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</row>
    <row r="9" spans="1:24" x14ac:dyDescent="0.25">
      <c r="A9" s="38"/>
    </row>
    <row r="10" spans="1:24" x14ac:dyDescent="0.25">
      <c r="A10" s="38"/>
      <c r="B10" s="40" t="s">
        <v>208</v>
      </c>
      <c r="C10" s="41"/>
      <c r="D10" s="41"/>
      <c r="E10" s="41"/>
      <c r="G10" s="40" t="s">
        <v>209</v>
      </c>
      <c r="H10" s="41"/>
      <c r="I10" s="41"/>
      <c r="J10" s="41"/>
      <c r="L10" s="40" t="s">
        <v>210</v>
      </c>
      <c r="M10" s="41"/>
      <c r="N10" s="41"/>
      <c r="O10" s="41"/>
      <c r="Q10" s="40" t="s">
        <v>211</v>
      </c>
      <c r="R10" s="41"/>
      <c r="S10" s="41"/>
      <c r="T10" s="41"/>
    </row>
    <row r="11" spans="1:24" x14ac:dyDescent="0.25">
      <c r="A11" s="38"/>
      <c r="B11" s="6" t="s">
        <v>212</v>
      </c>
      <c r="G11" s="6" t="s">
        <v>212</v>
      </c>
      <c r="I11" s="6" t="s">
        <v>213</v>
      </c>
      <c r="J11" s="6" t="s">
        <v>214</v>
      </c>
      <c r="L11" s="6" t="s">
        <v>212</v>
      </c>
      <c r="N11" s="6" t="s">
        <v>213</v>
      </c>
      <c r="O11" s="6" t="s">
        <v>214</v>
      </c>
      <c r="Q11" s="6" t="s">
        <v>212</v>
      </c>
      <c r="S11" s="6" t="s">
        <v>213</v>
      </c>
      <c r="T11" s="6" t="s">
        <v>214</v>
      </c>
    </row>
    <row r="12" spans="1:24" x14ac:dyDescent="0.25">
      <c r="B12" t="s">
        <v>19</v>
      </c>
      <c r="E12" s="37">
        <v>2</v>
      </c>
      <c r="G12" t="s">
        <v>215</v>
      </c>
      <c r="K12" s="1"/>
      <c r="L12" t="s">
        <v>215</v>
      </c>
      <c r="Q12" t="s">
        <v>215</v>
      </c>
    </row>
    <row r="13" spans="1:24" x14ac:dyDescent="0.25">
      <c r="B13" t="s">
        <v>216</v>
      </c>
      <c r="E13" s="37">
        <v>2</v>
      </c>
    </row>
    <row r="14" spans="1:24" x14ac:dyDescent="0.25">
      <c r="B14" t="s">
        <v>217</v>
      </c>
      <c r="E14" s="37">
        <v>2</v>
      </c>
      <c r="G14" t="s">
        <v>216</v>
      </c>
      <c r="L14" t="s">
        <v>216</v>
      </c>
      <c r="Q14" t="s">
        <v>216</v>
      </c>
    </row>
    <row r="15" spans="1:24" x14ac:dyDescent="0.25">
      <c r="B15" t="s">
        <v>218</v>
      </c>
      <c r="E15" s="37">
        <v>2</v>
      </c>
    </row>
    <row r="17" spans="1:22" x14ac:dyDescent="0.25">
      <c r="B17" s="6" t="s">
        <v>219</v>
      </c>
    </row>
    <row r="18" spans="1:22" x14ac:dyDescent="0.25">
      <c r="B18" t="s">
        <v>217</v>
      </c>
      <c r="E18" s="42">
        <v>7.0000000000000007E-2</v>
      </c>
      <c r="G18" t="s">
        <v>217</v>
      </c>
      <c r="J18" s="42"/>
      <c r="L18" t="s">
        <v>217</v>
      </c>
      <c r="O18" s="42">
        <v>7.0000000000000007E-2</v>
      </c>
      <c r="Q18" t="s">
        <v>217</v>
      </c>
      <c r="T18" s="42"/>
    </row>
    <row r="19" spans="1:22" x14ac:dyDescent="0.25">
      <c r="B19" t="s">
        <v>218</v>
      </c>
      <c r="E19" s="42">
        <f>CHOOSE(E15,J19,O19,T19)</f>
        <v>1.4999999999999999E-2</v>
      </c>
      <c r="G19" t="s">
        <v>218</v>
      </c>
      <c r="J19" s="42"/>
      <c r="L19" t="s">
        <v>218</v>
      </c>
      <c r="O19" s="42">
        <v>1.4999999999999999E-2</v>
      </c>
      <c r="Q19" t="s">
        <v>218</v>
      </c>
      <c r="T19" s="42"/>
    </row>
    <row r="23" spans="1:22" x14ac:dyDescent="0.25">
      <c r="A23" s="38" t="s">
        <v>17</v>
      </c>
      <c r="B23" s="39" t="s">
        <v>220</v>
      </c>
      <c r="C23" s="39"/>
      <c r="D23" s="39"/>
      <c r="E23" s="39"/>
      <c r="F23" s="39"/>
      <c r="G23" s="43">
        <v>18</v>
      </c>
      <c r="H23" s="43">
        <f>G23+1</f>
        <v>19</v>
      </c>
      <c r="I23" s="43">
        <f t="shared" ref="I23:V23" si="0">H23+1</f>
        <v>20</v>
      </c>
      <c r="J23" s="43">
        <f t="shared" si="0"/>
        <v>21</v>
      </c>
      <c r="K23" s="43">
        <f t="shared" si="0"/>
        <v>22</v>
      </c>
      <c r="L23" s="43">
        <f t="shared" si="0"/>
        <v>23</v>
      </c>
      <c r="M23" s="44">
        <f t="shared" si="0"/>
        <v>24</v>
      </c>
      <c r="N23" s="44">
        <f t="shared" si="0"/>
        <v>25</v>
      </c>
      <c r="O23" s="44">
        <f t="shared" si="0"/>
        <v>26</v>
      </c>
      <c r="P23" s="44">
        <f t="shared" si="0"/>
        <v>27</v>
      </c>
      <c r="Q23" s="44">
        <f t="shared" si="0"/>
        <v>28</v>
      </c>
      <c r="R23" s="44">
        <f t="shared" si="0"/>
        <v>29</v>
      </c>
      <c r="S23" s="44">
        <f t="shared" si="0"/>
        <v>30</v>
      </c>
      <c r="T23" s="44">
        <f t="shared" si="0"/>
        <v>31</v>
      </c>
      <c r="U23" s="44">
        <f t="shared" si="0"/>
        <v>32</v>
      </c>
      <c r="V23" s="44">
        <f t="shared" si="0"/>
        <v>33</v>
      </c>
    </row>
    <row r="24" spans="1:22" x14ac:dyDescent="0.25">
      <c r="B24" t="s">
        <v>215</v>
      </c>
      <c r="G24" s="31">
        <f>Model!L22</f>
        <v>29625</v>
      </c>
      <c r="H24" s="31">
        <f>Model!M22</f>
        <v>29805</v>
      </c>
      <c r="I24" s="31">
        <f>Model!N22</f>
        <v>28694</v>
      </c>
      <c r="J24" s="31">
        <f>Model!O22</f>
        <v>31405</v>
      </c>
      <c r="K24" s="31">
        <f>Model!P22</f>
        <v>31762</v>
      </c>
      <c r="L24" s="31">
        <f>Model!Q22</f>
        <v>35174</v>
      </c>
      <c r="M24" s="31">
        <f ca="1">L24*(1+M25)</f>
        <v>36580.959999999999</v>
      </c>
      <c r="N24" s="31">
        <f t="shared" ref="N24:V24" ca="1" si="1">M24*(1+N25)</f>
        <v>38044.198400000001</v>
      </c>
      <c r="O24" s="31">
        <f t="shared" ca="1" si="1"/>
        <v>39565.966336000005</v>
      </c>
      <c r="P24" s="31">
        <f t="shared" ca="1" si="1"/>
        <v>41148.604989440006</v>
      </c>
      <c r="Q24" s="31">
        <f t="shared" ca="1" si="1"/>
        <v>42794.549189017605</v>
      </c>
      <c r="R24" s="31">
        <f t="shared" ca="1" si="1"/>
        <v>44506.331156578308</v>
      </c>
      <c r="S24" s="31">
        <f t="shared" ca="1" si="1"/>
        <v>46286.584402841443</v>
      </c>
      <c r="T24" s="31">
        <f t="shared" ca="1" si="1"/>
        <v>48138.047778955101</v>
      </c>
      <c r="U24" s="31">
        <f t="shared" ca="1" si="1"/>
        <v>50063.569690113305</v>
      </c>
      <c r="V24" s="31">
        <f t="shared" ca="1" si="1"/>
        <v>52066.112477717841</v>
      </c>
    </row>
    <row r="25" spans="1:22" x14ac:dyDescent="0.25">
      <c r="B25" s="45" t="s">
        <v>221</v>
      </c>
      <c r="C25" s="24"/>
      <c r="G25" s="46"/>
      <c r="H25" s="47">
        <f>H24/G24-1</f>
        <v>6.0759493670885512E-3</v>
      </c>
      <c r="I25" s="47">
        <f t="shared" ref="I25:L25" si="2">I24/H24-1</f>
        <v>-3.7275624895151793E-2</v>
      </c>
      <c r="J25" s="47">
        <f t="shared" si="2"/>
        <v>9.4479682163518541E-2</v>
      </c>
      <c r="K25" s="47">
        <f t="shared" si="2"/>
        <v>1.1367616621557053E-2</v>
      </c>
      <c r="L25" s="47">
        <f t="shared" si="2"/>
        <v>0.10742396574523005</v>
      </c>
      <c r="M25" s="47" cm="1">
        <f t="array" aca="1" ref="M25" ca="1">OFFSET(M25,$E$12,,)</f>
        <v>0.04</v>
      </c>
      <c r="N25" s="47" cm="1">
        <f t="array" aca="1" ref="N25" ca="1">OFFSET(N25,$E$12,,)</f>
        <v>0.04</v>
      </c>
      <c r="O25" s="47" cm="1">
        <f t="array" aca="1" ref="O25" ca="1">OFFSET(O25,$E$12,,)</f>
        <v>0.04</v>
      </c>
      <c r="P25" s="47" cm="1">
        <f t="array" aca="1" ref="P25" ca="1">OFFSET(P25,$E$12,,)</f>
        <v>0.04</v>
      </c>
      <c r="Q25" s="47" cm="1">
        <f t="array" aca="1" ref="Q25" ca="1">OFFSET(Q25,$E$12,,)</f>
        <v>0.04</v>
      </c>
      <c r="R25" s="47" cm="1">
        <f t="array" aca="1" ref="R25" ca="1">OFFSET(R25,$E$12,,)</f>
        <v>0.04</v>
      </c>
      <c r="S25" s="47" cm="1">
        <f t="array" aca="1" ref="S25" ca="1">OFFSET(S25,$E$12,,)</f>
        <v>0.04</v>
      </c>
      <c r="T25" s="47" cm="1">
        <f t="array" aca="1" ref="T25" ca="1">OFFSET(T25,$E$12,,)</f>
        <v>0.04</v>
      </c>
      <c r="U25" s="47" cm="1">
        <f t="array" aca="1" ref="U25" ca="1">OFFSET(U25,$E$12,,)</f>
        <v>0.04</v>
      </c>
      <c r="V25" s="47" cm="1">
        <f t="array" aca="1" ref="V25" ca="1">OFFSET(V25,$E$12,,)</f>
        <v>0.04</v>
      </c>
    </row>
    <row r="26" spans="1:22" x14ac:dyDescent="0.25">
      <c r="B26" s="45" t="s">
        <v>209</v>
      </c>
      <c r="C26" s="24"/>
      <c r="H26" s="8"/>
      <c r="I26" s="8"/>
      <c r="J26" s="8"/>
      <c r="K26" s="8"/>
      <c r="L26" s="8"/>
      <c r="M26" s="48"/>
      <c r="N26" s="48"/>
      <c r="O26" s="48"/>
      <c r="P26" s="48"/>
      <c r="Q26" s="48"/>
      <c r="R26" s="48"/>
      <c r="S26" s="48"/>
      <c r="T26" s="48"/>
      <c r="U26" s="48"/>
      <c r="V26" s="48"/>
    </row>
    <row r="27" spans="1:22" x14ac:dyDescent="0.25">
      <c r="B27" s="45" t="s">
        <v>222</v>
      </c>
      <c r="C27" s="24"/>
      <c r="H27" s="8"/>
      <c r="I27" s="8"/>
      <c r="J27" s="8"/>
      <c r="K27" s="8"/>
      <c r="L27" s="8"/>
      <c r="M27" s="71">
        <v>0.04</v>
      </c>
      <c r="N27" s="71">
        <v>0.04</v>
      </c>
      <c r="O27" s="71">
        <v>0.04</v>
      </c>
      <c r="P27" s="71">
        <v>0.04</v>
      </c>
      <c r="Q27" s="71">
        <v>0.04</v>
      </c>
      <c r="R27" s="71">
        <v>0.04</v>
      </c>
      <c r="S27" s="71">
        <v>0.04</v>
      </c>
      <c r="T27" s="71">
        <v>0.04</v>
      </c>
      <c r="U27" s="71">
        <v>0.04</v>
      </c>
      <c r="V27" s="71">
        <v>0.04</v>
      </c>
    </row>
    <row r="28" spans="1:22" x14ac:dyDescent="0.25">
      <c r="B28" s="45" t="s">
        <v>223</v>
      </c>
      <c r="C28" s="24"/>
      <c r="H28" s="8"/>
      <c r="I28" s="8"/>
      <c r="J28" s="8"/>
      <c r="K28" s="8"/>
      <c r="L28" s="8"/>
      <c r="M28" s="48"/>
      <c r="N28" s="48"/>
      <c r="O28" s="48"/>
      <c r="P28" s="48"/>
      <c r="Q28" s="48"/>
      <c r="R28" s="48"/>
      <c r="S28" s="48"/>
      <c r="T28" s="48"/>
      <c r="U28" s="48"/>
      <c r="V28" s="48"/>
    </row>
    <row r="30" spans="1:22" x14ac:dyDescent="0.25">
      <c r="B30" t="s">
        <v>216</v>
      </c>
      <c r="G30" s="31">
        <f>Model!L27</f>
        <v>11377</v>
      </c>
      <c r="H30" s="31">
        <f>Model!M27</f>
        <v>10531</v>
      </c>
      <c r="I30" s="31">
        <f>Model!N27</f>
        <v>11668</v>
      </c>
      <c r="J30" s="31">
        <f>Model!O27</f>
        <v>12975</v>
      </c>
      <c r="K30" s="31">
        <f>Model!P27</f>
        <v>12246</v>
      </c>
      <c r="L30" s="31">
        <f>Model!Q27</f>
        <v>11556</v>
      </c>
      <c r="M30" s="31">
        <f ca="1">M31*M24</f>
        <v>13900.764799999999</v>
      </c>
      <c r="N30" s="31">
        <f t="shared" ref="N30:V30" ca="1" si="3">N31*N24</f>
        <v>14456.795392</v>
      </c>
      <c r="O30" s="31">
        <f t="shared" ca="1" si="3"/>
        <v>15035.067207680002</v>
      </c>
      <c r="P30" s="31">
        <f t="shared" ca="1" si="3"/>
        <v>15636.469895987202</v>
      </c>
      <c r="Q30" s="31">
        <f t="shared" ca="1" si="3"/>
        <v>16261.92869182669</v>
      </c>
      <c r="R30" s="31">
        <f t="shared" ca="1" si="3"/>
        <v>16912.405839499756</v>
      </c>
      <c r="S30" s="31">
        <f t="shared" ca="1" si="3"/>
        <v>17588.902073079749</v>
      </c>
      <c r="T30" s="31">
        <f t="shared" ca="1" si="3"/>
        <v>18292.45815600294</v>
      </c>
      <c r="U30" s="31">
        <f t="shared" ca="1" si="3"/>
        <v>19024.156482243056</v>
      </c>
      <c r="V30" s="31">
        <f t="shared" ca="1" si="3"/>
        <v>19785.122741532781</v>
      </c>
    </row>
    <row r="31" spans="1:22" x14ac:dyDescent="0.25">
      <c r="B31" s="45" t="s">
        <v>224</v>
      </c>
      <c r="G31" s="47">
        <f>G30/G24</f>
        <v>0.38403375527426159</v>
      </c>
      <c r="H31" s="47">
        <f t="shared" ref="H31:L31" si="4">H30/H24</f>
        <v>0.35332997819157858</v>
      </c>
      <c r="I31" s="47">
        <f t="shared" si="4"/>
        <v>0.40663553356102322</v>
      </c>
      <c r="J31" s="47">
        <f t="shared" si="4"/>
        <v>0.4131507721700366</v>
      </c>
      <c r="K31" s="47">
        <f t="shared" si="4"/>
        <v>0.38555506580190163</v>
      </c>
      <c r="L31" s="47">
        <f t="shared" si="4"/>
        <v>0.32853812475123673</v>
      </c>
      <c r="M31" s="47" cm="1">
        <f t="array" aca="1" ref="M31" ca="1">OFFSET(M31,$E$13,,)</f>
        <v>0.38</v>
      </c>
      <c r="N31" s="47" cm="1">
        <f t="array" aca="1" ref="N31" ca="1">OFFSET(N31,$E$13,,)</f>
        <v>0.38</v>
      </c>
      <c r="O31" s="47" cm="1">
        <f t="array" aca="1" ref="O31" ca="1">OFFSET(O31,$E$13,,)</f>
        <v>0.38</v>
      </c>
      <c r="P31" s="47" cm="1">
        <f t="array" aca="1" ref="P31" ca="1">OFFSET(P31,$E$13,,)</f>
        <v>0.38</v>
      </c>
      <c r="Q31" s="47" cm="1">
        <f t="array" aca="1" ref="Q31" ca="1">OFFSET(Q31,$E$13,,)</f>
        <v>0.38</v>
      </c>
      <c r="R31" s="47" cm="1">
        <f t="array" aca="1" ref="R31" ca="1">OFFSET(R31,$E$13,,)</f>
        <v>0.38</v>
      </c>
      <c r="S31" s="47" cm="1">
        <f t="array" aca="1" ref="S31" ca="1">OFFSET(S31,$E$13,,)</f>
        <v>0.38</v>
      </c>
      <c r="T31" s="47" cm="1">
        <f t="array" aca="1" ref="T31" ca="1">OFFSET(T31,$E$13,,)</f>
        <v>0.38</v>
      </c>
      <c r="U31" s="47" cm="1">
        <f t="array" aca="1" ref="U31" ca="1">OFFSET(U31,$E$13,,)</f>
        <v>0.38</v>
      </c>
      <c r="V31" s="47" cm="1">
        <f t="array" aca="1" ref="V31" ca="1">OFFSET(V31,$E$13,,)</f>
        <v>0.38</v>
      </c>
    </row>
    <row r="32" spans="1:22" x14ac:dyDescent="0.25">
      <c r="B32" s="45" t="s">
        <v>209</v>
      </c>
      <c r="M32" s="71"/>
      <c r="N32" s="71"/>
      <c r="O32" s="71"/>
      <c r="P32" s="71"/>
      <c r="Q32" s="71"/>
      <c r="R32" s="71"/>
      <c r="S32" s="71"/>
      <c r="T32" s="71"/>
      <c r="U32" s="71"/>
      <c r="V32" s="71"/>
    </row>
    <row r="33" spans="2:22" x14ac:dyDescent="0.25">
      <c r="B33" s="45" t="s">
        <v>222</v>
      </c>
      <c r="M33" s="71">
        <v>0.38</v>
      </c>
      <c r="N33" s="71">
        <v>0.38</v>
      </c>
      <c r="O33" s="71">
        <v>0.38</v>
      </c>
      <c r="P33" s="71">
        <v>0.38</v>
      </c>
      <c r="Q33" s="71">
        <v>0.38</v>
      </c>
      <c r="R33" s="71">
        <v>0.38</v>
      </c>
      <c r="S33" s="71">
        <v>0.38</v>
      </c>
      <c r="T33" s="71">
        <v>0.38</v>
      </c>
      <c r="U33" s="71">
        <v>0.38</v>
      </c>
      <c r="V33" s="71">
        <v>0.38</v>
      </c>
    </row>
    <row r="34" spans="2:22" x14ac:dyDescent="0.25">
      <c r="B34" s="45" t="s">
        <v>223</v>
      </c>
      <c r="M34" s="71"/>
      <c r="N34" s="71"/>
      <c r="O34" s="71"/>
      <c r="P34" s="71"/>
      <c r="Q34" s="71"/>
      <c r="R34" s="71"/>
      <c r="S34" s="71"/>
      <c r="T34" s="71"/>
      <c r="U34" s="71"/>
      <c r="V34" s="71"/>
    </row>
    <row r="36" spans="2:22" x14ac:dyDescent="0.25">
      <c r="B36" t="s">
        <v>225</v>
      </c>
      <c r="G36" s="31">
        <f>Model!L31</f>
        <v>2445</v>
      </c>
      <c r="H36" s="31">
        <f>Model!M31</f>
        <v>2293</v>
      </c>
      <c r="I36" s="31">
        <f>Model!N31</f>
        <v>2377</v>
      </c>
      <c r="J36" s="31">
        <f>Model!O31</f>
        <v>2671</v>
      </c>
      <c r="K36" s="31">
        <f>Model!P31</f>
        <v>2244</v>
      </c>
      <c r="L36" s="31">
        <f>Model!Q31</f>
        <v>2339</v>
      </c>
      <c r="M36" s="31">
        <f ca="1">M37*M30</f>
        <v>2780.1529599999999</v>
      </c>
      <c r="N36" s="31">
        <f t="shared" ref="N36:V36" ca="1" si="5">N37*N30</f>
        <v>2891.3590784000003</v>
      </c>
      <c r="O36" s="31">
        <f t="shared" ca="1" si="5"/>
        <v>3007.0134415360008</v>
      </c>
      <c r="P36" s="31">
        <f t="shared" ca="1" si="5"/>
        <v>3127.2939791974404</v>
      </c>
      <c r="Q36" s="31">
        <f t="shared" ca="1" si="5"/>
        <v>3252.3857383653381</v>
      </c>
      <c r="R36" s="31">
        <f t="shared" ca="1" si="5"/>
        <v>3382.4811678999513</v>
      </c>
      <c r="S36" s="31">
        <f t="shared" ca="1" si="5"/>
        <v>3517.7804146159501</v>
      </c>
      <c r="T36" s="31">
        <f t="shared" ca="1" si="5"/>
        <v>3658.491631200588</v>
      </c>
      <c r="U36" s="31">
        <f t="shared" ca="1" si="5"/>
        <v>3804.8312964486113</v>
      </c>
      <c r="V36" s="31">
        <f t="shared" ca="1" si="5"/>
        <v>3957.0245483065564</v>
      </c>
    </row>
    <row r="37" spans="2:22" x14ac:dyDescent="0.25">
      <c r="B37" s="24" t="s">
        <v>226</v>
      </c>
      <c r="G37" s="47">
        <f t="shared" ref="G37:L37" si="6">G36/G30</f>
        <v>0.21490726905159532</v>
      </c>
      <c r="H37" s="47">
        <f t="shared" si="6"/>
        <v>0.21773810654258854</v>
      </c>
      <c r="I37" s="47">
        <f t="shared" si="6"/>
        <v>0.20371957490572506</v>
      </c>
      <c r="J37" s="47">
        <f t="shared" si="6"/>
        <v>0.20585741811175337</v>
      </c>
      <c r="K37" s="47">
        <f t="shared" si="6"/>
        <v>0.18324350808427242</v>
      </c>
      <c r="L37" s="47">
        <f t="shared" si="6"/>
        <v>0.20240567670474213</v>
      </c>
      <c r="M37" s="47">
        <v>0.2</v>
      </c>
      <c r="N37" s="47">
        <v>0.2</v>
      </c>
      <c r="O37" s="47">
        <v>0.2</v>
      </c>
      <c r="P37" s="47">
        <v>0.2</v>
      </c>
      <c r="Q37" s="47">
        <v>0.2</v>
      </c>
      <c r="R37" s="47">
        <v>0.2</v>
      </c>
      <c r="S37" s="47">
        <v>0.2</v>
      </c>
      <c r="T37" s="47">
        <v>0.2</v>
      </c>
      <c r="U37" s="47">
        <v>0.2</v>
      </c>
      <c r="V37" s="47">
        <v>0.2</v>
      </c>
    </row>
    <row r="38" spans="2:22" x14ac:dyDescent="0.25">
      <c r="B38" s="24"/>
    </row>
    <row r="39" spans="2:22" x14ac:dyDescent="0.25">
      <c r="B39" s="49" t="s">
        <v>227</v>
      </c>
      <c r="C39" s="50"/>
      <c r="D39" s="50"/>
      <c r="E39" s="50"/>
      <c r="F39" s="50"/>
      <c r="G39" s="51">
        <f t="shared" ref="G39:V39" si="7">G30-G36</f>
        <v>8932</v>
      </c>
      <c r="H39" s="51">
        <f t="shared" si="7"/>
        <v>8238</v>
      </c>
      <c r="I39" s="51">
        <f t="shared" si="7"/>
        <v>9291</v>
      </c>
      <c r="J39" s="51">
        <f t="shared" si="7"/>
        <v>10304</v>
      </c>
      <c r="K39" s="51">
        <f t="shared" si="7"/>
        <v>10002</v>
      </c>
      <c r="L39" s="51">
        <f t="shared" si="7"/>
        <v>9217</v>
      </c>
      <c r="M39" s="51">
        <f t="shared" ca="1" si="7"/>
        <v>11120.61184</v>
      </c>
      <c r="N39" s="51">
        <f t="shared" ca="1" si="7"/>
        <v>11565.436313599999</v>
      </c>
      <c r="O39" s="51">
        <f t="shared" ca="1" si="7"/>
        <v>12028.053766144001</v>
      </c>
      <c r="P39" s="51">
        <f t="shared" ca="1" si="7"/>
        <v>12509.175916789762</v>
      </c>
      <c r="Q39" s="51">
        <f t="shared" ca="1" si="7"/>
        <v>13009.542953461352</v>
      </c>
      <c r="R39" s="51">
        <f t="shared" ca="1" si="7"/>
        <v>13529.924671599805</v>
      </c>
      <c r="S39" s="51">
        <f t="shared" ca="1" si="7"/>
        <v>14071.121658463799</v>
      </c>
      <c r="T39" s="51">
        <f t="shared" ca="1" si="7"/>
        <v>14633.966524802352</v>
      </c>
      <c r="U39" s="51">
        <f t="shared" ca="1" si="7"/>
        <v>15219.325185794445</v>
      </c>
      <c r="V39" s="52">
        <f t="shared" ca="1" si="7"/>
        <v>15828.098193226226</v>
      </c>
    </row>
    <row r="41" spans="2:22" x14ac:dyDescent="0.25">
      <c r="B41" t="s">
        <v>118</v>
      </c>
      <c r="G41" s="31">
        <f>Model!L108</f>
        <v>989</v>
      </c>
      <c r="H41" s="31">
        <f>Model!M108</f>
        <v>964</v>
      </c>
      <c r="I41" s="31">
        <f>Model!N108</f>
        <v>981</v>
      </c>
      <c r="J41" s="31">
        <f>Model!O108</f>
        <v>998</v>
      </c>
      <c r="K41" s="31">
        <f>Model!P108</f>
        <v>1077</v>
      </c>
      <c r="L41" s="31">
        <f>Model!Q108</f>
        <v>1398</v>
      </c>
      <c r="M41" s="31">
        <f ca="1">M42*M24</f>
        <v>1243.7526400000002</v>
      </c>
      <c r="N41" s="31">
        <f t="shared" ref="N41:V41" ca="1" si="8">N42*N24</f>
        <v>1293.5027456</v>
      </c>
      <c r="O41" s="31">
        <f t="shared" ca="1" si="8"/>
        <v>1345.2428554240003</v>
      </c>
      <c r="P41" s="31">
        <f t="shared" ca="1" si="8"/>
        <v>1399.0525696409602</v>
      </c>
      <c r="Q41" s="31">
        <f t="shared" ca="1" si="8"/>
        <v>1455.0146724265987</v>
      </c>
      <c r="R41" s="31">
        <f t="shared" ca="1" si="8"/>
        <v>1513.2152593236626</v>
      </c>
      <c r="S41" s="31">
        <f t="shared" ca="1" si="8"/>
        <v>1573.7438696966092</v>
      </c>
      <c r="T41" s="31">
        <f t="shared" ca="1" si="8"/>
        <v>1636.6936244844735</v>
      </c>
      <c r="U41" s="31">
        <f t="shared" ca="1" si="8"/>
        <v>1702.1613694638525</v>
      </c>
      <c r="V41" s="31">
        <f t="shared" ca="1" si="8"/>
        <v>1770.2478242424068</v>
      </c>
    </row>
    <row r="42" spans="2:22" x14ac:dyDescent="0.25">
      <c r="B42" s="45" t="s">
        <v>224</v>
      </c>
      <c r="C42" s="46"/>
      <c r="D42" s="46"/>
      <c r="E42" s="46"/>
      <c r="F42" s="46"/>
      <c r="G42" s="53">
        <f t="shared" ref="G42:L42" si="9">G41/G24</f>
        <v>3.3383966244725741E-2</v>
      </c>
      <c r="H42" s="53">
        <f t="shared" si="9"/>
        <v>3.234356651568529E-2</v>
      </c>
      <c r="I42" s="53">
        <f t="shared" si="9"/>
        <v>3.4188332055481982E-2</v>
      </c>
      <c r="J42" s="53">
        <f t="shared" si="9"/>
        <v>3.1778379238974683E-2</v>
      </c>
      <c r="K42" s="53">
        <f t="shared" si="9"/>
        <v>3.3908444052641519E-2</v>
      </c>
      <c r="L42" s="53">
        <f t="shared" si="9"/>
        <v>3.9745266389947118E-2</v>
      </c>
      <c r="M42" s="54">
        <v>3.4000000000000002E-2</v>
      </c>
      <c r="N42" s="54">
        <v>3.4000000000000002E-2</v>
      </c>
      <c r="O42" s="54">
        <v>3.4000000000000002E-2</v>
      </c>
      <c r="P42" s="54">
        <v>3.4000000000000002E-2</v>
      </c>
      <c r="Q42" s="54">
        <v>3.4000000000000002E-2</v>
      </c>
      <c r="R42" s="54">
        <v>3.4000000000000002E-2</v>
      </c>
      <c r="S42" s="54">
        <v>3.4000000000000002E-2</v>
      </c>
      <c r="T42" s="54">
        <v>3.4000000000000002E-2</v>
      </c>
      <c r="U42" s="54">
        <v>3.4000000000000002E-2</v>
      </c>
      <c r="V42" s="54">
        <v>3.4000000000000002E-2</v>
      </c>
    </row>
    <row r="44" spans="2:22" x14ac:dyDescent="0.25">
      <c r="B44" t="s">
        <v>125</v>
      </c>
      <c r="G44" s="31">
        <f>-Model!L122</f>
        <v>1436</v>
      </c>
      <c r="H44" s="31">
        <f>-Model!M122</f>
        <v>852</v>
      </c>
      <c r="I44" s="31">
        <f>-Model!N122</f>
        <v>602</v>
      </c>
      <c r="J44" s="31">
        <f>-Model!O122</f>
        <v>748</v>
      </c>
      <c r="K44" s="31">
        <f>-Model!P122</f>
        <v>1077</v>
      </c>
      <c r="L44" s="31">
        <f>-Model!Q122</f>
        <v>1321</v>
      </c>
      <c r="M44" s="31">
        <f ca="1">M45*M24</f>
        <v>1390.0764799999999</v>
      </c>
      <c r="N44" s="31">
        <f t="shared" ref="N44:V44" ca="1" si="10">N45*N24</f>
        <v>1445.6795391999999</v>
      </c>
      <c r="O44" s="31">
        <f t="shared" ca="1" si="10"/>
        <v>1503.5067207680002</v>
      </c>
      <c r="P44" s="31">
        <f t="shared" ca="1" si="10"/>
        <v>1563.6469895987202</v>
      </c>
      <c r="Q44" s="31">
        <f t="shared" ca="1" si="10"/>
        <v>1626.192869182669</v>
      </c>
      <c r="R44" s="31">
        <f t="shared" ca="1" si="10"/>
        <v>1691.2405839499756</v>
      </c>
      <c r="S44" s="31">
        <f t="shared" ca="1" si="10"/>
        <v>1758.8902073079748</v>
      </c>
      <c r="T44" s="31">
        <f t="shared" ca="1" si="10"/>
        <v>1829.2458156002938</v>
      </c>
      <c r="U44" s="31">
        <f t="shared" ca="1" si="10"/>
        <v>1902.4156482243056</v>
      </c>
      <c r="V44" s="31">
        <f t="shared" ca="1" si="10"/>
        <v>1978.512274153278</v>
      </c>
    </row>
    <row r="45" spans="2:22" x14ac:dyDescent="0.25">
      <c r="B45" s="45" t="s">
        <v>224</v>
      </c>
      <c r="G45" s="53">
        <f t="shared" ref="G45:L45" si="11">G44/G24</f>
        <v>4.8472573839662449E-2</v>
      </c>
      <c r="H45" s="53">
        <f t="shared" si="11"/>
        <v>2.8585807750377452E-2</v>
      </c>
      <c r="I45" s="53">
        <f t="shared" si="11"/>
        <v>2.0979995817941032E-2</v>
      </c>
      <c r="J45" s="53">
        <f t="shared" si="11"/>
        <v>2.3817863397548163E-2</v>
      </c>
      <c r="K45" s="53">
        <f t="shared" si="11"/>
        <v>3.3908444052641519E-2</v>
      </c>
      <c r="L45" s="53">
        <f t="shared" si="11"/>
        <v>3.7556149428555181E-2</v>
      </c>
      <c r="M45" s="54">
        <v>3.7999999999999999E-2</v>
      </c>
      <c r="N45" s="54">
        <v>3.7999999999999999E-2</v>
      </c>
      <c r="O45" s="54">
        <v>3.7999999999999999E-2</v>
      </c>
      <c r="P45" s="54">
        <v>3.7999999999999999E-2</v>
      </c>
      <c r="Q45" s="54">
        <v>3.7999999999999999E-2</v>
      </c>
      <c r="R45" s="54">
        <v>3.7999999999999999E-2</v>
      </c>
      <c r="S45" s="54">
        <v>3.7999999999999999E-2</v>
      </c>
      <c r="T45" s="54">
        <v>3.7999999999999999E-2</v>
      </c>
      <c r="U45" s="54">
        <v>3.7999999999999999E-2</v>
      </c>
      <c r="V45" s="54">
        <v>3.7999999999999999E-2</v>
      </c>
    </row>
    <row r="47" spans="2:22" x14ac:dyDescent="0.25">
      <c r="B47" t="s">
        <v>228</v>
      </c>
      <c r="G47" s="3">
        <f>Model!L120</f>
        <v>306</v>
      </c>
      <c r="H47" s="3">
        <f>Model!M120</f>
        <v>1168</v>
      </c>
      <c r="I47" s="3">
        <f>Model!N120</f>
        <v>396</v>
      </c>
      <c r="J47" s="3">
        <f>Model!O120</f>
        <v>1298</v>
      </c>
      <c r="K47" s="3">
        <f>Model!P120</f>
        <v>414</v>
      </c>
      <c r="L47" s="3">
        <f>Model!Q120</f>
        <v>-842</v>
      </c>
      <c r="M47" s="3">
        <f ca="1">M48*M24</f>
        <v>-365.80959999999999</v>
      </c>
      <c r="N47" s="3">
        <f t="shared" ref="N47:V47" ca="1" si="12">N48*N24</f>
        <v>-380.44198399999999</v>
      </c>
      <c r="O47" s="3">
        <f t="shared" ca="1" si="12"/>
        <v>-395.65966336000008</v>
      </c>
      <c r="P47" s="3">
        <f t="shared" ca="1" si="12"/>
        <v>-411.48604989440008</v>
      </c>
      <c r="Q47" s="3">
        <f t="shared" ca="1" si="12"/>
        <v>-427.94549189017607</v>
      </c>
      <c r="R47" s="3">
        <f t="shared" ca="1" si="12"/>
        <v>-445.06331156578307</v>
      </c>
      <c r="S47" s="3">
        <f t="shared" ca="1" si="12"/>
        <v>-462.86584402841441</v>
      </c>
      <c r="T47" s="3">
        <f t="shared" ca="1" si="12"/>
        <v>-481.38047778955104</v>
      </c>
      <c r="U47" s="3">
        <f t="shared" ca="1" si="12"/>
        <v>-500.63569690113309</v>
      </c>
      <c r="V47" s="3">
        <f t="shared" ca="1" si="12"/>
        <v>-520.66112477717843</v>
      </c>
    </row>
    <row r="48" spans="2:22" x14ac:dyDescent="0.25">
      <c r="B48" s="45" t="s">
        <v>224</v>
      </c>
      <c r="G48" s="53">
        <f t="shared" ref="G48:L48" si="13">G47/G24</f>
        <v>1.0329113924050634E-2</v>
      </c>
      <c r="H48" s="53">
        <f t="shared" si="13"/>
        <v>3.9188055695353129E-2</v>
      </c>
      <c r="I48" s="53">
        <f t="shared" si="13"/>
        <v>1.3800794591203735E-2</v>
      </c>
      <c r="J48" s="53">
        <f t="shared" si="13"/>
        <v>4.1330998248686517E-2</v>
      </c>
      <c r="K48" s="53">
        <f t="shared" si="13"/>
        <v>1.303444367483156E-2</v>
      </c>
      <c r="L48" s="53">
        <f t="shared" si="13"/>
        <v>-2.3938136123272873E-2</v>
      </c>
      <c r="M48" s="54">
        <v>-0.01</v>
      </c>
      <c r="N48" s="54">
        <v>-0.01</v>
      </c>
      <c r="O48" s="54">
        <v>-0.01</v>
      </c>
      <c r="P48" s="54">
        <v>-0.01</v>
      </c>
      <c r="Q48" s="54">
        <v>-0.01</v>
      </c>
      <c r="R48" s="54">
        <v>-0.01</v>
      </c>
      <c r="S48" s="54">
        <v>-0.01</v>
      </c>
      <c r="T48" s="54">
        <v>-0.01</v>
      </c>
      <c r="U48" s="54">
        <v>-0.01</v>
      </c>
      <c r="V48" s="54">
        <v>-0.01</v>
      </c>
    </row>
    <row r="50" spans="2:22" x14ac:dyDescent="0.25">
      <c r="B50" s="55" t="s">
        <v>229</v>
      </c>
      <c r="C50" s="56"/>
      <c r="D50" s="56"/>
      <c r="E50" s="56"/>
      <c r="F50" s="56"/>
      <c r="G50" s="56">
        <f t="shared" ref="G50:V50" si="14">G39+G41-G44+G47</f>
        <v>8791</v>
      </c>
      <c r="H50" s="56">
        <f t="shared" si="14"/>
        <v>9518</v>
      </c>
      <c r="I50" s="56">
        <f t="shared" si="14"/>
        <v>10066</v>
      </c>
      <c r="J50" s="56">
        <f t="shared" si="14"/>
        <v>11852</v>
      </c>
      <c r="K50" s="56">
        <f t="shared" si="14"/>
        <v>10416</v>
      </c>
      <c r="L50" s="56">
        <f t="shared" si="14"/>
        <v>8452</v>
      </c>
      <c r="M50" s="56">
        <f ca="1">M39+M41-M44+M47</f>
        <v>10608.4784</v>
      </c>
      <c r="N50" s="56">
        <f t="shared" ca="1" si="14"/>
        <v>11032.817536</v>
      </c>
      <c r="O50" s="56">
        <f t="shared" ca="1" si="14"/>
        <v>11474.13023744</v>
      </c>
      <c r="P50" s="56">
        <f t="shared" ca="1" si="14"/>
        <v>11933.095446937601</v>
      </c>
      <c r="Q50" s="56">
        <f t="shared" ca="1" si="14"/>
        <v>12410.419264815107</v>
      </c>
      <c r="R50" s="56">
        <f t="shared" ca="1" si="14"/>
        <v>12906.836035407709</v>
      </c>
      <c r="S50" s="56">
        <f t="shared" ca="1" si="14"/>
        <v>13423.109476824018</v>
      </c>
      <c r="T50" s="56">
        <f t="shared" ca="1" si="14"/>
        <v>13960.03385589698</v>
      </c>
      <c r="U50" s="56">
        <f t="shared" ca="1" si="14"/>
        <v>14518.435210132859</v>
      </c>
      <c r="V50" s="57">
        <f t="shared" ca="1" si="14"/>
        <v>15099.172618538178</v>
      </c>
    </row>
    <row r="51" spans="2:22" x14ac:dyDescent="0.25">
      <c r="B51" s="58" t="s">
        <v>230</v>
      </c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>
        <f t="shared" ref="M51:V51" ca="1" si="15">M50/(1+$D$16)^M52</f>
        <v>10608.4784</v>
      </c>
      <c r="N51" s="59">
        <f t="shared" ca="1" si="15"/>
        <v>11032.817536</v>
      </c>
      <c r="O51" s="59">
        <f t="shared" ca="1" si="15"/>
        <v>11474.13023744</v>
      </c>
      <c r="P51" s="59">
        <f t="shared" ca="1" si="15"/>
        <v>11933.095446937601</v>
      </c>
      <c r="Q51" s="59">
        <f t="shared" ca="1" si="15"/>
        <v>12410.419264815107</v>
      </c>
      <c r="R51" s="59">
        <f t="shared" ca="1" si="15"/>
        <v>12906.836035407709</v>
      </c>
      <c r="S51" s="59">
        <f t="shared" ca="1" si="15"/>
        <v>13423.109476824018</v>
      </c>
      <c r="T51" s="59">
        <f t="shared" ca="1" si="15"/>
        <v>13960.03385589698</v>
      </c>
      <c r="U51" s="59">
        <f t="shared" ca="1" si="15"/>
        <v>14518.435210132859</v>
      </c>
      <c r="V51" s="60">
        <f t="shared" ca="1" si="15"/>
        <v>15099.172618538178</v>
      </c>
    </row>
    <row r="52" spans="2:22" x14ac:dyDescent="0.25">
      <c r="B52" t="s">
        <v>231</v>
      </c>
      <c r="M52" s="32">
        <f>YEARFRAC(E5,E6)</f>
        <v>0.41666666666666669</v>
      </c>
      <c r="N52" s="32">
        <f>M52+1</f>
        <v>1.4166666666666667</v>
      </c>
      <c r="O52" s="32">
        <f>N52+1</f>
        <v>2.416666666666667</v>
      </c>
      <c r="P52" s="32">
        <f t="shared" ref="P52:V52" si="16">O52+1</f>
        <v>3.416666666666667</v>
      </c>
      <c r="Q52" s="32">
        <f t="shared" si="16"/>
        <v>4.416666666666667</v>
      </c>
      <c r="R52" s="32">
        <f t="shared" si="16"/>
        <v>5.416666666666667</v>
      </c>
      <c r="S52" s="32">
        <f t="shared" si="16"/>
        <v>6.416666666666667</v>
      </c>
      <c r="T52" s="32">
        <f t="shared" si="16"/>
        <v>7.416666666666667</v>
      </c>
      <c r="U52" s="32">
        <f t="shared" si="16"/>
        <v>8.4166666666666679</v>
      </c>
      <c r="V52" s="32">
        <f t="shared" si="16"/>
        <v>9.4166666666666679</v>
      </c>
    </row>
    <row r="53" spans="2:22" x14ac:dyDescent="0.25">
      <c r="B53" t="s">
        <v>232</v>
      </c>
      <c r="N53" s="31"/>
      <c r="O53" s="31"/>
      <c r="P53" s="31"/>
      <c r="Q53" s="31"/>
      <c r="V53" s="31">
        <f ca="1">SUM(M51:V51)</f>
        <v>127366.52808199244</v>
      </c>
    </row>
    <row r="54" spans="2:22" x14ac:dyDescent="0.25">
      <c r="B54" t="s">
        <v>233</v>
      </c>
      <c r="N54" s="31"/>
      <c r="O54" s="31"/>
      <c r="P54" s="31"/>
      <c r="Q54" s="31"/>
      <c r="V54" s="31">
        <f ca="1">(V50*(1+E19))/(E18-E19)</f>
        <v>278648.36741484085</v>
      </c>
    </row>
    <row r="55" spans="2:22" x14ac:dyDescent="0.25">
      <c r="B55" s="16" t="s">
        <v>234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61"/>
      <c r="O55" s="61"/>
      <c r="P55" s="61"/>
      <c r="Q55" s="61"/>
      <c r="R55" s="61"/>
      <c r="S55" s="61"/>
      <c r="T55" s="61"/>
      <c r="U55" s="61"/>
      <c r="V55" s="61">
        <f ca="1">V54/(1+E18)^V52</f>
        <v>147353.09528281703</v>
      </c>
    </row>
    <row r="56" spans="2:22" x14ac:dyDescent="0.25">
      <c r="B56" s="10" t="s">
        <v>235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62"/>
      <c r="O56" s="62"/>
      <c r="P56" s="62"/>
      <c r="Q56" s="62"/>
      <c r="R56" s="62"/>
      <c r="S56" s="62"/>
      <c r="T56" s="62"/>
      <c r="U56" s="62"/>
      <c r="V56" s="62">
        <f ca="1">V53+V55</f>
        <v>274719.62336480943</v>
      </c>
    </row>
    <row r="57" spans="2:22" x14ac:dyDescent="0.25">
      <c r="B57" t="s">
        <v>236</v>
      </c>
      <c r="N57" s="31"/>
      <c r="O57" s="31"/>
      <c r="P57" s="31"/>
      <c r="Q57" s="31"/>
      <c r="V57" s="31">
        <f>Main!K6</f>
        <v>4216</v>
      </c>
    </row>
    <row r="58" spans="2:22" x14ac:dyDescent="0.25">
      <c r="B58" s="16" t="s">
        <v>237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61"/>
      <c r="O58" s="61"/>
      <c r="P58" s="61"/>
      <c r="Q58" s="61"/>
      <c r="R58" s="61"/>
      <c r="S58" s="61"/>
      <c r="T58" s="61"/>
      <c r="U58" s="61"/>
      <c r="V58" s="61">
        <f>Main!K7</f>
        <v>45695</v>
      </c>
    </row>
    <row r="59" spans="2:22" x14ac:dyDescent="0.25">
      <c r="B59" t="s">
        <v>238</v>
      </c>
      <c r="N59" s="31"/>
      <c r="O59" s="31"/>
      <c r="P59" s="31"/>
      <c r="Q59" s="31"/>
      <c r="V59" s="31">
        <f ca="1">V56+V57-V58</f>
        <v>233240.62336480943</v>
      </c>
    </row>
    <row r="60" spans="2:22" x14ac:dyDescent="0.25">
      <c r="B60" s="16" t="s">
        <v>239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61"/>
      <c r="O60" s="61"/>
      <c r="P60" s="61"/>
      <c r="Q60" s="61"/>
      <c r="R60" s="61"/>
      <c r="S60" s="61"/>
      <c r="T60" s="61"/>
      <c r="U60" s="61"/>
      <c r="V60" s="61">
        <f>Main!K4</f>
        <v>1554.857221</v>
      </c>
    </row>
    <row r="61" spans="2:22" x14ac:dyDescent="0.25">
      <c r="B61" t="s">
        <v>202</v>
      </c>
      <c r="V61" s="32">
        <f ca="1">V59/V60</f>
        <v>150.00774361442762</v>
      </c>
    </row>
    <row r="65" spans="1:22" x14ac:dyDescent="0.25">
      <c r="A65" s="38" t="s">
        <v>17</v>
      </c>
      <c r="B65" s="39" t="s">
        <v>240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</row>
    <row r="67" spans="1:22" x14ac:dyDescent="0.25">
      <c r="B67" s="63"/>
      <c r="C67" s="77" t="s">
        <v>218</v>
      </c>
      <c r="D67" s="77"/>
      <c r="E67" s="77"/>
      <c r="F67" s="77"/>
      <c r="G67" s="77"/>
      <c r="H67" s="77"/>
      <c r="I67" s="77"/>
      <c r="J67" s="78"/>
    </row>
    <row r="68" spans="1:22" x14ac:dyDescent="0.25">
      <c r="B68" s="79" t="s">
        <v>217</v>
      </c>
      <c r="C68" s="64"/>
      <c r="D68" s="65"/>
      <c r="E68" s="65"/>
      <c r="F68" s="65"/>
      <c r="G68" s="65"/>
      <c r="H68" s="65"/>
      <c r="I68" s="65"/>
      <c r="J68" s="65"/>
    </row>
    <row r="69" spans="1:22" x14ac:dyDescent="0.25">
      <c r="B69" s="79"/>
      <c r="C69" s="66"/>
      <c r="D69" s="67"/>
      <c r="E69" s="67"/>
      <c r="F69" s="67"/>
      <c r="G69" s="67"/>
      <c r="H69" s="67"/>
      <c r="I69" s="67"/>
      <c r="J69" s="67"/>
    </row>
    <row r="70" spans="1:22" x14ac:dyDescent="0.25">
      <c r="B70" s="79"/>
      <c r="C70" s="66"/>
      <c r="D70" s="67"/>
      <c r="E70" s="67"/>
      <c r="F70" s="67"/>
      <c r="G70" s="67"/>
      <c r="H70" s="67"/>
      <c r="I70" s="67"/>
      <c r="J70" s="67"/>
    </row>
    <row r="71" spans="1:22" x14ac:dyDescent="0.25">
      <c r="B71" s="79"/>
      <c r="C71" s="66"/>
      <c r="D71" s="67"/>
      <c r="E71" s="67"/>
      <c r="F71" s="67"/>
      <c r="G71" s="67"/>
      <c r="H71" s="67"/>
      <c r="I71" s="67"/>
      <c r="J71" s="67"/>
    </row>
    <row r="72" spans="1:22" x14ac:dyDescent="0.25">
      <c r="B72" s="79"/>
      <c r="C72" s="66"/>
      <c r="D72" s="67"/>
      <c r="E72" s="67"/>
      <c r="F72" s="67"/>
      <c r="G72" s="67"/>
      <c r="H72" s="67"/>
      <c r="I72" s="67"/>
      <c r="J72" s="67"/>
    </row>
    <row r="73" spans="1:22" x14ac:dyDescent="0.25">
      <c r="B73" s="79"/>
      <c r="C73" s="66"/>
      <c r="D73" s="67"/>
      <c r="E73" s="67"/>
      <c r="F73" s="67"/>
      <c r="G73" s="67"/>
      <c r="H73" s="67"/>
      <c r="I73" s="67"/>
      <c r="J73" s="67"/>
    </row>
    <row r="74" spans="1:22" x14ac:dyDescent="0.25">
      <c r="B74" s="79"/>
      <c r="C74" s="66"/>
      <c r="D74" s="67"/>
      <c r="E74" s="67"/>
      <c r="F74" s="67"/>
      <c r="G74" s="67"/>
      <c r="H74" s="67"/>
      <c r="I74" s="67"/>
      <c r="J74" s="67"/>
    </row>
    <row r="75" spans="1:22" x14ac:dyDescent="0.25">
      <c r="B75" s="80"/>
      <c r="C75" s="66"/>
      <c r="D75" s="67"/>
      <c r="E75" s="67"/>
      <c r="F75" s="67"/>
      <c r="G75" s="67"/>
      <c r="H75" s="67"/>
      <c r="I75" s="67"/>
      <c r="J75" s="67"/>
    </row>
  </sheetData>
  <mergeCells count="2">
    <mergeCell ref="C67:J67"/>
    <mergeCell ref="B68:B75"/>
  </mergeCells>
  <dataValidations count="1">
    <dataValidation type="list" allowBlank="1" showInputMessage="1" showErrorMessage="1" sqref="E12:E15 H12:H14 M12:M14 R12:R14" xr:uid="{517B8987-8433-42FB-9D8A-2418F64B94DF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2024-07-15T13:36:05Z</dcterms:created>
  <dcterms:modified xsi:type="dcterms:W3CDTF">2025-04-11T09:13:49Z</dcterms:modified>
</cp:coreProperties>
</file>